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C:\Users\miduran\Downloads\"/>
    </mc:Choice>
  </mc:AlternateContent>
  <xr:revisionPtr revIDLastSave="0" documentId="13_ncr:1_{7C8D0FB0-53EF-4691-8FF6-AE890BFB2B2E}" xr6:coauthVersionLast="47" xr6:coauthVersionMax="47" xr10:uidLastSave="{00000000-0000-0000-0000-000000000000}"/>
  <bookViews>
    <workbookView xWindow="-120" yWindow="-120" windowWidth="24240" windowHeight="13020" tabRatio="596" activeTab="2" xr2:uid="{00000000-000D-0000-FFFF-FFFF00000000}"/>
  </bookViews>
  <sheets>
    <sheet name="COSTOS Y GASTOS" sheetId="6" r:id="rId1"/>
    <sheet name="NOMINA" sheetId="1" r:id="rId2"/>
    <sheet name="INGRESOS" sheetId="7" r:id="rId3"/>
    <sheet name="CREDITO" sheetId="2" r:id="rId4"/>
    <sheet name="INVERSIONES" sheetId="3" r:id="rId5"/>
    <sheet name="ESTADO DE RESULTADOS" sheetId="8" r:id="rId6"/>
    <sheet name="FLUJO DE CAJA LIBRE" sheetId="10" r:id="rId7"/>
    <sheet name="BALANCE GENERAL" sheetId="4" r:id="rId8"/>
    <sheet name="ESCENARIO MAS PROBABLE" sheetId="11" r:id="rId9"/>
    <sheet name="ESCENARIO OPTIMISTA" sheetId="12" r:id="rId10"/>
    <sheet name="ESCENARIO PESIMISTA" sheetId="13" r:id="rId11"/>
    <sheet name="tablas documento" sheetId="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7" l="1"/>
  <c r="H24" i="7"/>
  <c r="G24" i="7"/>
  <c r="F24" i="7"/>
  <c r="F18" i="7"/>
  <c r="G18" i="7"/>
  <c r="H18" i="7"/>
  <c r="I18" i="7"/>
  <c r="F19" i="7"/>
  <c r="G19" i="7"/>
  <c r="H19" i="7"/>
  <c r="I19" i="7"/>
  <c r="F20" i="7"/>
  <c r="G20" i="7"/>
  <c r="H20" i="7"/>
  <c r="I20" i="7"/>
  <c r="F21" i="7"/>
  <c r="G21" i="7"/>
  <c r="H21" i="7"/>
  <c r="I21" i="7"/>
  <c r="F22" i="7"/>
  <c r="G22" i="7"/>
  <c r="H22" i="7"/>
  <c r="I22" i="7"/>
  <c r="F23" i="7"/>
  <c r="G23" i="7"/>
  <c r="H23" i="7"/>
  <c r="I23" i="7"/>
  <c r="G17" i="7"/>
  <c r="H17" i="7"/>
  <c r="I17" i="7"/>
  <c r="F17" i="7"/>
  <c r="C24" i="7" s="1"/>
  <c r="C25" i="7" s="1"/>
  <c r="C7" i="7" l="1"/>
  <c r="B2" i="13"/>
  <c r="B2" i="12"/>
  <c r="B2" i="11"/>
  <c r="G7" i="8"/>
  <c r="H7" i="8" s="1"/>
  <c r="I7" i="8" s="1"/>
  <c r="J7" i="8" s="1"/>
  <c r="K7" i="8" s="1"/>
  <c r="D7" i="7" l="1"/>
  <c r="D8" i="7"/>
  <c r="E8" i="7" s="1"/>
  <c r="F8" i="7" s="1"/>
  <c r="G8" i="7" s="1"/>
  <c r="C9" i="7"/>
  <c r="H91" i="6"/>
  <c r="H92" i="6"/>
  <c r="H93" i="6"/>
  <c r="C5" i="6"/>
  <c r="C4" i="6"/>
  <c r="M82" i="6"/>
  <c r="L82" i="6"/>
  <c r="K82" i="6"/>
  <c r="J82" i="6"/>
  <c r="I82" i="6"/>
  <c r="H82" i="6"/>
  <c r="H83" i="6" s="1"/>
  <c r="G82" i="6"/>
  <c r="G83" i="6" s="1"/>
  <c r="F82" i="6"/>
  <c r="F83" i="6" s="1"/>
  <c r="E82" i="6"/>
  <c r="E83" i="6" s="1"/>
  <c r="D82" i="6"/>
  <c r="D83" i="6" s="1"/>
  <c r="D84" i="6" s="1"/>
  <c r="C82" i="6"/>
  <c r="C85" i="6" s="1"/>
  <c r="M75" i="6"/>
  <c r="L75" i="6"/>
  <c r="K75" i="6"/>
  <c r="J75" i="6"/>
  <c r="J76" i="6" s="1"/>
  <c r="I75" i="6"/>
  <c r="I76" i="6" s="1"/>
  <c r="H75" i="6"/>
  <c r="H76" i="6" s="1"/>
  <c r="G75" i="6"/>
  <c r="G76" i="6" s="1"/>
  <c r="F75" i="6"/>
  <c r="F76" i="6" s="1"/>
  <c r="E75" i="6"/>
  <c r="E76" i="6" s="1"/>
  <c r="D75" i="6"/>
  <c r="D76" i="6" s="1"/>
  <c r="D77" i="6" s="1"/>
  <c r="C75" i="6"/>
  <c r="C78" i="6" s="1"/>
  <c r="M68" i="6"/>
  <c r="L68" i="6"/>
  <c r="L69" i="6" s="1"/>
  <c r="K68" i="6"/>
  <c r="K69" i="6" s="1"/>
  <c r="J68" i="6"/>
  <c r="J69" i="6" s="1"/>
  <c r="I68" i="6"/>
  <c r="I69" i="6" s="1"/>
  <c r="H68" i="6"/>
  <c r="H69" i="6" s="1"/>
  <c r="G68" i="6"/>
  <c r="G69" i="6" s="1"/>
  <c r="F68" i="6"/>
  <c r="F69" i="6" s="1"/>
  <c r="E68" i="6"/>
  <c r="E69" i="6" s="1"/>
  <c r="D68" i="6"/>
  <c r="C68" i="6"/>
  <c r="C71" i="6" s="1"/>
  <c r="M61" i="6"/>
  <c r="M62" i="6" s="1"/>
  <c r="L61" i="6"/>
  <c r="L62" i="6" s="1"/>
  <c r="K61" i="6"/>
  <c r="K62" i="6" s="1"/>
  <c r="J61" i="6"/>
  <c r="J62" i="6" s="1"/>
  <c r="I61" i="6"/>
  <c r="I62" i="6" s="1"/>
  <c r="H61" i="6"/>
  <c r="H62" i="6" s="1"/>
  <c r="G61" i="6"/>
  <c r="G62" i="6" s="1"/>
  <c r="F61" i="6"/>
  <c r="F62" i="6" s="1"/>
  <c r="E61" i="6"/>
  <c r="E62" i="6" s="1"/>
  <c r="D61" i="6"/>
  <c r="D62" i="6" s="1"/>
  <c r="D63" i="6" s="1"/>
  <c r="C61" i="6"/>
  <c r="C64" i="6" s="1"/>
  <c r="M54" i="6"/>
  <c r="M55" i="6" s="1"/>
  <c r="L54" i="6"/>
  <c r="L55" i="6" s="1"/>
  <c r="K54" i="6"/>
  <c r="K55" i="6" s="1"/>
  <c r="J54" i="6"/>
  <c r="J55" i="6" s="1"/>
  <c r="I54" i="6"/>
  <c r="I55" i="6" s="1"/>
  <c r="H54" i="6"/>
  <c r="H55" i="6" s="1"/>
  <c r="G54" i="6"/>
  <c r="G55" i="6" s="1"/>
  <c r="F54" i="6"/>
  <c r="F55" i="6" s="1"/>
  <c r="E54" i="6"/>
  <c r="D54" i="6"/>
  <c r="C54" i="6"/>
  <c r="C57" i="6" s="1"/>
  <c r="M47" i="6"/>
  <c r="M48" i="6" s="1"/>
  <c r="L47" i="6"/>
  <c r="L48" i="6" s="1"/>
  <c r="K47" i="6"/>
  <c r="K48" i="6" s="1"/>
  <c r="J47" i="6"/>
  <c r="J48" i="6" s="1"/>
  <c r="I47" i="6"/>
  <c r="I48" i="6" s="1"/>
  <c r="H47" i="6"/>
  <c r="H48" i="6" s="1"/>
  <c r="G47" i="6"/>
  <c r="F47" i="6"/>
  <c r="E47" i="6"/>
  <c r="D47" i="6"/>
  <c r="C47" i="6"/>
  <c r="C50" i="6" s="1"/>
  <c r="M40" i="6"/>
  <c r="M41" i="6" s="1"/>
  <c r="L40" i="6"/>
  <c r="L41" i="6" s="1"/>
  <c r="K40" i="6"/>
  <c r="K41" i="6" s="1"/>
  <c r="J40" i="6"/>
  <c r="J41" i="6" s="1"/>
  <c r="I40" i="6"/>
  <c r="H40" i="6"/>
  <c r="G40" i="6"/>
  <c r="F40" i="6"/>
  <c r="E40" i="6"/>
  <c r="D40" i="6"/>
  <c r="C40" i="6"/>
  <c r="C43" i="6" s="1"/>
  <c r="M33" i="6"/>
  <c r="M34" i="6" s="1"/>
  <c r="L33" i="6"/>
  <c r="L34" i="6" s="1"/>
  <c r="K33" i="6"/>
  <c r="J33" i="6"/>
  <c r="I33" i="6"/>
  <c r="H33" i="6"/>
  <c r="G33" i="6"/>
  <c r="F33" i="6"/>
  <c r="E33" i="6"/>
  <c r="D33" i="6"/>
  <c r="C33" i="6"/>
  <c r="C36" i="6" s="1"/>
  <c r="M26" i="6"/>
  <c r="L26" i="6"/>
  <c r="K26" i="6"/>
  <c r="K27" i="6" s="1"/>
  <c r="J26" i="6"/>
  <c r="I26" i="6"/>
  <c r="H26" i="6"/>
  <c r="G26" i="6"/>
  <c r="F26" i="6"/>
  <c r="E26" i="6"/>
  <c r="D26" i="6"/>
  <c r="D27" i="6" s="1"/>
  <c r="D28" i="6" s="1"/>
  <c r="D29" i="6" s="1"/>
  <c r="C26" i="6"/>
  <c r="C29" i="6" s="1"/>
  <c r="H19" i="6"/>
  <c r="G19" i="6"/>
  <c r="F19" i="6"/>
  <c r="E19" i="6"/>
  <c r="D19" i="6"/>
  <c r="C19" i="6"/>
  <c r="C22" i="6" s="1"/>
  <c r="H12" i="6"/>
  <c r="G12" i="6"/>
  <c r="F12" i="6"/>
  <c r="E12" i="6"/>
  <c r="D12" i="6"/>
  <c r="C12" i="6"/>
  <c r="C15" i="6" s="1"/>
  <c r="D91" i="6"/>
  <c r="D92" i="6"/>
  <c r="D93" i="6"/>
  <c r="D94" i="6"/>
  <c r="B109" i="6"/>
  <c r="H94" i="6" l="1"/>
  <c r="D9" i="7"/>
  <c r="D10" i="7" s="1"/>
  <c r="C10" i="7"/>
  <c r="D11" i="7"/>
  <c r="E7" i="7"/>
  <c r="H3" i="8"/>
  <c r="H13" i="8"/>
  <c r="E9" i="7"/>
  <c r="C11" i="7"/>
  <c r="C3" i="6"/>
  <c r="C6" i="6" s="1"/>
  <c r="D20" i="6"/>
  <c r="D21" i="6" s="1"/>
  <c r="E20" i="6"/>
  <c r="F20" i="6"/>
  <c r="G20" i="6"/>
  <c r="J3" i="6"/>
  <c r="H20" i="6"/>
  <c r="D69" i="6"/>
  <c r="D70" i="6" s="1"/>
  <c r="D71" i="6" s="1"/>
  <c r="D13" i="6"/>
  <c r="D14" i="6" s="1"/>
  <c r="E13" i="6"/>
  <c r="E14" i="6" s="1"/>
  <c r="E70" i="6"/>
  <c r="F70" i="6" s="1"/>
  <c r="F71" i="6" s="1"/>
  <c r="F13" i="6"/>
  <c r="G13" i="6"/>
  <c r="H13" i="6"/>
  <c r="E63" i="6"/>
  <c r="F63" i="6" s="1"/>
  <c r="G63" i="6" s="1"/>
  <c r="H63" i="6" s="1"/>
  <c r="D34" i="6"/>
  <c r="D35" i="6" s="1"/>
  <c r="F64" i="6"/>
  <c r="G64" i="6"/>
  <c r="E27" i="6"/>
  <c r="E28" i="6" s="1"/>
  <c r="I27" i="6"/>
  <c r="F3" i="6"/>
  <c r="E84" i="6"/>
  <c r="D85" i="6"/>
  <c r="F34" i="6"/>
  <c r="G34" i="6"/>
  <c r="F27" i="6"/>
  <c r="H27" i="6"/>
  <c r="H3" i="6"/>
  <c r="E34" i="6"/>
  <c r="D15" i="6"/>
  <c r="G27" i="6"/>
  <c r="G3" i="6"/>
  <c r="M76" i="6"/>
  <c r="K83" i="6"/>
  <c r="K3" i="6"/>
  <c r="I63" i="6"/>
  <c r="H64" i="6"/>
  <c r="E3" i="6"/>
  <c r="I3" i="6"/>
  <c r="M69" i="6"/>
  <c r="K76" i="6"/>
  <c r="I83" i="6"/>
  <c r="L76" i="6"/>
  <c r="J83" i="6"/>
  <c r="D41" i="6"/>
  <c r="D42" i="6" s="1"/>
  <c r="D78" i="6"/>
  <c r="E77" i="6"/>
  <c r="L83" i="6"/>
  <c r="L3" i="6"/>
  <c r="E41" i="6"/>
  <c r="D64" i="6"/>
  <c r="M3" i="6"/>
  <c r="D95" i="6"/>
  <c r="M83" i="6"/>
  <c r="J27" i="6"/>
  <c r="H34" i="6"/>
  <c r="F41" i="6"/>
  <c r="D48" i="6"/>
  <c r="D49" i="6" s="1"/>
  <c r="D50" i="6" s="1"/>
  <c r="G41" i="6"/>
  <c r="E48" i="6"/>
  <c r="H41" i="6"/>
  <c r="M27" i="6"/>
  <c r="I34" i="6"/>
  <c r="L27" i="6"/>
  <c r="J34" i="6"/>
  <c r="F48" i="6"/>
  <c r="D55" i="6"/>
  <c r="D56" i="6" s="1"/>
  <c r="D3" i="6"/>
  <c r="K34" i="6"/>
  <c r="I41" i="6"/>
  <c r="G48" i="6"/>
  <c r="E55" i="6"/>
  <c r="G3" i="8" l="1"/>
  <c r="G13" i="8"/>
  <c r="F7" i="7"/>
  <c r="G15" i="8"/>
  <c r="G4" i="8"/>
  <c r="H4" i="8" s="1"/>
  <c r="I4" i="8" s="1"/>
  <c r="J4" i="8" s="1"/>
  <c r="K4" i="8" s="1"/>
  <c r="H15" i="8"/>
  <c r="F9" i="7"/>
  <c r="E10" i="7"/>
  <c r="E11" i="7" s="1"/>
  <c r="B115" i="6"/>
  <c r="G6" i="8" s="1"/>
  <c r="F28" i="6"/>
  <c r="G28" i="6" s="1"/>
  <c r="H28" i="6" s="1"/>
  <c r="H29" i="6" s="1"/>
  <c r="F14" i="6"/>
  <c r="G14" i="6" s="1"/>
  <c r="H14" i="6" s="1"/>
  <c r="H15" i="6" s="1"/>
  <c r="E21" i="6"/>
  <c r="D5" i="6"/>
  <c r="D6" i="6" s="1"/>
  <c r="F4" i="6"/>
  <c r="I23" i="8" s="1"/>
  <c r="D22" i="6"/>
  <c r="G70" i="6"/>
  <c r="G71" i="6" s="1"/>
  <c r="K4" i="6"/>
  <c r="D57" i="6"/>
  <c r="E42" i="6"/>
  <c r="F42" i="6" s="1"/>
  <c r="F43" i="6" s="1"/>
  <c r="J4" i="6"/>
  <c r="E4" i="6"/>
  <c r="H23" i="8" s="1"/>
  <c r="H4" i="6"/>
  <c r="K23" i="8" s="1"/>
  <c r="M4" i="6"/>
  <c r="G4" i="6"/>
  <c r="J23" i="8" s="1"/>
  <c r="E71" i="6"/>
  <c r="E64" i="6"/>
  <c r="J63" i="6"/>
  <c r="I64" i="6"/>
  <c r="F77" i="6"/>
  <c r="E78" i="6"/>
  <c r="E49" i="6"/>
  <c r="F15" i="6"/>
  <c r="E56" i="6"/>
  <c r="E29" i="6"/>
  <c r="G15" i="6"/>
  <c r="E35" i="6"/>
  <c r="F84" i="6"/>
  <c r="E85" i="6"/>
  <c r="D43" i="6"/>
  <c r="I4" i="6"/>
  <c r="D36" i="6"/>
  <c r="D4" i="6"/>
  <c r="G23" i="8" s="1"/>
  <c r="L4" i="6"/>
  <c r="E15" i="6"/>
  <c r="I3" i="8" l="1"/>
  <c r="I15" i="8"/>
  <c r="I13" i="8"/>
  <c r="G7" i="7"/>
  <c r="H6" i="8"/>
  <c r="G17" i="8"/>
  <c r="G9" i="7"/>
  <c r="G10" i="7" s="1"/>
  <c r="F10" i="7"/>
  <c r="J13" i="8" s="1"/>
  <c r="G42" i="6"/>
  <c r="H42" i="6" s="1"/>
  <c r="I28" i="6"/>
  <c r="E43" i="6"/>
  <c r="F29" i="6"/>
  <c r="G29" i="6"/>
  <c r="E5" i="6"/>
  <c r="E6" i="6" s="1"/>
  <c r="F21" i="6"/>
  <c r="E22" i="6"/>
  <c r="H70" i="6"/>
  <c r="I70" i="6" s="1"/>
  <c r="G84" i="6"/>
  <c r="F85" i="6"/>
  <c r="F49" i="6"/>
  <c r="E50" i="6"/>
  <c r="F56" i="6"/>
  <c r="E57" i="6"/>
  <c r="F35" i="6"/>
  <c r="E36" i="6"/>
  <c r="G77" i="6"/>
  <c r="F78" i="6"/>
  <c r="K63" i="6"/>
  <c r="J64" i="6"/>
  <c r="G11" i="7" l="1"/>
  <c r="K15" i="8"/>
  <c r="G43" i="6"/>
  <c r="F11" i="7"/>
  <c r="J15" i="8"/>
  <c r="J3" i="8"/>
  <c r="K3" i="8"/>
  <c r="K13" i="8"/>
  <c r="I6" i="8"/>
  <c r="H17" i="8"/>
  <c r="J28" i="6"/>
  <c r="I29" i="6"/>
  <c r="G21" i="6"/>
  <c r="F22" i="6"/>
  <c r="H71" i="6"/>
  <c r="G56" i="6"/>
  <c r="F57" i="6"/>
  <c r="H84" i="6"/>
  <c r="G85" i="6"/>
  <c r="G35" i="6"/>
  <c r="F36" i="6"/>
  <c r="J70" i="6"/>
  <c r="I71" i="6"/>
  <c r="L63" i="6"/>
  <c r="K64" i="6"/>
  <c r="H77" i="6"/>
  <c r="G78" i="6"/>
  <c r="G49" i="6"/>
  <c r="F50" i="6"/>
  <c r="F5" i="6"/>
  <c r="F6" i="6" s="1"/>
  <c r="I42" i="6"/>
  <c r="H43" i="6"/>
  <c r="J6" i="8" l="1"/>
  <c r="I17" i="8"/>
  <c r="K28" i="6"/>
  <c r="J29" i="6"/>
  <c r="H21" i="6"/>
  <c r="H22" i="6" s="1"/>
  <c r="G22" i="6"/>
  <c r="H49" i="6"/>
  <c r="G50" i="6"/>
  <c r="M63" i="6"/>
  <c r="M64" i="6" s="1"/>
  <c r="L64" i="6"/>
  <c r="J42" i="6"/>
  <c r="I43" i="6"/>
  <c r="I77" i="6"/>
  <c r="H78" i="6"/>
  <c r="K70" i="6"/>
  <c r="J71" i="6"/>
  <c r="H35" i="6"/>
  <c r="G36" i="6"/>
  <c r="G5" i="6"/>
  <c r="G6" i="6" s="1"/>
  <c r="H85" i="6"/>
  <c r="I84" i="6"/>
  <c r="H56" i="6"/>
  <c r="G57" i="6"/>
  <c r="K6" i="8" l="1"/>
  <c r="K17" i="8" s="1"/>
  <c r="J17" i="8"/>
  <c r="L28" i="6"/>
  <c r="K29" i="6"/>
  <c r="H5" i="6"/>
  <c r="H6" i="6" s="1"/>
  <c r="J84" i="6"/>
  <c r="I85" i="6"/>
  <c r="I35" i="6"/>
  <c r="H36" i="6"/>
  <c r="L70" i="6"/>
  <c r="K71" i="6"/>
  <c r="J77" i="6"/>
  <c r="I78" i="6"/>
  <c r="I56" i="6"/>
  <c r="H57" i="6"/>
  <c r="K42" i="6"/>
  <c r="J43" i="6"/>
  <c r="I49" i="6"/>
  <c r="H50" i="6"/>
  <c r="M28" i="6" l="1"/>
  <c r="M29" i="6" s="1"/>
  <c r="L29" i="6"/>
  <c r="L42" i="6"/>
  <c r="K43" i="6"/>
  <c r="J49" i="6"/>
  <c r="I50" i="6"/>
  <c r="J56" i="6"/>
  <c r="I57" i="6"/>
  <c r="J78" i="6"/>
  <c r="K77" i="6"/>
  <c r="L71" i="6"/>
  <c r="M70" i="6"/>
  <c r="M71" i="6" s="1"/>
  <c r="J35" i="6"/>
  <c r="I36" i="6"/>
  <c r="K84" i="6"/>
  <c r="J85" i="6"/>
  <c r="I5" i="6"/>
  <c r="I6" i="6" s="1"/>
  <c r="J5" i="6" l="1"/>
  <c r="J6" i="6" s="1"/>
  <c r="L84" i="6"/>
  <c r="K85" i="6"/>
  <c r="K35" i="6"/>
  <c r="J36" i="6"/>
  <c r="L77" i="6"/>
  <c r="K78" i="6"/>
  <c r="K56" i="6"/>
  <c r="J57" i="6"/>
  <c r="K49" i="6"/>
  <c r="J50" i="6"/>
  <c r="M42" i="6"/>
  <c r="M43" i="6" s="1"/>
  <c r="L43" i="6"/>
  <c r="L49" i="6" l="1"/>
  <c r="K50" i="6"/>
  <c r="L56" i="6"/>
  <c r="K57" i="6"/>
  <c r="M77" i="6"/>
  <c r="M78" i="6" s="1"/>
  <c r="L78" i="6"/>
  <c r="L35" i="6"/>
  <c r="K36" i="6"/>
  <c r="M84" i="6"/>
  <c r="L85" i="6"/>
  <c r="K5" i="6"/>
  <c r="K6" i="6" s="1"/>
  <c r="L5" i="6" l="1"/>
  <c r="L6" i="6" s="1"/>
  <c r="M85" i="6"/>
  <c r="M35" i="6"/>
  <c r="M36" i="6" s="1"/>
  <c r="L36" i="6"/>
  <c r="M56" i="6"/>
  <c r="M57" i="6" s="1"/>
  <c r="L57" i="6"/>
  <c r="M49" i="6"/>
  <c r="M50" i="6" s="1"/>
  <c r="L50" i="6"/>
  <c r="M5" i="6" l="1"/>
  <c r="M6" i="6" s="1"/>
  <c r="B50" i="5" l="1"/>
  <c r="B48" i="5"/>
  <c r="D5" i="1"/>
  <c r="D4" i="1"/>
  <c r="D6" i="1"/>
  <c r="D7" i="1"/>
  <c r="B31" i="4"/>
  <c r="E13" i="3" l="1"/>
  <c r="C10" i="4"/>
  <c r="D6" i="4"/>
  <c r="E6" i="4" s="1"/>
  <c r="F6" i="4" s="1"/>
  <c r="G6" i="4" s="1"/>
  <c r="H6" i="4" s="1"/>
  <c r="D22" i="3"/>
  <c r="H7" i="3"/>
  <c r="D19" i="3" s="1"/>
  <c r="C8" i="3"/>
  <c r="D13" i="1"/>
  <c r="K13" i="1" s="1"/>
  <c r="L11" i="1"/>
  <c r="M11" i="1" s="1"/>
  <c r="K11" i="1"/>
  <c r="L5" i="1"/>
  <c r="M5" i="1" s="1"/>
  <c r="K7" i="1"/>
  <c r="L7" i="1"/>
  <c r="M7" i="1" s="1"/>
  <c r="L6" i="1"/>
  <c r="M6" i="1" s="1"/>
  <c r="L10" i="1"/>
  <c r="M10" i="1" s="1"/>
  <c r="K10" i="1"/>
  <c r="L9" i="1"/>
  <c r="M9" i="1" s="1"/>
  <c r="K9" i="1"/>
  <c r="D8" i="1"/>
  <c r="L8" i="1" s="1"/>
  <c r="M8" i="1" s="1"/>
  <c r="K12" i="1"/>
  <c r="K8" i="1"/>
  <c r="K6" i="1"/>
  <c r="K5" i="1"/>
  <c r="L12" i="1"/>
  <c r="M12" i="1" s="1"/>
  <c r="K4" i="1"/>
  <c r="B114" i="6" l="1"/>
  <c r="G5" i="8" s="1"/>
  <c r="L13" i="1"/>
  <c r="D21" i="3"/>
  <c r="C7" i="4"/>
  <c r="E16" i="4"/>
  <c r="D4" i="4"/>
  <c r="D4" i="10" s="1"/>
  <c r="D20" i="3"/>
  <c r="D13" i="3"/>
  <c r="D12" i="3"/>
  <c r="D14" i="3"/>
  <c r="D15" i="3"/>
  <c r="D16" i="3"/>
  <c r="D17" i="3"/>
  <c r="L4" i="1"/>
  <c r="M4" i="1" s="1"/>
  <c r="B117" i="6" s="1"/>
  <c r="G8" i="8" s="1"/>
  <c r="M13" i="1"/>
  <c r="B118" i="6" s="1"/>
  <c r="G9" i="8" s="1"/>
  <c r="G21" i="8" l="1"/>
  <c r="H9" i="8"/>
  <c r="H8" i="8"/>
  <c r="G20" i="8"/>
  <c r="H5" i="8"/>
  <c r="G16" i="8"/>
  <c r="G18" i="8" s="1"/>
  <c r="G22" i="8" s="1"/>
  <c r="G25" i="8" s="1"/>
  <c r="G27" i="8" s="1"/>
  <c r="G28" i="8" s="1"/>
  <c r="G29" i="8" s="1"/>
  <c r="H9" i="4"/>
  <c r="F9" i="4"/>
  <c r="D9" i="4"/>
  <c r="C9" i="4"/>
  <c r="C11" i="4" s="1"/>
  <c r="C13" i="4" s="1"/>
  <c r="E9" i="4"/>
  <c r="E3" i="10" s="1"/>
  <c r="G9" i="4"/>
  <c r="G3" i="10" s="1"/>
  <c r="F16" i="4"/>
  <c r="D7" i="4"/>
  <c r="E4" i="4"/>
  <c r="E4" i="10" s="1"/>
  <c r="D23" i="3"/>
  <c r="M14" i="1"/>
  <c r="C26" i="3" s="1"/>
  <c r="I9" i="8" l="1"/>
  <c r="H21" i="8"/>
  <c r="G31" i="8"/>
  <c r="D2" i="10"/>
  <c r="I5" i="8"/>
  <c r="H16" i="8"/>
  <c r="H18" i="8" s="1"/>
  <c r="I8" i="8"/>
  <c r="H20" i="8"/>
  <c r="D3" i="10"/>
  <c r="H3" i="10"/>
  <c r="F3" i="10"/>
  <c r="C25" i="3"/>
  <c r="B2" i="2" s="1"/>
  <c r="H44" i="5"/>
  <c r="H45" i="5" s="1"/>
  <c r="E42" i="4"/>
  <c r="G16" i="4"/>
  <c r="E7" i="4"/>
  <c r="F4" i="4"/>
  <c r="F4" i="10" s="1"/>
  <c r="J8" i="8" l="1"/>
  <c r="I20" i="8"/>
  <c r="H22" i="8"/>
  <c r="H25" i="8" s="1"/>
  <c r="H27" i="8" s="1"/>
  <c r="H28" i="8" s="1"/>
  <c r="H29" i="8" s="1"/>
  <c r="J5" i="8"/>
  <c r="I16" i="8"/>
  <c r="I18" i="8" s="1"/>
  <c r="J9" i="8"/>
  <c r="I21" i="8"/>
  <c r="D10" i="4"/>
  <c r="D11" i="4" s="1"/>
  <c r="D13" i="4" s="1"/>
  <c r="H16" i="4"/>
  <c r="D10" i="2"/>
  <c r="B7" i="2"/>
  <c r="B8" i="2" s="1"/>
  <c r="E7" i="2"/>
  <c r="G4" i="4"/>
  <c r="G4" i="10" s="1"/>
  <c r="F7" i="4"/>
  <c r="J21" i="8" l="1"/>
  <c r="K9" i="8"/>
  <c r="K21" i="8" s="1"/>
  <c r="K5" i="8"/>
  <c r="K16" i="8" s="1"/>
  <c r="K18" i="8" s="1"/>
  <c r="J16" i="8"/>
  <c r="J18" i="8" s="1"/>
  <c r="I22" i="8"/>
  <c r="I25" i="8" s="1"/>
  <c r="I27" i="8" s="1"/>
  <c r="I28" i="8" s="1"/>
  <c r="I29" i="8" s="1"/>
  <c r="H31" i="8"/>
  <c r="E2" i="10"/>
  <c r="J20" i="8"/>
  <c r="K8" i="8"/>
  <c r="K20" i="8" s="1"/>
  <c r="E8" i="2"/>
  <c r="E9" i="2" s="1"/>
  <c r="D5" i="10" s="1"/>
  <c r="C17" i="4"/>
  <c r="C21" i="4" s="1"/>
  <c r="F7" i="2"/>
  <c r="G7" i="2" s="1"/>
  <c r="H7" i="2" s="1"/>
  <c r="I7" i="2" s="1"/>
  <c r="G7" i="4"/>
  <c r="H4" i="4"/>
  <c r="H4" i="10" s="1"/>
  <c r="D6" i="10" l="1"/>
  <c r="D7" i="10"/>
  <c r="F2" i="10"/>
  <c r="I31" i="8"/>
  <c r="J22" i="8"/>
  <c r="J25" i="8" s="1"/>
  <c r="J27" i="8" s="1"/>
  <c r="J28" i="8" s="1"/>
  <c r="J29" i="8" s="1"/>
  <c r="K22" i="8"/>
  <c r="K25" i="8" s="1"/>
  <c r="K27" i="8" s="1"/>
  <c r="K28" i="8" s="1"/>
  <c r="K29" i="8" s="1"/>
  <c r="C18" i="4"/>
  <c r="E10" i="2"/>
  <c r="E10" i="4"/>
  <c r="E11" i="4" s="1"/>
  <c r="E13" i="4" s="1"/>
  <c r="H7" i="4"/>
  <c r="K31" i="8" l="1"/>
  <c r="H2" i="10"/>
  <c r="J31" i="8"/>
  <c r="G2" i="10"/>
  <c r="F8" i="2"/>
  <c r="F9" i="2" s="1"/>
  <c r="E5" i="10" s="1"/>
  <c r="E6" i="10" s="1"/>
  <c r="E7" i="10" s="1"/>
  <c r="D17" i="4"/>
  <c r="D21" i="4"/>
  <c r="E21" i="4" s="1"/>
  <c r="F21" i="4" s="1"/>
  <c r="G21" i="4" s="1"/>
  <c r="C23" i="4"/>
  <c r="D22" i="4"/>
  <c r="D23" i="4" s="1"/>
  <c r="F10" i="4"/>
  <c r="F11" i="4" s="1"/>
  <c r="F13" i="4" s="1"/>
  <c r="E34" i="4" l="1"/>
  <c r="F42" i="4" s="1"/>
  <c r="E32" i="4"/>
  <c r="E31" i="4"/>
  <c r="D18" i="4"/>
  <c r="D25" i="4" s="1"/>
  <c r="F31" i="4"/>
  <c r="C25" i="4"/>
  <c r="F32" i="4"/>
  <c r="F10" i="2"/>
  <c r="G10" i="4"/>
  <c r="G11" i="4" s="1"/>
  <c r="G13" i="4" s="1"/>
  <c r="H21" i="4"/>
  <c r="E35" i="4" l="1"/>
  <c r="G8" i="2"/>
  <c r="G9" i="2" s="1"/>
  <c r="F5" i="10" s="1"/>
  <c r="F6" i="10" s="1"/>
  <c r="F7" i="10" s="1"/>
  <c r="E17" i="4"/>
  <c r="E18" i="4" s="1"/>
  <c r="F33" i="4"/>
  <c r="F35" i="4"/>
  <c r="E33" i="4"/>
  <c r="E37" i="4"/>
  <c r="H10" i="4"/>
  <c r="H11" i="4" s="1"/>
  <c r="H13" i="4" s="1"/>
  <c r="G10" i="2" l="1"/>
  <c r="H8" i="2" l="1"/>
  <c r="H9" i="2" s="1"/>
  <c r="G5" i="10" s="1"/>
  <c r="G6" i="10" s="1"/>
  <c r="G7" i="10" s="1"/>
  <c r="F17" i="4"/>
  <c r="F18" i="4" s="1"/>
  <c r="H10" i="2" l="1"/>
  <c r="I8" i="2" l="1"/>
  <c r="I9" i="2" s="1"/>
  <c r="H5" i="10" s="1"/>
  <c r="H6" i="10" s="1"/>
  <c r="H7" i="10" s="1"/>
  <c r="G17" i="4"/>
  <c r="G18" i="4" s="1"/>
  <c r="I10" i="2" l="1"/>
  <c r="H17" i="4" l="1"/>
  <c r="H18" i="4" s="1"/>
  <c r="F34" i="4"/>
  <c r="F37" i="4" l="1"/>
  <c r="G42" i="4"/>
  <c r="E22" i="4"/>
  <c r="G34" i="4"/>
  <c r="H42" i="4" s="1"/>
  <c r="F22" i="4" l="1"/>
  <c r="E23" i="4"/>
  <c r="H34" i="4"/>
  <c r="I42" i="4" s="1"/>
  <c r="I34" i="4"/>
  <c r="J42" i="4" s="1"/>
  <c r="C42" i="4" l="1"/>
  <c r="G22" i="4"/>
  <c r="E25" i="4"/>
  <c r="G32" i="4"/>
  <c r="G31" i="4"/>
  <c r="F23" i="4"/>
  <c r="G23" i="4" l="1"/>
  <c r="H22" i="4"/>
  <c r="H23" i="4" s="1"/>
  <c r="H25" i="4" s="1"/>
  <c r="H31" i="4"/>
  <c r="F25" i="4"/>
  <c r="H32" i="4"/>
  <c r="G33" i="4"/>
  <c r="G35" i="4"/>
  <c r="G37" i="4" l="1"/>
  <c r="H35" i="4"/>
  <c r="H37" i="4" s="1"/>
  <c r="H33" i="4"/>
  <c r="I31" i="4"/>
  <c r="I32" i="4"/>
  <c r="G25" i="4"/>
  <c r="I33" i="4" l="1"/>
  <c r="I35" i="4"/>
  <c r="I37" i="4" l="1"/>
  <c r="D37" i="4" s="1"/>
  <c r="D39" i="4" s="1"/>
  <c r="C4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SAMSUNG</author>
  </authors>
  <commentList>
    <comment ref="G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SAMSUNG:</t>
        </r>
        <r>
          <rPr>
            <sz val="9"/>
            <color indexed="81"/>
            <rFont val="Tahoma"/>
            <family val="2"/>
          </rPr>
          <t xml:space="preserve">
Dato aproximado: ENA y UPRA no especificado como Sorgo - Otros cereales </t>
        </r>
      </text>
    </comment>
  </commentList>
</comments>
</file>

<file path=xl/sharedStrings.xml><?xml version="1.0" encoding="utf-8"?>
<sst xmlns="http://schemas.openxmlformats.org/spreadsheetml/2006/main" count="531" uniqueCount="253">
  <si>
    <t>Nómina</t>
  </si>
  <si>
    <t xml:space="preserve">Cargo </t>
  </si>
  <si>
    <t>Cantidad</t>
  </si>
  <si>
    <t xml:space="preserve">Vacaciones </t>
  </si>
  <si>
    <t xml:space="preserve">Parafiscales </t>
  </si>
  <si>
    <t xml:space="preserve">Salud </t>
  </si>
  <si>
    <t xml:space="preserve">Pensión </t>
  </si>
  <si>
    <t>ARL</t>
  </si>
  <si>
    <t xml:space="preserve">Total </t>
  </si>
  <si>
    <t xml:space="preserve">Operarios </t>
  </si>
  <si>
    <t>Costo global</t>
  </si>
  <si>
    <t>Coordinador de calidad</t>
  </si>
  <si>
    <t>Básico (IBC)</t>
  </si>
  <si>
    <t>Devengado</t>
  </si>
  <si>
    <t>Recepcionista</t>
  </si>
  <si>
    <t>Servicios generales</t>
  </si>
  <si>
    <t>Asesor comercial</t>
  </si>
  <si>
    <t>Aux transporte</t>
  </si>
  <si>
    <t>Gerente</t>
  </si>
  <si>
    <t>Dr Talento humano</t>
  </si>
  <si>
    <t>Contador</t>
  </si>
  <si>
    <t>Auxiliar admin</t>
  </si>
  <si>
    <t>Ing Agroindustrial</t>
  </si>
  <si>
    <t>P</t>
  </si>
  <si>
    <t>N</t>
  </si>
  <si>
    <t>AÑOS</t>
  </si>
  <si>
    <t>I</t>
  </si>
  <si>
    <t>E.A</t>
  </si>
  <si>
    <t>0 AÑO</t>
  </si>
  <si>
    <t>CUOTA</t>
  </si>
  <si>
    <t>INTERESES</t>
  </si>
  <si>
    <t>AMORTIZACIÓN</t>
  </si>
  <si>
    <t>SALDO</t>
  </si>
  <si>
    <t>Se considera una tasa efectiva anual 3 puntos porcentuales inferior a la tasa de usura (28,75 E.A.) publicada por el Banco de la República teniendo en cuenta las estimaciones de las opciones de financiamento (OPCION A)</t>
  </si>
  <si>
    <t xml:space="preserve">Descripción </t>
  </si>
  <si>
    <t xml:space="preserve">Cantidad </t>
  </si>
  <si>
    <t xml:space="preserve">Proveedor/Fuente </t>
  </si>
  <si>
    <t>TOTAL</t>
  </si>
  <si>
    <t>MAQUINARIA Y EQUIPOS</t>
  </si>
  <si>
    <t>COSTOS DE ADECUACION DE INSTALACIONES</t>
  </si>
  <si>
    <t>Equipos ( escritorios, útiles de oficina, impresora,sillas)</t>
  </si>
  <si>
    <t>Diligencias administrativas (creación empresa en cámara de comercio, asesoría legal, actas de constitución, entre otros)</t>
  </si>
  <si>
    <t>Señalización, instalaciones electricas y mano de obra</t>
  </si>
  <si>
    <t>Acto de inauguración y promoción inicial</t>
  </si>
  <si>
    <t>Negociación arrendamiento de las instalaciones (3 meses)</t>
  </si>
  <si>
    <t>Precio en EUROS</t>
  </si>
  <si>
    <t>Enlace a referencia</t>
  </si>
  <si>
    <t>https://es.made-in-china.com/co_maoshengmachinery/product_Cimbria-Grain-Fine-Seed-Cleaning-Machine_egggsgeoy.html</t>
  </si>
  <si>
    <t>Conversión utilizada</t>
  </si>
  <si>
    <t>capacidad</t>
  </si>
  <si>
    <t>Máquina de limpieza de semillas finas Cimbria Grain</t>
  </si>
  <si>
    <t>MADE.IN.CHINA.COM</t>
  </si>
  <si>
    <t>https://es.made-in-china.com/co_diyeenergy/product_Flat-Bed-Maize-COB-Coal-Diesel-Dryer-Grain-Processing-Machinery-5-Tons-Capacity-Rice-Corn-Wheat-Cereal-Drying-Equipment-Soybean-Coffee-Bean-Grain-Dryer_ysneushyry.html?pv_id=1jlhq20mtf1a&amp;faw_id=1jlhq2gst69a&amp;bv_id=1jlhq2gt2875&amp;pbv_id=1jlhq1vjqb05</t>
  </si>
  <si>
    <t>Secador de Granos de Arroz, Maíz, Trigo Soja, cereales en Cama Plana</t>
  </si>
  <si>
    <t>Sensor inalámbrico de temperatura y humedad Lora para monitoreo de almacenamiento de granos</t>
  </si>
  <si>
    <t>https://es.made-in-china.com/co_wisensor/product_Wireless-Lora-Temperature-and-Humidity-Sensor-for-Grain-Storage-Monitoring_yygrgesuhg.html?pv_id=1jlhql3he8a2&amp;faw_id=1jlhqlafq9fd&amp;bv_id=1jlhqlafu3e4&amp;pbv_id=1jlhql1rncdf</t>
  </si>
  <si>
    <t>NA</t>
  </si>
  <si>
    <t>Silo de acero de alta calidad recubierto de zinc para almacenamiento de grano Serie GM-H.</t>
  </si>
  <si>
    <t>https://es.made-in-china.com/co_gamma-agri/product_High-Quality-Corn-Steel-Silo-Zinc-Coated-Grain-Storage-Tank-Large-Capacity-Corrugated-Steel-Silo-for-Farm-Factory_yuoyhyhnog.html?ads_tp=ppc&amp;ads_id=DnRJhHzOvmkc&amp;pv_id=1jlhqqptc942&amp;faw_id=1jlhqrbhh5f&amp;bv_id=1jlhqrbhl78d&amp;pbv_id=1jlhqqokc772</t>
  </si>
  <si>
    <t>50 ton</t>
  </si>
  <si>
    <t>Máquina de envasado de granos directos de fábrica 10kg 15kg</t>
  </si>
  <si>
    <t>https://es.made-in-china.com/co_jxcdzdh/product_Factory-Direct-10kg-15kg-20kg-25kg-50kg-Grains-Corn-Beans-Feed-Seed-Pellet-Granular-Packing-Machine-Bagging-Scale-with-Sealer_yungooiuny.html?pv_id=1jlhrnnfl10d&amp;faw_id=1jlhro7jb7d3&amp;bv_id=1jlhro7jg1dd&amp;pbv_id=1jlhrnlj8f04</t>
  </si>
  <si>
    <t>600 bolsas/hora</t>
  </si>
  <si>
    <t>Equipos de cómputo para administración y control operativo.  </t>
  </si>
  <si>
    <t>ÉXITO</t>
  </si>
  <si>
    <t>https://www.exito.com/computador-tiny-thinkcentre-intel-core-i5-13420h-ssd-512gb-ram-16gb-led-24-fhd-104222397-mp/p</t>
  </si>
  <si>
    <t>Planta Eléctrica Cabinada 7 Kw Bifásica Diesel 3600 RPM</t>
  </si>
  <si>
    <t>HOMECENTER</t>
  </si>
  <si>
    <t>https://www.homecenter.com.co/homecenter-co/product/736501/planta-electrica-cabinada-7-kw-bifasica-diesel-3600-rpm-tablero-digital-autonomia-4-h/736501/</t>
  </si>
  <si>
    <t>7 KW</t>
  </si>
  <si>
    <t>Microscopio Metalúrgico de vídeo digital</t>
  </si>
  <si>
    <t>https://es.made-in-china.com/co_sgoptical/product_Kwongkuk-Digital-Video-Metallurgical-Microscope-with-Measurement-Camera-for-Material-Analysis_yununoniyg.html?pv_id=1jlhsotu17fa&amp;faw_id=1jlhsp6i0215&amp;bv_id=1jlhsp6i36cf&amp;pbv_id=1jlhsos94f7</t>
  </si>
  <si>
    <t>Báscula de plataforma electrónica de alta precisión</t>
  </si>
  <si>
    <t>https://es.made-in-china.com/co_webo85506673/product_Ultra-Low-Profile-Electronic-High-Precision-Platform-Scale-Stainless-Steel-Weighing-Scale_ysnoiriyhg.html?pv_id=1jlhssv7kc0e&amp;faw_id=1jlhst2to2a7&amp;bv_id=1jlhst2tta64&amp;pbv_id=1jlhsst8b94f</t>
  </si>
  <si>
    <t>1,5 ton</t>
  </si>
  <si>
    <t>Etiquetadora automática de superficie plana para bolsas de alimentos</t>
  </si>
  <si>
    <t>50000 piezas/año</t>
  </si>
  <si>
    <t>https://es.made-in-china.com/co_labelingpros/product_Auto-Flat-Surface-Labeler-for-Cosmetic-Boxes-and-Food-Pouches_yyguigrorg.html?pv_id=1jlht0u1le00&amp;faw_id=1jlht1nuf450&amp;bv_id=1jlht1nukb3e&amp;pbv_id=1jlht0s0bb5</t>
  </si>
  <si>
    <t>Carretilla elevadora diésel de fábrica última 4ton K5ton</t>
  </si>
  <si>
    <t>https://es.made-in-china.com/co_yeaweyforklift/product_Factory-Latest-4ton-K5ton-Diesel-Forklift-Truck-with-Japan-Engine-CE-with-Best-Price_ysreoiuory.html?pv_id=1jlhtb05n35c&amp;faw_id=1jlhtb24s30f&amp;bv_id=1jlhtbt0b1d3&amp;pbv_id=1jlhtav1r94a</t>
  </si>
  <si>
    <t>5 ton</t>
  </si>
  <si>
    <t>COSTO TOTAL INVERSIÓN INICIAL</t>
  </si>
  <si>
    <t>ANUAL</t>
  </si>
  <si>
    <t>MENSUAL</t>
  </si>
  <si>
    <t>ASEGURAMIENTO DE LA NÓMINA (2 MESES)</t>
  </si>
  <si>
    <t>Material</t>
  </si>
  <si>
    <t>Und/Kg</t>
  </si>
  <si>
    <t>Costo (Pesos)</t>
  </si>
  <si>
    <t>Otros gastos administrativos</t>
  </si>
  <si>
    <t>Activos Fijos</t>
  </si>
  <si>
    <t>Costo</t>
  </si>
  <si>
    <t>Tiempo Depreciación</t>
  </si>
  <si>
    <t>5 años</t>
  </si>
  <si>
    <t>10 años</t>
  </si>
  <si>
    <t>VENTAS=P*Q</t>
  </si>
  <si>
    <t xml:space="preserve">  MATERIA PRIMA</t>
  </si>
  <si>
    <t xml:space="preserve">  MANO DE OBRA DIRECTA</t>
  </si>
  <si>
    <t xml:space="preserve">  CIF </t>
  </si>
  <si>
    <t>MARGEN CONTRIBUCION</t>
  </si>
  <si>
    <t>COSTOS FIJOS</t>
  </si>
  <si>
    <t xml:space="preserve">  GASTOS DE ADMINISTRACION</t>
  </si>
  <si>
    <t xml:space="preserve">  GASTOS DE VENTAS</t>
  </si>
  <si>
    <t xml:space="preserve">  UTILIDAD OPERACIONAL</t>
  </si>
  <si>
    <t>DEPRECIACIONES</t>
  </si>
  <si>
    <t>DIFERIDOS</t>
  </si>
  <si>
    <t>UTILIDAD OPERATIVA</t>
  </si>
  <si>
    <t>GASTOS FINANCIEROS</t>
  </si>
  <si>
    <t>UTILIDAD ANTES DE IMPUESTOS</t>
  </si>
  <si>
    <t>IMPUESTOS</t>
  </si>
  <si>
    <t>UTILIDAD NETA</t>
  </si>
  <si>
    <t>Menos variacion de KTNO</t>
  </si>
  <si>
    <t>Menos amortización CREDITO</t>
  </si>
  <si>
    <t>BALANCE GENERAL</t>
  </si>
  <si>
    <t>CAJA</t>
  </si>
  <si>
    <t>CUENTAS POR COBRAR</t>
  </si>
  <si>
    <t>INVENTARIOS</t>
  </si>
  <si>
    <t>ACTIVOS CORRIENTES</t>
  </si>
  <si>
    <t>ACTIVOS FIJOS</t>
  </si>
  <si>
    <t>ACTIVOS BRUTOS</t>
  </si>
  <si>
    <t>DEPRECIACION ACUMULADA</t>
  </si>
  <si>
    <t>ACTIVOS NETOS</t>
  </si>
  <si>
    <t>DIFERIDOS NETOS</t>
  </si>
  <si>
    <t>TOTAL ACTIVOS</t>
  </si>
  <si>
    <t>PASIVOS</t>
  </si>
  <si>
    <t xml:space="preserve">PROVEEDORES </t>
  </si>
  <si>
    <t>DEUDAS A LARGO PLAZO</t>
  </si>
  <si>
    <t>TOTAL PASIVOS</t>
  </si>
  <si>
    <t>PATRIMONIO</t>
  </si>
  <si>
    <t>CAPITAL SOCIAL</t>
  </si>
  <si>
    <t>UTILIDADES RETENIDAS</t>
  </si>
  <si>
    <t>TOTAL PATRIMONIO</t>
  </si>
  <si>
    <t>TOTAL PASIVO MAS PATRIMONIO</t>
  </si>
  <si>
    <t>EA</t>
  </si>
  <si>
    <t>TASA DEL ACCIONISTA</t>
  </si>
  <si>
    <t>WACC</t>
  </si>
  <si>
    <t>VP FCL=</t>
  </si>
  <si>
    <t>VPN</t>
  </si>
  <si>
    <t>ACTIVO BRUTO</t>
  </si>
  <si>
    <t>ACTIVO NETO</t>
  </si>
  <si>
    <t>9 AÑO</t>
  </si>
  <si>
    <t>Días de procesamiento/año</t>
  </si>
  <si>
    <t>Arriendo mensual (FIJO)</t>
  </si>
  <si>
    <t>Sensor inalámbrico de temperatura</t>
  </si>
  <si>
    <t>Silo de acero de alta calidad recubierto de zinc  Serie GM-H.</t>
  </si>
  <si>
    <t>Precio comercial</t>
  </si>
  <si>
    <t>Fuente de consulta</t>
  </si>
  <si>
    <t>Cantidad de toneladas a procesar (Q)</t>
  </si>
  <si>
    <t>costo CIF / Tonelada</t>
  </si>
  <si>
    <t>costo MOD / Tonelada</t>
  </si>
  <si>
    <t>COSTO DE PROCESAMIENTO POR TONELADA DE GRANO</t>
  </si>
  <si>
    <t>MOD</t>
  </si>
  <si>
    <t>CIF</t>
  </si>
  <si>
    <t>Otros</t>
  </si>
  <si>
    <t>Mantenimiento</t>
  </si>
  <si>
    <t>Estibas</t>
  </si>
  <si>
    <t>Energía eléctrica</t>
  </si>
  <si>
    <t>Precio unitario</t>
  </si>
  <si>
    <t xml:space="preserve">Servicio Públicos </t>
  </si>
  <si>
    <t xml:space="preserve">Valor Mensual </t>
  </si>
  <si>
    <t>Valor Anual</t>
  </si>
  <si>
    <t xml:space="preserve">Agua </t>
  </si>
  <si>
    <t>Telefonia e internet</t>
  </si>
  <si>
    <t xml:space="preserve">TOTAL </t>
  </si>
  <si>
    <t>Electricidad (aporte mensual fijo)</t>
  </si>
  <si>
    <t>LIQUIDEZ CAJA MENOR INICIAL</t>
  </si>
  <si>
    <t>FLUJO DE CAJA LIBRE</t>
  </si>
  <si>
    <t>DEPRECIACION PERIODO</t>
  </si>
  <si>
    <t>i Deuda</t>
  </si>
  <si>
    <t>Cantidad bolsas y mp etiquetado (tintas)</t>
  </si>
  <si>
    <t>Precio por tonelada procesada (P)</t>
  </si>
  <si>
    <t>Flujo de caja de los inversionistas</t>
  </si>
  <si>
    <t>Inflación</t>
  </si>
  <si>
    <t>GASTOS DE ADMINISTRACION</t>
  </si>
  <si>
    <t>GASTOS DE VENTAS</t>
  </si>
  <si>
    <t xml:space="preserve">CIF </t>
  </si>
  <si>
    <t>MANO DE OBRA DIRECTA</t>
  </si>
  <si>
    <t>MATERIA PRIMA</t>
  </si>
  <si>
    <t>VENTAS</t>
  </si>
  <si>
    <t>CAPITAL</t>
  </si>
  <si>
    <t>DEUDA</t>
  </si>
  <si>
    <t>INICIO</t>
  </si>
  <si>
    <t>Menos variacion de activos fijos</t>
  </si>
  <si>
    <t>TIR</t>
  </si>
  <si>
    <t xml:space="preserve">Inversión inicial </t>
  </si>
  <si>
    <t>FCL 1</t>
  </si>
  <si>
    <t>FCL 2</t>
  </si>
  <si>
    <t>FCL 3</t>
  </si>
  <si>
    <t>FCL 4</t>
  </si>
  <si>
    <t>FCL 5</t>
  </si>
  <si>
    <t>VP FCL</t>
  </si>
  <si>
    <t>Inversión Inicial</t>
  </si>
  <si>
    <t>ESCENARIO</t>
  </si>
  <si>
    <t>Pesimista</t>
  </si>
  <si>
    <t>Real</t>
  </si>
  <si>
    <t>Optimista</t>
  </si>
  <si>
    <t>PRECIO VENTA (1er año)</t>
  </si>
  <si>
    <t>VP FCL 1 AÑO</t>
  </si>
  <si>
    <t>VP FCL 2 AÑO</t>
  </si>
  <si>
    <t>VP FCL 3 AÑO</t>
  </si>
  <si>
    <t>VP FCL 4 AÑO</t>
  </si>
  <si>
    <t>VP FCL 5 AÑO</t>
  </si>
  <si>
    <t>Escenario más probable</t>
  </si>
  <si>
    <t>DEPRECIACIONES POR ACTIVO</t>
  </si>
  <si>
    <t>COSTOS  Y GASTOS</t>
  </si>
  <si>
    <t>COSTOS  Y GASTOS (RESUMEN)</t>
  </si>
  <si>
    <t>TIPO COSTO</t>
  </si>
  <si>
    <t>https://www.bancoagrario.gov.co/system/files/2026-04/alcance_2_tasas_colocaciones_del_06_al_12abr_2026_0.pdf</t>
  </si>
  <si>
    <t>Cantidad toneladas procesadas anualmente</t>
  </si>
  <si>
    <t>PARAMETROS DEL ENTORNO ECONÓMICO</t>
  </si>
  <si>
    <t>Crecimiento proyectado</t>
  </si>
  <si>
    <t>Capacidad Requerida calculada</t>
  </si>
  <si>
    <t>ESTADO DE RESULTADOS PROYECTADO</t>
  </si>
  <si>
    <t>Año 1</t>
  </si>
  <si>
    <t>Año 2</t>
  </si>
  <si>
    <t>Año 3</t>
  </si>
  <si>
    <t>Año 4</t>
  </si>
  <si>
    <t>Año 5</t>
  </si>
  <si>
    <t>VENTAS = (P*Q)</t>
  </si>
  <si>
    <t>COSTOS VARIABLES</t>
  </si>
  <si>
    <t>Total de Ingresos Operacionales</t>
  </si>
  <si>
    <t>Costo procesamiento por tonelada</t>
  </si>
  <si>
    <t>DETALLE</t>
  </si>
  <si>
    <t>FLUJO DE CAJA LIBRE BRUTO</t>
  </si>
  <si>
    <t>Flujo de caja libre Neto</t>
  </si>
  <si>
    <t>Flujo de caja libre bruto</t>
  </si>
  <si>
    <t>ESCENARIO MAS PROBABLE</t>
  </si>
  <si>
    <t>PORCENTAJE DE APALANCAMIENTO Y VPN DEL PROYECTO</t>
  </si>
  <si>
    <t>Escenario Optimista</t>
  </si>
  <si>
    <t xml:space="preserve">Precio por tonelada se mantiene estable para el primer año </t>
  </si>
  <si>
    <t>ESCENARIO OPTIMISTA</t>
  </si>
  <si>
    <t xml:space="preserve">Precio por tonelada aumenta para el primer año en un 5% </t>
  </si>
  <si>
    <t>ESCENARIO PESIMISTA</t>
  </si>
  <si>
    <t>Escenario Pesimista</t>
  </si>
  <si>
    <t xml:space="preserve">Precio por tonelada disminuye para el primer año en un 5% </t>
  </si>
  <si>
    <t>Maiz</t>
  </si>
  <si>
    <t>Sorgo</t>
  </si>
  <si>
    <t>Fríjol</t>
  </si>
  <si>
    <t>Arroz</t>
  </si>
  <si>
    <t>Yariguíes</t>
  </si>
  <si>
    <t>Vélez</t>
  </si>
  <si>
    <t>Metropolitana</t>
  </si>
  <si>
    <t>Soto Norte</t>
  </si>
  <si>
    <t>García Rovira</t>
  </si>
  <si>
    <t>Guanentá</t>
  </si>
  <si>
    <t>Comunera</t>
  </si>
  <si>
    <t>PROVINCIA</t>
  </si>
  <si>
    <t>Factor Localización y accesibilidad logística</t>
  </si>
  <si>
    <t>Factor adopción del servicio (4% PIDARET)</t>
  </si>
  <si>
    <t>PRODUCCIÓN ANUAL SANTANDER (LIMITE INFERIOR DE REFERENCIA ENA (DANE, 2023))</t>
  </si>
  <si>
    <t>Producción aproximada por provincia (granos conjunto)</t>
  </si>
  <si>
    <t>DEMANDA ANUAL ESTIMADA</t>
  </si>
  <si>
    <t>DEMANDA DIARIA ESTIMADA (312 DÍAS)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</si>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</sst>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-&quot;$&quot;\ * #,##0.00_-;\-&quot;$&quot;\ * #,##0.00_-;_-&quot;$&quot;\ * &quot;-&quot;??_-;_-@"/>
    <numFmt numFmtId="166" formatCode="_-&quot;$&quot;\ * #,##0_-;\-&quot;$&quot;\ * #,##0_-;_-&quot;$&quot;\ * &quot;-&quot;??_-;_-@"/>
    <numFmt numFmtId="167" formatCode="0.0%"/>
    <numFmt numFmtId="168" formatCode="0\ &quot;AÑO&quot;"/>
    <numFmt numFmtId="169" formatCode="&quot;$&quot;#,##0.00;[Red]\-&quot;$&quot;#,##0.00"/>
    <numFmt numFmtId="170" formatCode="_-&quot;$&quot;* #,##0.00_-;\-&quot;$&quot;* #,##0.00_-;_-&quot;$&quot;* &quot;-&quot;??_-;_-@"/>
    <numFmt numFmtId="171" formatCode="_(&quot;$&quot;\ * #,##0_);_(&quot;$&quot;\ * \(#,##0\);_(&quot;$&quot;\ * &quot;-&quot;??_);_(@_)"/>
    <numFmt numFmtId="172" formatCode="0\ \C\O\P"/>
    <numFmt numFmtId="173" formatCode="0\ &quot;Euro&quot;"/>
    <numFmt numFmtId="174" formatCode="0\ &quot;ton/hora&quot;"/>
    <numFmt numFmtId="175" formatCode="&quot;$&quot;#,##0;[Red]\-&quot;$&quot;#,##0"/>
    <numFmt numFmtId="176" formatCode="&quot;$&quot;\ #,##0.00"/>
    <numFmt numFmtId="177" formatCode="0\ &quot;sets(5 Ton)/día&quot;"/>
    <numFmt numFmtId="178" formatCode="0\ &quot;ton/día&quot;"/>
    <numFmt numFmtId="179" formatCode="0.0\ &quot;estiba/ton&quot;"/>
    <numFmt numFmtId="180" formatCode="0\ &quot;KWh&quot;"/>
    <numFmt numFmtId="181" formatCode="0\ &quot;días/año&quot;"/>
    <numFmt numFmtId="182" formatCode="0\ &quot;ton/año&quot;"/>
    <numFmt numFmtId="183" formatCode="_(&quot;$&quot;\ * #,##0.0_);_(&quot;$&quot;\ * \(#,##0.0\);_(&quot;$&quot;\ * &quot;-&quot;??_);_(@_)"/>
    <numFmt numFmtId="184" formatCode="_-[$€-2]\ * #,##0.00_-;\-[$€-2]\ * #,##0.00_-;_-[$€-2]\ * &quot;-&quot;??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4"/>
      <name val="Calibri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2F5496"/>
      <name val="Calibri"/>
      <family val="2"/>
    </font>
    <font>
      <sz val="11"/>
      <name val="Calibri"/>
    </font>
    <font>
      <sz val="11"/>
      <color rgb="FF333333"/>
      <name val="Arimo"/>
    </font>
    <font>
      <b/>
      <sz val="1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BE4D5"/>
        <bgColor rgb="FFFBE4D5"/>
      </patternFill>
    </fill>
    <fill>
      <patternFill patternType="solid">
        <fgColor rgb="FF12FA06"/>
        <bgColor rgb="FF12FA06"/>
      </patternFill>
    </fill>
    <fill>
      <patternFill patternType="solid">
        <fgColor theme="5" tint="0.39997558519241921"/>
        <bgColor rgb="FF12FA06"/>
      </patternFill>
    </fill>
    <fill>
      <patternFill patternType="solid">
        <fgColor rgb="FFFFFFFF"/>
        <bgColor rgb="FFFFFFFF"/>
      </patternFill>
    </fill>
    <fill>
      <patternFill patternType="solid">
        <fgColor rgb="FF44FB3B"/>
        <bgColor rgb="FF44FB3B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rgb="FF12FA0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rgb="FFFF66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4" xfId="0" applyFont="1" applyBorder="1"/>
    <xf numFmtId="165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166" fontId="2" fillId="0" borderId="4" xfId="0" applyNumberFormat="1" applyFont="1" applyBorder="1"/>
    <xf numFmtId="166" fontId="2" fillId="0" borderId="4" xfId="1" applyNumberFormat="1" applyFont="1" applyBorder="1"/>
    <xf numFmtId="166" fontId="0" fillId="0" borderId="0" xfId="0" applyNumberFormat="1"/>
    <xf numFmtId="166" fontId="2" fillId="0" borderId="0" xfId="0" applyNumberFormat="1" applyFont="1"/>
    <xf numFmtId="165" fontId="0" fillId="0" borderId="0" xfId="0" applyNumberFormat="1"/>
    <xf numFmtId="165" fontId="2" fillId="0" borderId="0" xfId="0" applyNumberFormat="1" applyFont="1"/>
    <xf numFmtId="167" fontId="2" fillId="0" borderId="4" xfId="2" applyNumberFormat="1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5" fontId="5" fillId="0" borderId="4" xfId="0" applyNumberFormat="1" applyFont="1" applyBorder="1"/>
    <xf numFmtId="170" fontId="5" fillId="0" borderId="4" xfId="0" applyNumberFormat="1" applyFont="1" applyBorder="1"/>
    <xf numFmtId="0" fontId="5" fillId="0" borderId="0" xfId="0" applyFont="1"/>
    <xf numFmtId="166" fontId="5" fillId="0" borderId="0" xfId="0" applyNumberFormat="1" applyFont="1"/>
    <xf numFmtId="0" fontId="0" fillId="0" borderId="5" xfId="0" applyBorder="1"/>
    <xf numFmtId="171" fontId="0" fillId="0" borderId="5" xfId="1" applyNumberFormat="1" applyFont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4" fillId="0" borderId="5" xfId="0" applyFont="1" applyBorder="1"/>
    <xf numFmtId="171" fontId="4" fillId="0" borderId="5" xfId="1" applyNumberFormat="1" applyFont="1" applyBorder="1"/>
    <xf numFmtId="172" fontId="0" fillId="0" borderId="5" xfId="0" applyNumberFormat="1" applyBorder="1"/>
    <xf numFmtId="0" fontId="1" fillId="0" borderId="0" xfId="0" applyFont="1"/>
    <xf numFmtId="173" fontId="1" fillId="0" borderId="5" xfId="0" applyNumberFormat="1" applyFont="1" applyBorder="1"/>
    <xf numFmtId="165" fontId="5" fillId="0" borderId="1" xfId="0" applyNumberFormat="1" applyFont="1" applyBorder="1"/>
    <xf numFmtId="0" fontId="2" fillId="0" borderId="5" xfId="0" applyFont="1" applyBorder="1"/>
    <xf numFmtId="165" fontId="2" fillId="0" borderId="1" xfId="0" applyNumberFormat="1" applyFont="1" applyBorder="1"/>
    <xf numFmtId="174" fontId="0" fillId="0" borderId="5" xfId="0" applyNumberFormat="1" applyBorder="1"/>
    <xf numFmtId="44" fontId="0" fillId="0" borderId="0" xfId="0" applyNumberFormat="1"/>
    <xf numFmtId="44" fontId="4" fillId="0" borderId="5" xfId="0" applyNumberFormat="1" applyFont="1" applyBorder="1"/>
    <xf numFmtId="0" fontId="5" fillId="5" borderId="4" xfId="0" applyFont="1" applyFill="1" applyBorder="1"/>
    <xf numFmtId="170" fontId="5" fillId="5" borderId="4" xfId="0" applyNumberFormat="1" applyFont="1" applyFill="1" applyBorder="1"/>
    <xf numFmtId="0" fontId="8" fillId="0" borderId="4" xfId="0" applyFont="1" applyBorder="1" applyAlignment="1">
      <alignment horizontal="center"/>
    </xf>
    <xf numFmtId="168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8" fontId="7" fillId="0" borderId="4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3" xfId="0" applyFont="1" applyBorder="1"/>
    <xf numFmtId="0" fontId="7" fillId="5" borderId="3" xfId="0" applyFont="1" applyFill="1" applyBorder="1"/>
    <xf numFmtId="169" fontId="5" fillId="3" borderId="5" xfId="0" applyNumberFormat="1" applyFont="1" applyFill="1" applyBorder="1"/>
    <xf numFmtId="8" fontId="0" fillId="0" borderId="5" xfId="0" applyNumberFormat="1" applyBorder="1"/>
    <xf numFmtId="164" fontId="4" fillId="0" borderId="5" xfId="1" applyFont="1" applyBorder="1"/>
    <xf numFmtId="0" fontId="7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/>
    <xf numFmtId="0" fontId="2" fillId="0" borderId="0" xfId="0" applyFont="1"/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/>
    </xf>
    <xf numFmtId="8" fontId="15" fillId="0" borderId="4" xfId="0" applyNumberFormat="1" applyFont="1" applyBorder="1" applyAlignment="1">
      <alignment horizontal="left" vertical="center"/>
    </xf>
    <xf numFmtId="170" fontId="2" fillId="0" borderId="0" xfId="0" applyNumberFormat="1" applyFont="1"/>
    <xf numFmtId="170" fontId="2" fillId="7" borderId="0" xfId="0" applyNumberFormat="1" applyFont="1" applyFill="1"/>
    <xf numFmtId="168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8" fontId="2" fillId="0" borderId="0" xfId="0" applyNumberFormat="1" applyFont="1"/>
    <xf numFmtId="0" fontId="2" fillId="7" borderId="0" xfId="0" applyFont="1" applyFill="1"/>
    <xf numFmtId="0" fontId="9" fillId="0" borderId="0" xfId="0" applyFont="1"/>
    <xf numFmtId="175" fontId="2" fillId="0" borderId="0" xfId="0" applyNumberFormat="1" applyFont="1"/>
    <xf numFmtId="0" fontId="2" fillId="0" borderId="15" xfId="0" applyFont="1" applyBorder="1"/>
    <xf numFmtId="170" fontId="2" fillId="0" borderId="15" xfId="0" applyNumberFormat="1" applyFont="1" applyBorder="1"/>
    <xf numFmtId="0" fontId="2" fillId="4" borderId="0" xfId="0" applyFont="1" applyFill="1"/>
    <xf numFmtId="177" fontId="0" fillId="0" borderId="5" xfId="0" applyNumberFormat="1" applyBorder="1"/>
    <xf numFmtId="0" fontId="1" fillId="0" borderId="16" xfId="0" applyFont="1" applyBorder="1"/>
    <xf numFmtId="0" fontId="2" fillId="0" borderId="14" xfId="0" applyFont="1" applyBorder="1"/>
    <xf numFmtId="0" fontId="5" fillId="0" borderId="14" xfId="0" applyFont="1" applyBorder="1"/>
    <xf numFmtId="0" fontId="2" fillId="0" borderId="17" xfId="0" applyFont="1" applyBorder="1"/>
    <xf numFmtId="0" fontId="0" fillId="0" borderId="16" xfId="0" applyBorder="1"/>
    <xf numFmtId="10" fontId="2" fillId="0" borderId="5" xfId="0" applyNumberFormat="1" applyFont="1" applyBorder="1"/>
    <xf numFmtId="0" fontId="10" fillId="0" borderId="13" xfId="0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64" fontId="11" fillId="0" borderId="5" xfId="1" applyFont="1" applyBorder="1" applyAlignment="1">
      <alignment horizontal="right" vertical="center"/>
    </xf>
    <xf numFmtId="180" fontId="11" fillId="0" borderId="5" xfId="0" applyNumberFormat="1" applyFont="1" applyBorder="1" applyAlignment="1">
      <alignment horizontal="center" vertical="center"/>
    </xf>
    <xf numFmtId="164" fontId="0" fillId="0" borderId="5" xfId="1" applyFont="1" applyBorder="1"/>
    <xf numFmtId="0" fontId="0" fillId="0" borderId="5" xfId="2" applyNumberFormat="1" applyFont="1" applyBorder="1" applyAlignment="1">
      <alignment horizontal="center"/>
    </xf>
    <xf numFmtId="164" fontId="10" fillId="0" borderId="8" xfId="1" applyFont="1" applyBorder="1" applyAlignment="1">
      <alignment horizontal="center" vertical="center"/>
    </xf>
    <xf numFmtId="8" fontId="14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79" fontId="11" fillId="0" borderId="5" xfId="0" applyNumberFormat="1" applyFont="1" applyBorder="1" applyAlignment="1">
      <alignment horizontal="center" vertical="center"/>
    </xf>
    <xf numFmtId="164" fontId="11" fillId="0" borderId="5" xfId="1" applyFont="1" applyFill="1" applyBorder="1" applyAlignment="1">
      <alignment horizontal="right" vertical="center"/>
    </xf>
    <xf numFmtId="0" fontId="7" fillId="10" borderId="4" xfId="0" applyFont="1" applyFill="1" applyBorder="1"/>
    <xf numFmtId="0" fontId="2" fillId="13" borderId="4" xfId="0" applyFont="1" applyFill="1" applyBorder="1"/>
    <xf numFmtId="0" fontId="2" fillId="14" borderId="0" xfId="0" applyFont="1" applyFill="1"/>
    <xf numFmtId="0" fontId="4" fillId="0" borderId="0" xfId="0" applyFont="1"/>
    <xf numFmtId="168" fontId="2" fillId="0" borderId="4" xfId="0" applyNumberFormat="1" applyFont="1" applyBorder="1" applyAlignment="1">
      <alignment horizontal="center"/>
    </xf>
    <xf numFmtId="166" fontId="2" fillId="0" borderId="3" xfId="0" applyNumberFormat="1" applyFont="1" applyBorder="1"/>
    <xf numFmtId="0" fontId="2" fillId="0" borderId="5" xfId="0" applyFont="1" applyBorder="1" applyAlignment="1">
      <alignment horizontal="left"/>
    </xf>
    <xf numFmtId="168" fontId="2" fillId="0" borderId="13" xfId="0" applyNumberFormat="1" applyFont="1" applyBorder="1" applyAlignment="1">
      <alignment horizontal="center"/>
    </xf>
    <xf numFmtId="170" fontId="2" fillId="0" borderId="5" xfId="0" applyNumberFormat="1" applyFont="1" applyBorder="1"/>
    <xf numFmtId="183" fontId="0" fillId="0" borderId="0" xfId="1" applyNumberFormat="1" applyFont="1"/>
    <xf numFmtId="0" fontId="0" fillId="0" borderId="18" xfId="0" applyBorder="1"/>
    <xf numFmtId="168" fontId="2" fillId="0" borderId="18" xfId="0" applyNumberFormat="1" applyFont="1" applyBorder="1" applyAlignment="1">
      <alignment horizontal="center"/>
    </xf>
    <xf numFmtId="183" fontId="0" fillId="0" borderId="18" xfId="1" applyNumberFormat="1" applyFont="1" applyBorder="1"/>
    <xf numFmtId="0" fontId="0" fillId="0" borderId="19" xfId="0" applyBorder="1"/>
    <xf numFmtId="183" fontId="0" fillId="0" borderId="19" xfId="1" applyNumberFormat="1" applyFont="1" applyBorder="1"/>
    <xf numFmtId="183" fontId="0" fillId="9" borderId="0" xfId="1" applyNumberFormat="1" applyFont="1" applyFill="1"/>
    <xf numFmtId="0" fontId="2" fillId="0" borderId="3" xfId="0" applyFont="1" applyBorder="1"/>
    <xf numFmtId="165" fontId="2" fillId="0" borderId="5" xfId="0" applyNumberFormat="1" applyFont="1" applyBorder="1"/>
    <xf numFmtId="10" fontId="2" fillId="0" borderId="5" xfId="2" applyNumberFormat="1" applyFont="1" applyBorder="1"/>
    <xf numFmtId="0" fontId="0" fillId="0" borderId="6" xfId="0" applyBorder="1"/>
    <xf numFmtId="168" fontId="2" fillId="0" borderId="5" xfId="0" applyNumberFormat="1" applyFont="1" applyBorder="1" applyAlignment="1">
      <alignment horizontal="center"/>
    </xf>
    <xf numFmtId="171" fontId="0" fillId="0" borderId="5" xfId="0" applyNumberFormat="1" applyBorder="1"/>
    <xf numFmtId="167" fontId="0" fillId="0" borderId="5" xfId="2" applyNumberFormat="1" applyFont="1" applyBorder="1"/>
    <xf numFmtId="0" fontId="15" fillId="6" borderId="0" xfId="0" applyFont="1" applyFill="1" applyAlignment="1">
      <alignment horizontal="center" vertical="center"/>
    </xf>
    <xf numFmtId="8" fontId="15" fillId="0" borderId="0" xfId="0" applyNumberFormat="1" applyFont="1" applyAlignment="1">
      <alignment horizontal="left" vertical="center"/>
    </xf>
    <xf numFmtId="0" fontId="7" fillId="10" borderId="0" xfId="0" applyFont="1" applyFill="1"/>
    <xf numFmtId="0" fontId="0" fillId="8" borderId="0" xfId="0" applyFill="1"/>
    <xf numFmtId="0" fontId="7" fillId="12" borderId="1" xfId="0" applyFont="1" applyFill="1" applyBorder="1"/>
    <xf numFmtId="166" fontId="2" fillId="0" borderId="14" xfId="0" applyNumberFormat="1" applyFont="1" applyBorder="1"/>
    <xf numFmtId="0" fontId="2" fillId="0" borderId="3" xfId="0" applyFont="1" applyBorder="1" applyAlignment="1">
      <alignment wrapText="1"/>
    </xf>
    <xf numFmtId="0" fontId="2" fillId="8" borderId="3" xfId="0" applyFont="1" applyFill="1" applyBorder="1"/>
    <xf numFmtId="184" fontId="1" fillId="0" borderId="5" xfId="0" applyNumberFormat="1" applyFont="1" applyBorder="1"/>
    <xf numFmtId="184" fontId="0" fillId="0" borderId="5" xfId="0" applyNumberFormat="1" applyBorder="1"/>
    <xf numFmtId="3" fontId="18" fillId="0" borderId="0" xfId="0" applyNumberFormat="1" applyFont="1"/>
    <xf numFmtId="164" fontId="5" fillId="0" borderId="0" xfId="1" applyFont="1"/>
    <xf numFmtId="164" fontId="0" fillId="0" borderId="0" xfId="1" applyFont="1"/>
    <xf numFmtId="2" fontId="5" fillId="0" borderId="0" xfId="1" applyNumberFormat="1" applyFont="1"/>
    <xf numFmtId="10" fontId="5" fillId="0" borderId="4" xfId="0" applyNumberFormat="1" applyFont="1" applyBorder="1" applyAlignment="1">
      <alignment horizontal="center"/>
    </xf>
    <xf numFmtId="178" fontId="2" fillId="0" borderId="4" xfId="0" applyNumberFormat="1" applyFont="1" applyBorder="1"/>
    <xf numFmtId="181" fontId="2" fillId="0" borderId="4" xfId="0" applyNumberFormat="1" applyFont="1" applyBorder="1"/>
    <xf numFmtId="182" fontId="2" fillId="0" borderId="4" xfId="0" applyNumberFormat="1" applyFont="1" applyBorder="1"/>
    <xf numFmtId="0" fontId="2" fillId="0" borderId="1" xfId="0" applyFont="1" applyBorder="1"/>
    <xf numFmtId="44" fontId="2" fillId="0" borderId="5" xfId="0" applyNumberFormat="1" applyFont="1" applyBorder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9" fontId="2" fillId="3" borderId="0" xfId="0" applyNumberFormat="1" applyFont="1" applyFill="1" applyAlignment="1">
      <alignment horizontal="center"/>
    </xf>
    <xf numFmtId="0" fontId="3" fillId="0" borderId="0" xfId="0" applyFont="1"/>
    <xf numFmtId="170" fontId="16" fillId="0" borderId="0" xfId="0" applyNumberFormat="1" applyFont="1"/>
    <xf numFmtId="166" fontId="7" fillId="0" borderId="0" xfId="0" applyNumberFormat="1" applyFont="1"/>
    <xf numFmtId="170" fontId="7" fillId="0" borderId="0" xfId="0" applyNumberFormat="1" applyFont="1"/>
    <xf numFmtId="170" fontId="19" fillId="0" borderId="0" xfId="0" applyNumberFormat="1" applyFont="1"/>
    <xf numFmtId="0" fontId="7" fillId="0" borderId="0" xfId="0" applyFont="1"/>
    <xf numFmtId="0" fontId="13" fillId="0" borderId="0" xfId="0" applyFont="1"/>
    <xf numFmtId="0" fontId="11" fillId="0" borderId="0" xfId="0" applyFont="1"/>
    <xf numFmtId="0" fontId="20" fillId="0" borderId="0" xfId="0" applyFont="1"/>
    <xf numFmtId="176" fontId="2" fillId="0" borderId="0" xfId="0" applyNumberFormat="1" applyFont="1"/>
    <xf numFmtId="10" fontId="2" fillId="0" borderId="0" xfId="0" applyNumberFormat="1" applyFont="1"/>
    <xf numFmtId="10" fontId="2" fillId="7" borderId="0" xfId="0" applyNumberFormat="1" applyFont="1" applyFill="1"/>
    <xf numFmtId="165" fontId="2" fillId="14" borderId="0" xfId="0" applyNumberFormat="1" applyFont="1" applyFill="1"/>
    <xf numFmtId="165" fontId="2" fillId="15" borderId="0" xfId="0" applyNumberFormat="1" applyFont="1" applyFill="1"/>
    <xf numFmtId="1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0" fontId="0" fillId="0" borderId="0" xfId="0" applyNumberFormat="1"/>
    <xf numFmtId="0" fontId="19" fillId="0" borderId="0" xfId="0" applyFont="1" applyAlignment="1">
      <alignment horizontal="center"/>
    </xf>
    <xf numFmtId="168" fontId="19" fillId="0" borderId="0" xfId="0" applyNumberFormat="1" applyFont="1" applyAlignment="1">
      <alignment horizontal="center"/>
    </xf>
    <xf numFmtId="0" fontId="21" fillId="0" borderId="0" xfId="0" applyFont="1"/>
    <xf numFmtId="0" fontId="19" fillId="0" borderId="0" xfId="0" applyFont="1"/>
    <xf numFmtId="165" fontId="7" fillId="0" borderId="0" xfId="0" applyNumberFormat="1" applyFont="1"/>
    <xf numFmtId="0" fontId="2" fillId="0" borderId="20" xfId="0" applyFont="1" applyBorder="1"/>
    <xf numFmtId="9" fontId="2" fillId="0" borderId="1" xfId="0" applyNumberFormat="1" applyFont="1" applyBorder="1"/>
    <xf numFmtId="0" fontId="2" fillId="11" borderId="5" xfId="0" applyFont="1" applyFill="1" applyBorder="1" applyAlignment="1">
      <alignment horizontal="center"/>
    </xf>
    <xf numFmtId="165" fontId="2" fillId="11" borderId="5" xfId="0" applyNumberFormat="1" applyFont="1" applyFill="1" applyBorder="1"/>
    <xf numFmtId="9" fontId="0" fillId="0" borderId="0" xfId="0" applyNumberFormat="1"/>
    <xf numFmtId="182" fontId="0" fillId="0" borderId="5" xfId="0" applyNumberFormat="1" applyBorder="1"/>
    <xf numFmtId="9" fontId="0" fillId="0" borderId="5" xfId="0" applyNumberFormat="1" applyBorder="1"/>
    <xf numFmtId="182" fontId="4" fillId="0" borderId="5" xfId="0" applyNumberFormat="1" applyFont="1" applyBorder="1" applyAlignment="1">
      <alignment horizontal="center" vertical="center"/>
    </xf>
    <xf numFmtId="178" fontId="0" fillId="0" borderId="5" xfId="0" applyNumberFormat="1" applyBorder="1"/>
    <xf numFmtId="0" fontId="0" fillId="8" borderId="0" xfId="0" applyFill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3" fillId="0" borderId="10" xfId="0" applyFont="1" applyBorder="1"/>
    <xf numFmtId="0" fontId="3" fillId="0" borderId="8" xfId="0" applyFont="1" applyBorder="1"/>
    <xf numFmtId="0" fontId="7" fillId="1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17" fillId="0" borderId="3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0" fillId="0" borderId="0" xfId="0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0" xfId="0" applyFont="1"/>
    <xf numFmtId="0" fontId="13" fillId="0" borderId="0" xfId="0" applyFont="1" applyAlignment="1">
      <alignment horizontal="left"/>
    </xf>
    <xf numFmtId="0" fontId="10" fillId="0" borderId="0" xfId="0" applyFont="1"/>
    <xf numFmtId="0" fontId="4" fillId="16" borderId="0" xfId="0" applyFont="1" applyFill="1" applyAlignment="1">
      <alignment horizontal="center"/>
    </xf>
    <xf numFmtId="0" fontId="0" fillId="0" borderId="5" xfId="0" applyFill="1" applyBorder="1"/>
  </cellXfs>
  <cellStyles count="3">
    <cellStyle name="Moneda" xfId="1" builtinId="4"/>
    <cellStyle name="Normal" xfId="0" builtinId="0"/>
    <cellStyle name="Porcentaje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619124</xdr:colOff>
      <xdr:row>0</xdr:row>
      <xdr:rowOff>0</xdr:rowOff>
    </xdr:from>
    <xdr:to>
      <xdr:col>16</xdr:col>
      <xdr:colOff>372377</xdr:colOff>
      <xdr:row>15</xdr:row>
      <xdr:rowOff>521515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0A3A9D-2398-E7CF-1930-65EB655A0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0449" y="0"/>
          <a:ext cx="5087253" cy="3379015"/>
        </a:xfrm>
        <a:prstGeom prst="rect">
          <a:avLst/>
        </a:prstGeom>
      </xdr:spPr>
    </xdr:pic>
    <xdr:clientData/>
  </xdr:twoCellAnchor>
  <xdr:twoCellAnchor editAs="oneCell">
    <xdr:from>
      <xdr:col>9</xdr:col>
      <xdr:colOff>676275</xdr:colOff>
      <xdr:row>17</xdr:row>
      <xdr:rowOff>79832</xdr:rowOff>
    </xdr:from>
    <xdr:to>
      <xdr:col>17</xdr:col>
      <xdr:colOff>111498</xdr:colOff>
      <xdr:row>36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651" t="16799" r="12288" b="10145"/>
        <a:stretch/>
      </xdr:blipFill>
      <xdr:spPr>
        <a:xfrm>
          <a:off x="11915775" y="3508832"/>
          <a:ext cx="5531223" cy="37206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15358</xdr:rowOff>
    </xdr:from>
    <xdr:to>
      <xdr:col>6</xdr:col>
      <xdr:colOff>458856</xdr:colOff>
      <xdr:row>26</xdr:row>
      <xdr:rowOff>67299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9C3D38-5541-68FC-817F-FB4223BAB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87058"/>
          <a:ext cx="6869181" cy="25855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609601</xdr:colOff>
      <xdr:row>0</xdr:row>
      <xdr:rowOff>171451</xdr:rowOff>
    </xdr:from>
    <xdr:to>
      <xdr:col>5</xdr:col>
      <xdr:colOff>938847</xdr:colOff>
      <xdr:row>8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A23029-91D4-FD33-3BE0-71781A0A7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6" y="171451"/>
          <a:ext cx="2796221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topLeftCell="A86" workbookViewId="0">
      <selection activeCell="A90" sqref="A90"/>
    </sheetView>
  </sheetViews>
  <sheetFormatPr baseColWidth="10" defaultRowHeight="15"/>
  <cols>
    <col min="1" max="1" width="42.85546875" customWidth="1"/>
    <col min="2" max="2" width="17.140625" bestFit="1" customWidth="1"/>
    <col min="3" max="5" width="16.28515625" bestFit="1" customWidth="1"/>
    <col min="6" max="6" width="41.28515625" customWidth="1"/>
    <col min="7" max="7" width="17.140625" bestFit="1" customWidth="1"/>
    <col min="8" max="13" width="15.140625" bestFit="1" customWidth="1"/>
  </cols>
  <sheetData>
    <row r="1" spans="1:14" ht="15.75" customHeight="1">
      <c r="A1" s="168" t="s">
        <v>103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11">
        <v>1</v>
      </c>
    </row>
    <row r="2" spans="1:14">
      <c r="C2" s="60">
        <v>0</v>
      </c>
      <c r="D2" s="59">
        <v>1</v>
      </c>
      <c r="E2" s="59">
        <v>2</v>
      </c>
      <c r="F2" s="59">
        <v>3</v>
      </c>
      <c r="G2" s="59">
        <v>4</v>
      </c>
      <c r="H2" s="59">
        <v>5</v>
      </c>
      <c r="I2" s="59">
        <v>6</v>
      </c>
      <c r="J2" s="59">
        <v>7</v>
      </c>
      <c r="K2" s="59">
        <v>8</v>
      </c>
      <c r="L2" s="60" t="s">
        <v>139</v>
      </c>
      <c r="M2" s="59">
        <v>10</v>
      </c>
    </row>
    <row r="3" spans="1:14">
      <c r="A3" s="28" t="s">
        <v>137</v>
      </c>
      <c r="C3" s="61">
        <f t="shared" ref="C3:M3" si="0">C82+C75+C68+C61+C54+C47+C40+C33+C26+C19+C12</f>
        <v>166591728</v>
      </c>
      <c r="D3" s="61">
        <f t="shared" si="0"/>
        <v>166591728</v>
      </c>
      <c r="E3" s="61">
        <f t="shared" si="0"/>
        <v>166591728</v>
      </c>
      <c r="F3" s="61">
        <f t="shared" si="0"/>
        <v>166591728</v>
      </c>
      <c r="G3" s="61">
        <f t="shared" si="0"/>
        <v>166591728</v>
      </c>
      <c r="H3" s="61">
        <f t="shared" si="0"/>
        <v>166591728</v>
      </c>
      <c r="I3" s="61">
        <f t="shared" si="0"/>
        <v>132179628</v>
      </c>
      <c r="J3" s="61">
        <f t="shared" si="0"/>
        <v>132179628</v>
      </c>
      <c r="K3" s="61">
        <f t="shared" si="0"/>
        <v>132179628</v>
      </c>
      <c r="L3" s="61">
        <f t="shared" si="0"/>
        <v>132179628</v>
      </c>
      <c r="M3" s="61">
        <f t="shared" si="0"/>
        <v>132179628</v>
      </c>
    </row>
    <row r="4" spans="1:14">
      <c r="A4" t="s">
        <v>166</v>
      </c>
      <c r="C4" s="61">
        <f t="shared" ref="C4:M4" si="1">C83+C76+C69+C62+C55+C48+C41+C34+C27+C20+C13</f>
        <v>0</v>
      </c>
      <c r="D4" s="61">
        <f t="shared" si="1"/>
        <v>20100382.800000001</v>
      </c>
      <c r="E4" s="61">
        <f t="shared" si="1"/>
        <v>20100382.800000001</v>
      </c>
      <c r="F4" s="61">
        <f t="shared" si="1"/>
        <v>20100382.800000001</v>
      </c>
      <c r="G4" s="61">
        <f t="shared" si="1"/>
        <v>20100382.800000001</v>
      </c>
      <c r="H4" s="61">
        <f t="shared" si="1"/>
        <v>20100382.800000001</v>
      </c>
      <c r="I4" s="61">
        <f t="shared" si="1"/>
        <v>13217962.800000001</v>
      </c>
      <c r="J4" s="61">
        <f t="shared" si="1"/>
        <v>13217962.800000001</v>
      </c>
      <c r="K4" s="61">
        <f t="shared" si="1"/>
        <v>13217962.800000001</v>
      </c>
      <c r="L4" s="61">
        <f t="shared" si="1"/>
        <v>13217962.800000001</v>
      </c>
      <c r="M4" s="61">
        <f t="shared" si="1"/>
        <v>13217962.800000001</v>
      </c>
    </row>
    <row r="5" spans="1:14">
      <c r="A5" s="62" t="s">
        <v>119</v>
      </c>
      <c r="B5" s="67"/>
      <c r="C5" s="67">
        <f t="shared" ref="C5:M5" si="2">C84+C77+C70+C63+C56+C49+C42+C35+C28+C21+C14</f>
        <v>0</v>
      </c>
      <c r="D5" s="67">
        <f t="shared" si="2"/>
        <v>20100382.800000001</v>
      </c>
      <c r="E5" s="67">
        <f t="shared" si="2"/>
        <v>40200765.600000001</v>
      </c>
      <c r="F5" s="67">
        <f t="shared" si="2"/>
        <v>60301148.400000006</v>
      </c>
      <c r="G5" s="67">
        <f t="shared" si="2"/>
        <v>80401531.200000003</v>
      </c>
      <c r="H5" s="67">
        <f t="shared" si="2"/>
        <v>100501914</v>
      </c>
      <c r="I5" s="67">
        <f t="shared" si="2"/>
        <v>79307776.799999997</v>
      </c>
      <c r="J5" s="67">
        <f t="shared" si="2"/>
        <v>92525739.599999994</v>
      </c>
      <c r="K5" s="67">
        <f t="shared" si="2"/>
        <v>105743702.39999999</v>
      </c>
      <c r="L5" s="67">
        <f t="shared" si="2"/>
        <v>118961665.19999999</v>
      </c>
      <c r="M5" s="67">
        <f t="shared" si="2"/>
        <v>132179628</v>
      </c>
    </row>
    <row r="6" spans="1:14">
      <c r="A6" s="65" t="s">
        <v>138</v>
      </c>
      <c r="C6" s="66">
        <f t="shared" ref="C6:M6" si="3">C3-C5</f>
        <v>166591728</v>
      </c>
      <c r="D6" s="66">
        <f t="shared" si="3"/>
        <v>146491345.19999999</v>
      </c>
      <c r="E6" s="66">
        <f t="shared" si="3"/>
        <v>126390962.40000001</v>
      </c>
      <c r="F6" s="66">
        <f t="shared" si="3"/>
        <v>106290579.59999999</v>
      </c>
      <c r="G6" s="66">
        <f t="shared" si="3"/>
        <v>86190196.799999997</v>
      </c>
      <c r="H6" s="66">
        <f t="shared" si="3"/>
        <v>66089814</v>
      </c>
      <c r="I6" s="66">
        <f t="shared" si="3"/>
        <v>52871851.200000003</v>
      </c>
      <c r="J6" s="66">
        <f t="shared" si="3"/>
        <v>39653888.400000006</v>
      </c>
      <c r="K6" s="66">
        <f t="shared" si="3"/>
        <v>26435925.600000009</v>
      </c>
      <c r="L6" s="66">
        <f t="shared" si="3"/>
        <v>13217962.800000012</v>
      </c>
      <c r="M6" s="66">
        <f t="shared" si="3"/>
        <v>0</v>
      </c>
    </row>
    <row r="7" spans="1:14" ht="15.75">
      <c r="F7" s="109"/>
      <c r="G7" s="110"/>
    </row>
    <row r="8" spans="1:14" ht="17.25" customHeight="1">
      <c r="A8" s="89" t="s">
        <v>202</v>
      </c>
    </row>
    <row r="9" spans="1:14" ht="14.25" customHeight="1">
      <c r="D9" s="9"/>
      <c r="G9" s="63"/>
    </row>
    <row r="10" spans="1:14" ht="14.25" customHeight="1">
      <c r="A10" s="86" t="s">
        <v>63</v>
      </c>
    </row>
    <row r="11" spans="1:14" ht="14.25" customHeight="1">
      <c r="C11" s="60">
        <v>0</v>
      </c>
      <c r="D11" s="59">
        <v>1</v>
      </c>
      <c r="E11" s="59">
        <v>2</v>
      </c>
      <c r="F11" s="59">
        <v>3</v>
      </c>
      <c r="G11" s="59">
        <v>4</v>
      </c>
      <c r="H11" s="59">
        <v>5</v>
      </c>
      <c r="I11" s="59"/>
      <c r="J11" s="59"/>
      <c r="K11" s="59"/>
      <c r="L11" s="60"/>
    </row>
    <row r="12" spans="1:14" ht="14.25" customHeight="1">
      <c r="A12" s="28" t="s">
        <v>137</v>
      </c>
      <c r="C12" s="64">
        <f>'COSTOS Y GASTOS'!$B$108</f>
        <v>7649700</v>
      </c>
      <c r="D12" s="64">
        <f>'COSTOS Y GASTOS'!$B$108</f>
        <v>7649700</v>
      </c>
      <c r="E12" s="64">
        <f>'COSTOS Y GASTOS'!$B$108</f>
        <v>7649700</v>
      </c>
      <c r="F12" s="64">
        <f>'COSTOS Y GASTOS'!$B$108</f>
        <v>7649700</v>
      </c>
      <c r="G12" s="64">
        <f>'COSTOS Y GASTOS'!$B$108</f>
        <v>7649700</v>
      </c>
      <c r="H12" s="64">
        <f>'COSTOS Y GASTOS'!$B$108</f>
        <v>7649700</v>
      </c>
      <c r="I12" s="64"/>
      <c r="J12" s="64"/>
      <c r="K12" s="64"/>
      <c r="L12" s="64"/>
      <c r="M12" s="59"/>
    </row>
    <row r="13" spans="1:14" ht="14.25" customHeight="1">
      <c r="A13" t="s">
        <v>166</v>
      </c>
      <c r="D13" s="9">
        <f>$C$12/5</f>
        <v>1529940</v>
      </c>
      <c r="E13" s="9">
        <f>$C$12/5</f>
        <v>1529940</v>
      </c>
      <c r="F13" s="9">
        <f>$C$12/5</f>
        <v>1529940</v>
      </c>
      <c r="G13" s="9">
        <f>$C$12/5</f>
        <v>1529940</v>
      </c>
      <c r="H13" s="9">
        <f>$C$12/5</f>
        <v>1529940</v>
      </c>
      <c r="I13" s="9"/>
      <c r="J13" s="9"/>
      <c r="K13" s="9"/>
      <c r="L13" s="9"/>
      <c r="M13" s="64"/>
    </row>
    <row r="14" spans="1:14" ht="14.25" customHeight="1">
      <c r="A14" s="62" t="s">
        <v>119</v>
      </c>
      <c r="B14" s="62"/>
      <c r="C14" s="62">
        <v>0</v>
      </c>
      <c r="D14" s="58">
        <f>C14+D13</f>
        <v>1529940</v>
      </c>
      <c r="E14" s="58">
        <f>D14+E13</f>
        <v>3059880</v>
      </c>
      <c r="F14" s="58">
        <f>E14+F13</f>
        <v>4589820</v>
      </c>
      <c r="G14" s="58">
        <f>F14+G13</f>
        <v>6119760</v>
      </c>
      <c r="H14" s="58">
        <f>G14+H13</f>
        <v>7649700</v>
      </c>
      <c r="I14" s="57"/>
      <c r="J14" s="57"/>
      <c r="K14" s="57"/>
      <c r="L14" s="57"/>
      <c r="M14" s="9"/>
    </row>
    <row r="15" spans="1:14" ht="14.25" customHeight="1">
      <c r="A15" s="65" t="s">
        <v>138</v>
      </c>
      <c r="B15" s="65"/>
      <c r="C15" s="66">
        <f t="shared" ref="C15:H15" si="4">C12-C14</f>
        <v>7649700</v>
      </c>
      <c r="D15" s="66">
        <f t="shared" si="4"/>
        <v>6119760</v>
      </c>
      <c r="E15" s="66">
        <f t="shared" si="4"/>
        <v>4589820</v>
      </c>
      <c r="F15" s="66">
        <f t="shared" si="4"/>
        <v>3059880</v>
      </c>
      <c r="G15" s="66">
        <f t="shared" si="4"/>
        <v>1529940</v>
      </c>
      <c r="H15" s="66">
        <f t="shared" si="4"/>
        <v>0</v>
      </c>
      <c r="I15" s="57"/>
      <c r="J15" s="57"/>
      <c r="K15" s="57"/>
      <c r="L15" s="57"/>
      <c r="M15" s="57"/>
    </row>
    <row r="16" spans="1:14" ht="14.25" customHeight="1">
      <c r="A16" s="65"/>
      <c r="B16" s="51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</row>
    <row r="17" spans="1:13" ht="14.25" customHeight="1">
      <c r="A17" s="86" t="s">
        <v>78</v>
      </c>
    </row>
    <row r="18" spans="1:13" ht="14.25" customHeight="1">
      <c r="C18" s="60">
        <v>0</v>
      </c>
      <c r="D18" s="59">
        <v>1</v>
      </c>
      <c r="E18" s="59">
        <v>2</v>
      </c>
      <c r="F18" s="59">
        <v>3</v>
      </c>
      <c r="G18" s="59">
        <v>4</v>
      </c>
      <c r="H18" s="59">
        <v>5</v>
      </c>
      <c r="I18" s="59"/>
      <c r="J18" s="59"/>
      <c r="K18" s="59"/>
      <c r="L18" s="60"/>
    </row>
    <row r="19" spans="1:13" ht="14.25" customHeight="1">
      <c r="A19" s="28" t="s">
        <v>137</v>
      </c>
      <c r="C19" s="64">
        <f>'COSTOS Y GASTOS'!$B$102</f>
        <v>26762400</v>
      </c>
      <c r="D19" s="64">
        <f>'COSTOS Y GASTOS'!$B$102</f>
        <v>26762400</v>
      </c>
      <c r="E19" s="64">
        <f>'COSTOS Y GASTOS'!$B$102</f>
        <v>26762400</v>
      </c>
      <c r="F19" s="64">
        <f>'COSTOS Y GASTOS'!$B$102</f>
        <v>26762400</v>
      </c>
      <c r="G19" s="64">
        <f>'COSTOS Y GASTOS'!$B$102</f>
        <v>26762400</v>
      </c>
      <c r="H19" s="64">
        <f>'COSTOS Y GASTOS'!$B$102</f>
        <v>26762400</v>
      </c>
      <c r="I19" s="64"/>
      <c r="J19" s="64"/>
      <c r="K19" s="64"/>
      <c r="L19" s="64"/>
      <c r="M19" s="59"/>
    </row>
    <row r="20" spans="1:13" ht="14.25" customHeight="1">
      <c r="A20" t="s">
        <v>166</v>
      </c>
      <c r="D20" s="9">
        <f>$C$19/5</f>
        <v>5352480</v>
      </c>
      <c r="E20" s="9">
        <f>$C$19/5</f>
        <v>5352480</v>
      </c>
      <c r="F20" s="9">
        <f>$C$19/5</f>
        <v>5352480</v>
      </c>
      <c r="G20" s="9">
        <f>$C$19/5</f>
        <v>5352480</v>
      </c>
      <c r="H20" s="9">
        <f>$C$19/5</f>
        <v>5352480</v>
      </c>
      <c r="I20" s="9"/>
      <c r="J20" s="9"/>
      <c r="K20" s="9"/>
      <c r="L20" s="9"/>
      <c r="M20" s="64"/>
    </row>
    <row r="21" spans="1:13" ht="14.25" customHeight="1">
      <c r="A21" s="62" t="s">
        <v>119</v>
      </c>
      <c r="B21" s="62"/>
      <c r="C21" s="62">
        <v>0</v>
      </c>
      <c r="D21" s="58">
        <f>C21+D20</f>
        <v>5352480</v>
      </c>
      <c r="E21" s="58">
        <f>D21+E20</f>
        <v>10704960</v>
      </c>
      <c r="F21" s="58">
        <f>E21+F20</f>
        <v>16057440</v>
      </c>
      <c r="G21" s="58">
        <f>F21+G20</f>
        <v>21409920</v>
      </c>
      <c r="H21" s="58">
        <f>G21+H20</f>
        <v>26762400</v>
      </c>
      <c r="I21" s="57"/>
      <c r="J21" s="57"/>
      <c r="K21" s="57"/>
      <c r="L21" s="57"/>
      <c r="M21" s="9"/>
    </row>
    <row r="22" spans="1:13" ht="14.25" customHeight="1">
      <c r="A22" s="65" t="s">
        <v>138</v>
      </c>
      <c r="B22" s="65"/>
      <c r="C22" s="66">
        <f t="shared" ref="C22:H22" si="5">C19-C21</f>
        <v>26762400</v>
      </c>
      <c r="D22" s="66">
        <f t="shared" si="5"/>
        <v>21409920</v>
      </c>
      <c r="E22" s="66">
        <f t="shared" si="5"/>
        <v>16057440</v>
      </c>
      <c r="F22" s="66">
        <f t="shared" si="5"/>
        <v>10704960</v>
      </c>
      <c r="G22" s="66">
        <f t="shared" si="5"/>
        <v>5352480</v>
      </c>
      <c r="H22" s="66">
        <f t="shared" si="5"/>
        <v>0</v>
      </c>
      <c r="I22" s="57"/>
      <c r="J22" s="57"/>
      <c r="K22" s="57"/>
      <c r="L22" s="57"/>
      <c r="M22" s="57"/>
    </row>
    <row r="23" spans="1:13" ht="14.25" customHeight="1">
      <c r="A23" s="65"/>
      <c r="B23" s="51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3" ht="14.25" customHeight="1">
      <c r="A24" s="86" t="s">
        <v>50</v>
      </c>
      <c r="M24" s="57"/>
    </row>
    <row r="25" spans="1:13" ht="14.25" customHeight="1">
      <c r="C25" s="60">
        <v>0</v>
      </c>
      <c r="D25" s="59">
        <v>1</v>
      </c>
      <c r="E25" s="59">
        <v>2</v>
      </c>
      <c r="F25" s="59">
        <v>3</v>
      </c>
      <c r="G25" s="59">
        <v>4</v>
      </c>
      <c r="H25" s="59">
        <v>5</v>
      </c>
      <c r="I25" s="59">
        <v>6</v>
      </c>
      <c r="J25" s="59">
        <v>7</v>
      </c>
      <c r="K25" s="59">
        <v>8</v>
      </c>
      <c r="L25" s="60" t="s">
        <v>139</v>
      </c>
      <c r="M25" s="59">
        <v>10</v>
      </c>
    </row>
    <row r="26" spans="1:13" ht="14.25" customHeight="1">
      <c r="A26" s="28" t="s">
        <v>137</v>
      </c>
      <c r="C26" s="64">
        <f>'COSTOS Y GASTOS'!$B$98</f>
        <v>46728000</v>
      </c>
      <c r="D26" s="64">
        <f>'COSTOS Y GASTOS'!$B$98</f>
        <v>46728000</v>
      </c>
      <c r="E26" s="64">
        <f>'COSTOS Y GASTOS'!$B$98</f>
        <v>46728000</v>
      </c>
      <c r="F26" s="64">
        <f>'COSTOS Y GASTOS'!$B$98</f>
        <v>46728000</v>
      </c>
      <c r="G26" s="64">
        <f>'COSTOS Y GASTOS'!$B$98</f>
        <v>46728000</v>
      </c>
      <c r="H26" s="64">
        <f>'COSTOS Y GASTOS'!$B$98</f>
        <v>46728000</v>
      </c>
      <c r="I26" s="64">
        <f>'COSTOS Y GASTOS'!$B$98</f>
        <v>46728000</v>
      </c>
      <c r="J26" s="64">
        <f>'COSTOS Y GASTOS'!$B$98</f>
        <v>46728000</v>
      </c>
      <c r="K26" s="64">
        <f>'COSTOS Y GASTOS'!$B$98</f>
        <v>46728000</v>
      </c>
      <c r="L26" s="64">
        <f>'COSTOS Y GASTOS'!$B$98</f>
        <v>46728000</v>
      </c>
      <c r="M26" s="64">
        <f>'COSTOS Y GASTOS'!$B$98</f>
        <v>46728000</v>
      </c>
    </row>
    <row r="27" spans="1:13" ht="14.25" customHeight="1">
      <c r="A27" t="s">
        <v>166</v>
      </c>
      <c r="C27" s="28">
        <v>0</v>
      </c>
      <c r="D27" s="9">
        <f t="shared" ref="D27:M27" si="6">D26/10</f>
        <v>4672800</v>
      </c>
      <c r="E27" s="9">
        <f t="shared" si="6"/>
        <v>4672800</v>
      </c>
      <c r="F27" s="9">
        <f t="shared" si="6"/>
        <v>4672800</v>
      </c>
      <c r="G27" s="9">
        <f t="shared" si="6"/>
        <v>4672800</v>
      </c>
      <c r="H27" s="9">
        <f t="shared" si="6"/>
        <v>4672800</v>
      </c>
      <c r="I27" s="9">
        <f t="shared" si="6"/>
        <v>4672800</v>
      </c>
      <c r="J27" s="9">
        <f t="shared" si="6"/>
        <v>4672800</v>
      </c>
      <c r="K27" s="9">
        <f t="shared" si="6"/>
        <v>4672800</v>
      </c>
      <c r="L27" s="9">
        <f t="shared" si="6"/>
        <v>4672800</v>
      </c>
      <c r="M27" s="9">
        <f t="shared" si="6"/>
        <v>4672800</v>
      </c>
    </row>
    <row r="28" spans="1:13" ht="14.25" customHeight="1">
      <c r="A28" s="62" t="s">
        <v>119</v>
      </c>
      <c r="B28" s="62"/>
      <c r="C28" s="62"/>
      <c r="D28" s="58">
        <f t="shared" ref="D28:M28" si="7">C28+D27</f>
        <v>4672800</v>
      </c>
      <c r="E28" s="58">
        <f t="shared" si="7"/>
        <v>9345600</v>
      </c>
      <c r="F28" s="58">
        <f t="shared" si="7"/>
        <v>14018400</v>
      </c>
      <c r="G28" s="58">
        <f t="shared" si="7"/>
        <v>18691200</v>
      </c>
      <c r="H28" s="58">
        <f t="shared" si="7"/>
        <v>23364000</v>
      </c>
      <c r="I28" s="58">
        <f t="shared" si="7"/>
        <v>28036800</v>
      </c>
      <c r="J28" s="58">
        <f t="shared" si="7"/>
        <v>32709600</v>
      </c>
      <c r="K28" s="58">
        <f t="shared" si="7"/>
        <v>37382400</v>
      </c>
      <c r="L28" s="58">
        <f t="shared" si="7"/>
        <v>42055200</v>
      </c>
      <c r="M28" s="58">
        <f t="shared" si="7"/>
        <v>46728000</v>
      </c>
    </row>
    <row r="29" spans="1:13" ht="14.25" customHeight="1">
      <c r="A29" s="65" t="s">
        <v>138</v>
      </c>
      <c r="B29" s="65"/>
      <c r="C29" s="66">
        <f t="shared" ref="C29:M29" si="8">C26-C28</f>
        <v>46728000</v>
      </c>
      <c r="D29" s="66">
        <f t="shared" si="8"/>
        <v>42055200</v>
      </c>
      <c r="E29" s="66">
        <f t="shared" si="8"/>
        <v>37382400</v>
      </c>
      <c r="F29" s="66">
        <f t="shared" si="8"/>
        <v>32709600</v>
      </c>
      <c r="G29" s="66">
        <f t="shared" si="8"/>
        <v>28036800</v>
      </c>
      <c r="H29" s="66">
        <f t="shared" si="8"/>
        <v>23364000</v>
      </c>
      <c r="I29" s="66">
        <f t="shared" si="8"/>
        <v>18691200</v>
      </c>
      <c r="J29" s="66">
        <f t="shared" si="8"/>
        <v>14018400</v>
      </c>
      <c r="K29" s="66">
        <f t="shared" si="8"/>
        <v>9345600</v>
      </c>
      <c r="L29" s="66">
        <f t="shared" si="8"/>
        <v>4672800</v>
      </c>
      <c r="M29" s="66">
        <f t="shared" si="8"/>
        <v>0</v>
      </c>
    </row>
    <row r="30" spans="1:13" ht="14.25" customHeight="1">
      <c r="A30" s="65"/>
      <c r="B30" s="51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</row>
    <row r="31" spans="1:13" ht="14.25" customHeight="1">
      <c r="A31" s="86" t="s">
        <v>53</v>
      </c>
    </row>
    <row r="32" spans="1:13" ht="14.25" customHeight="1">
      <c r="C32" s="60">
        <v>0</v>
      </c>
      <c r="D32" s="59">
        <v>1</v>
      </c>
      <c r="E32" s="59">
        <v>2</v>
      </c>
      <c r="F32" s="59">
        <v>3</v>
      </c>
      <c r="G32" s="59">
        <v>4</v>
      </c>
      <c r="H32" s="59">
        <v>5</v>
      </c>
      <c r="I32" s="59">
        <v>6</v>
      </c>
      <c r="J32" s="59">
        <v>7</v>
      </c>
      <c r="K32" s="59">
        <v>8</v>
      </c>
      <c r="L32" s="60" t="s">
        <v>139</v>
      </c>
      <c r="M32" s="59">
        <v>10</v>
      </c>
    </row>
    <row r="33" spans="1:13" ht="14.25" customHeight="1">
      <c r="A33" s="28" t="s">
        <v>137</v>
      </c>
      <c r="C33" s="64">
        <f>'COSTOS Y GASTOS'!$B$99</f>
        <v>29731752</v>
      </c>
      <c r="D33" s="64">
        <f>'COSTOS Y GASTOS'!$B$99</f>
        <v>29731752</v>
      </c>
      <c r="E33" s="64">
        <f>'COSTOS Y GASTOS'!$B$99</f>
        <v>29731752</v>
      </c>
      <c r="F33" s="64">
        <f>'COSTOS Y GASTOS'!$B$99</f>
        <v>29731752</v>
      </c>
      <c r="G33" s="64">
        <f>'COSTOS Y GASTOS'!$B$99</f>
        <v>29731752</v>
      </c>
      <c r="H33" s="64">
        <f>'COSTOS Y GASTOS'!$B$99</f>
        <v>29731752</v>
      </c>
      <c r="I33" s="64">
        <f>'COSTOS Y GASTOS'!$B$99</f>
        <v>29731752</v>
      </c>
      <c r="J33" s="64">
        <f>'COSTOS Y GASTOS'!$B$99</f>
        <v>29731752</v>
      </c>
      <c r="K33" s="64">
        <f>'COSTOS Y GASTOS'!$B$99</f>
        <v>29731752</v>
      </c>
      <c r="L33" s="64">
        <f>'COSTOS Y GASTOS'!$B$99</f>
        <v>29731752</v>
      </c>
      <c r="M33" s="64">
        <f>'COSTOS Y GASTOS'!$B$99</f>
        <v>29731752</v>
      </c>
    </row>
    <row r="34" spans="1:13" ht="14.25" customHeight="1">
      <c r="A34" t="s">
        <v>166</v>
      </c>
      <c r="C34" s="28">
        <v>0</v>
      </c>
      <c r="D34" s="9">
        <f t="shared" ref="D34:M34" si="9">D33/10</f>
        <v>2973175.2</v>
      </c>
      <c r="E34" s="9">
        <f t="shared" si="9"/>
        <v>2973175.2</v>
      </c>
      <c r="F34" s="9">
        <f t="shared" si="9"/>
        <v>2973175.2</v>
      </c>
      <c r="G34" s="9">
        <f t="shared" si="9"/>
        <v>2973175.2</v>
      </c>
      <c r="H34" s="9">
        <f t="shared" si="9"/>
        <v>2973175.2</v>
      </c>
      <c r="I34" s="9">
        <f t="shared" si="9"/>
        <v>2973175.2</v>
      </c>
      <c r="J34" s="9">
        <f t="shared" si="9"/>
        <v>2973175.2</v>
      </c>
      <c r="K34" s="9">
        <f t="shared" si="9"/>
        <v>2973175.2</v>
      </c>
      <c r="L34" s="9">
        <f t="shared" si="9"/>
        <v>2973175.2</v>
      </c>
      <c r="M34" s="9">
        <f t="shared" si="9"/>
        <v>2973175.2</v>
      </c>
    </row>
    <row r="35" spans="1:13" ht="14.25" customHeight="1">
      <c r="A35" s="62" t="s">
        <v>119</v>
      </c>
      <c r="B35" s="62"/>
      <c r="C35" s="62"/>
      <c r="D35" s="58">
        <f t="shared" ref="D35:M35" si="10">C35+D34</f>
        <v>2973175.2</v>
      </c>
      <c r="E35" s="58">
        <f t="shared" si="10"/>
        <v>5946350.4000000004</v>
      </c>
      <c r="F35" s="58">
        <f t="shared" si="10"/>
        <v>8919525.6000000015</v>
      </c>
      <c r="G35" s="58">
        <f t="shared" si="10"/>
        <v>11892700.800000001</v>
      </c>
      <c r="H35" s="58">
        <f t="shared" si="10"/>
        <v>14865876</v>
      </c>
      <c r="I35" s="58">
        <f t="shared" si="10"/>
        <v>17839051.199999999</v>
      </c>
      <c r="J35" s="58">
        <f t="shared" si="10"/>
        <v>20812226.399999999</v>
      </c>
      <c r="K35" s="58">
        <f t="shared" si="10"/>
        <v>23785401.599999998</v>
      </c>
      <c r="L35" s="58">
        <f t="shared" si="10"/>
        <v>26758576.799999997</v>
      </c>
      <c r="M35" s="58">
        <f t="shared" si="10"/>
        <v>29731751.999999996</v>
      </c>
    </row>
    <row r="36" spans="1:13" ht="14.25" customHeight="1">
      <c r="A36" s="65" t="s">
        <v>138</v>
      </c>
      <c r="B36" s="65"/>
      <c r="C36" s="66">
        <f t="shared" ref="C36:M36" si="11">C33-C35</f>
        <v>29731752</v>
      </c>
      <c r="D36" s="66">
        <f t="shared" si="11"/>
        <v>26758576.800000001</v>
      </c>
      <c r="E36" s="66">
        <f t="shared" si="11"/>
        <v>23785401.600000001</v>
      </c>
      <c r="F36" s="66">
        <f t="shared" si="11"/>
        <v>20812226.399999999</v>
      </c>
      <c r="G36" s="66">
        <f t="shared" si="11"/>
        <v>17839051.199999999</v>
      </c>
      <c r="H36" s="66">
        <f t="shared" si="11"/>
        <v>14865876</v>
      </c>
      <c r="I36" s="66">
        <f t="shared" si="11"/>
        <v>11892700.800000001</v>
      </c>
      <c r="J36" s="66">
        <f t="shared" si="11"/>
        <v>8919525.6000000015</v>
      </c>
      <c r="K36" s="66">
        <f t="shared" si="11"/>
        <v>5946350.4000000022</v>
      </c>
      <c r="L36" s="66">
        <f t="shared" si="11"/>
        <v>2973175.200000003</v>
      </c>
      <c r="M36" s="66">
        <f t="shared" si="11"/>
        <v>0</v>
      </c>
    </row>
    <row r="37" spans="1:13" ht="14.25" customHeight="1">
      <c r="A37" s="65"/>
      <c r="B37" s="51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</row>
    <row r="38" spans="1:13" ht="14.25" customHeight="1">
      <c r="A38" s="86" t="s">
        <v>54</v>
      </c>
    </row>
    <row r="39" spans="1:13" ht="14.25" customHeight="1">
      <c r="C39" s="60">
        <v>0</v>
      </c>
      <c r="D39" s="59">
        <v>1</v>
      </c>
      <c r="E39" s="59">
        <v>2</v>
      </c>
      <c r="F39" s="59">
        <v>3</v>
      </c>
      <c r="G39" s="59">
        <v>4</v>
      </c>
      <c r="H39" s="59">
        <v>5</v>
      </c>
      <c r="I39" s="59">
        <v>6</v>
      </c>
      <c r="J39" s="59">
        <v>7</v>
      </c>
      <c r="K39" s="59">
        <v>8</v>
      </c>
      <c r="L39" s="60" t="s">
        <v>139</v>
      </c>
      <c r="M39" s="59">
        <v>10</v>
      </c>
    </row>
    <row r="40" spans="1:13" ht="14.25" customHeight="1">
      <c r="A40" s="28" t="s">
        <v>137</v>
      </c>
      <c r="C40" s="64">
        <f>'COSTOS Y GASTOS'!$B$100</f>
        <v>879336</v>
      </c>
      <c r="D40" s="64">
        <f>'COSTOS Y GASTOS'!$B$100</f>
        <v>879336</v>
      </c>
      <c r="E40" s="64">
        <f>'COSTOS Y GASTOS'!$B$100</f>
        <v>879336</v>
      </c>
      <c r="F40" s="64">
        <f>'COSTOS Y GASTOS'!$B$100</f>
        <v>879336</v>
      </c>
      <c r="G40" s="64">
        <f>'COSTOS Y GASTOS'!$B$100</f>
        <v>879336</v>
      </c>
      <c r="H40" s="64">
        <f>'COSTOS Y GASTOS'!$B$100</f>
        <v>879336</v>
      </c>
      <c r="I40" s="64">
        <f>'COSTOS Y GASTOS'!$B$100</f>
        <v>879336</v>
      </c>
      <c r="J40" s="64">
        <f>'COSTOS Y GASTOS'!$B$100</f>
        <v>879336</v>
      </c>
      <c r="K40" s="64">
        <f>'COSTOS Y GASTOS'!$B$100</f>
        <v>879336</v>
      </c>
      <c r="L40" s="64">
        <f>'COSTOS Y GASTOS'!$B$100</f>
        <v>879336</v>
      </c>
      <c r="M40" s="64">
        <f>'COSTOS Y GASTOS'!$B$100</f>
        <v>879336</v>
      </c>
    </row>
    <row r="41" spans="1:13" ht="14.25" customHeight="1">
      <c r="A41" t="s">
        <v>166</v>
      </c>
      <c r="C41" s="28">
        <v>0</v>
      </c>
      <c r="D41" s="9">
        <f t="shared" ref="D41:M41" si="12">D40/10</f>
        <v>87933.6</v>
      </c>
      <c r="E41" s="9">
        <f t="shared" si="12"/>
        <v>87933.6</v>
      </c>
      <c r="F41" s="9">
        <f t="shared" si="12"/>
        <v>87933.6</v>
      </c>
      <c r="G41" s="9">
        <f t="shared" si="12"/>
        <v>87933.6</v>
      </c>
      <c r="H41" s="9">
        <f t="shared" si="12"/>
        <v>87933.6</v>
      </c>
      <c r="I41" s="9">
        <f t="shared" si="12"/>
        <v>87933.6</v>
      </c>
      <c r="J41" s="9">
        <f t="shared" si="12"/>
        <v>87933.6</v>
      </c>
      <c r="K41" s="9">
        <f t="shared" si="12"/>
        <v>87933.6</v>
      </c>
      <c r="L41" s="9">
        <f t="shared" si="12"/>
        <v>87933.6</v>
      </c>
      <c r="M41" s="9">
        <f t="shared" si="12"/>
        <v>87933.6</v>
      </c>
    </row>
    <row r="42" spans="1:13" ht="14.25" customHeight="1">
      <c r="A42" s="62" t="s">
        <v>119</v>
      </c>
      <c r="B42" s="62"/>
      <c r="C42" s="62"/>
      <c r="D42" s="58">
        <f t="shared" ref="D42:M42" si="13">C42+D41</f>
        <v>87933.6</v>
      </c>
      <c r="E42" s="58">
        <f t="shared" si="13"/>
        <v>175867.2</v>
      </c>
      <c r="F42" s="58">
        <f t="shared" si="13"/>
        <v>263800.80000000005</v>
      </c>
      <c r="G42" s="58">
        <f t="shared" si="13"/>
        <v>351734.4</v>
      </c>
      <c r="H42" s="58">
        <f t="shared" si="13"/>
        <v>439668</v>
      </c>
      <c r="I42" s="58">
        <f t="shared" si="13"/>
        <v>527601.6</v>
      </c>
      <c r="J42" s="58">
        <f t="shared" si="13"/>
        <v>615535.19999999995</v>
      </c>
      <c r="K42" s="58">
        <f t="shared" si="13"/>
        <v>703468.79999999993</v>
      </c>
      <c r="L42" s="58">
        <f t="shared" si="13"/>
        <v>791402.39999999991</v>
      </c>
      <c r="M42" s="58">
        <f t="shared" si="13"/>
        <v>879335.99999999988</v>
      </c>
    </row>
    <row r="43" spans="1:13" ht="14.25" customHeight="1">
      <c r="A43" s="65" t="s">
        <v>138</v>
      </c>
      <c r="B43" s="65"/>
      <c r="C43" s="66">
        <f t="shared" ref="C43:M43" si="14">C40-C42</f>
        <v>879336</v>
      </c>
      <c r="D43" s="66">
        <f t="shared" si="14"/>
        <v>791402.4</v>
      </c>
      <c r="E43" s="66">
        <f t="shared" si="14"/>
        <v>703468.8</v>
      </c>
      <c r="F43" s="66">
        <f t="shared" si="14"/>
        <v>615535.19999999995</v>
      </c>
      <c r="G43" s="66">
        <f t="shared" si="14"/>
        <v>527601.6</v>
      </c>
      <c r="H43" s="66">
        <f t="shared" si="14"/>
        <v>439668</v>
      </c>
      <c r="I43" s="66">
        <f t="shared" si="14"/>
        <v>351734.4</v>
      </c>
      <c r="J43" s="66">
        <f t="shared" si="14"/>
        <v>263800.80000000005</v>
      </c>
      <c r="K43" s="66">
        <f t="shared" si="14"/>
        <v>175867.20000000007</v>
      </c>
      <c r="L43" s="66">
        <f t="shared" si="14"/>
        <v>87933.600000000093</v>
      </c>
      <c r="M43" s="66">
        <f t="shared" si="14"/>
        <v>0</v>
      </c>
    </row>
    <row r="44" spans="1:13" ht="14.25" customHeight="1">
      <c r="A44" s="51"/>
      <c r="B44" s="51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</row>
    <row r="45" spans="1:13" ht="14.25" customHeight="1">
      <c r="A45" s="86" t="s">
        <v>57</v>
      </c>
    </row>
    <row r="46" spans="1:13" ht="14.25" customHeight="1">
      <c r="C46" s="60">
        <v>0</v>
      </c>
      <c r="D46" s="59">
        <v>1</v>
      </c>
      <c r="E46" s="59">
        <v>2</v>
      </c>
      <c r="F46" s="59">
        <v>3</v>
      </c>
      <c r="G46" s="59">
        <v>4</v>
      </c>
      <c r="H46" s="59">
        <v>5</v>
      </c>
      <c r="I46" s="59">
        <v>6</v>
      </c>
      <c r="J46" s="59">
        <v>7</v>
      </c>
      <c r="K46" s="59">
        <v>8</v>
      </c>
      <c r="L46" s="60" t="s">
        <v>139</v>
      </c>
      <c r="M46" s="59">
        <v>10</v>
      </c>
    </row>
    <row r="47" spans="1:13" ht="14.25" customHeight="1">
      <c r="A47" s="28" t="s">
        <v>137</v>
      </c>
      <c r="C47" s="64">
        <f>'COSTOS Y GASTOS'!$B$101</f>
        <v>8496000</v>
      </c>
      <c r="D47" s="64">
        <f>'COSTOS Y GASTOS'!$B$101</f>
        <v>8496000</v>
      </c>
      <c r="E47" s="64">
        <f>'COSTOS Y GASTOS'!$B$101</f>
        <v>8496000</v>
      </c>
      <c r="F47" s="64">
        <f>'COSTOS Y GASTOS'!$B$101</f>
        <v>8496000</v>
      </c>
      <c r="G47" s="64">
        <f>'COSTOS Y GASTOS'!$B$101</f>
        <v>8496000</v>
      </c>
      <c r="H47" s="64">
        <f>'COSTOS Y GASTOS'!$B$101</f>
        <v>8496000</v>
      </c>
      <c r="I47" s="64">
        <f>'COSTOS Y GASTOS'!$B$101</f>
        <v>8496000</v>
      </c>
      <c r="J47" s="64">
        <f>'COSTOS Y GASTOS'!$B$101</f>
        <v>8496000</v>
      </c>
      <c r="K47" s="64">
        <f>'COSTOS Y GASTOS'!$B$101</f>
        <v>8496000</v>
      </c>
      <c r="L47" s="64">
        <f>'COSTOS Y GASTOS'!$B$101</f>
        <v>8496000</v>
      </c>
      <c r="M47" s="64">
        <f>'COSTOS Y GASTOS'!$B$101</f>
        <v>8496000</v>
      </c>
    </row>
    <row r="48" spans="1:13" ht="14.25" customHeight="1">
      <c r="A48" t="s">
        <v>166</v>
      </c>
      <c r="C48" s="28">
        <v>0</v>
      </c>
      <c r="D48" s="9">
        <f t="shared" ref="D48:M48" si="15">D47/10</f>
        <v>849600</v>
      </c>
      <c r="E48" s="9">
        <f t="shared" si="15"/>
        <v>849600</v>
      </c>
      <c r="F48" s="9">
        <f t="shared" si="15"/>
        <v>849600</v>
      </c>
      <c r="G48" s="9">
        <f t="shared" si="15"/>
        <v>849600</v>
      </c>
      <c r="H48" s="9">
        <f t="shared" si="15"/>
        <v>849600</v>
      </c>
      <c r="I48" s="9">
        <f t="shared" si="15"/>
        <v>849600</v>
      </c>
      <c r="J48" s="9">
        <f t="shared" si="15"/>
        <v>849600</v>
      </c>
      <c r="K48" s="9">
        <f t="shared" si="15"/>
        <v>849600</v>
      </c>
      <c r="L48" s="9">
        <f t="shared" si="15"/>
        <v>849600</v>
      </c>
      <c r="M48" s="9">
        <f t="shared" si="15"/>
        <v>849600</v>
      </c>
    </row>
    <row r="49" spans="1:13" ht="14.25" customHeight="1">
      <c r="A49" s="62" t="s">
        <v>119</v>
      </c>
      <c r="B49" s="62"/>
      <c r="C49" s="62"/>
      <c r="D49" s="58">
        <f t="shared" ref="D49:M49" si="16">C49+D48</f>
        <v>849600</v>
      </c>
      <c r="E49" s="58">
        <f t="shared" si="16"/>
        <v>1699200</v>
      </c>
      <c r="F49" s="58">
        <f t="shared" si="16"/>
        <v>2548800</v>
      </c>
      <c r="G49" s="58">
        <f t="shared" si="16"/>
        <v>3398400</v>
      </c>
      <c r="H49" s="58">
        <f t="shared" si="16"/>
        <v>4248000</v>
      </c>
      <c r="I49" s="58">
        <f t="shared" si="16"/>
        <v>5097600</v>
      </c>
      <c r="J49" s="58">
        <f t="shared" si="16"/>
        <v>5947200</v>
      </c>
      <c r="K49" s="58">
        <f t="shared" si="16"/>
        <v>6796800</v>
      </c>
      <c r="L49" s="58">
        <f t="shared" si="16"/>
        <v>7646400</v>
      </c>
      <c r="M49" s="58">
        <f t="shared" si="16"/>
        <v>8496000</v>
      </c>
    </row>
    <row r="50" spans="1:13" ht="14.25" customHeight="1">
      <c r="A50" s="65" t="s">
        <v>138</v>
      </c>
      <c r="B50" s="65"/>
      <c r="C50" s="66">
        <f t="shared" ref="C50:M50" si="17">C47-C49</f>
        <v>8496000</v>
      </c>
      <c r="D50" s="66">
        <f t="shared" si="17"/>
        <v>7646400</v>
      </c>
      <c r="E50" s="66">
        <f t="shared" si="17"/>
        <v>6796800</v>
      </c>
      <c r="F50" s="66">
        <f t="shared" si="17"/>
        <v>5947200</v>
      </c>
      <c r="G50" s="66">
        <f t="shared" si="17"/>
        <v>5097600</v>
      </c>
      <c r="H50" s="66">
        <f t="shared" si="17"/>
        <v>4248000</v>
      </c>
      <c r="I50" s="66">
        <f t="shared" si="17"/>
        <v>3398400</v>
      </c>
      <c r="J50" s="66">
        <f t="shared" si="17"/>
        <v>2548800</v>
      </c>
      <c r="K50" s="66">
        <f t="shared" si="17"/>
        <v>1699200</v>
      </c>
      <c r="L50" s="66">
        <f t="shared" si="17"/>
        <v>849600</v>
      </c>
      <c r="M50" s="66">
        <f t="shared" si="17"/>
        <v>0</v>
      </c>
    </row>
    <row r="51" spans="1:13" ht="14.25" customHeight="1">
      <c r="A51" s="51"/>
      <c r="B51" s="51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3" ht="14.25" customHeight="1">
      <c r="A52" s="86" t="s">
        <v>60</v>
      </c>
    </row>
    <row r="53" spans="1:13" ht="14.25" customHeight="1">
      <c r="C53" s="60">
        <v>0</v>
      </c>
      <c r="D53" s="59">
        <v>1</v>
      </c>
      <c r="E53" s="59">
        <v>2</v>
      </c>
      <c r="F53" s="59">
        <v>3</v>
      </c>
      <c r="G53" s="59">
        <v>4</v>
      </c>
      <c r="H53" s="59">
        <v>5</v>
      </c>
      <c r="I53" s="59">
        <v>6</v>
      </c>
      <c r="J53" s="59">
        <v>7</v>
      </c>
      <c r="K53" s="59">
        <v>8</v>
      </c>
      <c r="L53" s="60" t="s">
        <v>139</v>
      </c>
      <c r="M53" s="59">
        <v>10</v>
      </c>
    </row>
    <row r="54" spans="1:13" ht="14.25" customHeight="1">
      <c r="A54" s="28" t="s">
        <v>137</v>
      </c>
      <c r="C54" s="64">
        <f>'COSTOS Y GASTOS'!$B$103</f>
        <v>16992000</v>
      </c>
      <c r="D54" s="64">
        <f>'COSTOS Y GASTOS'!$B$103</f>
        <v>16992000</v>
      </c>
      <c r="E54" s="64">
        <f>'COSTOS Y GASTOS'!$B$103</f>
        <v>16992000</v>
      </c>
      <c r="F54" s="64">
        <f>'COSTOS Y GASTOS'!$B$103</f>
        <v>16992000</v>
      </c>
      <c r="G54" s="64">
        <f>'COSTOS Y GASTOS'!$B$103</f>
        <v>16992000</v>
      </c>
      <c r="H54" s="64">
        <f>'COSTOS Y GASTOS'!$B$103</f>
        <v>16992000</v>
      </c>
      <c r="I54" s="64">
        <f>'COSTOS Y GASTOS'!$B$103</f>
        <v>16992000</v>
      </c>
      <c r="J54" s="64">
        <f>'COSTOS Y GASTOS'!$B$103</f>
        <v>16992000</v>
      </c>
      <c r="K54" s="64">
        <f>'COSTOS Y GASTOS'!$B$103</f>
        <v>16992000</v>
      </c>
      <c r="L54" s="64">
        <f>'COSTOS Y GASTOS'!$B$103</f>
        <v>16992000</v>
      </c>
      <c r="M54" s="64">
        <f>'COSTOS Y GASTOS'!$B$103</f>
        <v>16992000</v>
      </c>
    </row>
    <row r="55" spans="1:13" ht="14.25" customHeight="1">
      <c r="A55" t="s">
        <v>166</v>
      </c>
      <c r="C55" s="28">
        <v>0</v>
      </c>
      <c r="D55" s="9">
        <f t="shared" ref="D55:M55" si="18">D54/10</f>
        <v>1699200</v>
      </c>
      <c r="E55" s="9">
        <f t="shared" si="18"/>
        <v>1699200</v>
      </c>
      <c r="F55" s="9">
        <f t="shared" si="18"/>
        <v>1699200</v>
      </c>
      <c r="G55" s="9">
        <f t="shared" si="18"/>
        <v>1699200</v>
      </c>
      <c r="H55" s="9">
        <f t="shared" si="18"/>
        <v>1699200</v>
      </c>
      <c r="I55" s="9">
        <f t="shared" si="18"/>
        <v>1699200</v>
      </c>
      <c r="J55" s="9">
        <f t="shared" si="18"/>
        <v>1699200</v>
      </c>
      <c r="K55" s="9">
        <f t="shared" si="18"/>
        <v>1699200</v>
      </c>
      <c r="L55" s="9">
        <f t="shared" si="18"/>
        <v>1699200</v>
      </c>
      <c r="M55" s="9">
        <f t="shared" si="18"/>
        <v>1699200</v>
      </c>
    </row>
    <row r="56" spans="1:13" ht="14.25" customHeight="1">
      <c r="A56" s="62" t="s">
        <v>119</v>
      </c>
      <c r="B56" s="62"/>
      <c r="C56" s="62"/>
      <c r="D56" s="58">
        <f t="shared" ref="D56:M56" si="19">C56+D55</f>
        <v>1699200</v>
      </c>
      <c r="E56" s="58">
        <f t="shared" si="19"/>
        <v>3398400</v>
      </c>
      <c r="F56" s="58">
        <f t="shared" si="19"/>
        <v>5097600</v>
      </c>
      <c r="G56" s="58">
        <f t="shared" si="19"/>
        <v>6796800</v>
      </c>
      <c r="H56" s="58">
        <f t="shared" si="19"/>
        <v>8496000</v>
      </c>
      <c r="I56" s="58">
        <f t="shared" si="19"/>
        <v>10195200</v>
      </c>
      <c r="J56" s="58">
        <f t="shared" si="19"/>
        <v>11894400</v>
      </c>
      <c r="K56" s="58">
        <f t="shared" si="19"/>
        <v>13593600</v>
      </c>
      <c r="L56" s="58">
        <f t="shared" si="19"/>
        <v>15292800</v>
      </c>
      <c r="M56" s="58">
        <f t="shared" si="19"/>
        <v>16992000</v>
      </c>
    </row>
    <row r="57" spans="1:13" ht="14.25" customHeight="1">
      <c r="A57" s="65" t="s">
        <v>138</v>
      </c>
      <c r="B57" s="65"/>
      <c r="C57" s="66">
        <f t="shared" ref="C57:M57" si="20">C54-C56</f>
        <v>16992000</v>
      </c>
      <c r="D57" s="66">
        <f t="shared" si="20"/>
        <v>15292800</v>
      </c>
      <c r="E57" s="66">
        <f t="shared" si="20"/>
        <v>13593600</v>
      </c>
      <c r="F57" s="66">
        <f t="shared" si="20"/>
        <v>11894400</v>
      </c>
      <c r="G57" s="66">
        <f t="shared" si="20"/>
        <v>10195200</v>
      </c>
      <c r="H57" s="66">
        <f t="shared" si="20"/>
        <v>8496000</v>
      </c>
      <c r="I57" s="66">
        <f t="shared" si="20"/>
        <v>6796800</v>
      </c>
      <c r="J57" s="66">
        <f t="shared" si="20"/>
        <v>5097600</v>
      </c>
      <c r="K57" s="66">
        <f t="shared" si="20"/>
        <v>3398400</v>
      </c>
      <c r="L57" s="66">
        <f t="shared" si="20"/>
        <v>1699200</v>
      </c>
      <c r="M57" s="66">
        <f t="shared" si="20"/>
        <v>0</v>
      </c>
    </row>
    <row r="58" spans="1:13" ht="14.25" customHeight="1">
      <c r="A58" s="51"/>
      <c r="B58" s="51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</row>
    <row r="59" spans="1:13" ht="14.25" customHeight="1">
      <c r="A59" s="86" t="s">
        <v>66</v>
      </c>
    </row>
    <row r="60" spans="1:13" ht="14.25" customHeight="1">
      <c r="C60" s="60">
        <v>0</v>
      </c>
      <c r="D60" s="59">
        <v>1</v>
      </c>
      <c r="E60" s="59">
        <v>2</v>
      </c>
      <c r="F60" s="59">
        <v>3</v>
      </c>
      <c r="G60" s="59">
        <v>4</v>
      </c>
      <c r="H60" s="59">
        <v>5</v>
      </c>
      <c r="I60" s="59">
        <v>6</v>
      </c>
      <c r="J60" s="59">
        <v>7</v>
      </c>
      <c r="K60" s="59">
        <v>8</v>
      </c>
      <c r="L60" s="60" t="s">
        <v>139</v>
      </c>
      <c r="M60" s="59">
        <v>10</v>
      </c>
    </row>
    <row r="61" spans="1:13" ht="14.25" customHeight="1">
      <c r="A61" s="28" t="s">
        <v>137</v>
      </c>
      <c r="C61" s="64">
        <f>'COSTOS Y GASTOS'!$B$104</f>
        <v>8409900</v>
      </c>
      <c r="D61" s="64">
        <f>'COSTOS Y GASTOS'!$B$104</f>
        <v>8409900</v>
      </c>
      <c r="E61" s="64">
        <f>'COSTOS Y GASTOS'!$B$104</f>
        <v>8409900</v>
      </c>
      <c r="F61" s="64">
        <f>'COSTOS Y GASTOS'!$B$104</f>
        <v>8409900</v>
      </c>
      <c r="G61" s="64">
        <f>'COSTOS Y GASTOS'!$B$104</f>
        <v>8409900</v>
      </c>
      <c r="H61" s="64">
        <f>'COSTOS Y GASTOS'!$B$104</f>
        <v>8409900</v>
      </c>
      <c r="I61" s="64">
        <f>'COSTOS Y GASTOS'!$B$104</f>
        <v>8409900</v>
      </c>
      <c r="J61" s="64">
        <f>'COSTOS Y GASTOS'!$B$104</f>
        <v>8409900</v>
      </c>
      <c r="K61" s="64">
        <f>'COSTOS Y GASTOS'!$B$104</f>
        <v>8409900</v>
      </c>
      <c r="L61" s="64">
        <f>'COSTOS Y GASTOS'!$B$104</f>
        <v>8409900</v>
      </c>
      <c r="M61" s="64">
        <f>'COSTOS Y GASTOS'!$B$104</f>
        <v>8409900</v>
      </c>
    </row>
    <row r="62" spans="1:13" ht="14.25" customHeight="1">
      <c r="A62" t="s">
        <v>166</v>
      </c>
      <c r="C62" s="28">
        <v>0</v>
      </c>
      <c r="D62" s="9">
        <f t="shared" ref="D62:M62" si="21">D61/10</f>
        <v>840990</v>
      </c>
      <c r="E62" s="9">
        <f t="shared" si="21"/>
        <v>840990</v>
      </c>
      <c r="F62" s="9">
        <f t="shared" si="21"/>
        <v>840990</v>
      </c>
      <c r="G62" s="9">
        <f t="shared" si="21"/>
        <v>840990</v>
      </c>
      <c r="H62" s="9">
        <f t="shared" si="21"/>
        <v>840990</v>
      </c>
      <c r="I62" s="9">
        <f t="shared" si="21"/>
        <v>840990</v>
      </c>
      <c r="J62" s="9">
        <f t="shared" si="21"/>
        <v>840990</v>
      </c>
      <c r="K62" s="9">
        <f t="shared" si="21"/>
        <v>840990</v>
      </c>
      <c r="L62" s="9">
        <f t="shared" si="21"/>
        <v>840990</v>
      </c>
      <c r="M62" s="9">
        <f t="shared" si="21"/>
        <v>840990</v>
      </c>
    </row>
    <row r="63" spans="1:13" ht="14.25" customHeight="1">
      <c r="A63" s="62" t="s">
        <v>119</v>
      </c>
      <c r="B63" s="62"/>
      <c r="C63" s="62"/>
      <c r="D63" s="58">
        <f t="shared" ref="D63:M63" si="22">C63+D62</f>
        <v>840990</v>
      </c>
      <c r="E63" s="58">
        <f t="shared" si="22"/>
        <v>1681980</v>
      </c>
      <c r="F63" s="58">
        <f t="shared" si="22"/>
        <v>2522970</v>
      </c>
      <c r="G63" s="58">
        <f t="shared" si="22"/>
        <v>3363960</v>
      </c>
      <c r="H63" s="58">
        <f t="shared" si="22"/>
        <v>4204950</v>
      </c>
      <c r="I63" s="58">
        <f t="shared" si="22"/>
        <v>5045940</v>
      </c>
      <c r="J63" s="58">
        <f t="shared" si="22"/>
        <v>5886930</v>
      </c>
      <c r="K63" s="58">
        <f t="shared" si="22"/>
        <v>6727920</v>
      </c>
      <c r="L63" s="58">
        <f t="shared" si="22"/>
        <v>7568910</v>
      </c>
      <c r="M63" s="58">
        <f t="shared" si="22"/>
        <v>8409900</v>
      </c>
    </row>
    <row r="64" spans="1:13" ht="14.25" customHeight="1">
      <c r="A64" s="65" t="s">
        <v>138</v>
      </c>
      <c r="B64" s="65"/>
      <c r="C64" s="66">
        <f t="shared" ref="C64:M64" si="23">C61-C63</f>
        <v>8409900</v>
      </c>
      <c r="D64" s="66">
        <f t="shared" si="23"/>
        <v>7568910</v>
      </c>
      <c r="E64" s="66">
        <f t="shared" si="23"/>
        <v>6727920</v>
      </c>
      <c r="F64" s="66">
        <f t="shared" si="23"/>
        <v>5886930</v>
      </c>
      <c r="G64" s="66">
        <f t="shared" si="23"/>
        <v>5045940</v>
      </c>
      <c r="H64" s="66">
        <f t="shared" si="23"/>
        <v>4204950</v>
      </c>
      <c r="I64" s="66">
        <f t="shared" si="23"/>
        <v>3363960</v>
      </c>
      <c r="J64" s="66">
        <f t="shared" si="23"/>
        <v>2522970</v>
      </c>
      <c r="K64" s="66">
        <f t="shared" si="23"/>
        <v>1681980</v>
      </c>
      <c r="L64" s="66">
        <f t="shared" si="23"/>
        <v>840990</v>
      </c>
      <c r="M64" s="66">
        <f t="shared" si="23"/>
        <v>0</v>
      </c>
    </row>
    <row r="65" spans="1:13" ht="14.25" customHeight="1">
      <c r="A65" s="51"/>
      <c r="B65" s="51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</row>
    <row r="66" spans="1:13" ht="14.25" customHeight="1">
      <c r="A66" s="86" t="s">
        <v>70</v>
      </c>
    </row>
    <row r="67" spans="1:13" ht="14.25" customHeight="1">
      <c r="C67" s="60">
        <v>0</v>
      </c>
      <c r="D67" s="59">
        <v>1</v>
      </c>
      <c r="E67" s="59">
        <v>2</v>
      </c>
      <c r="F67" s="59">
        <v>3</v>
      </c>
      <c r="G67" s="59">
        <v>4</v>
      </c>
      <c r="H67" s="59">
        <v>5</v>
      </c>
      <c r="I67" s="59">
        <v>6</v>
      </c>
      <c r="J67" s="59">
        <v>7</v>
      </c>
      <c r="K67" s="59">
        <v>8</v>
      </c>
      <c r="L67" s="60" t="s">
        <v>139</v>
      </c>
      <c r="M67" s="59">
        <v>10</v>
      </c>
    </row>
    <row r="68" spans="1:13" ht="14.25" customHeight="1">
      <c r="A68" s="28" t="s">
        <v>137</v>
      </c>
      <c r="C68" s="64">
        <f>'COSTOS Y GASTOS'!$B$105</f>
        <v>2761200</v>
      </c>
      <c r="D68" s="64">
        <f>'COSTOS Y GASTOS'!$B$105</f>
        <v>2761200</v>
      </c>
      <c r="E68" s="64">
        <f>'COSTOS Y GASTOS'!$B$105</f>
        <v>2761200</v>
      </c>
      <c r="F68" s="64">
        <f>'COSTOS Y GASTOS'!$B$105</f>
        <v>2761200</v>
      </c>
      <c r="G68" s="64">
        <f>'COSTOS Y GASTOS'!$B$105</f>
        <v>2761200</v>
      </c>
      <c r="H68" s="64">
        <f>'COSTOS Y GASTOS'!$B$105</f>
        <v>2761200</v>
      </c>
      <c r="I68" s="64">
        <f>'COSTOS Y GASTOS'!$B$105</f>
        <v>2761200</v>
      </c>
      <c r="J68" s="64">
        <f>'COSTOS Y GASTOS'!$B$105</f>
        <v>2761200</v>
      </c>
      <c r="K68" s="64">
        <f>'COSTOS Y GASTOS'!$B$105</f>
        <v>2761200</v>
      </c>
      <c r="L68" s="64">
        <f>'COSTOS Y GASTOS'!$B$105</f>
        <v>2761200</v>
      </c>
      <c r="M68" s="64">
        <f>'COSTOS Y GASTOS'!$B$105</f>
        <v>2761200</v>
      </c>
    </row>
    <row r="69" spans="1:13" ht="14.25" customHeight="1">
      <c r="A69" t="s">
        <v>166</v>
      </c>
      <c r="C69" s="28">
        <v>0</v>
      </c>
      <c r="D69" s="9">
        <f t="shared" ref="D69:M69" si="24">D68/10</f>
        <v>276120</v>
      </c>
      <c r="E69" s="9">
        <f t="shared" si="24"/>
        <v>276120</v>
      </c>
      <c r="F69" s="9">
        <f t="shared" si="24"/>
        <v>276120</v>
      </c>
      <c r="G69" s="9">
        <f t="shared" si="24"/>
        <v>276120</v>
      </c>
      <c r="H69" s="9">
        <f t="shared" si="24"/>
        <v>276120</v>
      </c>
      <c r="I69" s="9">
        <f t="shared" si="24"/>
        <v>276120</v>
      </c>
      <c r="J69" s="9">
        <f t="shared" si="24"/>
        <v>276120</v>
      </c>
      <c r="K69" s="9">
        <f t="shared" si="24"/>
        <v>276120</v>
      </c>
      <c r="L69" s="9">
        <f t="shared" si="24"/>
        <v>276120</v>
      </c>
      <c r="M69" s="9">
        <f t="shared" si="24"/>
        <v>276120</v>
      </c>
    </row>
    <row r="70" spans="1:13" ht="14.25" customHeight="1">
      <c r="A70" s="62" t="s">
        <v>119</v>
      </c>
      <c r="B70" s="62"/>
      <c r="C70" s="62"/>
      <c r="D70" s="58">
        <f t="shared" ref="D70:M70" si="25">C70+D69</f>
        <v>276120</v>
      </c>
      <c r="E70" s="58">
        <f t="shared" si="25"/>
        <v>552240</v>
      </c>
      <c r="F70" s="58">
        <f t="shared" si="25"/>
        <v>828360</v>
      </c>
      <c r="G70" s="58">
        <f t="shared" si="25"/>
        <v>1104480</v>
      </c>
      <c r="H70" s="58">
        <f t="shared" si="25"/>
        <v>1380600</v>
      </c>
      <c r="I70" s="58">
        <f t="shared" si="25"/>
        <v>1656720</v>
      </c>
      <c r="J70" s="58">
        <f t="shared" si="25"/>
        <v>1932840</v>
      </c>
      <c r="K70" s="58">
        <f t="shared" si="25"/>
        <v>2208960</v>
      </c>
      <c r="L70" s="58">
        <f t="shared" si="25"/>
        <v>2485080</v>
      </c>
      <c r="M70" s="58">
        <f t="shared" si="25"/>
        <v>2761200</v>
      </c>
    </row>
    <row r="71" spans="1:13" ht="14.25" customHeight="1">
      <c r="A71" s="65" t="s">
        <v>138</v>
      </c>
      <c r="B71" s="65"/>
      <c r="C71" s="66">
        <f t="shared" ref="C71:M71" si="26">C68-C70</f>
        <v>2761200</v>
      </c>
      <c r="D71" s="66">
        <f t="shared" si="26"/>
        <v>2485080</v>
      </c>
      <c r="E71" s="66">
        <f t="shared" si="26"/>
        <v>2208960</v>
      </c>
      <c r="F71" s="66">
        <f t="shared" si="26"/>
        <v>1932840</v>
      </c>
      <c r="G71" s="66">
        <f t="shared" si="26"/>
        <v>1656720</v>
      </c>
      <c r="H71" s="66">
        <f t="shared" si="26"/>
        <v>1380600</v>
      </c>
      <c r="I71" s="66">
        <f t="shared" si="26"/>
        <v>1104480</v>
      </c>
      <c r="J71" s="66">
        <f t="shared" si="26"/>
        <v>828360</v>
      </c>
      <c r="K71" s="66">
        <f t="shared" si="26"/>
        <v>552240</v>
      </c>
      <c r="L71" s="66">
        <f t="shared" si="26"/>
        <v>276120</v>
      </c>
      <c r="M71" s="66">
        <f t="shared" si="26"/>
        <v>0</v>
      </c>
    </row>
    <row r="72" spans="1:13" ht="14.25" customHeight="1">
      <c r="A72" s="51"/>
      <c r="B72" s="51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ht="14.25" customHeight="1">
      <c r="A73" s="86" t="s">
        <v>72</v>
      </c>
    </row>
    <row r="74" spans="1:13" ht="14.25" customHeight="1">
      <c r="C74" s="60">
        <v>0</v>
      </c>
      <c r="D74" s="59">
        <v>1</v>
      </c>
      <c r="E74" s="59">
        <v>2</v>
      </c>
      <c r="F74" s="59">
        <v>3</v>
      </c>
      <c r="G74" s="59">
        <v>4</v>
      </c>
      <c r="H74" s="59">
        <v>5</v>
      </c>
      <c r="I74" s="59">
        <v>6</v>
      </c>
      <c r="J74" s="59">
        <v>7</v>
      </c>
      <c r="K74" s="59">
        <v>8</v>
      </c>
      <c r="L74" s="60" t="s">
        <v>139</v>
      </c>
      <c r="M74" s="59">
        <v>10</v>
      </c>
    </row>
    <row r="75" spans="1:13" ht="14.25" customHeight="1">
      <c r="A75" s="28" t="s">
        <v>137</v>
      </c>
      <c r="C75" s="64">
        <f>'COSTOS Y GASTOS'!$B$106</f>
        <v>5947200</v>
      </c>
      <c r="D75" s="64">
        <f>'COSTOS Y GASTOS'!$B$106</f>
        <v>5947200</v>
      </c>
      <c r="E75" s="64">
        <f>'COSTOS Y GASTOS'!$B$106</f>
        <v>5947200</v>
      </c>
      <c r="F75" s="64">
        <f>'COSTOS Y GASTOS'!$B$106</f>
        <v>5947200</v>
      </c>
      <c r="G75" s="64">
        <f>'COSTOS Y GASTOS'!$B$106</f>
        <v>5947200</v>
      </c>
      <c r="H75" s="64">
        <f>'COSTOS Y GASTOS'!$B$106</f>
        <v>5947200</v>
      </c>
      <c r="I75" s="64">
        <f>'COSTOS Y GASTOS'!$B$106</f>
        <v>5947200</v>
      </c>
      <c r="J75" s="64">
        <f>'COSTOS Y GASTOS'!$B$106</f>
        <v>5947200</v>
      </c>
      <c r="K75" s="64">
        <f>'COSTOS Y GASTOS'!$B$106</f>
        <v>5947200</v>
      </c>
      <c r="L75" s="64">
        <f>'COSTOS Y GASTOS'!$B$106</f>
        <v>5947200</v>
      </c>
      <c r="M75" s="64">
        <f>'COSTOS Y GASTOS'!$B$106</f>
        <v>5947200</v>
      </c>
    </row>
    <row r="76" spans="1:13" ht="14.25" customHeight="1">
      <c r="A76" t="s">
        <v>166</v>
      </c>
      <c r="C76" s="28">
        <v>0</v>
      </c>
      <c r="D76" s="9">
        <f t="shared" ref="D76:M76" si="27">D75/10</f>
        <v>594720</v>
      </c>
      <c r="E76" s="9">
        <f t="shared" si="27"/>
        <v>594720</v>
      </c>
      <c r="F76" s="9">
        <f t="shared" si="27"/>
        <v>594720</v>
      </c>
      <c r="G76" s="9">
        <f t="shared" si="27"/>
        <v>594720</v>
      </c>
      <c r="H76" s="9">
        <f t="shared" si="27"/>
        <v>594720</v>
      </c>
      <c r="I76" s="9">
        <f t="shared" si="27"/>
        <v>594720</v>
      </c>
      <c r="J76" s="9">
        <f t="shared" si="27"/>
        <v>594720</v>
      </c>
      <c r="K76" s="9">
        <f t="shared" si="27"/>
        <v>594720</v>
      </c>
      <c r="L76" s="9">
        <f t="shared" si="27"/>
        <v>594720</v>
      </c>
      <c r="M76" s="9">
        <f t="shared" si="27"/>
        <v>594720</v>
      </c>
    </row>
    <row r="77" spans="1:13" ht="14.25" customHeight="1">
      <c r="A77" s="62" t="s">
        <v>119</v>
      </c>
      <c r="B77" s="62"/>
      <c r="C77" s="62"/>
      <c r="D77" s="58">
        <f t="shared" ref="D77:M77" si="28">C77+D76</f>
        <v>594720</v>
      </c>
      <c r="E77" s="58">
        <f t="shared" si="28"/>
        <v>1189440</v>
      </c>
      <c r="F77" s="58">
        <f t="shared" si="28"/>
        <v>1784160</v>
      </c>
      <c r="G77" s="58">
        <f t="shared" si="28"/>
        <v>2378880</v>
      </c>
      <c r="H77" s="58">
        <f t="shared" si="28"/>
        <v>2973600</v>
      </c>
      <c r="I77" s="58">
        <f t="shared" si="28"/>
        <v>3568320</v>
      </c>
      <c r="J77" s="58">
        <f t="shared" si="28"/>
        <v>4163040</v>
      </c>
      <c r="K77" s="58">
        <f t="shared" si="28"/>
        <v>4757760</v>
      </c>
      <c r="L77" s="58">
        <f t="shared" si="28"/>
        <v>5352480</v>
      </c>
      <c r="M77" s="58">
        <f t="shared" si="28"/>
        <v>5947200</v>
      </c>
    </row>
    <row r="78" spans="1:13" ht="14.25" customHeight="1">
      <c r="A78" s="65" t="s">
        <v>138</v>
      </c>
      <c r="B78" s="65"/>
      <c r="C78" s="66">
        <f t="shared" ref="C78:M78" si="29">C75-C77</f>
        <v>5947200</v>
      </c>
      <c r="D78" s="66">
        <f t="shared" si="29"/>
        <v>5352480</v>
      </c>
      <c r="E78" s="66">
        <f t="shared" si="29"/>
        <v>4757760</v>
      </c>
      <c r="F78" s="66">
        <f t="shared" si="29"/>
        <v>4163040</v>
      </c>
      <c r="G78" s="66">
        <f t="shared" si="29"/>
        <v>3568320</v>
      </c>
      <c r="H78" s="66">
        <f t="shared" si="29"/>
        <v>2973600</v>
      </c>
      <c r="I78" s="66">
        <f t="shared" si="29"/>
        <v>2378880</v>
      </c>
      <c r="J78" s="66">
        <f t="shared" si="29"/>
        <v>1784160</v>
      </c>
      <c r="K78" s="66">
        <f t="shared" si="29"/>
        <v>1189440</v>
      </c>
      <c r="L78" s="66">
        <f t="shared" si="29"/>
        <v>594720</v>
      </c>
      <c r="M78" s="66">
        <f t="shared" si="29"/>
        <v>0</v>
      </c>
    </row>
    <row r="79" spans="1:13" ht="14.25" customHeight="1">
      <c r="A79" s="65"/>
      <c r="B79" s="51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</row>
    <row r="80" spans="1:13" ht="14.25" customHeight="1">
      <c r="A80" s="86" t="s">
        <v>75</v>
      </c>
    </row>
    <row r="81" spans="1:14" ht="14.25" customHeight="1">
      <c r="C81" s="60">
        <v>0</v>
      </c>
      <c r="D81" s="59">
        <v>1</v>
      </c>
      <c r="E81" s="59">
        <v>2</v>
      </c>
      <c r="F81" s="59">
        <v>3</v>
      </c>
      <c r="G81" s="59">
        <v>4</v>
      </c>
      <c r="H81" s="59">
        <v>5</v>
      </c>
      <c r="I81" s="59">
        <v>6</v>
      </c>
      <c r="J81" s="59">
        <v>7</v>
      </c>
      <c r="K81" s="59">
        <v>8</v>
      </c>
      <c r="L81" s="60" t="s">
        <v>139</v>
      </c>
      <c r="M81" s="59">
        <v>10</v>
      </c>
    </row>
    <row r="82" spans="1:14" ht="14.25" customHeight="1">
      <c r="A82" s="28" t="s">
        <v>137</v>
      </c>
      <c r="C82" s="64">
        <f>'COSTOS Y GASTOS'!$B$107</f>
        <v>12234240</v>
      </c>
      <c r="D82" s="64">
        <f>'COSTOS Y GASTOS'!$B$107</f>
        <v>12234240</v>
      </c>
      <c r="E82" s="64">
        <f>'COSTOS Y GASTOS'!$B$107</f>
        <v>12234240</v>
      </c>
      <c r="F82" s="64">
        <f>'COSTOS Y GASTOS'!$B$107</f>
        <v>12234240</v>
      </c>
      <c r="G82" s="64">
        <f>'COSTOS Y GASTOS'!$B$107</f>
        <v>12234240</v>
      </c>
      <c r="H82" s="64">
        <f>'COSTOS Y GASTOS'!$B$107</f>
        <v>12234240</v>
      </c>
      <c r="I82" s="64">
        <f>'COSTOS Y GASTOS'!$B$107</f>
        <v>12234240</v>
      </c>
      <c r="J82" s="64">
        <f>'COSTOS Y GASTOS'!$B$107</f>
        <v>12234240</v>
      </c>
      <c r="K82" s="64">
        <f>'COSTOS Y GASTOS'!$B$107</f>
        <v>12234240</v>
      </c>
      <c r="L82" s="64">
        <f>'COSTOS Y GASTOS'!$B$107</f>
        <v>12234240</v>
      </c>
      <c r="M82" s="64">
        <f>'COSTOS Y GASTOS'!$B$107</f>
        <v>12234240</v>
      </c>
    </row>
    <row r="83" spans="1:14" ht="14.25" customHeight="1">
      <c r="A83" t="s">
        <v>166</v>
      </c>
      <c r="C83" s="28">
        <v>0</v>
      </c>
      <c r="D83" s="9">
        <f t="shared" ref="D83:M83" si="30">D82/10</f>
        <v>1223424</v>
      </c>
      <c r="E83" s="9">
        <f t="shared" si="30"/>
        <v>1223424</v>
      </c>
      <c r="F83" s="9">
        <f t="shared" si="30"/>
        <v>1223424</v>
      </c>
      <c r="G83" s="9">
        <f t="shared" si="30"/>
        <v>1223424</v>
      </c>
      <c r="H83" s="9">
        <f t="shared" si="30"/>
        <v>1223424</v>
      </c>
      <c r="I83" s="9">
        <f t="shared" si="30"/>
        <v>1223424</v>
      </c>
      <c r="J83" s="9">
        <f t="shared" si="30"/>
        <v>1223424</v>
      </c>
      <c r="K83" s="9">
        <f t="shared" si="30"/>
        <v>1223424</v>
      </c>
      <c r="L83" s="9">
        <f t="shared" si="30"/>
        <v>1223424</v>
      </c>
      <c r="M83" s="9">
        <f t="shared" si="30"/>
        <v>1223424</v>
      </c>
    </row>
    <row r="84" spans="1:14" ht="14.25" customHeight="1">
      <c r="A84" s="62" t="s">
        <v>119</v>
      </c>
      <c r="B84" s="62"/>
      <c r="C84" s="62"/>
      <c r="D84" s="58">
        <f t="shared" ref="D84:M84" si="31">C84+D83</f>
        <v>1223424</v>
      </c>
      <c r="E84" s="58">
        <f t="shared" si="31"/>
        <v>2446848</v>
      </c>
      <c r="F84" s="58">
        <f t="shared" si="31"/>
        <v>3670272</v>
      </c>
      <c r="G84" s="58">
        <f t="shared" si="31"/>
        <v>4893696</v>
      </c>
      <c r="H84" s="58">
        <f t="shared" si="31"/>
        <v>6117120</v>
      </c>
      <c r="I84" s="58">
        <f t="shared" si="31"/>
        <v>7340544</v>
      </c>
      <c r="J84" s="58">
        <f t="shared" si="31"/>
        <v>8563968</v>
      </c>
      <c r="K84" s="58">
        <f t="shared" si="31"/>
        <v>9787392</v>
      </c>
      <c r="L84" s="58">
        <f t="shared" si="31"/>
        <v>11010816</v>
      </c>
      <c r="M84" s="58">
        <f t="shared" si="31"/>
        <v>12234240</v>
      </c>
    </row>
    <row r="85" spans="1:14" ht="14.25" customHeight="1">
      <c r="A85" s="65" t="s">
        <v>138</v>
      </c>
      <c r="B85" s="65"/>
      <c r="C85" s="66">
        <f t="shared" ref="C85:M85" si="32">C82-C84</f>
        <v>12234240</v>
      </c>
      <c r="D85" s="66">
        <f t="shared" si="32"/>
        <v>11010816</v>
      </c>
      <c r="E85" s="66">
        <f t="shared" si="32"/>
        <v>9787392</v>
      </c>
      <c r="F85" s="66">
        <f t="shared" si="32"/>
        <v>8563968</v>
      </c>
      <c r="G85" s="66">
        <f t="shared" si="32"/>
        <v>7340544</v>
      </c>
      <c r="H85" s="66">
        <f t="shared" si="32"/>
        <v>6117120</v>
      </c>
      <c r="I85" s="66">
        <f t="shared" si="32"/>
        <v>4893696</v>
      </c>
      <c r="J85" s="66">
        <f t="shared" si="32"/>
        <v>3670272</v>
      </c>
      <c r="K85" s="66">
        <f t="shared" si="32"/>
        <v>2446848</v>
      </c>
      <c r="L85" s="66">
        <f t="shared" si="32"/>
        <v>1223424</v>
      </c>
      <c r="M85" s="66">
        <f t="shared" si="32"/>
        <v>0</v>
      </c>
    </row>
    <row r="86" spans="1:14" ht="14.25" customHeight="1"/>
    <row r="87" spans="1:14" ht="14.25" customHeight="1">
      <c r="A87" s="164" t="s">
        <v>203</v>
      </c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12">
        <v>2</v>
      </c>
    </row>
    <row r="88" spans="1:14" ht="14.25" customHeight="1"/>
    <row r="89" spans="1:14" ht="14.25" customHeight="1"/>
    <row r="90" spans="1:14">
      <c r="A90" s="75" t="s">
        <v>85</v>
      </c>
      <c r="B90" s="75" t="s">
        <v>86</v>
      </c>
      <c r="C90" s="75" t="s">
        <v>156</v>
      </c>
      <c r="D90" s="75" t="s">
        <v>87</v>
      </c>
      <c r="F90" s="16" t="s">
        <v>157</v>
      </c>
      <c r="G90" s="16" t="s">
        <v>158</v>
      </c>
      <c r="H90" s="16" t="s">
        <v>159</v>
      </c>
    </row>
    <row r="91" spans="1:14">
      <c r="A91" s="21" t="s">
        <v>168</v>
      </c>
      <c r="B91" s="76">
        <v>2000</v>
      </c>
      <c r="C91" s="77">
        <v>70</v>
      </c>
      <c r="D91" s="77">
        <f>C91*B91</f>
        <v>140000</v>
      </c>
      <c r="F91" s="16" t="s">
        <v>163</v>
      </c>
      <c r="G91" s="17">
        <v>300000</v>
      </c>
      <c r="H91" s="17">
        <f>G91*12</f>
        <v>3600000</v>
      </c>
    </row>
    <row r="92" spans="1:14">
      <c r="A92" s="21" t="s">
        <v>155</v>
      </c>
      <c r="B92" s="78">
        <v>100</v>
      </c>
      <c r="C92" s="79">
        <v>600</v>
      </c>
      <c r="D92" s="77">
        <f>B92*C92</f>
        <v>60000</v>
      </c>
      <c r="E92" s="28"/>
      <c r="F92" s="16" t="s">
        <v>160</v>
      </c>
      <c r="G92" s="17">
        <v>120000</v>
      </c>
      <c r="H92" s="17">
        <f>G92*12</f>
        <v>1440000</v>
      </c>
    </row>
    <row r="93" spans="1:14">
      <c r="A93" s="21" t="s">
        <v>153</v>
      </c>
      <c r="B93" s="80">
        <v>1</v>
      </c>
      <c r="C93" s="79">
        <v>20000</v>
      </c>
      <c r="D93" s="79">
        <f>C93</f>
        <v>20000</v>
      </c>
      <c r="F93" s="16" t="s">
        <v>161</v>
      </c>
      <c r="G93" s="17">
        <v>350000</v>
      </c>
      <c r="H93" s="17">
        <f>G93*12</f>
        <v>4200000</v>
      </c>
    </row>
    <row r="94" spans="1:14">
      <c r="A94" s="21" t="s">
        <v>154</v>
      </c>
      <c r="B94" s="84">
        <v>0.5</v>
      </c>
      <c r="C94" s="85">
        <v>120000</v>
      </c>
      <c r="D94" s="77">
        <f>C94*B94</f>
        <v>60000</v>
      </c>
      <c r="F94" s="169" t="s">
        <v>162</v>
      </c>
      <c r="G94" s="170"/>
      <c r="H94" s="17">
        <f>SUM(H91:H93)</f>
        <v>9240000</v>
      </c>
    </row>
    <row r="95" spans="1:14" ht="15.75" thickBot="1">
      <c r="A95" s="165" t="s">
        <v>149</v>
      </c>
      <c r="B95" s="166"/>
      <c r="C95" s="167"/>
      <c r="D95" s="81">
        <f>SUM(D91:D94)</f>
        <v>280000</v>
      </c>
    </row>
    <row r="96" spans="1:14" ht="15.75" thickBot="1"/>
    <row r="97" spans="1:13" ht="31.5">
      <c r="A97" s="52" t="s">
        <v>89</v>
      </c>
      <c r="B97" s="53" t="s">
        <v>90</v>
      </c>
      <c r="C97" s="54" t="s">
        <v>91</v>
      </c>
    </row>
    <row r="98" spans="1:13" ht="15.75">
      <c r="A98" s="1" t="s">
        <v>50</v>
      </c>
      <c r="B98" s="82">
        <v>46728000</v>
      </c>
      <c r="C98" s="83" t="s">
        <v>93</v>
      </c>
    </row>
    <row r="99" spans="1:13" ht="15.75">
      <c r="A99" s="1" t="s">
        <v>53</v>
      </c>
      <c r="B99" s="82">
        <v>29731752</v>
      </c>
      <c r="C99" s="83" t="s">
        <v>93</v>
      </c>
      <c r="D99" s="49"/>
    </row>
    <row r="100" spans="1:13" ht="15.75">
      <c r="A100" s="16" t="s">
        <v>54</v>
      </c>
      <c r="B100" s="82">
        <v>879336</v>
      </c>
      <c r="C100" s="83" t="s">
        <v>93</v>
      </c>
    </row>
    <row r="101" spans="1:13" ht="30">
      <c r="A101" s="11" t="s">
        <v>57</v>
      </c>
      <c r="B101" s="82">
        <v>8496000</v>
      </c>
      <c r="C101" s="83" t="s">
        <v>93</v>
      </c>
    </row>
    <row r="102" spans="1:13" ht="15.75">
      <c r="A102" s="16" t="s">
        <v>78</v>
      </c>
      <c r="B102" s="82">
        <v>26762400</v>
      </c>
      <c r="C102" s="83" t="s">
        <v>92</v>
      </c>
    </row>
    <row r="103" spans="1:13" ht="15.75">
      <c r="A103" s="16" t="s">
        <v>60</v>
      </c>
      <c r="B103" s="82">
        <v>16992000</v>
      </c>
      <c r="C103" s="83" t="s">
        <v>93</v>
      </c>
    </row>
    <row r="104" spans="1:13" ht="15.75">
      <c r="A104" s="1" t="s">
        <v>66</v>
      </c>
      <c r="B104" s="82">
        <v>8409900</v>
      </c>
      <c r="C104" s="83" t="s">
        <v>93</v>
      </c>
    </row>
    <row r="105" spans="1:13" ht="15.75">
      <c r="A105" s="16" t="s">
        <v>70</v>
      </c>
      <c r="B105" s="82">
        <v>2761200</v>
      </c>
      <c r="C105" s="83" t="s">
        <v>93</v>
      </c>
    </row>
    <row r="106" spans="1:13" ht="15.75">
      <c r="A106" s="16" t="s">
        <v>72</v>
      </c>
      <c r="B106" s="82">
        <v>5947200</v>
      </c>
      <c r="C106" s="83" t="s">
        <v>93</v>
      </c>
    </row>
    <row r="107" spans="1:13" ht="15.75">
      <c r="A107" s="1" t="s">
        <v>75</v>
      </c>
      <c r="B107" s="82">
        <v>12234240</v>
      </c>
      <c r="C107" s="83" t="s">
        <v>93</v>
      </c>
    </row>
    <row r="108" spans="1:13" ht="15.75">
      <c r="A108" s="16" t="s">
        <v>63</v>
      </c>
      <c r="B108" s="82">
        <v>7649700</v>
      </c>
      <c r="C108" s="83" t="s">
        <v>92</v>
      </c>
    </row>
    <row r="109" spans="1:13" ht="15.75">
      <c r="A109" s="55" t="s">
        <v>37</v>
      </c>
      <c r="B109" s="56">
        <f>SUM(B98:B108)</f>
        <v>166591728</v>
      </c>
    </row>
    <row r="111" spans="1:13">
      <c r="A111" s="164" t="s">
        <v>204</v>
      </c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</row>
    <row r="114" spans="1:13">
      <c r="A114" s="113" t="s">
        <v>148</v>
      </c>
      <c r="B114" s="103">
        <f>(NOMINA!M5+NOMINA!M7+NOMINA!M12)*12/INGRESOS!C10</f>
        <v>99716.34703143037</v>
      </c>
    </row>
    <row r="115" spans="1:13">
      <c r="A115" s="113" t="s">
        <v>147</v>
      </c>
      <c r="B115" s="103">
        <f>'COSTOS Y GASTOS'!H94/INGRESOS!C10</f>
        <v>4040.2980375695247</v>
      </c>
    </row>
    <row r="116" spans="1:13">
      <c r="A116" s="87" t="s">
        <v>141</v>
      </c>
      <c r="B116" s="114">
        <v>2500000</v>
      </c>
    </row>
    <row r="117" spans="1:13">
      <c r="A117" s="87" t="s">
        <v>88</v>
      </c>
      <c r="B117" s="4">
        <f>NOMINA!M4+NOMINA!M6+SUM(NOMINA!M8:M11)</f>
        <v>20601327.066849999</v>
      </c>
    </row>
    <row r="118" spans="1:13">
      <c r="A118" s="87" t="s">
        <v>16</v>
      </c>
      <c r="B118" s="4">
        <f>NOMINA!M13</f>
        <v>2626357.5</v>
      </c>
    </row>
    <row r="120" spans="1:13">
      <c r="C120" s="60">
        <v>0</v>
      </c>
      <c r="D120" s="59">
        <v>1</v>
      </c>
      <c r="E120" s="59">
        <v>2</v>
      </c>
      <c r="F120" s="59">
        <v>3</v>
      </c>
      <c r="G120" s="59">
        <v>4</v>
      </c>
      <c r="H120" s="59">
        <v>5</v>
      </c>
      <c r="I120" s="59">
        <v>6</v>
      </c>
      <c r="J120" s="59">
        <v>7</v>
      </c>
      <c r="K120" s="59">
        <v>8</v>
      </c>
      <c r="L120" s="60" t="s">
        <v>139</v>
      </c>
      <c r="M120" s="59">
        <v>10</v>
      </c>
    </row>
    <row r="121" spans="1:13">
      <c r="A121" s="28" t="s">
        <v>137</v>
      </c>
      <c r="C121" s="61">
        <v>166591728</v>
      </c>
      <c r="D121" s="61">
        <v>166591728</v>
      </c>
      <c r="E121" s="61">
        <v>166591728</v>
      </c>
      <c r="F121" s="61">
        <v>166591728</v>
      </c>
      <c r="G121" s="61">
        <v>166591728</v>
      </c>
      <c r="H121" s="61">
        <v>166591728</v>
      </c>
      <c r="I121" s="61">
        <v>132179628</v>
      </c>
      <c r="J121" s="61">
        <v>132179628</v>
      </c>
      <c r="K121" s="61">
        <v>132179628</v>
      </c>
      <c r="L121" s="61">
        <v>132179628</v>
      </c>
      <c r="M121" s="61">
        <v>132179628</v>
      </c>
    </row>
    <row r="122" spans="1:13">
      <c r="A122" t="s">
        <v>166</v>
      </c>
      <c r="C122" s="61">
        <v>0</v>
      </c>
      <c r="D122" s="61">
        <v>20100382.800000001</v>
      </c>
      <c r="E122" s="61">
        <v>20100382.800000001</v>
      </c>
      <c r="F122" s="61">
        <v>20100382.800000001</v>
      </c>
      <c r="G122" s="61">
        <v>20100382.800000001</v>
      </c>
      <c r="H122" s="61">
        <v>20100382.800000001</v>
      </c>
      <c r="I122" s="61">
        <v>13217962.800000001</v>
      </c>
      <c r="J122" s="61">
        <v>13217962.800000001</v>
      </c>
      <c r="K122" s="61">
        <v>13217962.800000001</v>
      </c>
      <c r="L122" s="61">
        <v>13217962.800000001</v>
      </c>
      <c r="M122" s="61">
        <v>13217962.800000001</v>
      </c>
    </row>
    <row r="123" spans="1:13">
      <c r="A123" s="62" t="s">
        <v>119</v>
      </c>
      <c r="B123" s="67"/>
      <c r="C123" s="67">
        <v>0</v>
      </c>
      <c r="D123" s="67">
        <v>20100382.800000001</v>
      </c>
      <c r="E123" s="67">
        <v>40200765.600000001</v>
      </c>
      <c r="F123" s="67">
        <v>60301148.400000006</v>
      </c>
      <c r="G123" s="67">
        <v>80401531.200000003</v>
      </c>
      <c r="H123" s="67">
        <v>100501914</v>
      </c>
      <c r="I123" s="67">
        <v>79307776.799999997</v>
      </c>
      <c r="J123" s="67">
        <v>92525739.599999994</v>
      </c>
      <c r="K123" s="67">
        <v>105743702.39999999</v>
      </c>
      <c r="L123" s="67">
        <v>118961665.19999999</v>
      </c>
      <c r="M123" s="67">
        <v>132179628</v>
      </c>
    </row>
    <row r="124" spans="1:13">
      <c r="A124" s="65" t="s">
        <v>138</v>
      </c>
      <c r="C124" s="66">
        <v>166591728</v>
      </c>
      <c r="D124" s="66">
        <v>146491345.19999999</v>
      </c>
      <c r="E124" s="66">
        <v>126390962.40000001</v>
      </c>
      <c r="F124" s="66">
        <v>106290579.59999999</v>
      </c>
      <c r="G124" s="66">
        <v>86190196.799999997</v>
      </c>
      <c r="H124" s="66">
        <v>66089814</v>
      </c>
      <c r="I124" s="66">
        <v>52871851.200000003</v>
      </c>
      <c r="J124" s="66">
        <v>39653888.400000006</v>
      </c>
      <c r="K124" s="66">
        <v>26435925.600000009</v>
      </c>
      <c r="L124" s="66">
        <v>13217962.800000012</v>
      </c>
      <c r="M124" s="66">
        <v>0</v>
      </c>
    </row>
  </sheetData>
  <mergeCells count="5">
    <mergeCell ref="A111:M111"/>
    <mergeCell ref="A95:C95"/>
    <mergeCell ref="A1:M1"/>
    <mergeCell ref="A87:M87"/>
    <mergeCell ref="F94:G9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917"/>
  <sheetViews>
    <sheetView workbookViewId="0">
      <selection sqref="A1:B2"/>
    </sheetView>
  </sheetViews>
  <sheetFormatPr baseColWidth="10" defaultColWidth="14.42578125" defaultRowHeight="15"/>
  <cols>
    <col min="1" max="1" width="31.140625" bestFit="1" customWidth="1"/>
    <col min="2" max="2" width="19.5703125" customWidth="1"/>
    <col min="3" max="3" width="16.42578125" customWidth="1"/>
    <col min="4" max="4" width="18" customWidth="1"/>
    <col min="5" max="5" width="29.85546875" customWidth="1"/>
    <col min="6" max="6" width="18" customWidth="1"/>
    <col min="7" max="7" width="20.85546875" customWidth="1"/>
    <col min="8" max="8" width="22.7109375" customWidth="1"/>
    <col min="9" max="9" width="20.85546875" customWidth="1"/>
    <col min="10" max="10" width="21.28515625" customWidth="1"/>
    <col min="11" max="11" width="16.85546875" customWidth="1"/>
    <col min="12" max="12" width="37.42578125" bestFit="1" customWidth="1"/>
    <col min="13" max="13" width="36.28515625" customWidth="1"/>
    <col min="14" max="14" width="25.42578125" customWidth="1"/>
    <col min="15" max="15" width="20.85546875" customWidth="1"/>
    <col min="16" max="16" width="9" customWidth="1"/>
    <col min="17" max="17" width="48.5703125" customWidth="1"/>
    <col min="18" max="18" width="27.28515625" customWidth="1"/>
    <col min="19" max="19" width="19.7109375" customWidth="1"/>
    <col min="20" max="26" width="10.7109375" customWidth="1"/>
  </cols>
  <sheetData>
    <row r="1" spans="1:13" ht="14.25" customHeight="1">
      <c r="A1" t="s">
        <v>227</v>
      </c>
      <c r="B1" t="s">
        <v>230</v>
      </c>
      <c r="C1" s="9"/>
      <c r="F1" s="57"/>
      <c r="G1" s="57"/>
      <c r="H1" s="57"/>
      <c r="I1" s="57"/>
      <c r="J1" s="57"/>
      <c r="K1" s="57"/>
      <c r="L1" s="57"/>
      <c r="M1" s="57"/>
    </row>
    <row r="2" spans="1:13" ht="14.25" customHeight="1">
      <c r="A2" s="1" t="s">
        <v>169</v>
      </c>
      <c r="B2" s="2">
        <f>510000*1.05</f>
        <v>535500</v>
      </c>
      <c r="C2" s="9"/>
      <c r="F2" s="57"/>
      <c r="G2" s="57"/>
      <c r="H2" s="57"/>
      <c r="I2" s="57"/>
      <c r="J2" s="57"/>
      <c r="K2" s="57"/>
      <c r="L2" s="57"/>
      <c r="M2" s="57"/>
    </row>
    <row r="3" spans="1:13" ht="14.25" customHeight="1">
      <c r="C3" s="9"/>
      <c r="F3" s="57"/>
      <c r="G3" s="57"/>
      <c r="H3" s="57"/>
      <c r="I3" s="57"/>
      <c r="J3" s="57"/>
      <c r="K3" s="57"/>
      <c r="L3" s="57"/>
      <c r="M3" s="57"/>
    </row>
    <row r="4" spans="1:13" ht="18.75">
      <c r="A4" s="140" t="s">
        <v>112</v>
      </c>
      <c r="E4" s="57"/>
      <c r="F4" s="57"/>
      <c r="G4" s="57"/>
      <c r="H4" s="57"/>
      <c r="J4" s="57"/>
      <c r="K4" s="57"/>
      <c r="L4" s="57"/>
      <c r="M4" s="57"/>
    </row>
    <row r="5" spans="1:13" ht="14.25" customHeight="1">
      <c r="C5" s="150" t="s">
        <v>28</v>
      </c>
      <c r="D5" s="151">
        <v>1</v>
      </c>
      <c r="E5" s="151">
        <v>2</v>
      </c>
      <c r="F5" s="151">
        <v>3</v>
      </c>
      <c r="G5" s="151">
        <v>4</v>
      </c>
      <c r="H5" s="151">
        <v>5</v>
      </c>
      <c r="J5" s="59"/>
      <c r="K5" s="59"/>
      <c r="L5" s="59"/>
      <c r="M5" s="57"/>
    </row>
    <row r="6" spans="1:13" ht="14.25" customHeight="1">
      <c r="A6" s="152" t="s">
        <v>113</v>
      </c>
      <c r="C6" s="9">
        <v>10000000</v>
      </c>
      <c r="D6" s="9">
        <v>10529000</v>
      </c>
      <c r="E6" s="9">
        <v>11085984.1</v>
      </c>
      <c r="F6" s="9">
        <v>11672432.65889</v>
      </c>
      <c r="G6" s="9">
        <v>12289904.346545281</v>
      </c>
      <c r="H6" s="9">
        <v>12940040.286477525</v>
      </c>
      <c r="J6" s="9"/>
      <c r="K6" s="9"/>
      <c r="L6" s="9"/>
      <c r="M6" s="57"/>
    </row>
    <row r="7" spans="1:13" ht="14.25" customHeight="1">
      <c r="A7" s="152" t="s">
        <v>114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1">
        <v>0</v>
      </c>
      <c r="J7" s="141"/>
      <c r="K7" s="141"/>
      <c r="L7" s="141"/>
      <c r="M7" s="57"/>
    </row>
    <row r="8" spans="1:13" ht="14.25" customHeight="1">
      <c r="A8" s="152" t="s">
        <v>115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J8" s="9"/>
      <c r="K8" s="9"/>
      <c r="L8" s="9"/>
      <c r="M8" s="57"/>
    </row>
    <row r="9" spans="1:13" ht="14.25" customHeight="1">
      <c r="A9" s="152" t="s">
        <v>116</v>
      </c>
      <c r="C9" s="9">
        <v>10000000</v>
      </c>
      <c r="D9" s="9">
        <v>10529000</v>
      </c>
      <c r="E9" s="9">
        <v>11085984.1</v>
      </c>
      <c r="F9" s="9">
        <v>11672432.65889</v>
      </c>
      <c r="G9" s="9">
        <v>12289904.346545281</v>
      </c>
      <c r="H9" s="9">
        <v>12940040.286477525</v>
      </c>
      <c r="J9" s="9"/>
      <c r="K9" s="9"/>
      <c r="L9" s="9"/>
      <c r="M9" s="57"/>
    </row>
    <row r="10" spans="1:13" ht="14.25" customHeight="1">
      <c r="A10" s="153" t="s">
        <v>117</v>
      </c>
      <c r="C10" s="60"/>
      <c r="D10" s="59"/>
      <c r="E10" s="59"/>
      <c r="F10" s="59"/>
      <c r="G10" s="59"/>
      <c r="H10" s="59"/>
      <c r="J10" s="59"/>
      <c r="K10" s="59"/>
      <c r="L10" s="59"/>
      <c r="M10" s="57"/>
    </row>
    <row r="11" spans="1:13" ht="14.25" customHeight="1">
      <c r="A11" s="152" t="s">
        <v>118</v>
      </c>
      <c r="C11" s="61">
        <v>166591728</v>
      </c>
      <c r="D11" s="61">
        <v>166591728</v>
      </c>
      <c r="E11" s="9">
        <v>166591728</v>
      </c>
      <c r="F11" s="9">
        <v>166591728</v>
      </c>
      <c r="G11" s="9">
        <v>166591728</v>
      </c>
      <c r="H11" s="9">
        <v>166591728</v>
      </c>
      <c r="J11" s="9"/>
      <c r="K11" s="9"/>
      <c r="L11" s="9"/>
      <c r="M11" s="57"/>
    </row>
    <row r="12" spans="1:13" ht="14.25" customHeight="1">
      <c r="A12" s="152" t="s">
        <v>119</v>
      </c>
      <c r="C12" s="141">
        <v>0</v>
      </c>
      <c r="D12" s="9">
        <v>20100382.800000001</v>
      </c>
      <c r="E12" s="9">
        <v>40200765.600000001</v>
      </c>
      <c r="F12" s="9">
        <v>60301148.400000006</v>
      </c>
      <c r="G12" s="9">
        <v>80401531.200000003</v>
      </c>
      <c r="H12" s="9">
        <v>100501914</v>
      </c>
      <c r="J12" s="9"/>
      <c r="K12" s="9"/>
      <c r="L12" s="9"/>
      <c r="M12" s="57"/>
    </row>
    <row r="13" spans="1:13" ht="14.25" customHeight="1">
      <c r="A13" s="152" t="s">
        <v>120</v>
      </c>
      <c r="C13" s="61">
        <v>166591728</v>
      </c>
      <c r="D13" s="61">
        <v>146491345.19999999</v>
      </c>
      <c r="E13" s="61">
        <v>126390962.40000001</v>
      </c>
      <c r="F13" s="61">
        <v>106290579.59999999</v>
      </c>
      <c r="G13" s="61">
        <v>86190196.799999997</v>
      </c>
      <c r="H13" s="61">
        <v>66089814</v>
      </c>
      <c r="J13" s="9"/>
      <c r="K13" s="9"/>
      <c r="L13" s="9"/>
    </row>
    <row r="14" spans="1:13" ht="14.25" customHeight="1">
      <c r="A14" s="152" t="s">
        <v>121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J14" s="141"/>
      <c r="K14" s="141"/>
      <c r="L14" s="141"/>
    </row>
    <row r="15" spans="1:13" ht="14.25" customHeight="1">
      <c r="A15" s="153" t="s">
        <v>122</v>
      </c>
      <c r="C15" s="154">
        <v>176591728</v>
      </c>
      <c r="D15" s="154">
        <v>157020345.19999999</v>
      </c>
      <c r="E15" s="154">
        <v>137476946.5</v>
      </c>
      <c r="F15" s="154">
        <v>117963012.25888999</v>
      </c>
      <c r="G15" s="154">
        <v>98480101.146545276</v>
      </c>
      <c r="H15" s="154">
        <v>79029854.286477521</v>
      </c>
      <c r="J15" s="9"/>
      <c r="K15" s="9"/>
      <c r="L15" s="9"/>
    </row>
    <row r="16" spans="1:13" ht="14.25" customHeight="1">
      <c r="A16" s="153"/>
      <c r="C16" s="9"/>
      <c r="D16" s="9"/>
      <c r="E16" s="9"/>
      <c r="F16" s="9"/>
      <c r="G16" s="9"/>
      <c r="H16" s="9"/>
      <c r="J16" s="9"/>
      <c r="K16" s="9"/>
      <c r="L16" s="9"/>
    </row>
    <row r="17" spans="1:12" ht="14.25" customHeight="1">
      <c r="A17" s="153" t="s">
        <v>123</v>
      </c>
      <c r="C17" s="60"/>
      <c r="D17" s="59"/>
      <c r="E17" s="59"/>
      <c r="F17" s="59"/>
      <c r="G17" s="59"/>
      <c r="H17" s="59"/>
      <c r="J17" s="59"/>
      <c r="K17" s="59"/>
      <c r="L17" s="59"/>
    </row>
    <row r="18" spans="1:12" ht="14.25" customHeight="1">
      <c r="A18" s="152" t="s">
        <v>124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J18" s="9"/>
      <c r="K18" s="9"/>
      <c r="L18" s="9"/>
    </row>
    <row r="19" spans="1:12" ht="14.25" customHeight="1">
      <c r="A19" s="152" t="s">
        <v>125</v>
      </c>
      <c r="C19" s="9">
        <v>139277489.98409998</v>
      </c>
      <c r="D19" s="9">
        <v>122549886.74874887</v>
      </c>
      <c r="E19" s="9">
        <v>101516598.44061838</v>
      </c>
      <c r="F19" s="9">
        <v>75069341.721975103</v>
      </c>
      <c r="G19" s="9">
        <v>41814561.123953044</v>
      </c>
      <c r="H19" s="9">
        <v>1.0430812835693359E-7</v>
      </c>
      <c r="J19" s="9"/>
      <c r="K19" s="9"/>
      <c r="L19" s="9"/>
    </row>
    <row r="20" spans="1:12" ht="14.25" customHeight="1">
      <c r="A20" s="153" t="s">
        <v>126</v>
      </c>
      <c r="C20" s="154">
        <v>139277489.98409998</v>
      </c>
      <c r="D20" s="154">
        <v>122549886.74874887</v>
      </c>
      <c r="E20" s="154">
        <v>101516598.44061838</v>
      </c>
      <c r="F20" s="154">
        <v>75069341.721975103</v>
      </c>
      <c r="G20" s="154">
        <v>41814561.123953044</v>
      </c>
      <c r="H20" s="154">
        <v>1.0430812835693359E-7</v>
      </c>
      <c r="J20" s="9"/>
      <c r="K20" s="9"/>
      <c r="L20" s="9"/>
    </row>
    <row r="21" spans="1:12" ht="14.25" customHeight="1">
      <c r="A21" s="153"/>
      <c r="C21" s="154"/>
      <c r="D21" s="154"/>
      <c r="E21" s="154"/>
      <c r="F21" s="154"/>
      <c r="G21" s="154"/>
      <c r="H21" s="154"/>
      <c r="J21" s="9"/>
      <c r="K21" s="9"/>
      <c r="L21" s="9"/>
    </row>
    <row r="22" spans="1:12" ht="14.25" customHeight="1">
      <c r="A22" s="153" t="s">
        <v>127</v>
      </c>
      <c r="C22" s="9"/>
      <c r="D22" s="9"/>
      <c r="E22" s="9"/>
      <c r="F22" s="9"/>
      <c r="G22" s="9"/>
      <c r="H22" s="9"/>
      <c r="J22" s="9"/>
      <c r="K22" s="9"/>
      <c r="L22" s="9"/>
    </row>
    <row r="23" spans="1:12" ht="14.25" customHeight="1">
      <c r="A23" s="152" t="s">
        <v>128</v>
      </c>
      <c r="C23" s="9">
        <v>37314238.015900016</v>
      </c>
      <c r="D23" s="9">
        <v>37314238.015900016</v>
      </c>
      <c r="E23" s="9">
        <v>37314238.015900016</v>
      </c>
      <c r="F23" s="9">
        <v>37314238.015900016</v>
      </c>
      <c r="G23" s="9">
        <v>37314238.015900016</v>
      </c>
      <c r="H23" s="9">
        <v>37314238.015900016</v>
      </c>
      <c r="J23" s="9"/>
      <c r="K23" s="9"/>
      <c r="L23" s="9"/>
    </row>
    <row r="24" spans="1:12" ht="14.25" customHeight="1">
      <c r="A24" s="152" t="s">
        <v>129</v>
      </c>
      <c r="D24" s="9">
        <v>-2843779.5646488853</v>
      </c>
      <c r="E24" s="9">
        <v>-1353889.9565183967</v>
      </c>
      <c r="F24" s="9">
        <v>5579432.5210148841</v>
      </c>
      <c r="G24" s="9">
        <v>19351302.006692171</v>
      </c>
      <c r="H24" s="9">
        <v>41715616.270577312</v>
      </c>
      <c r="J24" s="9"/>
      <c r="K24" s="9"/>
      <c r="L24" s="9"/>
    </row>
    <row r="25" spans="1:12" ht="14.25" customHeight="1">
      <c r="A25" s="153" t="s">
        <v>130</v>
      </c>
      <c r="C25" s="154">
        <v>37314238.015900016</v>
      </c>
      <c r="D25" s="154">
        <v>34470458.451251134</v>
      </c>
      <c r="E25" s="154">
        <v>35960348.059381619</v>
      </c>
      <c r="F25" s="154">
        <v>42893670.5369149</v>
      </c>
      <c r="G25" s="154">
        <v>56665540.022592187</v>
      </c>
      <c r="H25" s="154">
        <v>79029854.286477327</v>
      </c>
      <c r="J25" s="9"/>
      <c r="K25" s="9"/>
      <c r="L25" s="9"/>
    </row>
    <row r="26" spans="1:12" ht="14.25" customHeight="1">
      <c r="A26" s="153"/>
      <c r="C26" s="154"/>
      <c r="D26" s="154"/>
      <c r="E26" s="154"/>
      <c r="F26" s="154"/>
      <c r="G26" s="154"/>
      <c r="H26" s="154"/>
      <c r="J26" s="9"/>
      <c r="K26" s="9"/>
      <c r="L26" s="9"/>
    </row>
    <row r="27" spans="1:12" ht="14.25" customHeight="1">
      <c r="A27" s="152" t="s">
        <v>131</v>
      </c>
      <c r="C27" s="154">
        <v>176591728</v>
      </c>
      <c r="D27" s="154">
        <v>157020345.19999999</v>
      </c>
      <c r="E27" s="154">
        <v>137476946.5</v>
      </c>
      <c r="F27" s="154">
        <v>117963012.25889</v>
      </c>
      <c r="G27" s="154">
        <v>98480101.146545231</v>
      </c>
      <c r="H27" s="154">
        <v>79029854.286477432</v>
      </c>
      <c r="J27" s="9"/>
      <c r="K27" s="9"/>
      <c r="L27" s="9"/>
    </row>
    <row r="28" spans="1:12" ht="14.25" customHeight="1"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ht="14.25" customHeight="1"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ht="14.25" customHeight="1">
      <c r="A30" s="183" t="s">
        <v>226</v>
      </c>
      <c r="B30" s="183"/>
      <c r="C30" s="183"/>
      <c r="D30" s="183"/>
      <c r="E30" s="183"/>
      <c r="F30" s="183"/>
      <c r="G30" s="183"/>
      <c r="H30" s="183"/>
      <c r="I30" s="183"/>
      <c r="J30" s="141"/>
      <c r="K30" s="141"/>
      <c r="L30" s="141"/>
    </row>
    <row r="31" spans="1:12" ht="14.25" customHeight="1">
      <c r="D31" s="141"/>
      <c r="E31" s="141"/>
      <c r="F31" s="141"/>
      <c r="G31" s="141"/>
      <c r="H31" s="141"/>
      <c r="I31" s="141"/>
      <c r="J31" s="141"/>
      <c r="K31" s="141"/>
      <c r="L31" s="141"/>
    </row>
    <row r="32" spans="1:12" ht="14.25" customHeight="1">
      <c r="D32" s="150" t="s">
        <v>28</v>
      </c>
      <c r="E32" s="151">
        <v>1</v>
      </c>
      <c r="F32" s="151">
        <v>2</v>
      </c>
      <c r="G32" s="151">
        <v>3</v>
      </c>
      <c r="H32" s="151">
        <v>4</v>
      </c>
      <c r="I32" s="151">
        <v>5</v>
      </c>
      <c r="J32" s="59"/>
      <c r="K32" s="59"/>
      <c r="L32" s="59"/>
    </row>
    <row r="33" spans="1:13" ht="14.25" customHeight="1">
      <c r="A33" s="1" t="s">
        <v>167</v>
      </c>
      <c r="B33" s="156">
        <v>0.25740000000000002</v>
      </c>
      <c r="C33" s="31" t="s">
        <v>132</v>
      </c>
      <c r="E33" s="142">
        <v>0.78869770153729957</v>
      </c>
      <c r="F33" s="142">
        <v>0.78047138791253201</v>
      </c>
      <c r="G33" s="142">
        <v>0.73842634001634866</v>
      </c>
      <c r="H33" s="142">
        <v>0.63638033892541324</v>
      </c>
      <c r="I33" s="142">
        <v>0.4245990879084301</v>
      </c>
      <c r="J33" s="142"/>
      <c r="K33" s="142"/>
      <c r="L33" s="142"/>
      <c r="M33" s="59"/>
    </row>
    <row r="34" spans="1:13" ht="14.25" customHeight="1">
      <c r="A34" s="1" t="s">
        <v>133</v>
      </c>
      <c r="B34" s="156">
        <v>0.36149999999999999</v>
      </c>
      <c r="C34" s="31" t="s">
        <v>132</v>
      </c>
      <c r="E34" s="142">
        <v>0.21130229846270046</v>
      </c>
      <c r="F34" s="142">
        <v>0.21952861208746813</v>
      </c>
      <c r="G34" s="142">
        <v>0.26157365998365129</v>
      </c>
      <c r="H34" s="142">
        <v>0.36361966107458671</v>
      </c>
      <c r="I34" s="142">
        <v>0.57540091209156996</v>
      </c>
      <c r="J34" s="142"/>
      <c r="K34" s="142"/>
      <c r="L34" s="142"/>
      <c r="M34" s="142"/>
    </row>
    <row r="35" spans="1:13" ht="14.25" customHeight="1">
      <c r="E35" s="50">
        <v>1</v>
      </c>
      <c r="F35" s="50">
        <v>1.0000000000000002</v>
      </c>
      <c r="G35" s="50">
        <v>1</v>
      </c>
      <c r="H35" s="50">
        <v>1</v>
      </c>
      <c r="I35" s="50">
        <v>1</v>
      </c>
      <c r="J35" s="50"/>
      <c r="K35" s="50"/>
      <c r="L35" s="50"/>
      <c r="M35" s="142"/>
    </row>
    <row r="36" spans="1:13" ht="14.25" customHeight="1">
      <c r="B36" s="89" t="s">
        <v>165</v>
      </c>
      <c r="C36" s="50"/>
      <c r="E36" s="57">
        <v>31213823.241050031</v>
      </c>
      <c r="F36" s="57">
        <v>78429300.956612408</v>
      </c>
      <c r="G36" s="57">
        <v>146520124.5192025</v>
      </c>
      <c r="H36" s="57">
        <v>226350114.10777572</v>
      </c>
      <c r="I36" s="57">
        <v>318814900.28430647</v>
      </c>
      <c r="J36" s="57"/>
      <c r="K36" s="57"/>
      <c r="L36" s="57"/>
      <c r="M36" s="50"/>
    </row>
    <row r="37" spans="1:13" ht="14.25" customHeight="1">
      <c r="C37" s="62" t="s">
        <v>134</v>
      </c>
      <c r="D37" s="62"/>
      <c r="E37" s="143">
        <v>0.20834279333847183</v>
      </c>
      <c r="F37" s="143">
        <v>0.20994026118126546</v>
      </c>
      <c r="G37" s="143">
        <v>0.21810498903222525</v>
      </c>
      <c r="H37" s="143">
        <v>0.23792130198407399</v>
      </c>
      <c r="I37" s="143">
        <v>0.279047103119062</v>
      </c>
      <c r="J37" s="142"/>
      <c r="K37" s="142"/>
      <c r="L37" s="142"/>
    </row>
    <row r="38" spans="1:13" ht="14.25" customHeight="1">
      <c r="E38" s="142"/>
      <c r="F38" s="142"/>
      <c r="G38" s="142"/>
      <c r="H38" s="142"/>
      <c r="I38" s="142"/>
      <c r="J38" s="142"/>
      <c r="K38" s="142"/>
      <c r="L38" s="142"/>
      <c r="M38" s="142"/>
    </row>
    <row r="39" spans="1:13" ht="14.25" customHeight="1">
      <c r="C39" s="88" t="s">
        <v>135</v>
      </c>
      <c r="D39" s="144">
        <v>377483711.06710482</v>
      </c>
      <c r="E39" s="145">
        <v>25831927.341421776</v>
      </c>
      <c r="F39" s="145">
        <v>53644383.627535433</v>
      </c>
      <c r="G39" s="145">
        <v>82273215.755781934</v>
      </c>
      <c r="H39" s="145">
        <v>102671256.03287724</v>
      </c>
      <c r="I39" s="145">
        <v>113062928.30948845</v>
      </c>
      <c r="J39" s="9"/>
      <c r="K39" s="9"/>
      <c r="L39" s="9"/>
    </row>
    <row r="40" spans="1:13" ht="14.25" customHeight="1">
      <c r="E40" s="142"/>
      <c r="F40" s="142"/>
      <c r="G40" s="142"/>
      <c r="H40" s="142"/>
      <c r="I40" s="142"/>
      <c r="J40" s="142"/>
      <c r="K40" s="142"/>
      <c r="L40" s="142"/>
    </row>
    <row r="41" spans="1:13" ht="14.25" customHeight="1">
      <c r="C41" s="157" t="s">
        <v>136</v>
      </c>
      <c r="D41" s="158">
        <v>200891983.06710482</v>
      </c>
      <c r="F41" s="146"/>
      <c r="G41" s="63"/>
    </row>
    <row r="42" spans="1:13" ht="14.25" customHeight="1">
      <c r="D42" s="9"/>
      <c r="G42" s="63"/>
    </row>
    <row r="43" spans="1:13" ht="14.25" customHeight="1">
      <c r="A43" s="89" t="s">
        <v>229</v>
      </c>
      <c r="B43" s="155" t="s">
        <v>136</v>
      </c>
      <c r="C43" s="103">
        <v>200891983.06710482</v>
      </c>
      <c r="D43" s="9"/>
      <c r="E43" s="147" t="s">
        <v>183</v>
      </c>
      <c r="F43" s="147" t="s">
        <v>184</v>
      </c>
      <c r="G43" s="148" t="s">
        <v>185</v>
      </c>
      <c r="H43" s="147" t="s">
        <v>186</v>
      </c>
      <c r="I43" s="147" t="s">
        <v>187</v>
      </c>
      <c r="J43" s="147" t="s">
        <v>188</v>
      </c>
    </row>
    <row r="44" spans="1:13" ht="14.25" customHeight="1">
      <c r="B44" s="105" t="s">
        <v>182</v>
      </c>
      <c r="C44" s="104">
        <v>0.52345228119919462</v>
      </c>
      <c r="D44" s="9"/>
      <c r="E44" s="9">
        <v>-176591728</v>
      </c>
      <c r="F44" s="149">
        <v>31213823.241050031</v>
      </c>
      <c r="G44" s="149">
        <v>78429300.956612408</v>
      </c>
      <c r="H44" s="149">
        <v>146520124.5192025</v>
      </c>
      <c r="I44" s="149">
        <v>226350114.10777572</v>
      </c>
      <c r="J44" s="149">
        <v>318814900.28430647</v>
      </c>
    </row>
    <row r="129" spans="13:13" ht="14.25" customHeight="1">
      <c r="M129" s="57"/>
    </row>
    <row r="130" spans="13:13" ht="14.25" customHeight="1"/>
    <row r="131" spans="13:13" ht="14.25" customHeight="1"/>
    <row r="132" spans="13:13" ht="14.25" customHeight="1"/>
    <row r="133" spans="13:13" ht="14.25" customHeight="1"/>
    <row r="134" spans="13:13" ht="14.25" customHeight="1"/>
    <row r="135" spans="13:13" ht="14.25" customHeight="1"/>
    <row r="136" spans="13:13" ht="14.25" customHeight="1"/>
    <row r="137" spans="13:13" ht="14.25" customHeight="1"/>
    <row r="138" spans="13:13" ht="14.25" customHeight="1"/>
    <row r="139" spans="13:13" ht="14.25" customHeight="1"/>
    <row r="140" spans="13:13" ht="14.25" customHeight="1"/>
    <row r="141" spans="13:13" ht="14.25" customHeight="1"/>
    <row r="142" spans="13:13" ht="14.25" customHeight="1"/>
    <row r="143" spans="13:13" ht="14.25" customHeight="1"/>
    <row r="144" spans="13:13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</sheetData>
  <mergeCells count="1">
    <mergeCell ref="A30:I3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M917"/>
  <sheetViews>
    <sheetView topLeftCell="A1048554" workbookViewId="0">
      <selection activeCell="A1048575" sqref="A1048575"/>
    </sheetView>
  </sheetViews>
  <sheetFormatPr baseColWidth="10" defaultColWidth="14.42578125" defaultRowHeight="15"/>
  <cols>
    <col min="1" max="1" width="31.140625" bestFit="1" customWidth="1"/>
    <col min="2" max="2" width="19.5703125" customWidth="1"/>
    <col min="3" max="3" width="16.42578125" customWidth="1"/>
    <col min="4" max="4" width="18" customWidth="1"/>
    <col min="5" max="5" width="29.85546875" customWidth="1"/>
    <col min="6" max="6" width="18" customWidth="1"/>
    <col min="7" max="7" width="20.85546875" customWidth="1"/>
    <col min="8" max="8" width="22.7109375" customWidth="1"/>
    <col min="9" max="9" width="20.85546875" customWidth="1"/>
    <col min="10" max="10" width="21.28515625" customWidth="1"/>
    <col min="11" max="11" width="16.85546875" customWidth="1"/>
    <col min="12" max="12" width="37.42578125" bestFit="1" customWidth="1"/>
    <col min="13" max="13" width="36.28515625" customWidth="1"/>
    <col min="14" max="14" width="25.42578125" customWidth="1"/>
    <col min="15" max="15" width="20.85546875" customWidth="1"/>
    <col min="16" max="16" width="9" customWidth="1"/>
    <col min="17" max="17" width="48.5703125" customWidth="1"/>
    <col min="18" max="18" width="27.28515625" customWidth="1"/>
    <col min="19" max="19" width="19.7109375" customWidth="1"/>
    <col min="20" max="26" width="10.7109375" customWidth="1"/>
  </cols>
  <sheetData>
    <row r="1" spans="1:13" ht="14.25" customHeight="1">
      <c r="A1" t="s">
        <v>232</v>
      </c>
      <c r="B1" t="s">
        <v>233</v>
      </c>
      <c r="C1" s="9"/>
      <c r="F1" s="57"/>
      <c r="G1" s="57"/>
      <c r="H1" s="57"/>
      <c r="I1" s="57"/>
      <c r="J1" s="57"/>
      <c r="K1" s="57"/>
      <c r="L1" s="57"/>
      <c r="M1" s="57"/>
    </row>
    <row r="2" spans="1:13" ht="14.25" customHeight="1">
      <c r="A2" s="1" t="s">
        <v>169</v>
      </c>
      <c r="B2" s="2">
        <f>510000*0.95</f>
        <v>484500</v>
      </c>
      <c r="C2" s="9"/>
      <c r="F2" s="57"/>
      <c r="G2" s="57"/>
      <c r="H2" s="57"/>
      <c r="I2" s="57"/>
      <c r="J2" s="57"/>
      <c r="K2" s="57"/>
      <c r="L2" s="57"/>
      <c r="M2" s="57"/>
    </row>
    <row r="3" spans="1:13" ht="14.25" customHeight="1">
      <c r="C3" s="9"/>
      <c r="F3" s="57"/>
      <c r="G3" s="57"/>
      <c r="H3" s="57"/>
      <c r="I3" s="57"/>
      <c r="J3" s="57"/>
      <c r="K3" s="57"/>
      <c r="L3" s="57"/>
      <c r="M3" s="57"/>
    </row>
    <row r="4" spans="1:13" ht="18.75">
      <c r="A4" s="140" t="s">
        <v>112</v>
      </c>
      <c r="E4" s="57"/>
      <c r="F4" s="57"/>
      <c r="G4" s="57"/>
      <c r="H4" s="57"/>
      <c r="J4" s="57"/>
      <c r="K4" s="57"/>
      <c r="L4" s="57"/>
      <c r="M4" s="57"/>
    </row>
    <row r="5" spans="1:13" ht="14.25" customHeight="1">
      <c r="C5" s="150" t="s">
        <v>28</v>
      </c>
      <c r="D5" s="151">
        <v>1</v>
      </c>
      <c r="E5" s="151">
        <v>2</v>
      </c>
      <c r="F5" s="151">
        <v>3</v>
      </c>
      <c r="G5" s="151">
        <v>4</v>
      </c>
      <c r="H5" s="151">
        <v>5</v>
      </c>
      <c r="J5" s="59"/>
      <c r="K5" s="59"/>
      <c r="L5" s="59"/>
      <c r="M5" s="57"/>
    </row>
    <row r="6" spans="1:13" ht="14.25" customHeight="1">
      <c r="A6" s="152" t="s">
        <v>113</v>
      </c>
      <c r="C6" s="9">
        <v>10000000</v>
      </c>
      <c r="D6" s="9">
        <v>10529000</v>
      </c>
      <c r="E6" s="9">
        <v>11085984.1</v>
      </c>
      <c r="F6" s="9">
        <v>11672432.65889</v>
      </c>
      <c r="G6" s="9">
        <v>12289904.346545281</v>
      </c>
      <c r="H6" s="9">
        <v>12940040.286477525</v>
      </c>
      <c r="J6" s="9"/>
      <c r="K6" s="9"/>
      <c r="L6" s="9"/>
      <c r="M6" s="57"/>
    </row>
    <row r="7" spans="1:13" ht="14.25" customHeight="1">
      <c r="A7" s="152" t="s">
        <v>114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1">
        <v>0</v>
      </c>
      <c r="J7" s="141"/>
      <c r="K7" s="141"/>
      <c r="L7" s="141"/>
      <c r="M7" s="57"/>
    </row>
    <row r="8" spans="1:13" ht="14.25" customHeight="1">
      <c r="A8" s="152" t="s">
        <v>115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J8" s="9"/>
      <c r="K8" s="9"/>
      <c r="L8" s="9"/>
      <c r="M8" s="57"/>
    </row>
    <row r="9" spans="1:13" ht="14.25" customHeight="1">
      <c r="A9" s="152" t="s">
        <v>116</v>
      </c>
      <c r="C9" s="9">
        <v>10000000</v>
      </c>
      <c r="D9" s="9">
        <v>10529000</v>
      </c>
      <c r="E9" s="9">
        <v>11085984.1</v>
      </c>
      <c r="F9" s="9">
        <v>11672432.65889</v>
      </c>
      <c r="G9" s="9">
        <v>12289904.346545281</v>
      </c>
      <c r="H9" s="9">
        <v>12940040.286477525</v>
      </c>
      <c r="J9" s="9"/>
      <c r="K9" s="9"/>
      <c r="L9" s="9"/>
      <c r="M9" s="57"/>
    </row>
    <row r="10" spans="1:13" ht="14.25" customHeight="1">
      <c r="A10" s="153" t="s">
        <v>117</v>
      </c>
      <c r="C10" s="60"/>
      <c r="D10" s="59"/>
      <c r="E10" s="59"/>
      <c r="F10" s="59"/>
      <c r="G10" s="59"/>
      <c r="H10" s="59"/>
      <c r="J10" s="59"/>
      <c r="K10" s="59"/>
      <c r="L10" s="59"/>
      <c r="M10" s="57"/>
    </row>
    <row r="11" spans="1:13" ht="14.25" customHeight="1">
      <c r="A11" s="152" t="s">
        <v>118</v>
      </c>
      <c r="C11" s="61">
        <v>166591728</v>
      </c>
      <c r="D11" s="61">
        <v>166591728</v>
      </c>
      <c r="E11" s="9">
        <v>166591728</v>
      </c>
      <c r="F11" s="9">
        <v>166591728</v>
      </c>
      <c r="G11" s="9">
        <v>166591728</v>
      </c>
      <c r="H11" s="9">
        <v>166591728</v>
      </c>
      <c r="J11" s="9"/>
      <c r="K11" s="9"/>
      <c r="L11" s="9"/>
      <c r="M11" s="57"/>
    </row>
    <row r="12" spans="1:13" ht="14.25" customHeight="1">
      <c r="A12" s="152" t="s">
        <v>119</v>
      </c>
      <c r="C12" s="141">
        <v>0</v>
      </c>
      <c r="D12" s="9">
        <v>20100382.800000001</v>
      </c>
      <c r="E12" s="9">
        <v>40200765.600000001</v>
      </c>
      <c r="F12" s="9">
        <v>60301148.400000006</v>
      </c>
      <c r="G12" s="9">
        <v>80401531.200000003</v>
      </c>
      <c r="H12" s="9">
        <v>100501914</v>
      </c>
      <c r="J12" s="9"/>
      <c r="K12" s="9"/>
      <c r="L12" s="9"/>
      <c r="M12" s="57"/>
    </row>
    <row r="13" spans="1:13" ht="14.25" customHeight="1">
      <c r="A13" s="152" t="s">
        <v>120</v>
      </c>
      <c r="C13" s="61">
        <v>166591728</v>
      </c>
      <c r="D13" s="61">
        <v>146491345.19999999</v>
      </c>
      <c r="E13" s="61">
        <v>126390962.40000001</v>
      </c>
      <c r="F13" s="61">
        <v>106290579.59999999</v>
      </c>
      <c r="G13" s="61">
        <v>86190196.799999997</v>
      </c>
      <c r="H13" s="61">
        <v>66089814</v>
      </c>
      <c r="J13" s="9"/>
      <c r="K13" s="9"/>
      <c r="L13" s="9"/>
    </row>
    <row r="14" spans="1:13" ht="14.25" customHeight="1">
      <c r="A14" s="152" t="s">
        <v>121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J14" s="141"/>
      <c r="K14" s="141"/>
      <c r="L14" s="141"/>
    </row>
    <row r="15" spans="1:13" ht="14.25" customHeight="1">
      <c r="A15" s="153" t="s">
        <v>122</v>
      </c>
      <c r="C15" s="154">
        <v>176591728</v>
      </c>
      <c r="D15" s="154">
        <v>157020345.19999999</v>
      </c>
      <c r="E15" s="154">
        <v>137476946.5</v>
      </c>
      <c r="F15" s="154">
        <v>117963012.25888999</v>
      </c>
      <c r="G15" s="154">
        <v>98480101.146545276</v>
      </c>
      <c r="H15" s="154">
        <v>79029854.286477521</v>
      </c>
      <c r="J15" s="9"/>
      <c r="K15" s="9"/>
      <c r="L15" s="9"/>
    </row>
    <row r="16" spans="1:13" ht="14.25" customHeight="1">
      <c r="A16" s="153"/>
      <c r="C16" s="9"/>
      <c r="D16" s="9"/>
      <c r="E16" s="9"/>
      <c r="F16" s="9"/>
      <c r="G16" s="9"/>
      <c r="H16" s="9"/>
      <c r="J16" s="9"/>
      <c r="K16" s="9"/>
      <c r="L16" s="9"/>
    </row>
    <row r="17" spans="1:12" ht="14.25" customHeight="1">
      <c r="A17" s="153" t="s">
        <v>123</v>
      </c>
      <c r="C17" s="60"/>
      <c r="D17" s="59"/>
      <c r="E17" s="59"/>
      <c r="F17" s="59"/>
      <c r="G17" s="59"/>
      <c r="H17" s="59"/>
      <c r="J17" s="59"/>
      <c r="K17" s="59"/>
      <c r="L17" s="59"/>
    </row>
    <row r="18" spans="1:12" ht="14.25" customHeight="1">
      <c r="A18" s="152" t="s">
        <v>124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J18" s="9"/>
      <c r="K18" s="9"/>
      <c r="L18" s="9"/>
    </row>
    <row r="19" spans="1:12" ht="14.25" customHeight="1">
      <c r="A19" s="152" t="s">
        <v>125</v>
      </c>
      <c r="C19" s="9">
        <v>139277489.98409998</v>
      </c>
      <c r="D19" s="9">
        <v>122549886.74874887</v>
      </c>
      <c r="E19" s="9">
        <v>101516598.44061838</v>
      </c>
      <c r="F19" s="9">
        <v>75069341.721975103</v>
      </c>
      <c r="G19" s="9">
        <v>41814561.123953044</v>
      </c>
      <c r="H19" s="9">
        <v>1.0430812835693359E-7</v>
      </c>
      <c r="J19" s="9"/>
      <c r="K19" s="9"/>
      <c r="L19" s="9"/>
    </row>
    <row r="20" spans="1:12" ht="14.25" customHeight="1">
      <c r="A20" s="153" t="s">
        <v>126</v>
      </c>
      <c r="C20" s="154">
        <v>139277489.98409998</v>
      </c>
      <c r="D20" s="154">
        <v>122549886.74874887</v>
      </c>
      <c r="E20" s="154">
        <v>101516598.44061838</v>
      </c>
      <c r="F20" s="154">
        <v>75069341.721975103</v>
      </c>
      <c r="G20" s="154">
        <v>41814561.123953044</v>
      </c>
      <c r="H20" s="154">
        <v>1.0430812835693359E-7</v>
      </c>
      <c r="J20" s="9"/>
      <c r="K20" s="9"/>
      <c r="L20" s="9"/>
    </row>
    <row r="21" spans="1:12" ht="14.25" customHeight="1">
      <c r="A21" s="153"/>
      <c r="C21" s="154"/>
      <c r="D21" s="154"/>
      <c r="E21" s="154"/>
      <c r="F21" s="154"/>
      <c r="G21" s="154"/>
      <c r="H21" s="154"/>
      <c r="J21" s="9"/>
      <c r="K21" s="9"/>
      <c r="L21" s="9"/>
    </row>
    <row r="22" spans="1:12" ht="14.25" customHeight="1">
      <c r="A22" s="153" t="s">
        <v>127</v>
      </c>
      <c r="C22" s="9"/>
      <c r="D22" s="9"/>
      <c r="E22" s="9"/>
      <c r="F22" s="9"/>
      <c r="G22" s="9"/>
      <c r="H22" s="9"/>
      <c r="J22" s="9"/>
      <c r="K22" s="9"/>
      <c r="L22" s="9"/>
    </row>
    <row r="23" spans="1:12" ht="14.25" customHeight="1">
      <c r="A23" s="152" t="s">
        <v>128</v>
      </c>
      <c r="C23" s="9">
        <v>37314238.015900016</v>
      </c>
      <c r="D23" s="9">
        <v>37314238.015900016</v>
      </c>
      <c r="E23" s="9">
        <v>37314238.015900016</v>
      </c>
      <c r="F23" s="9">
        <v>37314238.015900016</v>
      </c>
      <c r="G23" s="9">
        <v>37314238.015900016</v>
      </c>
      <c r="H23" s="9">
        <v>37314238.015900016</v>
      </c>
      <c r="J23" s="9"/>
      <c r="K23" s="9"/>
      <c r="L23" s="9"/>
    </row>
    <row r="24" spans="1:12" ht="14.25" customHeight="1">
      <c r="A24" s="152" t="s">
        <v>129</v>
      </c>
      <c r="D24" s="9">
        <v>-2843779.5646488816</v>
      </c>
      <c r="E24" s="9">
        <v>-1353889.9565183893</v>
      </c>
      <c r="F24" s="9">
        <v>5579432.5210148897</v>
      </c>
      <c r="G24" s="9">
        <v>19351302.006692231</v>
      </c>
      <c r="H24" s="9">
        <v>41715616.270577416</v>
      </c>
      <c r="J24" s="9"/>
      <c r="K24" s="9"/>
      <c r="L24" s="9"/>
    </row>
    <row r="25" spans="1:12" ht="14.25" customHeight="1">
      <c r="A25" s="153" t="s">
        <v>130</v>
      </c>
      <c r="C25" s="154">
        <v>37314238.015900016</v>
      </c>
      <c r="D25" s="154">
        <v>34470458.451251134</v>
      </c>
      <c r="E25" s="154">
        <v>35960348.059381627</v>
      </c>
      <c r="F25" s="154">
        <v>42893670.536914907</v>
      </c>
      <c r="G25" s="154">
        <v>56665540.022592247</v>
      </c>
      <c r="H25" s="154">
        <v>79029854.286477432</v>
      </c>
      <c r="J25" s="9"/>
      <c r="K25" s="9"/>
      <c r="L25" s="9"/>
    </row>
    <row r="26" spans="1:12" ht="14.25" customHeight="1">
      <c r="A26" s="153"/>
      <c r="C26" s="154"/>
      <c r="D26" s="154"/>
      <c r="E26" s="154"/>
      <c r="F26" s="154"/>
      <c r="G26" s="154"/>
      <c r="H26" s="154"/>
      <c r="J26" s="9"/>
      <c r="K26" s="9"/>
      <c r="L26" s="9"/>
    </row>
    <row r="27" spans="1:12" ht="14.25" customHeight="1">
      <c r="A27" s="152" t="s">
        <v>131</v>
      </c>
      <c r="C27" s="154">
        <v>176591728</v>
      </c>
      <c r="D27" s="154">
        <v>157020345.19999999</v>
      </c>
      <c r="E27" s="154">
        <v>137476946.5</v>
      </c>
      <c r="F27" s="154">
        <v>117963012.25889</v>
      </c>
      <c r="G27" s="154">
        <v>98480101.146545291</v>
      </c>
      <c r="H27" s="154">
        <v>79029854.286477536</v>
      </c>
      <c r="J27" s="9"/>
      <c r="K27" s="9"/>
      <c r="L27" s="9"/>
    </row>
    <row r="28" spans="1:12" ht="14.25" customHeight="1"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ht="14.25" customHeight="1"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ht="14.25" customHeight="1">
      <c r="A30" s="183" t="s">
        <v>226</v>
      </c>
      <c r="B30" s="183"/>
      <c r="C30" s="183"/>
      <c r="D30" s="183"/>
      <c r="E30" s="183"/>
      <c r="F30" s="183"/>
      <c r="G30" s="183"/>
      <c r="H30" s="183"/>
      <c r="I30" s="183"/>
      <c r="J30" s="141"/>
      <c r="K30" s="141"/>
      <c r="L30" s="141"/>
    </row>
    <row r="31" spans="1:12" ht="14.25" customHeight="1">
      <c r="D31" s="141"/>
      <c r="E31" s="141"/>
      <c r="F31" s="141"/>
      <c r="G31" s="141"/>
      <c r="H31" s="141"/>
      <c r="I31" s="141"/>
      <c r="J31" s="141"/>
      <c r="K31" s="141"/>
      <c r="L31" s="141"/>
    </row>
    <row r="32" spans="1:12" ht="14.25" customHeight="1">
      <c r="D32" s="150" t="s">
        <v>28</v>
      </c>
      <c r="E32" s="151">
        <v>1</v>
      </c>
      <c r="F32" s="151">
        <v>2</v>
      </c>
      <c r="G32" s="151">
        <v>3</v>
      </c>
      <c r="H32" s="151">
        <v>4</v>
      </c>
      <c r="I32" s="151">
        <v>5</v>
      </c>
      <c r="J32" s="59"/>
      <c r="K32" s="59"/>
      <c r="L32" s="59"/>
    </row>
    <row r="33" spans="1:13" ht="14.25" customHeight="1">
      <c r="A33" s="1" t="s">
        <v>167</v>
      </c>
      <c r="B33" s="156">
        <v>0.25740000000000002</v>
      </c>
      <c r="C33" s="31" t="s">
        <v>132</v>
      </c>
      <c r="E33" s="142">
        <v>0.78869770153729957</v>
      </c>
      <c r="F33" s="142">
        <v>0.78047138791253201</v>
      </c>
      <c r="G33" s="142">
        <v>0.73842634001634866</v>
      </c>
      <c r="H33" s="142">
        <v>0.63638033892541324</v>
      </c>
      <c r="I33" s="142">
        <v>0.42459908790842982</v>
      </c>
      <c r="J33" s="142"/>
      <c r="K33" s="142"/>
      <c r="L33" s="142"/>
      <c r="M33" s="59"/>
    </row>
    <row r="34" spans="1:13" ht="14.25" customHeight="1">
      <c r="A34" s="1" t="s">
        <v>133</v>
      </c>
      <c r="B34" s="156">
        <v>0.36149999999999999</v>
      </c>
      <c r="C34" s="31" t="s">
        <v>132</v>
      </c>
      <c r="E34" s="142">
        <v>0.21130229846270046</v>
      </c>
      <c r="F34" s="142">
        <v>0.21952861208746813</v>
      </c>
      <c r="G34" s="142">
        <v>0.26157365998365134</v>
      </c>
      <c r="H34" s="142">
        <v>0.36361966107458676</v>
      </c>
      <c r="I34" s="142">
        <v>0.57540091209157018</v>
      </c>
      <c r="J34" s="142"/>
      <c r="K34" s="142"/>
      <c r="L34" s="142"/>
      <c r="M34" s="142"/>
    </row>
    <row r="35" spans="1:13" ht="14.25" customHeight="1">
      <c r="E35" s="50">
        <v>1</v>
      </c>
      <c r="F35" s="50">
        <v>1.0000000000000002</v>
      </c>
      <c r="G35" s="50">
        <v>1</v>
      </c>
      <c r="H35" s="50">
        <v>1</v>
      </c>
      <c r="I35" s="50">
        <v>1</v>
      </c>
      <c r="J35" s="50"/>
      <c r="K35" s="50"/>
      <c r="L35" s="50"/>
      <c r="M35" s="142"/>
    </row>
    <row r="36" spans="1:13" ht="14.25" customHeight="1">
      <c r="B36" s="89" t="s">
        <v>165</v>
      </c>
      <c r="C36" s="50"/>
      <c r="E36" s="57">
        <v>-85421136.758949965</v>
      </c>
      <c r="F36" s="57">
        <v>-29646324.308871694</v>
      </c>
      <c r="G36" s="57">
        <v>43325141.719202533</v>
      </c>
      <c r="H36" s="57">
        <v>105623274.10777563</v>
      </c>
      <c r="I36" s="57">
        <v>178988356.28430644</v>
      </c>
      <c r="J36" s="57"/>
      <c r="K36" s="57"/>
      <c r="L36" s="57"/>
      <c r="M36" s="50"/>
    </row>
    <row r="37" spans="1:13" ht="14.25" customHeight="1">
      <c r="C37" s="62" t="s">
        <v>134</v>
      </c>
      <c r="D37" s="62"/>
      <c r="E37" s="143">
        <v>0.20834279333847183</v>
      </c>
      <c r="F37" s="143">
        <v>0.20994026118126546</v>
      </c>
      <c r="G37" s="143">
        <v>0.21810498903222525</v>
      </c>
      <c r="H37" s="143">
        <v>0.23792130198407402</v>
      </c>
      <c r="I37" s="143">
        <v>0.279047103119062</v>
      </c>
      <c r="J37" s="142"/>
      <c r="K37" s="142"/>
      <c r="L37" s="142"/>
    </row>
    <row r="38" spans="1:13" ht="14.25" customHeight="1">
      <c r="E38" s="142"/>
      <c r="F38" s="142"/>
      <c r="G38" s="142"/>
      <c r="H38" s="142"/>
      <c r="I38" s="142"/>
      <c r="J38" s="142"/>
      <c r="K38" s="142"/>
      <c r="L38" s="142"/>
      <c r="M38" s="142"/>
    </row>
    <row r="39" spans="1:13" ht="14.25" customHeight="1">
      <c r="C39" s="88" t="s">
        <v>135</v>
      </c>
      <c r="D39" s="144">
        <v>44743013.189833097</v>
      </c>
      <c r="E39" s="145">
        <v>-70692801.107328191</v>
      </c>
      <c r="F39" s="145">
        <v>-20277610.216763746</v>
      </c>
      <c r="G39" s="145">
        <v>24327707.501003567</v>
      </c>
      <c r="H39" s="145">
        <v>47910177.830909565</v>
      </c>
      <c r="I39" s="145">
        <v>63475539.18201191</v>
      </c>
      <c r="J39" s="9"/>
      <c r="K39" s="9"/>
      <c r="L39" s="9"/>
    </row>
    <row r="40" spans="1:13" ht="14.25" customHeight="1">
      <c r="E40" s="142"/>
      <c r="F40" s="142"/>
      <c r="G40" s="142"/>
      <c r="H40" s="142"/>
      <c r="I40" s="142"/>
      <c r="J40" s="142"/>
      <c r="K40" s="142"/>
      <c r="L40" s="142"/>
    </row>
    <row r="41" spans="1:13" ht="14.25" customHeight="1">
      <c r="C41" s="157" t="s">
        <v>136</v>
      </c>
      <c r="D41" s="158">
        <v>-131848714.8101669</v>
      </c>
      <c r="F41" s="146"/>
      <c r="G41" s="63"/>
    </row>
    <row r="42" spans="1:13" ht="14.25" customHeight="1">
      <c r="D42" s="9"/>
      <c r="G42" s="63"/>
    </row>
    <row r="43" spans="1:13" ht="14.25" customHeight="1">
      <c r="A43" s="89" t="s">
        <v>231</v>
      </c>
      <c r="B43" s="155" t="s">
        <v>136</v>
      </c>
      <c r="C43" s="103">
        <v>-131848714.8101669</v>
      </c>
      <c r="D43" s="9"/>
      <c r="E43" s="147" t="s">
        <v>183</v>
      </c>
      <c r="F43" s="147" t="s">
        <v>184</v>
      </c>
      <c r="G43" s="148" t="s">
        <v>185</v>
      </c>
      <c r="H43" s="147" t="s">
        <v>186</v>
      </c>
      <c r="I43" s="147" t="s">
        <v>187</v>
      </c>
      <c r="J43" s="147" t="s">
        <v>188</v>
      </c>
    </row>
    <row r="44" spans="1:13" ht="14.25" customHeight="1">
      <c r="B44" s="105" t="s">
        <v>182</v>
      </c>
      <c r="C44" s="104">
        <v>3.0385120440660218E-2</v>
      </c>
      <c r="D44" s="9"/>
      <c r="E44" s="9">
        <v>-176591728</v>
      </c>
      <c r="F44" s="149">
        <v>-85421136.758949965</v>
      </c>
      <c r="G44" s="149">
        <v>-29646324.308871694</v>
      </c>
      <c r="H44" s="149">
        <v>43325141.719202533</v>
      </c>
      <c r="I44" s="149">
        <v>105623274.10777563</v>
      </c>
      <c r="J44" s="149">
        <v>178988356.28430644</v>
      </c>
    </row>
    <row r="129" spans="13:13" ht="14.25" customHeight="1">
      <c r="M129" s="57"/>
    </row>
    <row r="130" spans="13:13" ht="14.25" customHeight="1"/>
    <row r="131" spans="13:13" ht="14.25" customHeight="1"/>
    <row r="132" spans="13:13" ht="14.25" customHeight="1"/>
    <row r="133" spans="13:13" ht="14.25" customHeight="1"/>
    <row r="134" spans="13:13" ht="14.25" customHeight="1"/>
    <row r="135" spans="13:13" ht="14.25" customHeight="1"/>
    <row r="136" spans="13:13" ht="14.25" customHeight="1"/>
    <row r="137" spans="13:13" ht="14.25" customHeight="1"/>
    <row r="138" spans="13:13" ht="14.25" customHeight="1"/>
    <row r="139" spans="13:13" ht="14.25" customHeight="1"/>
    <row r="140" spans="13:13" ht="14.25" customHeight="1"/>
    <row r="141" spans="13:13" ht="14.25" customHeight="1"/>
    <row r="142" spans="13:13" ht="14.25" customHeight="1"/>
    <row r="143" spans="13:13" ht="14.25" customHeight="1"/>
    <row r="144" spans="13:13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</sheetData>
  <mergeCells count="1">
    <mergeCell ref="A30:I3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0"/>
  <sheetViews>
    <sheetView topLeftCell="A25" workbookViewId="0">
      <selection activeCell="C46" sqref="C46"/>
    </sheetView>
  </sheetViews>
  <sheetFormatPr baseColWidth="10" defaultRowHeight="15"/>
  <cols>
    <col min="2" max="2" width="30.7109375" bestFit="1" customWidth="1"/>
    <col min="3" max="3" width="16.42578125" bestFit="1" customWidth="1"/>
    <col min="4" max="4" width="15.7109375" bestFit="1" customWidth="1"/>
    <col min="5" max="8" width="16.85546875" bestFit="1" customWidth="1"/>
    <col min="9" max="10" width="16.7109375" bestFit="1" customWidth="1"/>
  </cols>
  <sheetData>
    <row r="1" spans="2:7">
      <c r="C1" s="90">
        <v>1</v>
      </c>
      <c r="D1" s="90">
        <v>2</v>
      </c>
      <c r="E1" s="90">
        <v>3</v>
      </c>
      <c r="F1" s="90">
        <v>4</v>
      </c>
      <c r="G1" s="90">
        <v>5</v>
      </c>
    </row>
    <row r="2" spans="2:7">
      <c r="B2" s="92" t="s">
        <v>177</v>
      </c>
      <c r="C2" s="91">
        <v>1166349600</v>
      </c>
      <c r="D2" s="4">
        <v>1340299584</v>
      </c>
      <c r="E2" s="4">
        <v>1587601080</v>
      </c>
      <c r="F2" s="4">
        <v>1857317280</v>
      </c>
      <c r="G2" s="4">
        <v>2151126120</v>
      </c>
    </row>
    <row r="3" spans="2:7">
      <c r="B3" s="92" t="s">
        <v>176</v>
      </c>
      <c r="C3" s="91">
        <v>640348800</v>
      </c>
      <c r="D3" s="4">
        <v>698880000</v>
      </c>
      <c r="E3" s="4">
        <v>786240000</v>
      </c>
      <c r="F3" s="4">
        <v>873600000</v>
      </c>
      <c r="G3" s="4">
        <v>960960000</v>
      </c>
    </row>
    <row r="4" spans="2:7">
      <c r="B4" s="92" t="s">
        <v>175</v>
      </c>
      <c r="C4" s="91">
        <v>228047303.79599997</v>
      </c>
      <c r="D4" s="4">
        <v>262058396.90783995</v>
      </c>
      <c r="E4" s="4">
        <v>310411446.86729777</v>
      </c>
      <c r="F4" s="4">
        <v>363146902.67397535</v>
      </c>
      <c r="G4" s="4">
        <v>420593111.20797145</v>
      </c>
    </row>
    <row r="5" spans="2:7">
      <c r="B5" s="92" t="s">
        <v>174</v>
      </c>
      <c r="C5" s="91">
        <v>9240004.4879999999</v>
      </c>
      <c r="D5" s="4">
        <v>10618063.547519999</v>
      </c>
      <c r="E5" s="4">
        <v>12577228.997831782</v>
      </c>
      <c r="F5" s="4">
        <v>14713960.457574537</v>
      </c>
      <c r="G5" s="4">
        <v>17041561.86235825</v>
      </c>
    </row>
    <row r="6" spans="2:7">
      <c r="B6" s="92" t="s">
        <v>98</v>
      </c>
      <c r="C6" s="91">
        <v>288713491.71600002</v>
      </c>
      <c r="D6" s="4">
        <v>368743123.54464006</v>
      </c>
      <c r="E6" s="4">
        <v>478372404.13487047</v>
      </c>
      <c r="F6" s="4">
        <v>605856416.86845016</v>
      </c>
      <c r="G6" s="4">
        <v>752531446.92967033</v>
      </c>
    </row>
    <row r="7" spans="2:7">
      <c r="B7" s="92" t="s">
        <v>172</v>
      </c>
      <c r="C7" s="91">
        <v>265215924.80219999</v>
      </c>
      <c r="D7" s="4">
        <v>279245847.22423637</v>
      </c>
      <c r="E7" s="4">
        <v>294017952.54239845</v>
      </c>
      <c r="F7" s="4">
        <v>309571502.23189127</v>
      </c>
      <c r="G7" s="4">
        <v>325947834.69995832</v>
      </c>
    </row>
    <row r="8" spans="2:7">
      <c r="B8" s="92" t="s">
        <v>173</v>
      </c>
      <c r="C8" s="91">
        <v>43516290</v>
      </c>
      <c r="D8" s="4">
        <v>45818301.740999997</v>
      </c>
      <c r="E8" s="4">
        <v>48242089.903098896</v>
      </c>
      <c r="F8" s="4">
        <v>50794096.458972827</v>
      </c>
      <c r="G8" s="4">
        <v>53481104.16165249</v>
      </c>
    </row>
    <row r="10" spans="2:7">
      <c r="C10" s="93">
        <v>1</v>
      </c>
      <c r="D10" s="93">
        <v>2</v>
      </c>
      <c r="E10" s="93">
        <v>3</v>
      </c>
      <c r="F10" s="93">
        <v>4</v>
      </c>
      <c r="G10" s="93">
        <v>5</v>
      </c>
    </row>
    <row r="11" spans="2:7">
      <c r="B11" s="92" t="s">
        <v>179</v>
      </c>
      <c r="C11" s="74">
        <v>0.78869770153729957</v>
      </c>
      <c r="D11" s="74">
        <v>0.78047138791253201</v>
      </c>
      <c r="E11" s="74">
        <v>0.73842634001634866</v>
      </c>
      <c r="F11" s="74">
        <v>0.63638033892541324</v>
      </c>
      <c r="G11" s="74">
        <v>0.42459908790843004</v>
      </c>
    </row>
    <row r="12" spans="2:7">
      <c r="B12" s="92" t="s">
        <v>178</v>
      </c>
      <c r="C12" s="74">
        <v>0.21130229846270046</v>
      </c>
      <c r="D12" s="74">
        <v>0.21952861208746813</v>
      </c>
      <c r="E12" s="74">
        <v>0.26157365998365134</v>
      </c>
      <c r="F12" s="74">
        <v>0.36361966107458671</v>
      </c>
      <c r="G12" s="74">
        <v>0.57540091209156996</v>
      </c>
    </row>
    <row r="13" spans="2:7">
      <c r="B13" s="21" t="s">
        <v>165</v>
      </c>
      <c r="C13" s="94">
        <v>-27103656.758949965</v>
      </c>
      <c r="D13" s="94">
        <v>34869483.356612399</v>
      </c>
      <c r="E13" s="94">
        <v>94921720.519202545</v>
      </c>
      <c r="F13" s="94">
        <v>165986694.10777572</v>
      </c>
      <c r="G13" s="94">
        <v>248901628.28430641</v>
      </c>
    </row>
    <row r="14" spans="2:7">
      <c r="B14" s="92" t="s">
        <v>134</v>
      </c>
      <c r="C14" s="74">
        <v>0.20834279333847183</v>
      </c>
      <c r="D14" s="74">
        <v>0.20994026118126546</v>
      </c>
      <c r="E14" s="74">
        <v>0.21810498903222525</v>
      </c>
      <c r="F14" s="74">
        <v>0.23792130198407399</v>
      </c>
      <c r="G14" s="74">
        <v>0.27904710311906195</v>
      </c>
    </row>
    <row r="16" spans="2:7" ht="15.75" thickBot="1">
      <c r="C16" s="97">
        <v>1</v>
      </c>
      <c r="D16" s="97">
        <v>2</v>
      </c>
      <c r="E16" s="97">
        <v>3</v>
      </c>
      <c r="F16" s="97">
        <v>4</v>
      </c>
      <c r="G16" s="97">
        <v>5</v>
      </c>
    </row>
    <row r="17" spans="2:8">
      <c r="B17" t="s">
        <v>109</v>
      </c>
      <c r="C17" s="101">
        <v>-58850344.951199964</v>
      </c>
      <c r="D17" s="95">
        <v>4641550.3355295341</v>
      </c>
      <c r="E17" s="95">
        <v>66582988.86829067</v>
      </c>
      <c r="F17" s="95">
        <v>139999007.38245213</v>
      </c>
      <c r="G17" s="95">
        <v>225840833.00279659</v>
      </c>
    </row>
    <row r="20" spans="2:8" ht="15.75" thickBot="1">
      <c r="B20" s="96"/>
      <c r="C20" s="96" t="s">
        <v>180</v>
      </c>
    </row>
    <row r="21" spans="2:8">
      <c r="B21" t="s">
        <v>113</v>
      </c>
      <c r="C21" s="95">
        <v>10000000</v>
      </c>
      <c r="D21" s="95">
        <v>10529000</v>
      </c>
      <c r="E21" s="95">
        <v>11085984.1</v>
      </c>
      <c r="F21" s="95">
        <v>11672432.65889</v>
      </c>
      <c r="G21" s="95">
        <v>12289904.346545281</v>
      </c>
      <c r="H21" s="95">
        <v>12940040.286477525</v>
      </c>
    </row>
    <row r="22" spans="2:8">
      <c r="B22" t="s">
        <v>114</v>
      </c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</row>
    <row r="23" spans="2:8" ht="15.75" thickBot="1">
      <c r="B23" s="96" t="s">
        <v>115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</row>
    <row r="24" spans="2:8">
      <c r="B24" t="s">
        <v>116</v>
      </c>
      <c r="C24" s="95">
        <v>10000000</v>
      </c>
      <c r="D24" s="95">
        <v>10529000</v>
      </c>
      <c r="E24" s="95">
        <v>11085984.1</v>
      </c>
      <c r="F24" s="95">
        <v>11672432.65889</v>
      </c>
      <c r="G24" s="95">
        <v>12289904.346545281</v>
      </c>
      <c r="H24" s="95">
        <v>12940040.286477525</v>
      </c>
    </row>
    <row r="25" spans="2:8">
      <c r="B25" t="s">
        <v>117</v>
      </c>
      <c r="C25" s="95"/>
      <c r="D25" s="95"/>
      <c r="E25" s="95"/>
      <c r="F25" s="95"/>
      <c r="G25" s="95"/>
      <c r="H25" s="95"/>
    </row>
    <row r="26" spans="2:8">
      <c r="B26" t="s">
        <v>118</v>
      </c>
      <c r="C26" s="95">
        <v>166591728</v>
      </c>
      <c r="D26" s="95">
        <v>166591728</v>
      </c>
      <c r="E26" s="95">
        <v>166591728</v>
      </c>
      <c r="F26" s="95">
        <v>166591728</v>
      </c>
      <c r="G26" s="95">
        <v>166591728</v>
      </c>
      <c r="H26" s="95">
        <v>166591728</v>
      </c>
    </row>
    <row r="27" spans="2:8" ht="15.75" thickBot="1">
      <c r="B27" s="96" t="s">
        <v>119</v>
      </c>
      <c r="C27" s="98">
        <v>0</v>
      </c>
      <c r="D27" s="98">
        <v>20100382.800000001</v>
      </c>
      <c r="E27" s="98">
        <v>40200765.600000001</v>
      </c>
      <c r="F27" s="98">
        <v>60301148.400000006</v>
      </c>
      <c r="G27" s="98">
        <v>80401531.200000003</v>
      </c>
      <c r="H27" s="98">
        <v>100501914</v>
      </c>
    </row>
    <row r="28" spans="2:8">
      <c r="B28" t="s">
        <v>120</v>
      </c>
      <c r="C28" s="95">
        <v>166591728</v>
      </c>
      <c r="D28" s="95">
        <v>146491345.19999999</v>
      </c>
      <c r="E28" s="95">
        <v>126390962.40000001</v>
      </c>
      <c r="F28" s="95">
        <v>106290579.59999999</v>
      </c>
      <c r="G28" s="95">
        <v>86190196.799999997</v>
      </c>
      <c r="H28" s="95">
        <v>66089814</v>
      </c>
    </row>
    <row r="29" spans="2:8" ht="15.75" thickBot="1">
      <c r="B29" s="96" t="s">
        <v>121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</row>
    <row r="30" spans="2:8" ht="15.75" thickBot="1">
      <c r="B30" s="99" t="s">
        <v>122</v>
      </c>
      <c r="C30" s="100">
        <v>176591728</v>
      </c>
      <c r="D30" s="100">
        <v>157020345.19999999</v>
      </c>
      <c r="E30" s="100">
        <v>137476946.5</v>
      </c>
      <c r="F30" s="100">
        <v>117963012.25888999</v>
      </c>
      <c r="G30" s="100">
        <v>98480101.146545276</v>
      </c>
      <c r="H30" s="100">
        <v>79029854.286477521</v>
      </c>
    </row>
    <row r="31" spans="2:8">
      <c r="B31" t="s">
        <v>123</v>
      </c>
      <c r="C31" s="95"/>
      <c r="D31" s="95"/>
      <c r="E31" s="95"/>
      <c r="F31" s="95"/>
      <c r="G31" s="95"/>
      <c r="H31" s="95"/>
    </row>
    <row r="32" spans="2:8">
      <c r="B32" t="s">
        <v>124</v>
      </c>
      <c r="C32" s="95"/>
      <c r="D32" s="95">
        <v>0</v>
      </c>
      <c r="E32" s="95">
        <v>0</v>
      </c>
      <c r="F32" s="95">
        <v>0</v>
      </c>
      <c r="G32" s="95">
        <v>0</v>
      </c>
      <c r="H32" s="95">
        <v>0</v>
      </c>
    </row>
    <row r="33" spans="1:9" ht="15.75" thickBot="1">
      <c r="B33" s="96" t="s">
        <v>125</v>
      </c>
      <c r="C33" s="98">
        <v>139277489.98409998</v>
      </c>
      <c r="D33" s="98">
        <v>122549886.74874887</v>
      </c>
      <c r="E33" s="98">
        <v>101516598.44061838</v>
      </c>
      <c r="F33" s="98">
        <v>75069341.721975103</v>
      </c>
      <c r="G33" s="98">
        <v>41814561.123953044</v>
      </c>
      <c r="H33" s="98">
        <v>1.0430812835693359E-7</v>
      </c>
    </row>
    <row r="34" spans="1:9" ht="15.75" thickBot="1">
      <c r="B34" s="99" t="s">
        <v>126</v>
      </c>
      <c r="C34" s="100">
        <v>139277489.98409998</v>
      </c>
      <c r="D34" s="100">
        <v>122549886.74874887</v>
      </c>
      <c r="E34" s="100">
        <v>101516598.44061838</v>
      </c>
      <c r="F34" s="100">
        <v>75069341.721975103</v>
      </c>
      <c r="G34" s="100">
        <v>41814561.123953044</v>
      </c>
      <c r="H34" s="100">
        <v>1.0430812835693359E-7</v>
      </c>
    </row>
    <row r="35" spans="1:9">
      <c r="B35" t="s">
        <v>127</v>
      </c>
      <c r="C35" s="95"/>
      <c r="D35" s="95"/>
      <c r="E35" s="95"/>
      <c r="F35" s="95"/>
      <c r="G35" s="95"/>
      <c r="H35" s="95"/>
    </row>
    <row r="36" spans="1:9">
      <c r="B36" t="s">
        <v>128</v>
      </c>
      <c r="C36" s="95">
        <v>37314238.015900016</v>
      </c>
      <c r="D36" s="95">
        <v>37314238.015900016</v>
      </c>
      <c r="E36" s="95">
        <v>37314238.015900016</v>
      </c>
      <c r="F36" s="95">
        <v>37314238.015900016</v>
      </c>
      <c r="G36" s="95">
        <v>37314238.015900016</v>
      </c>
      <c r="H36" s="95">
        <v>37314238.015900016</v>
      </c>
    </row>
    <row r="37" spans="1:9" ht="15.75" thickBot="1">
      <c r="B37" s="96" t="s">
        <v>129</v>
      </c>
      <c r="C37" s="98"/>
      <c r="D37" s="98">
        <v>-2843779.5646488816</v>
      </c>
      <c r="E37" s="98">
        <v>-1353889.9565183874</v>
      </c>
      <c r="F37" s="98">
        <v>5579432.5210148841</v>
      </c>
      <c r="G37" s="98">
        <v>19351302.006692186</v>
      </c>
      <c r="H37" s="98">
        <v>41715616.270577371</v>
      </c>
    </row>
    <row r="38" spans="1:9" ht="15.75" thickBot="1">
      <c r="B38" s="96" t="s">
        <v>130</v>
      </c>
      <c r="C38" s="98">
        <v>37314238.015900016</v>
      </c>
      <c r="D38" s="98">
        <v>34470458.451251134</v>
      </c>
      <c r="E38" s="98">
        <v>35960348.059381627</v>
      </c>
      <c r="F38" s="98">
        <v>42893670.5369149</v>
      </c>
      <c r="G38" s="98">
        <v>56665540.022592202</v>
      </c>
      <c r="H38" s="98">
        <v>79029854.286477387</v>
      </c>
    </row>
    <row r="39" spans="1:9" ht="15.75" thickBot="1">
      <c r="B39" s="99" t="s">
        <v>131</v>
      </c>
      <c r="C39" s="100">
        <v>176591728</v>
      </c>
      <c r="D39" s="100">
        <v>157020345.19999999</v>
      </c>
      <c r="E39" s="100">
        <v>137476946.5</v>
      </c>
      <c r="F39" s="100">
        <v>117963012.25889</v>
      </c>
      <c r="G39" s="100">
        <v>98480101.146545246</v>
      </c>
      <c r="H39" s="100">
        <v>79029854.286477491</v>
      </c>
    </row>
    <row r="42" spans="1:9">
      <c r="C42" s="106">
        <v>1</v>
      </c>
      <c r="D42" s="106">
        <v>2</v>
      </c>
      <c r="E42" s="106">
        <v>3</v>
      </c>
      <c r="F42" s="106">
        <v>4</v>
      </c>
      <c r="G42" s="106">
        <v>5</v>
      </c>
      <c r="H42" s="21" t="s">
        <v>37</v>
      </c>
    </row>
    <row r="43" spans="1:9">
      <c r="B43" s="105" t="s">
        <v>189</v>
      </c>
      <c r="C43" s="22">
        <v>-22430436.882953208</v>
      </c>
      <c r="D43" s="22">
        <v>23850167.211242627</v>
      </c>
      <c r="E43" s="22">
        <v>53299949.190002844</v>
      </c>
      <c r="F43" s="22">
        <v>75290716.931893423</v>
      </c>
      <c r="G43" s="22">
        <v>88269233.745750159</v>
      </c>
      <c r="H43" s="22">
        <v>218279630.19593585</v>
      </c>
    </row>
    <row r="44" spans="1:9">
      <c r="G44" s="21" t="s">
        <v>190</v>
      </c>
      <c r="H44" s="107">
        <f>SUM(INVERSIONES!D23,INVERSIONES!C27)</f>
        <v>176591728</v>
      </c>
    </row>
    <row r="45" spans="1:9">
      <c r="G45" s="21" t="s">
        <v>136</v>
      </c>
      <c r="H45" s="107">
        <f>H43-H44</f>
        <v>41687902.195935845</v>
      </c>
    </row>
    <row r="47" spans="1:9">
      <c r="A47" s="21" t="s">
        <v>191</v>
      </c>
      <c r="B47" s="21" t="s">
        <v>195</v>
      </c>
      <c r="C47" s="106" t="s">
        <v>196</v>
      </c>
      <c r="D47" s="106" t="s">
        <v>197</v>
      </c>
      <c r="E47" s="106" t="s">
        <v>198</v>
      </c>
      <c r="F47" s="106" t="s">
        <v>199</v>
      </c>
      <c r="G47" s="106" t="s">
        <v>200</v>
      </c>
      <c r="H47" s="23" t="s">
        <v>136</v>
      </c>
      <c r="I47" s="23" t="s">
        <v>182</v>
      </c>
    </row>
    <row r="48" spans="1:9">
      <c r="A48" s="21" t="s">
        <v>192</v>
      </c>
      <c r="B48" s="22">
        <f>B49*0.95</f>
        <v>484500</v>
      </c>
      <c r="C48" s="22">
        <v>-70692801.107328191</v>
      </c>
      <c r="D48" s="22">
        <v>-20277610.216763746</v>
      </c>
      <c r="E48" s="22">
        <v>24327707.501003567</v>
      </c>
      <c r="F48" s="22">
        <v>47910177.830909565</v>
      </c>
      <c r="G48" s="22">
        <v>63475539.18201191</v>
      </c>
      <c r="H48" s="22">
        <v>-131848714.8101669</v>
      </c>
      <c r="I48" s="108">
        <v>3.0385120440660218E-2</v>
      </c>
    </row>
    <row r="49" spans="1:9">
      <c r="A49" s="21" t="s">
        <v>193</v>
      </c>
      <c r="B49" s="22">
        <v>510000</v>
      </c>
      <c r="C49" s="22">
        <v>-22430436.882953208</v>
      </c>
      <c r="D49" s="22">
        <v>23850167.211242627</v>
      </c>
      <c r="E49" s="22">
        <v>53299949.190002844</v>
      </c>
      <c r="F49" s="22">
        <v>75290716.931893423</v>
      </c>
      <c r="G49" s="22">
        <v>88269233.745750159</v>
      </c>
      <c r="H49" s="22">
        <v>41687902.195935845</v>
      </c>
      <c r="I49" s="108">
        <v>0.28515124872373021</v>
      </c>
    </row>
    <row r="50" spans="1:9">
      <c r="A50" s="21" t="s">
        <v>194</v>
      </c>
      <c r="B50" s="22">
        <f>B49*1.05</f>
        <v>535500</v>
      </c>
      <c r="C50" s="22">
        <v>25831927.341421776</v>
      </c>
      <c r="D50" s="22">
        <v>53644383.627535433</v>
      </c>
      <c r="E50" s="22">
        <v>82273215.755781934</v>
      </c>
      <c r="F50" s="22">
        <v>102671256.03287724</v>
      </c>
      <c r="G50" s="22">
        <v>113062928.30948845</v>
      </c>
      <c r="H50" s="22">
        <v>200891983.06710482</v>
      </c>
      <c r="I50" s="108">
        <v>0.52345228119919496</v>
      </c>
    </row>
  </sheetData>
  <conditionalFormatting sqref="C1:G8">
    <cfRule type="cellIs" dxfId="4" priority="6" operator="lessThan">
      <formula>0</formula>
    </cfRule>
  </conditionalFormatting>
  <conditionalFormatting sqref="C10:G10">
    <cfRule type="cellIs" dxfId="3" priority="4" operator="lessThan">
      <formula>0</formula>
    </cfRule>
  </conditionalFormatting>
  <conditionalFormatting sqref="C16:G16">
    <cfRule type="cellIs" dxfId="2" priority="3" operator="lessThan">
      <formula>0</formula>
    </cfRule>
  </conditionalFormatting>
  <conditionalFormatting sqref="C42:G42">
    <cfRule type="cellIs" dxfId="1" priority="2" operator="lessThan">
      <formula>0</formula>
    </cfRule>
  </conditionalFormatting>
  <conditionalFormatting sqref="C47:G47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4"/>
  <sheetViews>
    <sheetView workbookViewId="0">
      <selection activeCell="A4" sqref="A4"/>
    </sheetView>
  </sheetViews>
  <sheetFormatPr baseColWidth="10" defaultRowHeight="15"/>
  <cols>
    <col min="1" max="1" width="11.5703125" bestFit="1" customWidth="1"/>
    <col min="2" max="2" width="30.85546875" bestFit="1" customWidth="1"/>
    <col min="3" max="3" width="8.85546875" bestFit="1" customWidth="1"/>
    <col min="4" max="4" width="19" bestFit="1" customWidth="1"/>
    <col min="5" max="5" width="10.85546875" bestFit="1" customWidth="1"/>
    <col min="7" max="7" width="5.85546875" bestFit="1" customWidth="1"/>
    <col min="8" max="8" width="8.140625" bestFit="1" customWidth="1"/>
    <col min="9" max="9" width="5.140625" bestFit="1" customWidth="1"/>
    <col min="10" max="10" width="14.42578125" customWidth="1"/>
    <col min="11" max="12" width="12" bestFit="1" customWidth="1"/>
    <col min="13" max="13" width="13" bestFit="1" customWidth="1"/>
  </cols>
  <sheetData>
    <row r="2" spans="1:13">
      <c r="B2" s="171" t="s">
        <v>0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3"/>
    </row>
    <row r="3" spans="1:13">
      <c r="A3" s="21" t="s">
        <v>205</v>
      </c>
      <c r="B3" s="115" t="s">
        <v>1</v>
      </c>
      <c r="C3" s="12" t="s">
        <v>2</v>
      </c>
      <c r="D3" s="11" t="s">
        <v>12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17</v>
      </c>
      <c r="K3" s="11" t="s">
        <v>13</v>
      </c>
      <c r="L3" s="11" t="s">
        <v>10</v>
      </c>
      <c r="M3" s="11" t="s">
        <v>8</v>
      </c>
    </row>
    <row r="4" spans="1:13">
      <c r="A4" s="21" t="s">
        <v>151</v>
      </c>
      <c r="B4" s="102" t="s">
        <v>18</v>
      </c>
      <c r="C4" s="3">
        <v>1</v>
      </c>
      <c r="D4" s="2">
        <f>1750905*2.5</f>
        <v>4377262.5</v>
      </c>
      <c r="E4" s="10">
        <v>4.1700000000000001E-2</v>
      </c>
      <c r="F4" s="10">
        <v>0.08</v>
      </c>
      <c r="G4" s="10">
        <v>8.5000000000000006E-2</v>
      </c>
      <c r="H4" s="10">
        <v>0.12</v>
      </c>
      <c r="I4" s="10">
        <v>5.1999999999999998E-3</v>
      </c>
      <c r="J4" s="5">
        <v>0</v>
      </c>
      <c r="K4" s="5">
        <f>D4+J4</f>
        <v>4377262.5</v>
      </c>
      <c r="L4" s="4">
        <f>(D4+(D4*E4)+(D4*F4)+(D4*G4)+(D4*H4)+(D4*I4)+J4)*C4</f>
        <v>5830075.9237500001</v>
      </c>
      <c r="M4" s="4">
        <f t="shared" ref="M4:M13" si="0">C4*L4</f>
        <v>5830075.9237500001</v>
      </c>
    </row>
    <row r="5" spans="1:13">
      <c r="A5" s="21" t="s">
        <v>150</v>
      </c>
      <c r="B5" s="116" t="s">
        <v>11</v>
      </c>
      <c r="C5" s="3">
        <v>1</v>
      </c>
      <c r="D5" s="2">
        <f>1750905*2</f>
        <v>3501810</v>
      </c>
      <c r="E5" s="10">
        <v>4.1700000000000001E-2</v>
      </c>
      <c r="F5" s="10">
        <v>0.08</v>
      </c>
      <c r="G5" s="10">
        <v>8.5000000000000006E-2</v>
      </c>
      <c r="H5" s="10">
        <v>0.12</v>
      </c>
      <c r="I5" s="10">
        <v>5.1999999999999998E-3</v>
      </c>
      <c r="J5" s="5">
        <v>0</v>
      </c>
      <c r="K5" s="5">
        <f t="shared" ref="K5:K13" si="1">D5+J5</f>
        <v>3501810</v>
      </c>
      <c r="L5" s="4">
        <f t="shared" ref="L5:L13" si="2">(D5+(D5*E5)+(D5*F5)+(D5*G5)+(D5*H5)+(D5*I5)+J5)*C5</f>
        <v>4664060.7389999991</v>
      </c>
      <c r="M5" s="4">
        <f t="shared" si="0"/>
        <v>4664060.7389999991</v>
      </c>
    </row>
    <row r="6" spans="1:13">
      <c r="A6" s="21" t="s">
        <v>151</v>
      </c>
      <c r="B6" s="102" t="s">
        <v>19</v>
      </c>
      <c r="C6" s="3">
        <v>1</v>
      </c>
      <c r="D6" s="2">
        <f>1750905*1.6</f>
        <v>2801448</v>
      </c>
      <c r="E6" s="10">
        <v>4.1700000000000001E-2</v>
      </c>
      <c r="F6" s="10">
        <v>0.08</v>
      </c>
      <c r="G6" s="10">
        <v>8.5000000000000006E-2</v>
      </c>
      <c r="H6" s="10">
        <v>0.12</v>
      </c>
      <c r="I6" s="10">
        <v>5.1999999999999998E-3</v>
      </c>
      <c r="J6" s="5">
        <v>249095</v>
      </c>
      <c r="K6" s="5">
        <f t="shared" si="1"/>
        <v>3050543</v>
      </c>
      <c r="L6" s="4">
        <f t="shared" si="2"/>
        <v>3980343.5911999997</v>
      </c>
      <c r="M6" s="4">
        <f t="shared" si="0"/>
        <v>3980343.5911999997</v>
      </c>
    </row>
    <row r="7" spans="1:13">
      <c r="A7" s="21" t="s">
        <v>150</v>
      </c>
      <c r="B7" s="116" t="s">
        <v>22</v>
      </c>
      <c r="C7" s="3">
        <v>1</v>
      </c>
      <c r="D7" s="2">
        <f>1750905*1.5</f>
        <v>2626357.5</v>
      </c>
      <c r="E7" s="10">
        <v>4.1700000000000001E-2</v>
      </c>
      <c r="F7" s="10">
        <v>0.08</v>
      </c>
      <c r="G7" s="10">
        <v>8.5000000000000006E-2</v>
      </c>
      <c r="H7" s="10">
        <v>0.12</v>
      </c>
      <c r="I7" s="10">
        <v>5.1999999999999998E-3</v>
      </c>
      <c r="J7" s="5">
        <v>249095</v>
      </c>
      <c r="K7" s="5">
        <f t="shared" ref="K7" si="3">D7+J7</f>
        <v>2875452.5</v>
      </c>
      <c r="L7" s="4">
        <f t="shared" ref="L7" si="4">(D7+(D7*E7)+(D7*F7)+(D7*G7)+(D7*H7)+(D7*I7)+J7)*C7</f>
        <v>3747140.55425</v>
      </c>
      <c r="M7" s="4">
        <f t="shared" ref="M7" si="5">C7*L7</f>
        <v>3747140.55425</v>
      </c>
    </row>
    <row r="8" spans="1:13">
      <c r="A8" s="21" t="s">
        <v>151</v>
      </c>
      <c r="B8" s="102" t="s">
        <v>20</v>
      </c>
      <c r="C8" s="3">
        <v>1</v>
      </c>
      <c r="D8" s="2">
        <f>1750905*1.2</f>
        <v>2101086</v>
      </c>
      <c r="E8" s="10">
        <v>4.1700000000000001E-2</v>
      </c>
      <c r="F8" s="10">
        <v>0.08</v>
      </c>
      <c r="G8" s="10">
        <v>8.5000000000000006E-2</v>
      </c>
      <c r="H8" s="10">
        <v>0.12</v>
      </c>
      <c r="I8" s="10">
        <v>5.1999999999999998E-3</v>
      </c>
      <c r="J8" s="5">
        <v>249095</v>
      </c>
      <c r="K8" s="5">
        <f t="shared" si="1"/>
        <v>2350181</v>
      </c>
      <c r="L8" s="4">
        <f t="shared" si="2"/>
        <v>3047531.4433999998</v>
      </c>
      <c r="M8" s="4">
        <f t="shared" si="0"/>
        <v>3047531.4433999998</v>
      </c>
    </row>
    <row r="9" spans="1:13">
      <c r="A9" s="21" t="s">
        <v>151</v>
      </c>
      <c r="B9" s="102" t="s">
        <v>14</v>
      </c>
      <c r="C9" s="3">
        <v>1</v>
      </c>
      <c r="D9" s="2">
        <v>1750905</v>
      </c>
      <c r="E9" s="10">
        <v>4.1700000000000001E-2</v>
      </c>
      <c r="F9" s="10">
        <v>0.08</v>
      </c>
      <c r="G9" s="10">
        <v>8.5000000000000006E-2</v>
      </c>
      <c r="H9" s="10">
        <v>0.12</v>
      </c>
      <c r="I9" s="10">
        <v>5.1999999999999998E-3</v>
      </c>
      <c r="J9" s="5">
        <v>249095</v>
      </c>
      <c r="K9" s="5">
        <f t="shared" ref="K9" si="6">D9+J9</f>
        <v>2000000</v>
      </c>
      <c r="L9" s="4">
        <f t="shared" ref="L9" si="7">(D9+(D9*E9)+(D9*F9)+(D9*G9)+(D9*H9)+(D9*I9)+J9)*C9</f>
        <v>2581125.3694999996</v>
      </c>
      <c r="M9" s="4">
        <f t="shared" ref="M9" si="8">C9*L9</f>
        <v>2581125.3694999996</v>
      </c>
    </row>
    <row r="10" spans="1:13">
      <c r="A10" s="21" t="s">
        <v>151</v>
      </c>
      <c r="B10" s="102" t="s">
        <v>21</v>
      </c>
      <c r="C10" s="3">
        <v>1</v>
      </c>
      <c r="D10" s="2">
        <v>1750905</v>
      </c>
      <c r="E10" s="10">
        <v>4.1700000000000001E-2</v>
      </c>
      <c r="F10" s="10">
        <v>0.08</v>
      </c>
      <c r="G10" s="10">
        <v>8.5000000000000006E-2</v>
      </c>
      <c r="H10" s="10">
        <v>0.12</v>
      </c>
      <c r="I10" s="10">
        <v>5.1999999999999998E-3</v>
      </c>
      <c r="J10" s="5">
        <v>249095</v>
      </c>
      <c r="K10" s="5">
        <f t="shared" ref="K10" si="9">D10+J10</f>
        <v>2000000</v>
      </c>
      <c r="L10" s="4">
        <f t="shared" ref="L10" si="10">(D10+(D10*E10)+(D10*F10)+(D10*G10)+(D10*H10)+(D10*I10)+J10)*C10</f>
        <v>2581125.3694999996</v>
      </c>
      <c r="M10" s="4">
        <f t="shared" ref="M10" si="11">C10*L10</f>
        <v>2581125.3694999996</v>
      </c>
    </row>
    <row r="11" spans="1:13">
      <c r="A11" s="21" t="s">
        <v>151</v>
      </c>
      <c r="B11" s="102" t="s">
        <v>15</v>
      </c>
      <c r="C11" s="3">
        <v>1</v>
      </c>
      <c r="D11" s="2">
        <v>1750905</v>
      </c>
      <c r="E11" s="10">
        <v>4.1700000000000001E-2</v>
      </c>
      <c r="F11" s="10">
        <v>0.08</v>
      </c>
      <c r="G11" s="10">
        <v>8.5000000000000006E-2</v>
      </c>
      <c r="H11" s="10">
        <v>0.12</v>
      </c>
      <c r="I11" s="10">
        <v>5.1999999999999998E-3</v>
      </c>
      <c r="J11" s="5">
        <v>249095</v>
      </c>
      <c r="K11" s="5">
        <f t="shared" ref="K11" si="12">D11+J11</f>
        <v>2000000</v>
      </c>
      <c r="L11" s="4">
        <f t="shared" ref="L11" si="13">(D11+(D11*E11)+(D11*F11)+(D11*G11)+(D11*H11)+(D11*I11)+J11)*C11</f>
        <v>2581125.3694999996</v>
      </c>
      <c r="M11" s="4">
        <f t="shared" ref="M11" si="14">C11*L11</f>
        <v>2581125.3694999996</v>
      </c>
    </row>
    <row r="12" spans="1:13">
      <c r="A12" s="21" t="s">
        <v>150</v>
      </c>
      <c r="B12" s="116" t="s">
        <v>9</v>
      </c>
      <c r="C12" s="3">
        <v>2</v>
      </c>
      <c r="D12" s="2">
        <v>1750905</v>
      </c>
      <c r="E12" s="10">
        <v>4.1700000000000001E-2</v>
      </c>
      <c r="F12" s="10">
        <v>0.08</v>
      </c>
      <c r="G12" s="10">
        <v>8.5000000000000006E-2</v>
      </c>
      <c r="H12" s="10">
        <v>0.12</v>
      </c>
      <c r="I12" s="10">
        <v>4.3499999999999997E-2</v>
      </c>
      <c r="J12" s="5">
        <v>249095</v>
      </c>
      <c r="K12" s="5">
        <f t="shared" si="1"/>
        <v>2000000</v>
      </c>
      <c r="L12" s="4">
        <f t="shared" si="2"/>
        <v>5296370.0619999999</v>
      </c>
      <c r="M12" s="4">
        <f t="shared" si="0"/>
        <v>10592740.124</v>
      </c>
    </row>
    <row r="13" spans="1:13">
      <c r="A13" s="21" t="s">
        <v>152</v>
      </c>
      <c r="B13" s="102" t="s">
        <v>16</v>
      </c>
      <c r="C13" s="3">
        <v>1</v>
      </c>
      <c r="D13" s="2">
        <f>1750905*1.5</f>
        <v>2626357.5</v>
      </c>
      <c r="E13" s="2"/>
      <c r="F13" s="2"/>
      <c r="G13" s="2"/>
      <c r="H13" s="2"/>
      <c r="I13" s="2"/>
      <c r="J13" s="4"/>
      <c r="K13" s="5">
        <f t="shared" si="1"/>
        <v>2626357.5</v>
      </c>
      <c r="L13" s="4">
        <f t="shared" si="2"/>
        <v>2626357.5</v>
      </c>
      <c r="M13" s="4">
        <f t="shared" si="0"/>
        <v>2626357.5</v>
      </c>
    </row>
    <row r="14" spans="1:13">
      <c r="D14" s="8"/>
      <c r="E14" s="8"/>
      <c r="F14" s="8"/>
      <c r="G14" s="8"/>
      <c r="H14" s="8"/>
      <c r="I14" s="9"/>
      <c r="J14" s="7"/>
      <c r="K14" s="7"/>
      <c r="L14" s="6"/>
      <c r="M14" s="4">
        <f>SUM(M4:M13)</f>
        <v>42231625.984099999</v>
      </c>
    </row>
  </sheetData>
  <mergeCells count="1">
    <mergeCell ref="B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8"/>
  <sheetViews>
    <sheetView tabSelected="1" topLeftCell="B13" workbookViewId="0">
      <selection activeCell="G26" sqref="G26"/>
    </sheetView>
  </sheetViews>
  <sheetFormatPr baseColWidth="10" defaultRowHeight="15"/>
  <cols>
    <col min="1" max="1" width="4.5703125" customWidth="1"/>
    <col min="2" max="2" width="40.140625" bestFit="1" customWidth="1"/>
    <col min="3" max="3" width="24.28515625" customWidth="1"/>
    <col min="4" max="4" width="20.140625" bestFit="1" customWidth="1"/>
    <col min="5" max="7" width="18.28515625" bestFit="1" customWidth="1"/>
    <col min="8" max="8" width="16.5703125" customWidth="1"/>
    <col min="9" max="9" width="12.5703125" customWidth="1"/>
  </cols>
  <sheetData>
    <row r="2" spans="2:9">
      <c r="B2" s="48" t="s">
        <v>208</v>
      </c>
    </row>
    <row r="3" spans="2:9">
      <c r="B3" s="127" t="s">
        <v>171</v>
      </c>
      <c r="C3" s="74">
        <v>5.2900000000000003E-2</v>
      </c>
    </row>
    <row r="4" spans="2:9">
      <c r="B4" s="127" t="s">
        <v>209</v>
      </c>
      <c r="C4" s="74">
        <v>0.03</v>
      </c>
    </row>
    <row r="6" spans="2:9">
      <c r="B6" s="38">
        <v>0</v>
      </c>
      <c r="C6" s="39">
        <v>1</v>
      </c>
      <c r="D6" s="39">
        <v>2</v>
      </c>
      <c r="E6" s="39">
        <v>3</v>
      </c>
      <c r="F6" s="39">
        <v>4</v>
      </c>
      <c r="G6" s="39">
        <v>5</v>
      </c>
    </row>
    <row r="7" spans="2:9">
      <c r="B7" s="1" t="s">
        <v>169</v>
      </c>
      <c r="C7" s="2">
        <f>510000</f>
        <v>510000</v>
      </c>
      <c r="D7" s="4">
        <f>ROUND(C7*(1+INGRESOS!$C$3),0)</f>
        <v>536979</v>
      </c>
      <c r="E7" s="4">
        <f>ROUND(D7*(1+INGRESOS!$C$3),0)</f>
        <v>565385</v>
      </c>
      <c r="F7" s="4">
        <f>ROUND(E7*(1+INGRESOS!$C$3),0)</f>
        <v>595294</v>
      </c>
      <c r="G7" s="4">
        <f>ROUND(F7*(1+INGRESOS!$C$3),0)</f>
        <v>626785</v>
      </c>
    </row>
    <row r="8" spans="2:9">
      <c r="B8" s="1" t="s">
        <v>146</v>
      </c>
      <c r="C8" s="124">
        <v>7.33</v>
      </c>
      <c r="D8" s="124">
        <f>ROUNDUP(C8*(1+INGRESOS!$C$4),0)</f>
        <v>8</v>
      </c>
      <c r="E8" s="124">
        <f>ROUNDUP(D8*(1+INGRESOS!$C$4),0)</f>
        <v>9</v>
      </c>
      <c r="F8" s="124">
        <f>ROUNDUP(E8*(1+INGRESOS!$C$4),0)</f>
        <v>10</v>
      </c>
      <c r="G8" s="124">
        <f>ROUNDUP(F8*(1+INGRESOS!$C$4),0)</f>
        <v>11</v>
      </c>
      <c r="H8" s="28" t="s">
        <v>210</v>
      </c>
    </row>
    <row r="9" spans="2:9">
      <c r="B9" s="1" t="s">
        <v>140</v>
      </c>
      <c r="C9" s="125">
        <f>26*12</f>
        <v>312</v>
      </c>
      <c r="D9" s="125">
        <f>C9</f>
        <v>312</v>
      </c>
      <c r="E9" s="125">
        <f>D9</f>
        <v>312</v>
      </c>
      <c r="F9" s="125">
        <f>E9</f>
        <v>312</v>
      </c>
      <c r="G9" s="125">
        <f>F9</f>
        <v>312</v>
      </c>
    </row>
    <row r="10" spans="2:9">
      <c r="B10" s="1" t="s">
        <v>207</v>
      </c>
      <c r="C10" s="126">
        <f>C9*C8</f>
        <v>2286.96</v>
      </c>
      <c r="D10" s="126">
        <f>D9*D8</f>
        <v>2496</v>
      </c>
      <c r="E10" s="126">
        <f>E9*E8</f>
        <v>2808</v>
      </c>
      <c r="F10" s="126">
        <f>F9*F8</f>
        <v>3120</v>
      </c>
      <c r="G10" s="126">
        <f>G9*G8</f>
        <v>3432</v>
      </c>
    </row>
    <row r="11" spans="2:9">
      <c r="B11" s="31" t="s">
        <v>94</v>
      </c>
      <c r="C11" s="128">
        <f>C7*C10</f>
        <v>1166349600</v>
      </c>
      <c r="D11" s="128">
        <f t="shared" ref="D11:G11" si="0">D7*D10</f>
        <v>1340299584</v>
      </c>
      <c r="E11" s="128">
        <f t="shared" si="0"/>
        <v>1587601080</v>
      </c>
      <c r="F11" s="128">
        <f t="shared" si="0"/>
        <v>1857317280</v>
      </c>
      <c r="G11" s="128">
        <f t="shared" si="0"/>
        <v>2151126120</v>
      </c>
    </row>
    <row r="15" spans="2:9">
      <c r="B15" s="21" t="s">
        <v>248</v>
      </c>
      <c r="C15" s="21"/>
      <c r="D15" s="21"/>
      <c r="E15" s="21"/>
      <c r="F15" s="25" t="s">
        <v>234</v>
      </c>
      <c r="G15" s="25" t="s">
        <v>235</v>
      </c>
      <c r="H15" s="25" t="s">
        <v>236</v>
      </c>
      <c r="I15" s="25" t="s">
        <v>237</v>
      </c>
    </row>
    <row r="16" spans="2:9" ht="42.75" customHeight="1">
      <c r="B16" s="21" t="s">
        <v>245</v>
      </c>
      <c r="C16" s="24" t="s">
        <v>249</v>
      </c>
      <c r="D16" s="24" t="s">
        <v>246</v>
      </c>
      <c r="E16" s="24" t="s">
        <v>247</v>
      </c>
      <c r="F16" s="162">
        <v>30001</v>
      </c>
      <c r="G16" s="162">
        <v>500</v>
      </c>
      <c r="H16" s="162">
        <v>7501</v>
      </c>
      <c r="I16" s="162">
        <v>1000</v>
      </c>
    </row>
    <row r="17" spans="2:9">
      <c r="B17" s="21" t="s">
        <v>238</v>
      </c>
      <c r="C17" s="161">
        <v>0.15</v>
      </c>
      <c r="D17" s="161">
        <v>0.1</v>
      </c>
      <c r="E17" s="161">
        <v>0.09</v>
      </c>
      <c r="F17" s="21">
        <f t="shared" ref="F17:I23" si="1">($C17*F$16)*$D17*$E17</f>
        <v>40.501349999999995</v>
      </c>
      <c r="G17" s="21">
        <f t="shared" si="1"/>
        <v>0.67499999999999993</v>
      </c>
      <c r="H17" s="21">
        <f t="shared" si="1"/>
        <v>10.126349999999999</v>
      </c>
      <c r="I17" s="21">
        <f t="shared" si="1"/>
        <v>1.3499999999999999</v>
      </c>
    </row>
    <row r="18" spans="2:9">
      <c r="B18" s="21" t="s">
        <v>239</v>
      </c>
      <c r="C18" s="161">
        <v>0.1</v>
      </c>
      <c r="D18" s="161">
        <v>0.5</v>
      </c>
      <c r="E18" s="161">
        <v>0.09</v>
      </c>
      <c r="F18" s="21">
        <f t="shared" si="1"/>
        <v>135.00450000000001</v>
      </c>
      <c r="G18" s="21">
        <f t="shared" si="1"/>
        <v>2.25</v>
      </c>
      <c r="H18" s="21">
        <f t="shared" si="1"/>
        <v>33.7545</v>
      </c>
      <c r="I18" s="21">
        <f t="shared" si="1"/>
        <v>4.5</v>
      </c>
    </row>
    <row r="19" spans="2:9">
      <c r="B19" s="21" t="s">
        <v>240</v>
      </c>
      <c r="C19" s="161">
        <v>0.05</v>
      </c>
      <c r="D19" s="161">
        <v>0.1</v>
      </c>
      <c r="E19" s="161">
        <v>0.09</v>
      </c>
      <c r="F19" s="21">
        <f t="shared" si="1"/>
        <v>13.500450000000003</v>
      </c>
      <c r="G19" s="21">
        <f t="shared" si="1"/>
        <v>0.22499999999999998</v>
      </c>
      <c r="H19" s="21">
        <f t="shared" si="1"/>
        <v>3.3754500000000003</v>
      </c>
      <c r="I19" s="21">
        <f t="shared" si="1"/>
        <v>0.44999999999999996</v>
      </c>
    </row>
    <row r="20" spans="2:9">
      <c r="B20" s="21" t="s">
        <v>241</v>
      </c>
      <c r="C20" s="161">
        <v>0.05</v>
      </c>
      <c r="D20" s="161">
        <v>0.1</v>
      </c>
      <c r="E20" s="161">
        <v>0.09</v>
      </c>
      <c r="F20" s="21">
        <f t="shared" si="1"/>
        <v>13.500450000000003</v>
      </c>
      <c r="G20" s="21">
        <f t="shared" si="1"/>
        <v>0.22499999999999998</v>
      </c>
      <c r="H20" s="21">
        <f t="shared" si="1"/>
        <v>3.3754500000000003</v>
      </c>
      <c r="I20" s="21">
        <f t="shared" si="1"/>
        <v>0.44999999999999996</v>
      </c>
    </row>
    <row r="21" spans="2:9">
      <c r="B21" s="21" t="s">
        <v>242</v>
      </c>
      <c r="C21" s="161">
        <v>0.15</v>
      </c>
      <c r="D21" s="161">
        <v>0.5</v>
      </c>
      <c r="E21" s="161">
        <v>0.09</v>
      </c>
      <c r="F21" s="21">
        <f t="shared" si="1"/>
        <v>202.50674999999998</v>
      </c>
      <c r="G21" s="21">
        <f t="shared" si="1"/>
        <v>3.375</v>
      </c>
      <c r="H21" s="21">
        <f t="shared" si="1"/>
        <v>50.63174999999999</v>
      </c>
      <c r="I21" s="21">
        <f t="shared" si="1"/>
        <v>6.75</v>
      </c>
    </row>
    <row r="22" spans="2:9">
      <c r="B22" s="21" t="s">
        <v>243</v>
      </c>
      <c r="C22" s="161">
        <v>0.32</v>
      </c>
      <c r="D22" s="161">
        <v>1</v>
      </c>
      <c r="E22" s="161">
        <v>0.09</v>
      </c>
      <c r="F22" s="21">
        <f t="shared" si="1"/>
        <v>864.02879999999993</v>
      </c>
      <c r="G22" s="21">
        <f t="shared" si="1"/>
        <v>14.399999999999999</v>
      </c>
      <c r="H22" s="21">
        <f t="shared" si="1"/>
        <v>216.02880000000002</v>
      </c>
      <c r="I22" s="21">
        <f t="shared" si="1"/>
        <v>28.799999999999997</v>
      </c>
    </row>
    <row r="23" spans="2:9">
      <c r="B23" s="21" t="s">
        <v>244</v>
      </c>
      <c r="C23" s="161">
        <v>0.18</v>
      </c>
      <c r="D23" s="161">
        <v>1</v>
      </c>
      <c r="E23" s="161">
        <v>0.09</v>
      </c>
      <c r="F23" s="21">
        <f t="shared" si="1"/>
        <v>486.01619999999991</v>
      </c>
      <c r="G23" s="21">
        <f t="shared" si="1"/>
        <v>8.1</v>
      </c>
      <c r="H23" s="21">
        <f t="shared" si="1"/>
        <v>121.51619999999998</v>
      </c>
      <c r="I23" s="21">
        <f t="shared" si="1"/>
        <v>16.2</v>
      </c>
    </row>
    <row r="24" spans="2:9">
      <c r="B24" s="21" t="s">
        <v>250</v>
      </c>
      <c r="C24" s="160">
        <f>SUM(F17:I23)</f>
        <v>2281.6169999999997</v>
      </c>
      <c r="F24" s="184">
        <f>SUM(F17:F23)</f>
        <v>1755.0585000000001</v>
      </c>
      <c r="G24" s="184">
        <f t="shared" ref="G24:I24" si="2">SUM(G17:G23)</f>
        <v>29.25</v>
      </c>
      <c r="H24" s="184">
        <f t="shared" si="2"/>
        <v>438.80849999999998</v>
      </c>
      <c r="I24" s="184">
        <f t="shared" si="2"/>
        <v>58.5</v>
      </c>
    </row>
    <row r="25" spans="2:9">
      <c r="B25" s="21" t="s">
        <v>251</v>
      </c>
      <c r="C25" s="163">
        <f>C24/312</f>
        <v>7.3128749999999991</v>
      </c>
      <c r="E25" s="159"/>
    </row>
    <row r="28" spans="2:9">
      <c r="B28" t="s">
        <v>252</v>
      </c>
    </row>
  </sheetData>
  <pageMargins left="0.7" right="0.7" top="0.75" bottom="0.75" header="0.3" footer="0.3"/>
  <pageSetup orientation="portrait" horizontalDpi="4294967293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9"/>
  <sheetViews>
    <sheetView topLeftCell="A7" workbookViewId="0">
      <selection activeCell="F26" sqref="F26"/>
    </sheetView>
  </sheetViews>
  <sheetFormatPr baseColWidth="10" defaultColWidth="14.42578125" defaultRowHeight="15"/>
  <cols>
    <col min="1" max="1" width="14.85546875" customWidth="1"/>
    <col min="2" max="2" width="16.42578125" customWidth="1"/>
    <col min="3" max="3" width="15.5703125" bestFit="1" customWidth="1"/>
    <col min="4" max="4" width="16.7109375" bestFit="1" customWidth="1"/>
    <col min="5" max="6" width="16.28515625" bestFit="1" customWidth="1"/>
    <col min="7" max="7" width="20.140625" customWidth="1"/>
    <col min="8" max="9" width="15.5703125" customWidth="1"/>
    <col min="10" max="26" width="10.7109375" customWidth="1"/>
  </cols>
  <sheetData>
    <row r="1" spans="1:12" ht="14.25" customHeight="1"/>
    <row r="2" spans="1:12" ht="14.25" customHeight="1">
      <c r="A2" s="13" t="s">
        <v>23</v>
      </c>
      <c r="B2" s="14">
        <f>SUM(INVERSIONES!C25:C27)*50%</f>
        <v>139277489.98409998</v>
      </c>
      <c r="C2" s="15"/>
    </row>
    <row r="3" spans="1:12" ht="14.25" customHeight="1">
      <c r="A3" s="13" t="s">
        <v>24</v>
      </c>
      <c r="B3" s="15">
        <v>5</v>
      </c>
      <c r="C3" s="15" t="s">
        <v>25</v>
      </c>
      <c r="E3" s="174" t="s">
        <v>33</v>
      </c>
      <c r="F3" s="174"/>
      <c r="G3" s="174"/>
      <c r="H3" s="174"/>
      <c r="I3" s="174"/>
      <c r="J3" s="174"/>
      <c r="K3" s="174"/>
      <c r="L3" s="174"/>
    </row>
    <row r="4" spans="1:12" ht="14.25" customHeight="1">
      <c r="A4" s="13" t="s">
        <v>26</v>
      </c>
      <c r="B4" s="123">
        <v>0.25740000000000002</v>
      </c>
      <c r="C4" s="15" t="s">
        <v>27</v>
      </c>
      <c r="E4" s="174"/>
      <c r="F4" s="174"/>
      <c r="G4" s="174"/>
      <c r="H4" s="174"/>
      <c r="I4" s="174"/>
      <c r="J4" s="174"/>
      <c r="K4" s="174"/>
      <c r="L4" s="174"/>
    </row>
    <row r="5" spans="1:12" ht="14.25" customHeight="1"/>
    <row r="6" spans="1:12" ht="14.25" customHeight="1">
      <c r="D6" s="40" t="s">
        <v>28</v>
      </c>
      <c r="E6" s="41">
        <v>1</v>
      </c>
      <c r="F6" s="41">
        <v>2</v>
      </c>
      <c r="G6" s="41">
        <v>3</v>
      </c>
      <c r="H6" s="41">
        <v>4</v>
      </c>
      <c r="I6" s="41">
        <v>5</v>
      </c>
    </row>
    <row r="7" spans="1:12" ht="14.25" customHeight="1">
      <c r="A7" t="s">
        <v>82</v>
      </c>
      <c r="B7" s="45">
        <f>-PMT(B4,B3,B2)</f>
        <v>52577629.157258458</v>
      </c>
      <c r="C7" s="43" t="s">
        <v>29</v>
      </c>
      <c r="E7" s="17">
        <f>+B2*((1+B4)^B3*B4)/((1+B4)^B3-1)</f>
        <v>52577629.157258451</v>
      </c>
      <c r="F7" s="17">
        <f t="shared" ref="F7:I7" si="0">+E7</f>
        <v>52577629.157258451</v>
      </c>
      <c r="G7" s="17">
        <f t="shared" si="0"/>
        <v>52577629.157258451</v>
      </c>
      <c r="H7" s="17">
        <f t="shared" si="0"/>
        <v>52577629.157258451</v>
      </c>
      <c r="I7" s="17">
        <f t="shared" si="0"/>
        <v>52577629.157258451</v>
      </c>
    </row>
    <row r="8" spans="1:12" ht="14.25" customHeight="1">
      <c r="A8" t="s">
        <v>83</v>
      </c>
      <c r="B8" s="46">
        <f>B7/12</f>
        <v>4381469.0964382049</v>
      </c>
      <c r="C8" s="44" t="s">
        <v>30</v>
      </c>
      <c r="D8" s="36"/>
      <c r="E8" s="37">
        <f t="shared" ref="E8:I8" si="1">+D10*$B$4</f>
        <v>35850025.921907336</v>
      </c>
      <c r="F8" s="37">
        <f t="shared" si="1"/>
        <v>31544340.849127959</v>
      </c>
      <c r="G8" s="37">
        <f t="shared" si="1"/>
        <v>26130372.438615173</v>
      </c>
      <c r="H8" s="37">
        <f t="shared" si="1"/>
        <v>19322848.559236392</v>
      </c>
      <c r="I8" s="37">
        <f t="shared" si="1"/>
        <v>10763068.033305515</v>
      </c>
    </row>
    <row r="9" spans="1:12" ht="14.25" customHeight="1">
      <c r="C9" s="42" t="s">
        <v>31</v>
      </c>
      <c r="D9" s="16"/>
      <c r="E9" s="18">
        <f t="shared" ref="E9:I9" si="2">E7-E8</f>
        <v>16727603.235351115</v>
      </c>
      <c r="F9" s="18">
        <f t="shared" si="2"/>
        <v>21033288.308130492</v>
      </c>
      <c r="G9" s="18">
        <f t="shared" si="2"/>
        <v>26447256.718643278</v>
      </c>
      <c r="H9" s="18">
        <f t="shared" si="2"/>
        <v>33254780.598022059</v>
      </c>
      <c r="I9" s="18">
        <f t="shared" si="2"/>
        <v>41814561.12395294</v>
      </c>
    </row>
    <row r="10" spans="1:12" ht="14.25" customHeight="1">
      <c r="C10" s="42" t="s">
        <v>32</v>
      </c>
      <c r="D10" s="17">
        <f>B2</f>
        <v>139277489.98409998</v>
      </c>
      <c r="E10" s="18">
        <f t="shared" ref="E10:I10" si="3">D10-E9</f>
        <v>122549886.74874887</v>
      </c>
      <c r="F10" s="18">
        <f t="shared" si="3"/>
        <v>101516598.44061838</v>
      </c>
      <c r="G10" s="18">
        <f t="shared" si="3"/>
        <v>75069341.721975103</v>
      </c>
      <c r="H10" s="18">
        <f t="shared" si="3"/>
        <v>41814561.123953044</v>
      </c>
      <c r="I10" s="18">
        <f t="shared" si="3"/>
        <v>1.0430812835693359E-7</v>
      </c>
    </row>
    <row r="11" spans="1:12" ht="14.25" customHeight="1"/>
    <row r="12" spans="1:12" ht="14.25" customHeight="1"/>
    <row r="13" spans="1:12" ht="14.25" customHeight="1">
      <c r="B13" s="119"/>
      <c r="C13" s="19"/>
      <c r="D13" s="19"/>
      <c r="E13" s="19"/>
      <c r="F13" s="19"/>
      <c r="G13" s="19"/>
      <c r="H13" s="20" t="s">
        <v>206</v>
      </c>
      <c r="I13" s="19"/>
    </row>
    <row r="14" spans="1:12" ht="14.25" customHeight="1">
      <c r="C14" s="119"/>
      <c r="D14" s="20"/>
      <c r="E14" s="20"/>
      <c r="F14" s="20"/>
      <c r="H14" s="19"/>
      <c r="I14" s="19"/>
    </row>
    <row r="15" spans="1:12" ht="14.25" customHeight="1">
      <c r="A15" s="19"/>
      <c r="B15" s="122"/>
      <c r="C15" s="20"/>
      <c r="D15" s="20"/>
      <c r="E15" s="20"/>
      <c r="F15" s="20"/>
      <c r="G15" s="20"/>
      <c r="H15" s="19"/>
      <c r="I15" s="19"/>
    </row>
    <row r="16" spans="1:12" ht="14.25" customHeight="1">
      <c r="B16" s="51"/>
      <c r="C16" s="119"/>
      <c r="D16" s="20"/>
      <c r="E16" s="20"/>
      <c r="F16" s="20"/>
      <c r="G16" s="20"/>
      <c r="H16" s="19"/>
      <c r="I16" s="19"/>
    </row>
    <row r="17" spans="2:9" ht="14.25" customHeight="1">
      <c r="B17" s="19"/>
      <c r="C17" s="120"/>
      <c r="D17" s="20"/>
      <c r="E17" s="20"/>
      <c r="F17" s="20"/>
      <c r="G17" s="20"/>
      <c r="H17" s="19"/>
      <c r="I17" s="19"/>
    </row>
    <row r="18" spans="2:9" ht="14.25" customHeight="1"/>
    <row r="19" spans="2:9" ht="14.25" customHeight="1">
      <c r="B19" s="121"/>
      <c r="C19" s="119"/>
    </row>
    <row r="20" spans="2:9" ht="14.25" customHeight="1"/>
    <row r="21" spans="2:9" ht="14.25" customHeight="1"/>
    <row r="22" spans="2:9" ht="14.25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E3:L4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29"/>
  <sheetViews>
    <sheetView topLeftCell="A3" workbookViewId="0">
      <selection activeCell="B21" sqref="B21:C23"/>
    </sheetView>
  </sheetViews>
  <sheetFormatPr baseColWidth="10" defaultRowHeight="15"/>
  <cols>
    <col min="1" max="1" width="5" customWidth="1"/>
    <col min="2" max="2" width="63.7109375" bestFit="1" customWidth="1"/>
    <col min="3" max="3" width="20.42578125" customWidth="1"/>
    <col min="4" max="4" width="20.28515625" customWidth="1"/>
    <col min="5" max="5" width="16.7109375" bestFit="1" customWidth="1"/>
    <col min="6" max="6" width="17.5703125" customWidth="1"/>
    <col min="7" max="7" width="20" customWidth="1"/>
    <col min="8" max="8" width="19.42578125" bestFit="1" customWidth="1"/>
  </cols>
  <sheetData>
    <row r="2" spans="2:8">
      <c r="B2" s="175" t="s">
        <v>39</v>
      </c>
      <c r="C2" s="176"/>
    </row>
    <row r="3" spans="2:8">
      <c r="B3" s="21" t="s">
        <v>44</v>
      </c>
      <c r="C3" s="22">
        <v>6000000</v>
      </c>
    </row>
    <row r="4" spans="2:8" ht="30">
      <c r="B4" s="24" t="s">
        <v>41</v>
      </c>
      <c r="C4" s="22">
        <v>1000000</v>
      </c>
    </row>
    <row r="5" spans="2:8">
      <c r="B5" s="21" t="s">
        <v>40</v>
      </c>
      <c r="C5" s="22">
        <v>5000000</v>
      </c>
    </row>
    <row r="6" spans="2:8">
      <c r="B6" s="21" t="s">
        <v>42</v>
      </c>
      <c r="C6" s="22">
        <v>1500000</v>
      </c>
      <c r="G6" s="177" t="s">
        <v>48</v>
      </c>
      <c r="H6" s="177"/>
    </row>
    <row r="7" spans="2:8">
      <c r="B7" s="21" t="s">
        <v>43</v>
      </c>
      <c r="C7" s="22">
        <v>4000000</v>
      </c>
      <c r="G7" s="29">
        <v>1</v>
      </c>
      <c r="H7" s="27">
        <f>4248</f>
        <v>4248</v>
      </c>
    </row>
    <row r="8" spans="2:8">
      <c r="B8" s="25" t="s">
        <v>37</v>
      </c>
      <c r="C8" s="26">
        <f>SUM(C3:C7)</f>
        <v>17500000</v>
      </c>
    </row>
    <row r="10" spans="2:8">
      <c r="B10" s="179" t="s">
        <v>38</v>
      </c>
      <c r="C10" s="179"/>
      <c r="D10" s="179"/>
      <c r="E10" s="179"/>
      <c r="F10" s="179"/>
      <c r="G10" s="21" t="s">
        <v>145</v>
      </c>
    </row>
    <row r="11" spans="2:8">
      <c r="B11" s="71" t="s">
        <v>34</v>
      </c>
      <c r="C11" s="71" t="s">
        <v>35</v>
      </c>
      <c r="D11" s="72" t="s">
        <v>144</v>
      </c>
      <c r="E11" s="73" t="s">
        <v>49</v>
      </c>
      <c r="F11" s="31" t="s">
        <v>36</v>
      </c>
      <c r="G11" s="69" t="s">
        <v>46</v>
      </c>
      <c r="H11" s="31" t="s">
        <v>45</v>
      </c>
    </row>
    <row r="12" spans="2:8">
      <c r="B12" s="1" t="s">
        <v>50</v>
      </c>
      <c r="C12" s="15">
        <v>1</v>
      </c>
      <c r="D12" s="30">
        <f>H12*H7*C12</f>
        <v>46728000</v>
      </c>
      <c r="E12" s="33">
        <v>12</v>
      </c>
      <c r="F12" s="70" t="s">
        <v>51</v>
      </c>
      <c r="G12" s="21" t="s">
        <v>47</v>
      </c>
      <c r="H12" s="117">
        <v>11000</v>
      </c>
    </row>
    <row r="13" spans="2:8">
      <c r="B13" s="1" t="s">
        <v>53</v>
      </c>
      <c r="C13" s="15">
        <v>1</v>
      </c>
      <c r="D13" s="30">
        <f>H13*H7</f>
        <v>29731752</v>
      </c>
      <c r="E13" s="68">
        <f>1000/(26*12)</f>
        <v>3.2051282051282053</v>
      </c>
      <c r="F13" s="1" t="s">
        <v>51</v>
      </c>
      <c r="G13" s="21" t="s">
        <v>52</v>
      </c>
      <c r="H13" s="118">
        <v>6999</v>
      </c>
    </row>
    <row r="14" spans="2:8">
      <c r="B14" s="1" t="s">
        <v>142</v>
      </c>
      <c r="C14" s="15">
        <v>3</v>
      </c>
      <c r="D14" s="30">
        <f>H14*H7*C14</f>
        <v>879336</v>
      </c>
      <c r="E14" s="21" t="s">
        <v>56</v>
      </c>
      <c r="F14" s="1" t="s">
        <v>51</v>
      </c>
      <c r="G14" s="21" t="s">
        <v>55</v>
      </c>
      <c r="H14" s="118">
        <v>69</v>
      </c>
    </row>
    <row r="15" spans="2:8">
      <c r="B15" s="11" t="s">
        <v>143</v>
      </c>
      <c r="C15" s="15">
        <v>2</v>
      </c>
      <c r="D15" s="30">
        <f>H15*H7*C15</f>
        <v>8496000</v>
      </c>
      <c r="E15" s="21" t="s">
        <v>59</v>
      </c>
      <c r="F15" s="1" t="s">
        <v>51</v>
      </c>
      <c r="G15" s="21" t="s">
        <v>58</v>
      </c>
      <c r="H15" s="118">
        <v>1000</v>
      </c>
    </row>
    <row r="16" spans="2:8">
      <c r="B16" s="16" t="s">
        <v>78</v>
      </c>
      <c r="C16" s="15">
        <v>1</v>
      </c>
      <c r="D16" s="30">
        <f>H16*H7</f>
        <v>26762400</v>
      </c>
      <c r="E16" s="21" t="s">
        <v>80</v>
      </c>
      <c r="F16" s="1" t="s">
        <v>51</v>
      </c>
      <c r="G16" s="21" t="s">
        <v>79</v>
      </c>
      <c r="H16" s="118">
        <v>6300</v>
      </c>
    </row>
    <row r="17" spans="2:8">
      <c r="B17" s="16" t="s">
        <v>60</v>
      </c>
      <c r="C17" s="15">
        <v>1</v>
      </c>
      <c r="D17" s="30">
        <f>H17*H7</f>
        <v>16992000</v>
      </c>
      <c r="E17" s="21" t="s">
        <v>62</v>
      </c>
      <c r="F17" s="1" t="s">
        <v>51</v>
      </c>
      <c r="G17" s="21" t="s">
        <v>61</v>
      </c>
      <c r="H17" s="118">
        <v>4000</v>
      </c>
    </row>
    <row r="18" spans="2:8">
      <c r="B18" s="1" t="s">
        <v>66</v>
      </c>
      <c r="C18" s="15">
        <v>1</v>
      </c>
      <c r="D18" s="30">
        <v>8409900</v>
      </c>
      <c r="E18" s="21" t="s">
        <v>69</v>
      </c>
      <c r="F18" s="1" t="s">
        <v>67</v>
      </c>
      <c r="G18" s="21" t="s">
        <v>68</v>
      </c>
      <c r="H18" s="118" t="s">
        <v>56</v>
      </c>
    </row>
    <row r="19" spans="2:8">
      <c r="B19" s="16" t="s">
        <v>70</v>
      </c>
      <c r="C19" s="15">
        <v>1</v>
      </c>
      <c r="D19" s="30">
        <f>H19*H7</f>
        <v>2761200</v>
      </c>
      <c r="E19" s="21" t="s">
        <v>56</v>
      </c>
      <c r="F19" s="1" t="s">
        <v>51</v>
      </c>
      <c r="G19" s="21" t="s">
        <v>71</v>
      </c>
      <c r="H19" s="118">
        <v>650</v>
      </c>
    </row>
    <row r="20" spans="2:8">
      <c r="B20" s="16" t="s">
        <v>72</v>
      </c>
      <c r="C20" s="15">
        <v>2</v>
      </c>
      <c r="D20" s="30">
        <f>H20*H7*C20</f>
        <v>5947200</v>
      </c>
      <c r="E20" s="21" t="s">
        <v>74</v>
      </c>
      <c r="F20" s="1" t="s">
        <v>51</v>
      </c>
      <c r="G20" s="21" t="s">
        <v>73</v>
      </c>
      <c r="H20" s="118">
        <v>700</v>
      </c>
    </row>
    <row r="21" spans="2:8">
      <c r="B21" s="1" t="s">
        <v>75</v>
      </c>
      <c r="C21" s="15">
        <v>1</v>
      </c>
      <c r="D21" s="30">
        <f>H7*H21</f>
        <v>12234240</v>
      </c>
      <c r="E21" s="21" t="s">
        <v>76</v>
      </c>
      <c r="F21" s="1" t="s">
        <v>51</v>
      </c>
      <c r="G21" s="21" t="s">
        <v>77</v>
      </c>
      <c r="H21" s="118">
        <v>2880</v>
      </c>
    </row>
    <row r="22" spans="2:8">
      <c r="B22" s="16" t="s">
        <v>63</v>
      </c>
      <c r="C22" s="15">
        <v>3</v>
      </c>
      <c r="D22" s="32">
        <f>2549900*C22</f>
        <v>7649700</v>
      </c>
      <c r="E22" s="21" t="s">
        <v>56</v>
      </c>
      <c r="F22" s="1" t="s">
        <v>64</v>
      </c>
      <c r="G22" s="21" t="s">
        <v>65</v>
      </c>
      <c r="H22" s="118" t="s">
        <v>56</v>
      </c>
    </row>
    <row r="23" spans="2:8">
      <c r="B23" s="169" t="s">
        <v>37</v>
      </c>
      <c r="C23" s="178"/>
      <c r="D23" s="17">
        <f>SUM(D12:D22)</f>
        <v>166591728</v>
      </c>
    </row>
    <row r="25" spans="2:8">
      <c r="B25" s="25" t="s">
        <v>81</v>
      </c>
      <c r="C25" s="35">
        <f>D23+C8</f>
        <v>184091728</v>
      </c>
    </row>
    <row r="26" spans="2:8">
      <c r="B26" s="25" t="s">
        <v>84</v>
      </c>
      <c r="C26" s="35">
        <f>NOMINA!M14*2</f>
        <v>84463251.968199998</v>
      </c>
    </row>
    <row r="27" spans="2:8">
      <c r="B27" s="25" t="s">
        <v>164</v>
      </c>
      <c r="C27" s="47">
        <v>10000000</v>
      </c>
    </row>
    <row r="29" spans="2:8">
      <c r="C29" s="34"/>
    </row>
  </sheetData>
  <mergeCells count="4">
    <mergeCell ref="B2:C2"/>
    <mergeCell ref="G6:H6"/>
    <mergeCell ref="B23:C23"/>
    <mergeCell ref="B10:F10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topLeftCell="A11" workbookViewId="0">
      <selection activeCell="G12" sqref="G12:K12"/>
    </sheetView>
  </sheetViews>
  <sheetFormatPr baseColWidth="10" defaultRowHeight="15"/>
  <cols>
    <col min="3" max="3" width="24.140625" customWidth="1"/>
    <col min="4" max="5" width="0" hidden="1" customWidth="1"/>
    <col min="7" max="8" width="15.5703125" bestFit="1" customWidth="1"/>
    <col min="9" max="11" width="16.28515625" bestFit="1" customWidth="1"/>
  </cols>
  <sheetData>
    <row r="1" spans="1:11">
      <c r="A1" s="89" t="s">
        <v>221</v>
      </c>
    </row>
    <row r="2" spans="1:11" ht="15.75">
      <c r="A2" s="129"/>
      <c r="B2" s="129"/>
      <c r="C2" s="129"/>
      <c r="D2" s="129"/>
      <c r="G2" s="130" t="s">
        <v>212</v>
      </c>
      <c r="H2" s="130" t="s">
        <v>213</v>
      </c>
      <c r="I2" s="130" t="s">
        <v>214</v>
      </c>
      <c r="J2" s="130" t="s">
        <v>215</v>
      </c>
      <c r="K2" s="130" t="s">
        <v>216</v>
      </c>
    </row>
    <row r="3" spans="1:11" ht="15.75">
      <c r="A3" s="129"/>
      <c r="B3" s="138" t="s">
        <v>219</v>
      </c>
      <c r="C3" s="129"/>
      <c r="D3" s="129"/>
      <c r="G3" s="134">
        <f>INGRESOS!C7*INGRESOS!C10</f>
        <v>1166349600</v>
      </c>
      <c r="H3" s="134">
        <f>INGRESOS!D7*INGRESOS!D10</f>
        <v>1340299584</v>
      </c>
      <c r="I3" s="134">
        <f>INGRESOS!E7*INGRESOS!E10</f>
        <v>1587601080</v>
      </c>
      <c r="J3" s="134">
        <f>INGRESOS!F7*INGRESOS!F10</f>
        <v>1857317280</v>
      </c>
      <c r="K3" s="134">
        <f>INGRESOS!G7*INGRESOS!G10</f>
        <v>2151126120</v>
      </c>
    </row>
    <row r="4" spans="1:11" ht="15.75">
      <c r="A4" s="129"/>
      <c r="B4" t="s">
        <v>220</v>
      </c>
      <c r="C4" s="129"/>
      <c r="D4" s="129"/>
      <c r="G4" s="7">
        <f>'COSTOS Y GASTOS'!D95</f>
        <v>280000</v>
      </c>
      <c r="H4" s="7">
        <f>G4*(1+INGRESOS!$C$3)</f>
        <v>294812</v>
      </c>
      <c r="I4" s="7">
        <f>H4*(1+INGRESOS!$C$3)</f>
        <v>310407.55479999998</v>
      </c>
      <c r="J4" s="7">
        <f>I4*(1+INGRESOS!$C$3)</f>
        <v>326828.11444891995</v>
      </c>
      <c r="K4" s="7">
        <f>J4*(1+INGRESOS!$C$3)</f>
        <v>344117.32170326781</v>
      </c>
    </row>
    <row r="5" spans="1:11" ht="15.75">
      <c r="A5" s="129"/>
      <c r="B5" s="137" t="s">
        <v>148</v>
      </c>
      <c r="C5" s="129"/>
      <c r="D5" s="129"/>
      <c r="G5" s="7">
        <f>ROUNDUP('COSTOS Y GASTOS'!B114,2)</f>
        <v>99716.349999999991</v>
      </c>
      <c r="H5" s="7">
        <f>G5*(1+INGRESOS!$C$3)</f>
        <v>104991.34491499998</v>
      </c>
      <c r="I5" s="7">
        <f>H5*(1+INGRESOS!$C$3)</f>
        <v>110545.38706100348</v>
      </c>
      <c r="J5" s="7">
        <f>I5*(1+INGRESOS!$C$3)</f>
        <v>116393.23803653056</v>
      </c>
      <c r="K5" s="7">
        <f>J5*(1+INGRESOS!$C$3)</f>
        <v>122550.44032866301</v>
      </c>
    </row>
    <row r="6" spans="1:11" ht="15.75">
      <c r="A6" s="129"/>
      <c r="B6" s="137" t="s">
        <v>147</v>
      </c>
      <c r="C6" s="129"/>
      <c r="D6" s="129"/>
      <c r="G6" s="7">
        <f>ROUNDUP('COSTOS Y GASTOS'!B115,2)</f>
        <v>4040.3</v>
      </c>
      <c r="H6" s="7">
        <f>G6*(1+INGRESOS!$C$3)</f>
        <v>4254.0318699999998</v>
      </c>
      <c r="I6" s="7">
        <f>H6*(1+INGRESOS!$C$3)</f>
        <v>4479.0701559229992</v>
      </c>
      <c r="J6" s="7">
        <f>I6*(1+INGRESOS!$C$3)</f>
        <v>4716.0129671713257</v>
      </c>
      <c r="K6" s="7">
        <f>J6*(1+INGRESOS!$C$3)</f>
        <v>4965.4900531346884</v>
      </c>
    </row>
    <row r="7" spans="1:11" ht="15.75">
      <c r="A7" s="129"/>
      <c r="B7" s="51" t="s">
        <v>141</v>
      </c>
      <c r="C7" s="129"/>
      <c r="D7" s="129"/>
      <c r="G7" s="7">
        <f>'COSTOS Y GASTOS'!B116*12</f>
        <v>30000000</v>
      </c>
      <c r="H7" s="7">
        <f>G7*(1+INGRESOS!$C$3)</f>
        <v>31587000</v>
      </c>
      <c r="I7" s="7">
        <f>H7*(1+INGRESOS!$C$3)</f>
        <v>33257952.299999997</v>
      </c>
      <c r="J7" s="7">
        <f>I7*(1+INGRESOS!$C$3)</f>
        <v>35017297.976669997</v>
      </c>
      <c r="K7" s="7">
        <f>J7*(1+INGRESOS!$C$3)</f>
        <v>36869713.039635837</v>
      </c>
    </row>
    <row r="8" spans="1:11" ht="15.75">
      <c r="A8" s="129"/>
      <c r="B8" s="51" t="s">
        <v>88</v>
      </c>
      <c r="C8" s="129"/>
      <c r="D8" s="129"/>
      <c r="G8" s="7">
        <f>'COSTOS Y GASTOS'!B117*12</f>
        <v>247215924.80219999</v>
      </c>
      <c r="H8" s="7">
        <f>G8*(1+INGRESOS!$C$3)</f>
        <v>260293647.22423637</v>
      </c>
      <c r="I8" s="7">
        <f>H8*(1+INGRESOS!$C$3)</f>
        <v>274063181.16239846</v>
      </c>
      <c r="J8" s="7">
        <f>I8*(1+INGRESOS!$C$3)</f>
        <v>288561123.44588929</v>
      </c>
      <c r="K8" s="7">
        <f>J8*(1+INGRESOS!$C$3)</f>
        <v>303826006.87617683</v>
      </c>
    </row>
    <row r="9" spans="1:11" ht="15.75">
      <c r="A9" s="129"/>
      <c r="B9" s="51" t="s">
        <v>16</v>
      </c>
      <c r="C9" s="129"/>
      <c r="D9" s="129"/>
      <c r="G9" s="7">
        <f>'COSTOS Y GASTOS'!B118*12</f>
        <v>31516290</v>
      </c>
      <c r="H9" s="7">
        <f>G9*(1+INGRESOS!$C$3)</f>
        <v>33183501.740999997</v>
      </c>
      <c r="I9" s="7">
        <f>H9*(1+INGRESOS!$C$3)</f>
        <v>34938908.983098894</v>
      </c>
      <c r="J9" s="7">
        <f>I9*(1+INGRESOS!$C$3)</f>
        <v>36787177.268304825</v>
      </c>
      <c r="K9" s="7">
        <f>J9*(1+INGRESOS!$C$3)</f>
        <v>38733218.945798151</v>
      </c>
    </row>
    <row r="10" spans="1:11" ht="15.75">
      <c r="A10" s="129"/>
      <c r="B10" s="129"/>
      <c r="C10" s="129"/>
      <c r="D10" s="129"/>
      <c r="G10" s="7"/>
      <c r="H10" s="7"/>
      <c r="I10" s="7"/>
      <c r="J10" s="7"/>
      <c r="K10" s="7"/>
    </row>
    <row r="11" spans="1:11" ht="15.75">
      <c r="A11" s="181" t="s">
        <v>211</v>
      </c>
      <c r="B11" s="181"/>
      <c r="C11" s="181"/>
      <c r="D11" s="181"/>
      <c r="G11" s="7"/>
      <c r="H11" s="7"/>
      <c r="I11" s="7"/>
      <c r="J11" s="7"/>
      <c r="K11" s="7"/>
    </row>
    <row r="12" spans="1:11" ht="15.75">
      <c r="A12" s="129"/>
      <c r="B12" s="129"/>
      <c r="C12" s="129"/>
      <c r="D12" s="129"/>
      <c r="G12" s="130" t="s">
        <v>212</v>
      </c>
      <c r="H12" s="130" t="s">
        <v>213</v>
      </c>
      <c r="I12" s="130" t="s">
        <v>214</v>
      </c>
      <c r="J12" s="130" t="s">
        <v>215</v>
      </c>
      <c r="K12" s="130" t="s">
        <v>216</v>
      </c>
    </row>
    <row r="13" spans="1:11">
      <c r="B13" s="180" t="s">
        <v>217</v>
      </c>
      <c r="C13" s="180"/>
      <c r="G13" s="134">
        <f>INGRESOS!C7*INGRESOS!C10</f>
        <v>1166349600</v>
      </c>
      <c r="H13" s="134">
        <f>INGRESOS!D7*INGRESOS!D10</f>
        <v>1340299584</v>
      </c>
      <c r="I13" s="134">
        <f>INGRESOS!E7*INGRESOS!E10</f>
        <v>1587601080</v>
      </c>
      <c r="J13" s="134">
        <f>INGRESOS!F7*INGRESOS!F10</f>
        <v>1857317280</v>
      </c>
      <c r="K13" s="134">
        <f>INGRESOS!G7*INGRESOS!G10</f>
        <v>2151126120</v>
      </c>
    </row>
    <row r="14" spans="1:11">
      <c r="B14" s="180" t="s">
        <v>218</v>
      </c>
      <c r="C14" s="180"/>
      <c r="G14" s="51"/>
      <c r="H14" s="51"/>
      <c r="I14" s="51"/>
      <c r="J14" s="51"/>
      <c r="K14" s="51"/>
    </row>
    <row r="15" spans="1:11">
      <c r="B15" s="180" t="s">
        <v>95</v>
      </c>
      <c r="C15" s="180"/>
      <c r="G15" s="7">
        <f>'COSTOS Y GASTOS'!$D$95*INGRESOS!C10</f>
        <v>640348800</v>
      </c>
      <c r="H15" s="7">
        <f>'COSTOS Y GASTOS'!$D$95*INGRESOS!D10</f>
        <v>698880000</v>
      </c>
      <c r="I15" s="7">
        <f>'COSTOS Y GASTOS'!$D$95*INGRESOS!E10</f>
        <v>786240000</v>
      </c>
      <c r="J15" s="7">
        <f>'COSTOS Y GASTOS'!$D$95*INGRESOS!F10</f>
        <v>873600000</v>
      </c>
      <c r="K15" s="7">
        <f>'COSTOS Y GASTOS'!$D$95*INGRESOS!G10</f>
        <v>960960000</v>
      </c>
    </row>
    <row r="16" spans="1:11">
      <c r="B16" s="180" t="s">
        <v>96</v>
      </c>
      <c r="C16" s="180"/>
      <c r="G16" s="7">
        <f>'ESTADO DE RESULTADOS'!G5*INGRESOS!C10</f>
        <v>228047303.79599997</v>
      </c>
      <c r="H16" s="7">
        <f>'ESTADO DE RESULTADOS'!H5*INGRESOS!D10</f>
        <v>262058396.90783995</v>
      </c>
      <c r="I16" s="7">
        <f>'ESTADO DE RESULTADOS'!I5*INGRESOS!E10</f>
        <v>310411446.86729777</v>
      </c>
      <c r="J16" s="7">
        <f>'ESTADO DE RESULTADOS'!J5*INGRESOS!F10</f>
        <v>363146902.67397535</v>
      </c>
      <c r="K16" s="7">
        <f>'ESTADO DE RESULTADOS'!K5*INGRESOS!G10</f>
        <v>420593111.20797145</v>
      </c>
    </row>
    <row r="17" spans="2:11">
      <c r="B17" s="180" t="s">
        <v>97</v>
      </c>
      <c r="C17" s="180"/>
      <c r="G17" s="7">
        <f>'ESTADO DE RESULTADOS'!G6*INGRESOS!C10</f>
        <v>9240004.4879999999</v>
      </c>
      <c r="H17" s="7">
        <f>'ESTADO DE RESULTADOS'!H6*INGRESOS!D10</f>
        <v>10618063.547519999</v>
      </c>
      <c r="I17" s="7">
        <f>'ESTADO DE RESULTADOS'!I6*INGRESOS!E10</f>
        <v>12577228.997831782</v>
      </c>
      <c r="J17" s="7">
        <f>'ESTADO DE RESULTADOS'!J6*INGRESOS!F10</f>
        <v>14713960.457574537</v>
      </c>
      <c r="K17" s="7">
        <f>'ESTADO DE RESULTADOS'!K6*INGRESOS!G10</f>
        <v>17041561.86235825</v>
      </c>
    </row>
    <row r="18" spans="2:11">
      <c r="B18" s="180" t="s">
        <v>98</v>
      </c>
      <c r="C18" s="180"/>
      <c r="G18" s="134">
        <f>G13-G15-G16-G17</f>
        <v>288713491.71600002</v>
      </c>
      <c r="H18" s="134">
        <f>H13-H15-H16-H17</f>
        <v>368743123.54464006</v>
      </c>
      <c r="I18" s="134">
        <f>I13-I15-I16-I17</f>
        <v>478372404.13487047</v>
      </c>
      <c r="J18" s="134">
        <f>J13-J15-J16-J17</f>
        <v>605856416.86845016</v>
      </c>
      <c r="K18" s="134">
        <f>K13-K15-K16-K17</f>
        <v>752531446.92967033</v>
      </c>
    </row>
    <row r="19" spans="2:11">
      <c r="B19" s="180" t="s">
        <v>99</v>
      </c>
      <c r="C19" s="180"/>
      <c r="E19" s="59"/>
      <c r="F19" s="59"/>
      <c r="G19" s="59"/>
      <c r="H19" s="59"/>
      <c r="I19" s="59"/>
      <c r="J19" s="59"/>
      <c r="K19" s="59"/>
    </row>
    <row r="20" spans="2:11">
      <c r="B20" s="180" t="s">
        <v>100</v>
      </c>
      <c r="C20" s="180"/>
      <c r="D20" s="131">
        <v>0.6</v>
      </c>
      <c r="E20" s="51"/>
      <c r="F20" s="51"/>
      <c r="G20" s="7">
        <f>'ESTADO DE RESULTADOS'!G8+$D$20*'ESTADO DE RESULTADOS'!G7</f>
        <v>265215924.80219999</v>
      </c>
      <c r="H20" s="7">
        <f>'ESTADO DE RESULTADOS'!H8+$D$20*'ESTADO DE RESULTADOS'!H7</f>
        <v>279245847.22423637</v>
      </c>
      <c r="I20" s="7">
        <f>'ESTADO DE RESULTADOS'!I8+$D$20*'ESTADO DE RESULTADOS'!I7</f>
        <v>294017952.54239845</v>
      </c>
      <c r="J20" s="7">
        <f>'ESTADO DE RESULTADOS'!J8+$D$20*'ESTADO DE RESULTADOS'!J7</f>
        <v>309571502.23189127</v>
      </c>
      <c r="K20" s="7">
        <f>'ESTADO DE RESULTADOS'!K8+$D$20*'ESTADO DE RESULTADOS'!K7</f>
        <v>325947834.69995832</v>
      </c>
    </row>
    <row r="21" spans="2:11">
      <c r="B21" s="180" t="s">
        <v>101</v>
      </c>
      <c r="C21" s="180"/>
      <c r="D21" s="131">
        <v>0.4</v>
      </c>
      <c r="E21" s="51"/>
      <c r="F21" s="51"/>
      <c r="G21" s="7">
        <f>+'ESTADO DE RESULTADOS'!G9+$D$21*'ESTADO DE RESULTADOS'!G7</f>
        <v>43516290</v>
      </c>
      <c r="H21" s="7">
        <f>+'ESTADO DE RESULTADOS'!H9+$D$21*'ESTADO DE RESULTADOS'!H7</f>
        <v>45818301.740999997</v>
      </c>
      <c r="I21" s="7">
        <f>+'ESTADO DE RESULTADOS'!I9+$D$21*'ESTADO DE RESULTADOS'!I7</f>
        <v>48242089.903098896</v>
      </c>
      <c r="J21" s="7">
        <f>+'ESTADO DE RESULTADOS'!J9+$D$21*'ESTADO DE RESULTADOS'!J7</f>
        <v>50794096.458972827</v>
      </c>
      <c r="K21" s="7">
        <f>+'ESTADO DE RESULTADOS'!K9+$D$21*'ESTADO DE RESULTADOS'!K7</f>
        <v>53481104.16165249</v>
      </c>
    </row>
    <row r="22" spans="2:11">
      <c r="B22" s="180" t="s">
        <v>102</v>
      </c>
      <c r="C22" s="180"/>
      <c r="D22" s="51"/>
      <c r="E22" s="51"/>
      <c r="F22" s="51"/>
      <c r="G22" s="134">
        <f>G18-G20-G21</f>
        <v>-20018723.086199969</v>
      </c>
      <c r="H22" s="134">
        <f>H18-H20-H21</f>
        <v>43678974.579403698</v>
      </c>
      <c r="I22" s="134">
        <f>I18-I20-I21</f>
        <v>136112361.68937314</v>
      </c>
      <c r="J22" s="134">
        <f>J18-J20-J21</f>
        <v>245490818.17758608</v>
      </c>
      <c r="K22" s="134">
        <f>K18-K20-K21</f>
        <v>373102508.0680595</v>
      </c>
    </row>
    <row r="23" spans="2:11">
      <c r="B23" s="180" t="s">
        <v>103</v>
      </c>
      <c r="C23" s="180"/>
      <c r="D23" s="132"/>
      <c r="E23" s="51"/>
      <c r="F23" s="51"/>
      <c r="G23" s="9">
        <f>'COSTOS Y GASTOS'!D4</f>
        <v>20100382.800000001</v>
      </c>
      <c r="H23" s="9">
        <f>'COSTOS Y GASTOS'!E4</f>
        <v>20100382.800000001</v>
      </c>
      <c r="I23" s="9">
        <f>'COSTOS Y GASTOS'!F4</f>
        <v>20100382.800000001</v>
      </c>
      <c r="J23" s="9">
        <f>'COSTOS Y GASTOS'!G4</f>
        <v>20100382.800000001</v>
      </c>
      <c r="K23" s="9">
        <f>'COSTOS Y GASTOS'!H4</f>
        <v>20100382.800000001</v>
      </c>
    </row>
    <row r="24" spans="2:11">
      <c r="B24" s="180" t="s">
        <v>104</v>
      </c>
      <c r="C24" s="180"/>
      <c r="D24" s="132"/>
      <c r="E24" s="51"/>
      <c r="F24" s="51"/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2:11">
      <c r="B25" s="180" t="s">
        <v>105</v>
      </c>
      <c r="C25" s="180"/>
      <c r="D25" s="132"/>
      <c r="E25" s="51"/>
      <c r="F25" s="51"/>
      <c r="G25" s="57">
        <f>G22-G23-G24</f>
        <v>-40119105.886199966</v>
      </c>
      <c r="H25" s="57">
        <f>H22-H23-H24</f>
        <v>23578591.779403698</v>
      </c>
      <c r="I25" s="57">
        <f>I22-I23-I24</f>
        <v>116011978.88937314</v>
      </c>
      <c r="J25" s="57">
        <f>J22-J23-J24</f>
        <v>225390435.37758607</v>
      </c>
      <c r="K25" s="57">
        <f>K22-K23-K24</f>
        <v>353002125.26805949</v>
      </c>
    </row>
    <row r="26" spans="2:11">
      <c r="B26" s="180" t="s">
        <v>106</v>
      </c>
      <c r="C26" s="180"/>
      <c r="D26" s="132"/>
      <c r="E26" s="51"/>
      <c r="F26" s="51"/>
      <c r="G26" s="57">
        <v>18731239.065000001</v>
      </c>
      <c r="H26" s="57">
        <v>16437745.10935826</v>
      </c>
      <c r="I26" s="57">
        <v>13576611.399695192</v>
      </c>
      <c r="J26" s="57">
        <v>10007347.096890515</v>
      </c>
      <c r="K26" s="57">
        <v>5554689.879141679</v>
      </c>
    </row>
    <row r="27" spans="2:11">
      <c r="B27" s="180" t="s">
        <v>107</v>
      </c>
      <c r="C27" s="180"/>
      <c r="D27" s="132"/>
      <c r="E27" s="51"/>
      <c r="F27" s="51"/>
      <c r="G27" s="135">
        <f>G25-G26</f>
        <v>-58850344.951199964</v>
      </c>
      <c r="H27" s="135">
        <f>H25-H26</f>
        <v>7140846.6700454373</v>
      </c>
      <c r="I27" s="135">
        <f>I25-I26</f>
        <v>102435367.48967795</v>
      </c>
      <c r="J27" s="135">
        <f>J25-J26</f>
        <v>215383088.28069556</v>
      </c>
      <c r="K27" s="135">
        <f>K25-K26</f>
        <v>347447435.3889178</v>
      </c>
    </row>
    <row r="28" spans="2:11">
      <c r="B28" s="180" t="s">
        <v>108</v>
      </c>
      <c r="C28" s="180"/>
      <c r="D28" s="131">
        <v>0.35</v>
      </c>
      <c r="E28" s="51"/>
      <c r="F28" s="51"/>
      <c r="G28" s="57">
        <f>IF(G27&lt;=0,0,G27*$D$28)</f>
        <v>0</v>
      </c>
      <c r="H28" s="57">
        <f>IF(H27&lt;=0,0,H27*$D$28)</f>
        <v>2499296.3345159027</v>
      </c>
      <c r="I28" s="57">
        <f>IF(I27&lt;=0,0,I27*$D$28)</f>
        <v>35852378.621387281</v>
      </c>
      <c r="J28" s="57">
        <f>IF(J27&lt;=0,0,J27*$D$28)</f>
        <v>75384080.898243442</v>
      </c>
      <c r="K28" s="57">
        <f>IF(K27&lt;=0,0,K27*$D$28)</f>
        <v>121606602.38612123</v>
      </c>
    </row>
    <row r="29" spans="2:11">
      <c r="B29" s="182" t="s">
        <v>109</v>
      </c>
      <c r="C29" s="182"/>
      <c r="D29" s="51"/>
      <c r="E29" s="51"/>
      <c r="F29" s="51"/>
      <c r="G29" s="133">
        <f>G27-G28</f>
        <v>-58850344.951199964</v>
      </c>
      <c r="H29" s="136">
        <f>H27-H28</f>
        <v>4641550.3355295341</v>
      </c>
      <c r="I29" s="136">
        <f>I27-I28</f>
        <v>66582988.86829067</v>
      </c>
      <c r="J29" s="136">
        <f>J27-J28</f>
        <v>139999007.38245213</v>
      </c>
      <c r="K29" s="136">
        <f>K27-K28</f>
        <v>225840833.00279659</v>
      </c>
    </row>
    <row r="31" spans="2:11">
      <c r="B31" s="180" t="s">
        <v>222</v>
      </c>
      <c r="C31" s="180"/>
      <c r="G31" s="135">
        <f>G29+G23+G24</f>
        <v>-38749962.151199967</v>
      </c>
      <c r="H31" s="135">
        <f>H29+H23+H24</f>
        <v>24741933.135529533</v>
      </c>
      <c r="I31" s="135">
        <f>I29+I23+I24</f>
        <v>86683371.668290675</v>
      </c>
      <c r="J31" s="135">
        <f>J29+J23+J24</f>
        <v>160099390.18245214</v>
      </c>
      <c r="K31" s="135">
        <f>K29+K23+K24</f>
        <v>245941215.8027966</v>
      </c>
    </row>
  </sheetData>
  <mergeCells count="19">
    <mergeCell ref="B19:C19"/>
    <mergeCell ref="B20:C20"/>
    <mergeCell ref="B17:C17"/>
    <mergeCell ref="B13:C13"/>
    <mergeCell ref="B14:C14"/>
    <mergeCell ref="B15:C15"/>
    <mergeCell ref="B31:C31"/>
    <mergeCell ref="A11:D11"/>
    <mergeCell ref="B16:C16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</mergeCells>
  <conditionalFormatting sqref="G3:K3">
    <cfRule type="cellIs" dxfId="8" priority="1" operator="lessThan">
      <formula>0</formula>
    </cfRule>
  </conditionalFormatting>
  <conditionalFormatting sqref="G13:K29 E19:F19 G31:K31">
    <cfRule type="cellIs" dxfId="7" priority="2" operator="lessThan">
      <formula>0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7"/>
  <sheetViews>
    <sheetView workbookViewId="0">
      <selection activeCell="E15" sqref="E15"/>
    </sheetView>
  </sheetViews>
  <sheetFormatPr baseColWidth="10" defaultRowHeight="15"/>
  <cols>
    <col min="1" max="1" width="4.140625" customWidth="1"/>
    <col min="3" max="3" width="23.42578125" customWidth="1"/>
    <col min="4" max="4" width="16.42578125" bestFit="1" customWidth="1"/>
    <col min="5" max="6" width="15.5703125" bestFit="1" customWidth="1"/>
    <col min="7" max="8" width="16.7109375" bestFit="1" customWidth="1"/>
  </cols>
  <sheetData>
    <row r="1" spans="2:8" ht="15.75">
      <c r="D1" s="130" t="s">
        <v>212</v>
      </c>
      <c r="E1" s="130" t="s">
        <v>213</v>
      </c>
      <c r="F1" s="130" t="s">
        <v>214</v>
      </c>
      <c r="G1" s="130" t="s">
        <v>215</v>
      </c>
      <c r="H1" s="130" t="s">
        <v>216</v>
      </c>
    </row>
    <row r="2" spans="2:8">
      <c r="B2" s="139" t="s">
        <v>224</v>
      </c>
      <c r="C2" s="139"/>
      <c r="D2" s="135">
        <f>'ESTADO DE RESULTADOS'!G29+'ESTADO DE RESULTADOS'!G24+'ESTADO DE RESULTADOS'!G23</f>
        <v>-38749962.151199967</v>
      </c>
      <c r="E2" s="121">
        <f>'ESTADO DE RESULTADOS'!H29+'ESTADO DE RESULTADOS'!H24+'ESTADO DE RESULTADOS'!H23</f>
        <v>24741933.135529533</v>
      </c>
      <c r="F2" s="121">
        <f>'ESTADO DE RESULTADOS'!I29+'ESTADO DE RESULTADOS'!I24+'ESTADO DE RESULTADOS'!I23</f>
        <v>86683371.668290675</v>
      </c>
      <c r="G2" s="121">
        <f>'ESTADO DE RESULTADOS'!J29+'ESTADO DE RESULTADOS'!J24+'ESTADO DE RESULTADOS'!J23</f>
        <v>160099390.18245214</v>
      </c>
      <c r="H2" s="121">
        <f>'ESTADO DE RESULTADOS'!K29+'ESTADO DE RESULTADOS'!K24+'ESTADO DE RESULTADOS'!K23</f>
        <v>245941215.8027966</v>
      </c>
    </row>
    <row r="3" spans="2:8">
      <c r="B3" s="51" t="s">
        <v>181</v>
      </c>
      <c r="D3" s="57">
        <f>+'BALANCE GENERAL'!D9-'BALANCE GENERAL'!C9</f>
        <v>0</v>
      </c>
      <c r="E3" s="57">
        <f>+'BALANCE GENERAL'!E9-'BALANCE GENERAL'!D9</f>
        <v>0</v>
      </c>
      <c r="F3" s="57">
        <f>+'BALANCE GENERAL'!F9-'BALANCE GENERAL'!E9</f>
        <v>0</v>
      </c>
      <c r="G3" s="57">
        <f>+'BALANCE GENERAL'!G9-'BALANCE GENERAL'!F9</f>
        <v>0</v>
      </c>
      <c r="H3" s="57">
        <f>+'BALANCE GENERAL'!H9-'BALANCE GENERAL'!G9</f>
        <v>0</v>
      </c>
    </row>
    <row r="4" spans="2:8">
      <c r="B4" s="51" t="s">
        <v>110</v>
      </c>
      <c r="D4" s="57">
        <f>('BALANCE GENERAL'!D4-'BALANCE GENERAL'!C4)+('BALANCE GENERAL'!D5-'BALANCE GENERAL'!C5)+('BALANCE GENERAL'!D6-'BALANCE GENERAL'!C6)-('BALANCE GENERAL'!D16-'BALANCE GENERAL'!C16)</f>
        <v>529000</v>
      </c>
      <c r="E4" s="57">
        <f>('BALANCE GENERAL'!E4-'BALANCE GENERAL'!D4)+('BALANCE GENERAL'!E5-'BALANCE GENERAL'!D5)+('BALANCE GENERAL'!E6-'BALANCE GENERAL'!D6)-('BALANCE GENERAL'!E16-'BALANCE GENERAL'!D16)</f>
        <v>556984.09999999963</v>
      </c>
      <c r="F4" s="57">
        <f>('BALANCE GENERAL'!F4-'BALANCE GENERAL'!E4)+('BALANCE GENERAL'!F5-'BALANCE GENERAL'!E5)+('BALANCE GENERAL'!F6-'BALANCE GENERAL'!E6)-('BALANCE GENERAL'!F16-'BALANCE GENERAL'!E16)</f>
        <v>586448.55888999999</v>
      </c>
      <c r="G4" s="57">
        <f>('BALANCE GENERAL'!G4-'BALANCE GENERAL'!F4)+('BALANCE GENERAL'!G5-'BALANCE GENERAL'!F5)+('BALANCE GENERAL'!G6-'BALANCE GENERAL'!F6)-('BALANCE GENERAL'!G16-'BALANCE GENERAL'!F16)</f>
        <v>617471.68765528128</v>
      </c>
      <c r="H4" s="57">
        <f>('BALANCE GENERAL'!H4-'BALANCE GENERAL'!G4)+('BALANCE GENERAL'!H5-'BALANCE GENERAL'!G5)+('BALANCE GENERAL'!H6-'BALANCE GENERAL'!G6)-('BALANCE GENERAL'!H16-'BALANCE GENERAL'!G16)</f>
        <v>650135.9399322439</v>
      </c>
    </row>
    <row r="5" spans="2:8">
      <c r="B5" t="s">
        <v>111</v>
      </c>
      <c r="D5" s="57">
        <f>CREDITO!E9</f>
        <v>16727603.235351115</v>
      </c>
      <c r="E5" s="57">
        <f>CREDITO!F9</f>
        <v>21033288.308130492</v>
      </c>
      <c r="F5" s="57">
        <f>CREDITO!G9</f>
        <v>26447256.718643278</v>
      </c>
      <c r="G5" s="57">
        <f>CREDITO!H9</f>
        <v>33254780.598022059</v>
      </c>
      <c r="H5" s="57">
        <f>CREDITO!I9</f>
        <v>41814561.12395294</v>
      </c>
    </row>
    <row r="6" spans="2:8">
      <c r="B6" t="s">
        <v>170</v>
      </c>
      <c r="D6" s="135">
        <f>+'ESTADO DE RESULTADOS'!G31-D3-D4-D5</f>
        <v>-56006565.386551082</v>
      </c>
      <c r="E6" s="135">
        <f>+'ESTADO DE RESULTADOS'!H31-E3-E4-E5</f>
        <v>3151660.72739904</v>
      </c>
      <c r="F6" s="135">
        <f>+'ESTADO DE RESULTADOS'!I31-F3-F4-F5</f>
        <v>59649666.390757397</v>
      </c>
      <c r="G6" s="135">
        <f>+'ESTADO DE RESULTADOS'!J31-G3-G4-G5</f>
        <v>126227137.89677481</v>
      </c>
      <c r="H6" s="135">
        <f>+'ESTADO DE RESULTADOS'!K31-H3-H4-H5</f>
        <v>203476518.73891139</v>
      </c>
    </row>
    <row r="7" spans="2:8">
      <c r="B7" s="139" t="s">
        <v>223</v>
      </c>
      <c r="D7" s="135">
        <f>+'FLUJO DE CAJA LIBRE'!D5+'FLUJO DE CAJA LIBRE'!D6+'ESTADO DE RESULTADOS'!G26*(1-'ESTADO DE RESULTADOS'!$D$28)</f>
        <v>-27103656.758949965</v>
      </c>
      <c r="E7" s="135">
        <f>+'FLUJO DE CAJA LIBRE'!E5+'FLUJO DE CAJA LIBRE'!E6+'ESTADO DE RESULTADOS'!H26*(1-'ESTADO DE RESULTADOS'!$D$28)</f>
        <v>34869483.356612399</v>
      </c>
      <c r="F7" s="135">
        <f>+'FLUJO DE CAJA LIBRE'!F5+'FLUJO DE CAJA LIBRE'!F6+'ESTADO DE RESULTADOS'!I26*(1-'ESTADO DE RESULTADOS'!$D$28)</f>
        <v>94921720.519202545</v>
      </c>
      <c r="G7" s="135">
        <f>+'FLUJO DE CAJA LIBRE'!G5+'FLUJO DE CAJA LIBRE'!G6+'ESTADO DE RESULTADOS'!J26*(1-'ESTADO DE RESULTADOS'!$D$28)</f>
        <v>165986694.10777572</v>
      </c>
      <c r="H7" s="135">
        <f>+'FLUJO DE CAJA LIBRE'!H5+'FLUJO DE CAJA LIBRE'!H6+'ESTADO DE RESULTADOS'!K26*(1-'ESTADO DE RESULTADOS'!$D$28)</f>
        <v>248901628.28430641</v>
      </c>
    </row>
  </sheetData>
  <conditionalFormatting sqref="D2">
    <cfRule type="cellIs" dxfId="6" priority="2" operator="lessThan">
      <formula>0</formula>
    </cfRule>
  </conditionalFormatting>
  <conditionalFormatting sqref="D3:H7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915"/>
  <sheetViews>
    <sheetView workbookViewId="0">
      <selection activeCell="B1" sqref="B1"/>
    </sheetView>
  </sheetViews>
  <sheetFormatPr baseColWidth="10" defaultColWidth="14.42578125" defaultRowHeight="15"/>
  <cols>
    <col min="1" max="1" width="28.28515625" customWidth="1"/>
    <col min="2" max="2" width="19.5703125" customWidth="1"/>
    <col min="3" max="3" width="16.42578125" customWidth="1"/>
    <col min="4" max="4" width="18" customWidth="1"/>
    <col min="5" max="5" width="29.85546875" customWidth="1"/>
    <col min="6" max="6" width="18" customWidth="1"/>
    <col min="7" max="7" width="20.85546875" customWidth="1"/>
    <col min="8" max="8" width="22.7109375" customWidth="1"/>
    <col min="9" max="9" width="20.85546875" customWidth="1"/>
    <col min="10" max="10" width="21.28515625" customWidth="1"/>
    <col min="11" max="11" width="16.85546875" customWidth="1"/>
    <col min="12" max="12" width="37.42578125" bestFit="1" customWidth="1"/>
    <col min="13" max="13" width="36.28515625" customWidth="1"/>
    <col min="14" max="14" width="25.42578125" customWidth="1"/>
    <col min="15" max="15" width="20.85546875" customWidth="1"/>
    <col min="16" max="16" width="9" customWidth="1"/>
    <col min="17" max="17" width="48.5703125" customWidth="1"/>
    <col min="18" max="18" width="27.28515625" customWidth="1"/>
    <col min="19" max="19" width="19.7109375" customWidth="1"/>
    <col min="20" max="26" width="10.7109375" customWidth="1"/>
  </cols>
  <sheetData>
    <row r="1" spans="1:13" ht="14.25" customHeight="1">
      <c r="C1" s="9"/>
      <c r="F1" s="57"/>
      <c r="G1" s="57"/>
      <c r="H1" s="57"/>
      <c r="I1" s="57"/>
      <c r="J1" s="57"/>
      <c r="K1" s="57"/>
      <c r="L1" s="57"/>
      <c r="M1" s="57"/>
    </row>
    <row r="2" spans="1:13" ht="18.75">
      <c r="A2" s="140" t="s">
        <v>112</v>
      </c>
      <c r="E2" s="57"/>
      <c r="F2" s="57"/>
      <c r="G2" s="57"/>
      <c r="H2" s="57"/>
      <c r="J2" s="57"/>
      <c r="K2" s="57"/>
      <c r="L2" s="57"/>
      <c r="M2" s="57"/>
    </row>
    <row r="3" spans="1:13" ht="14.25" customHeight="1">
      <c r="C3" s="150" t="s">
        <v>28</v>
      </c>
      <c r="D3" s="151">
        <v>1</v>
      </c>
      <c r="E3" s="151">
        <v>2</v>
      </c>
      <c r="F3" s="151">
        <v>3</v>
      </c>
      <c r="G3" s="151">
        <v>4</v>
      </c>
      <c r="H3" s="151">
        <v>5</v>
      </c>
      <c r="J3" s="59"/>
      <c r="K3" s="59"/>
      <c r="L3" s="59"/>
      <c r="M3" s="57"/>
    </row>
    <row r="4" spans="1:13" ht="14.25" customHeight="1">
      <c r="A4" s="152" t="s">
        <v>113</v>
      </c>
      <c r="C4" s="9">
        <v>10000000</v>
      </c>
      <c r="D4" s="9">
        <f>C4*(1+INGRESOS!$C$3)</f>
        <v>10529000</v>
      </c>
      <c r="E4" s="9">
        <f>D4*(1+INGRESOS!$C$3)</f>
        <v>11085984.1</v>
      </c>
      <c r="F4" s="9">
        <f>E4*(1+INGRESOS!$C$3)</f>
        <v>11672432.65889</v>
      </c>
      <c r="G4" s="9">
        <f>F4*(1+INGRESOS!$C$3)</f>
        <v>12289904.346545281</v>
      </c>
      <c r="H4" s="9">
        <f>G4*(1+INGRESOS!$C$3)</f>
        <v>12940040.286477525</v>
      </c>
      <c r="J4" s="9"/>
      <c r="K4" s="9"/>
      <c r="L4" s="9"/>
      <c r="M4" s="57"/>
    </row>
    <row r="5" spans="1:13" ht="14.25" customHeight="1">
      <c r="A5" s="152" t="s">
        <v>114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1">
        <v>0</v>
      </c>
      <c r="J5" s="141"/>
      <c r="K5" s="141"/>
      <c r="L5" s="141"/>
      <c r="M5" s="57"/>
    </row>
    <row r="6" spans="1:13" ht="14.25" customHeight="1">
      <c r="A6" s="152" t="s">
        <v>115</v>
      </c>
      <c r="C6" s="9">
        <v>0</v>
      </c>
      <c r="D6" s="9">
        <f>C6*(1+INGRESOS!$C$3)</f>
        <v>0</v>
      </c>
      <c r="E6" s="9">
        <f>D6*(1+INGRESOS!$C$3)</f>
        <v>0</v>
      </c>
      <c r="F6" s="9">
        <f>E6*(1+INGRESOS!$C$3)</f>
        <v>0</v>
      </c>
      <c r="G6" s="9">
        <f>F6*(1+INGRESOS!$C$3)</f>
        <v>0</v>
      </c>
      <c r="H6" s="9">
        <f>G6*(1+INGRESOS!$C$3)</f>
        <v>0</v>
      </c>
      <c r="J6" s="9"/>
      <c r="K6" s="9"/>
      <c r="L6" s="9"/>
      <c r="M6" s="57"/>
    </row>
    <row r="7" spans="1:13" ht="14.25" customHeight="1">
      <c r="A7" s="152" t="s">
        <v>116</v>
      </c>
      <c r="C7" s="9">
        <f t="shared" ref="C7:H7" si="0">C4+C5+C6</f>
        <v>10000000</v>
      </c>
      <c r="D7" s="9">
        <f t="shared" si="0"/>
        <v>10529000</v>
      </c>
      <c r="E7" s="9">
        <f t="shared" si="0"/>
        <v>11085984.1</v>
      </c>
      <c r="F7" s="9">
        <f t="shared" si="0"/>
        <v>11672432.65889</v>
      </c>
      <c r="G7" s="9">
        <f t="shared" si="0"/>
        <v>12289904.346545281</v>
      </c>
      <c r="H7" s="9">
        <f t="shared" si="0"/>
        <v>12940040.286477525</v>
      </c>
      <c r="J7" s="9"/>
      <c r="K7" s="9"/>
      <c r="L7" s="9"/>
      <c r="M7" s="57"/>
    </row>
    <row r="8" spans="1:13" ht="14.25" customHeight="1">
      <c r="A8" s="153" t="s">
        <v>117</v>
      </c>
      <c r="C8" s="60"/>
      <c r="D8" s="59"/>
      <c r="E8" s="59"/>
      <c r="F8" s="59"/>
      <c r="G8" s="59"/>
      <c r="H8" s="59"/>
      <c r="J8" s="59"/>
      <c r="K8" s="59"/>
      <c r="L8" s="59"/>
      <c r="M8" s="57"/>
    </row>
    <row r="9" spans="1:13" ht="14.25" customHeight="1">
      <c r="A9" s="152" t="s">
        <v>118</v>
      </c>
      <c r="C9" s="61">
        <f>+'COSTOS Y GASTOS'!C3</f>
        <v>166591728</v>
      </c>
      <c r="D9" s="61">
        <f>+'COSTOS Y GASTOS'!D3</f>
        <v>166591728</v>
      </c>
      <c r="E9" s="9">
        <f>+'COSTOS Y GASTOS'!E3</f>
        <v>166591728</v>
      </c>
      <c r="F9" s="9">
        <f>+'COSTOS Y GASTOS'!F3</f>
        <v>166591728</v>
      </c>
      <c r="G9" s="9">
        <f>+'COSTOS Y GASTOS'!G3</f>
        <v>166591728</v>
      </c>
      <c r="H9" s="9">
        <f>+'COSTOS Y GASTOS'!H3</f>
        <v>166591728</v>
      </c>
      <c r="J9" s="9"/>
      <c r="K9" s="9"/>
      <c r="L9" s="9"/>
      <c r="M9" s="57"/>
    </row>
    <row r="10" spans="1:13" ht="14.25" customHeight="1">
      <c r="A10" s="152" t="s">
        <v>119</v>
      </c>
      <c r="C10" s="141">
        <f>+'COSTOS Y GASTOS'!C5</f>
        <v>0</v>
      </c>
      <c r="D10" s="9">
        <f>+'COSTOS Y GASTOS'!D5</f>
        <v>20100382.800000001</v>
      </c>
      <c r="E10" s="9">
        <f>+'COSTOS Y GASTOS'!E5</f>
        <v>40200765.600000001</v>
      </c>
      <c r="F10" s="9">
        <f>+'COSTOS Y GASTOS'!F5</f>
        <v>60301148.400000006</v>
      </c>
      <c r="G10" s="9">
        <f>+'COSTOS Y GASTOS'!G5</f>
        <v>80401531.200000003</v>
      </c>
      <c r="H10" s="9">
        <f>+'COSTOS Y GASTOS'!H5</f>
        <v>100501914</v>
      </c>
      <c r="J10" s="9"/>
      <c r="K10" s="9"/>
      <c r="L10" s="9"/>
      <c r="M10" s="57"/>
    </row>
    <row r="11" spans="1:13" ht="14.25" customHeight="1">
      <c r="A11" s="152" t="s">
        <v>120</v>
      </c>
      <c r="C11" s="61">
        <f t="shared" ref="C11:H11" si="1">C9-C10</f>
        <v>166591728</v>
      </c>
      <c r="D11" s="61">
        <f t="shared" si="1"/>
        <v>146491345.19999999</v>
      </c>
      <c r="E11" s="61">
        <f t="shared" si="1"/>
        <v>126390962.40000001</v>
      </c>
      <c r="F11" s="61">
        <f t="shared" si="1"/>
        <v>106290579.59999999</v>
      </c>
      <c r="G11" s="61">
        <f t="shared" si="1"/>
        <v>86190196.799999997</v>
      </c>
      <c r="H11" s="61">
        <f t="shared" si="1"/>
        <v>66089814</v>
      </c>
      <c r="J11" s="9"/>
      <c r="K11" s="9"/>
      <c r="L11" s="9"/>
    </row>
    <row r="12" spans="1:13" ht="14.25" customHeight="1">
      <c r="A12" s="152" t="s">
        <v>121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J12" s="141"/>
      <c r="K12" s="141"/>
      <c r="L12" s="141"/>
    </row>
    <row r="13" spans="1:13" ht="14.25" customHeight="1">
      <c r="A13" s="153" t="s">
        <v>122</v>
      </c>
      <c r="C13" s="154">
        <f t="shared" ref="C13:H13" si="2">C12+C11+C7</f>
        <v>176591728</v>
      </c>
      <c r="D13" s="154">
        <f t="shared" si="2"/>
        <v>157020345.19999999</v>
      </c>
      <c r="E13" s="154">
        <f t="shared" si="2"/>
        <v>137476946.5</v>
      </c>
      <c r="F13" s="154">
        <f t="shared" si="2"/>
        <v>117963012.25888999</v>
      </c>
      <c r="G13" s="154">
        <f t="shared" si="2"/>
        <v>98480101.146545276</v>
      </c>
      <c r="H13" s="154">
        <f t="shared" si="2"/>
        <v>79029854.286477521</v>
      </c>
      <c r="J13" s="9"/>
      <c r="K13" s="9"/>
      <c r="L13" s="9"/>
    </row>
    <row r="14" spans="1:13" ht="14.25" customHeight="1">
      <c r="A14" s="153"/>
      <c r="C14" s="9"/>
      <c r="D14" s="9"/>
      <c r="E14" s="9"/>
      <c r="F14" s="9"/>
      <c r="G14" s="9"/>
      <c r="H14" s="9"/>
      <c r="J14" s="9"/>
      <c r="K14" s="9"/>
      <c r="L14" s="9"/>
    </row>
    <row r="15" spans="1:13" ht="14.25" customHeight="1">
      <c r="A15" s="153" t="s">
        <v>123</v>
      </c>
      <c r="C15" s="60"/>
      <c r="D15" s="59"/>
      <c r="E15" s="59"/>
      <c r="F15" s="59"/>
      <c r="G15" s="59"/>
      <c r="H15" s="59"/>
      <c r="J15" s="59"/>
      <c r="K15" s="59"/>
      <c r="L15" s="59"/>
    </row>
    <row r="16" spans="1:13" ht="14.25" customHeight="1">
      <c r="A16" s="152" t="s">
        <v>124</v>
      </c>
      <c r="D16" s="9">
        <v>0</v>
      </c>
      <c r="E16" s="9">
        <f>+D16*(1+INGRESOS!$C$3)</f>
        <v>0</v>
      </c>
      <c r="F16" s="9">
        <f>+E16*(1+INGRESOS!$C$3)</f>
        <v>0</v>
      </c>
      <c r="G16" s="9">
        <f>+F16*(1+INGRESOS!$C$3)</f>
        <v>0</v>
      </c>
      <c r="H16" s="9">
        <f>+G16*(1+INGRESOS!$C$3)</f>
        <v>0</v>
      </c>
      <c r="J16" s="9"/>
      <c r="K16" s="9"/>
      <c r="L16" s="9"/>
    </row>
    <row r="17" spans="1:13" ht="14.25" customHeight="1">
      <c r="A17" s="152" t="s">
        <v>125</v>
      </c>
      <c r="C17" s="9">
        <f>CREDITO!D10</f>
        <v>139277489.98409998</v>
      </c>
      <c r="D17" s="9">
        <f>CREDITO!E10</f>
        <v>122549886.74874887</v>
      </c>
      <c r="E17" s="9">
        <f>CREDITO!F10</f>
        <v>101516598.44061838</v>
      </c>
      <c r="F17" s="9">
        <f>CREDITO!G10</f>
        <v>75069341.721975103</v>
      </c>
      <c r="G17" s="9">
        <f>CREDITO!H10</f>
        <v>41814561.123953044</v>
      </c>
      <c r="H17" s="9">
        <f>CREDITO!I10</f>
        <v>1.0430812835693359E-7</v>
      </c>
      <c r="J17" s="9"/>
      <c r="K17" s="9"/>
      <c r="L17" s="9"/>
    </row>
    <row r="18" spans="1:13" ht="14.25" customHeight="1">
      <c r="A18" s="153" t="s">
        <v>126</v>
      </c>
      <c r="C18" s="154">
        <f t="shared" ref="C18:H18" si="3">C16+C17</f>
        <v>139277489.98409998</v>
      </c>
      <c r="D18" s="154">
        <f t="shared" si="3"/>
        <v>122549886.74874887</v>
      </c>
      <c r="E18" s="154">
        <f t="shared" si="3"/>
        <v>101516598.44061838</v>
      </c>
      <c r="F18" s="154">
        <f t="shared" si="3"/>
        <v>75069341.721975103</v>
      </c>
      <c r="G18" s="154">
        <f t="shared" si="3"/>
        <v>41814561.123953044</v>
      </c>
      <c r="H18" s="154">
        <f t="shared" si="3"/>
        <v>1.0430812835693359E-7</v>
      </c>
      <c r="J18" s="9"/>
      <c r="K18" s="9"/>
      <c r="L18" s="9"/>
    </row>
    <row r="19" spans="1:13" ht="14.25" customHeight="1">
      <c r="A19" s="153"/>
      <c r="C19" s="154"/>
      <c r="D19" s="154"/>
      <c r="E19" s="154"/>
      <c r="F19" s="154"/>
      <c r="G19" s="154"/>
      <c r="H19" s="154"/>
      <c r="J19" s="9"/>
      <c r="K19" s="9"/>
      <c r="L19" s="9"/>
    </row>
    <row r="20" spans="1:13" ht="14.25" customHeight="1">
      <c r="A20" s="153" t="s">
        <v>127</v>
      </c>
      <c r="C20" s="9"/>
      <c r="D20" s="9"/>
      <c r="E20" s="9"/>
      <c r="F20" s="9"/>
      <c r="G20" s="9"/>
      <c r="H20" s="9"/>
      <c r="J20" s="9"/>
      <c r="K20" s="9"/>
      <c r="L20" s="9"/>
    </row>
    <row r="21" spans="1:13" ht="14.25" customHeight="1">
      <c r="A21" s="152" t="s">
        <v>128</v>
      </c>
      <c r="C21" s="9">
        <f>C13-C17</f>
        <v>37314238.015900016</v>
      </c>
      <c r="D21" s="9">
        <f>+C21</f>
        <v>37314238.015900016</v>
      </c>
      <c r="E21" s="9">
        <f>+D21</f>
        <v>37314238.015900016</v>
      </c>
      <c r="F21" s="9">
        <f>+E21</f>
        <v>37314238.015900016</v>
      </c>
      <c r="G21" s="9">
        <f>+F21</f>
        <v>37314238.015900016</v>
      </c>
      <c r="H21" s="9">
        <f>+G21</f>
        <v>37314238.015900016</v>
      </c>
      <c r="J21" s="9"/>
      <c r="K21" s="9"/>
      <c r="L21" s="9"/>
    </row>
    <row r="22" spans="1:13" ht="14.25" customHeight="1">
      <c r="A22" s="152" t="s">
        <v>129</v>
      </c>
      <c r="D22" s="9">
        <f>+C22+'ESTADO DE RESULTADOS'!G29-'FLUJO DE CAJA LIBRE'!D6</f>
        <v>-2843779.5646488816</v>
      </c>
      <c r="E22" s="9">
        <f>+D22+'ESTADO DE RESULTADOS'!H29-'FLUJO DE CAJA LIBRE'!E6</f>
        <v>-1353889.9565183874</v>
      </c>
      <c r="F22" s="9">
        <f>+E22+'ESTADO DE RESULTADOS'!I29-'FLUJO DE CAJA LIBRE'!F6</f>
        <v>5579432.5210148841</v>
      </c>
      <c r="G22" s="9">
        <f>+F22+'ESTADO DE RESULTADOS'!J29-'FLUJO DE CAJA LIBRE'!G6</f>
        <v>19351302.006692186</v>
      </c>
      <c r="H22" s="9">
        <f>+G22+'ESTADO DE RESULTADOS'!K29-'FLUJO DE CAJA LIBRE'!H6</f>
        <v>41715616.270577371</v>
      </c>
      <c r="J22" s="9"/>
      <c r="K22" s="9"/>
      <c r="L22" s="9"/>
    </row>
    <row r="23" spans="1:13" ht="14.25" customHeight="1">
      <c r="A23" s="153" t="s">
        <v>130</v>
      </c>
      <c r="C23" s="154">
        <f t="shared" ref="C23:H23" si="4">C21+C22</f>
        <v>37314238.015900016</v>
      </c>
      <c r="D23" s="154">
        <f t="shared" si="4"/>
        <v>34470458.451251134</v>
      </c>
      <c r="E23" s="154">
        <f t="shared" si="4"/>
        <v>35960348.059381627</v>
      </c>
      <c r="F23" s="154">
        <f t="shared" si="4"/>
        <v>42893670.5369149</v>
      </c>
      <c r="G23" s="154">
        <f t="shared" si="4"/>
        <v>56665540.022592202</v>
      </c>
      <c r="H23" s="154">
        <f t="shared" si="4"/>
        <v>79029854.286477387</v>
      </c>
      <c r="J23" s="9"/>
      <c r="K23" s="9"/>
      <c r="L23" s="9"/>
    </row>
    <row r="24" spans="1:13" ht="14.25" customHeight="1">
      <c r="A24" s="153"/>
      <c r="C24" s="154"/>
      <c r="D24" s="154"/>
      <c r="E24" s="154"/>
      <c r="F24" s="154"/>
      <c r="G24" s="154"/>
      <c r="H24" s="154"/>
      <c r="J24" s="9"/>
      <c r="K24" s="9"/>
      <c r="L24" s="9"/>
    </row>
    <row r="25" spans="1:13" ht="14.25" customHeight="1">
      <c r="A25" s="152" t="s">
        <v>131</v>
      </c>
      <c r="C25" s="154">
        <f t="shared" ref="C25:H25" si="5">C18+C23</f>
        <v>176591728</v>
      </c>
      <c r="D25" s="154">
        <f t="shared" si="5"/>
        <v>157020345.19999999</v>
      </c>
      <c r="E25" s="154">
        <f t="shared" si="5"/>
        <v>137476946.5</v>
      </c>
      <c r="F25" s="154">
        <f t="shared" si="5"/>
        <v>117963012.25889</v>
      </c>
      <c r="G25" s="154">
        <f t="shared" si="5"/>
        <v>98480101.146545246</v>
      </c>
      <c r="H25" s="154">
        <f t="shared" si="5"/>
        <v>79029854.286477491</v>
      </c>
      <c r="J25" s="9"/>
      <c r="K25" s="9"/>
      <c r="L25" s="9"/>
    </row>
    <row r="26" spans="1:13" ht="14.25" customHeight="1">
      <c r="D26" s="141"/>
      <c r="E26" s="141"/>
      <c r="F26" s="141"/>
      <c r="G26" s="141"/>
      <c r="H26" s="141"/>
      <c r="I26" s="141"/>
      <c r="J26" s="141"/>
      <c r="K26" s="141"/>
      <c r="L26" s="141"/>
    </row>
    <row r="27" spans="1:13" ht="14.25" customHeight="1"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3" ht="14.25" customHeight="1">
      <c r="A28" s="183" t="s">
        <v>226</v>
      </c>
      <c r="B28" s="183"/>
      <c r="C28" s="183"/>
      <c r="D28" s="183"/>
      <c r="E28" s="183"/>
      <c r="F28" s="183"/>
      <c r="G28" s="183"/>
      <c r="H28" s="183"/>
      <c r="I28" s="183"/>
      <c r="J28" s="141"/>
      <c r="K28" s="141"/>
      <c r="L28" s="141"/>
    </row>
    <row r="29" spans="1:13" ht="14.25" customHeight="1"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3" ht="14.25" customHeight="1">
      <c r="D30" s="150" t="s">
        <v>28</v>
      </c>
      <c r="E30" s="151">
        <v>1</v>
      </c>
      <c r="F30" s="151">
        <v>2</v>
      </c>
      <c r="G30" s="151">
        <v>3</v>
      </c>
      <c r="H30" s="151">
        <v>4</v>
      </c>
      <c r="I30" s="151">
        <v>5</v>
      </c>
      <c r="J30" s="59"/>
      <c r="K30" s="59"/>
      <c r="L30" s="59"/>
    </row>
    <row r="31" spans="1:13" ht="14.25" customHeight="1">
      <c r="A31" s="1" t="s">
        <v>167</v>
      </c>
      <c r="B31" s="156">
        <f>CREDITO!B4</f>
        <v>0.25740000000000002</v>
      </c>
      <c r="C31" s="31" t="s">
        <v>132</v>
      </c>
      <c r="E31" s="142">
        <f>C17/(C17+C23)</f>
        <v>0.78869770153729957</v>
      </c>
      <c r="F31" s="142">
        <f>D17/(D17+D23)</f>
        <v>0.78047138791253201</v>
      </c>
      <c r="G31" s="142">
        <f>E17/(E17+E23)</f>
        <v>0.73842634001634866</v>
      </c>
      <c r="H31" s="142">
        <f>F17/(F17+F23)</f>
        <v>0.63638033892541324</v>
      </c>
      <c r="I31" s="142">
        <f>G17/(G17+G23)</f>
        <v>0.42459908790843004</v>
      </c>
      <c r="J31" s="142"/>
      <c r="K31" s="142"/>
      <c r="L31" s="142"/>
      <c r="M31" s="59"/>
    </row>
    <row r="32" spans="1:13" ht="14.25" customHeight="1">
      <c r="A32" s="1" t="s">
        <v>133</v>
      </c>
      <c r="B32" s="156">
        <v>0.36149999999999999</v>
      </c>
      <c r="C32" s="31" t="s">
        <v>132</v>
      </c>
      <c r="E32" s="142">
        <f>C23/(C23+C17)</f>
        <v>0.21130229846270046</v>
      </c>
      <c r="F32" s="142">
        <f>D23/(D23+D17)</f>
        <v>0.21952861208746813</v>
      </c>
      <c r="G32" s="142">
        <f>E23/(E23+E17)</f>
        <v>0.26157365998365134</v>
      </c>
      <c r="H32" s="142">
        <f>F23/(F23+F17)</f>
        <v>0.36361966107458671</v>
      </c>
      <c r="I32" s="142">
        <f>G23/(G23+G17)</f>
        <v>0.57540091209156996</v>
      </c>
      <c r="J32" s="142"/>
      <c r="K32" s="142"/>
      <c r="L32" s="142"/>
      <c r="M32" s="142"/>
    </row>
    <row r="33" spans="1:13" ht="14.25" customHeight="1">
      <c r="E33" s="50">
        <f>E31+E32</f>
        <v>1</v>
      </c>
      <c r="F33" s="50">
        <f>F31+F32</f>
        <v>1.0000000000000002</v>
      </c>
      <c r="G33" s="50">
        <f>G31+G32</f>
        <v>1</v>
      </c>
      <c r="H33" s="50">
        <f>H31+H32</f>
        <v>1</v>
      </c>
      <c r="I33" s="50">
        <f>I31+I32</f>
        <v>1</v>
      </c>
      <c r="J33" s="50"/>
      <c r="K33" s="50"/>
      <c r="L33" s="50"/>
      <c r="M33" s="142"/>
    </row>
    <row r="34" spans="1:13" ht="14.25" customHeight="1">
      <c r="B34" s="89" t="s">
        <v>165</v>
      </c>
      <c r="C34" s="50"/>
      <c r="E34" s="57">
        <f>'FLUJO DE CAJA LIBRE'!D7</f>
        <v>-27103656.758949965</v>
      </c>
      <c r="F34" s="57">
        <f>'FLUJO DE CAJA LIBRE'!E7</f>
        <v>34869483.356612399</v>
      </c>
      <c r="G34" s="57">
        <f>'FLUJO DE CAJA LIBRE'!F7</f>
        <v>94921720.519202545</v>
      </c>
      <c r="H34" s="57">
        <f>'FLUJO DE CAJA LIBRE'!G7</f>
        <v>165986694.10777572</v>
      </c>
      <c r="I34" s="57">
        <f>'FLUJO DE CAJA LIBRE'!H7</f>
        <v>248901628.28430641</v>
      </c>
      <c r="J34" s="57"/>
      <c r="K34" s="57"/>
      <c r="L34" s="57"/>
      <c r="M34" s="50"/>
    </row>
    <row r="35" spans="1:13" ht="14.25" customHeight="1">
      <c r="C35" s="62" t="s">
        <v>134</v>
      </c>
      <c r="D35" s="62"/>
      <c r="E35" s="143">
        <f>$B$31*E31*(1-'ESTADO DE RESULTADOS'!$D$28)+$B$32*E32</f>
        <v>0.20834279333847183</v>
      </c>
      <c r="F35" s="143">
        <f>$B$31*F31*(1-'ESTADO DE RESULTADOS'!$D$28)+$B$32*F32</f>
        <v>0.20994026118126546</v>
      </c>
      <c r="G35" s="143">
        <f>$B$31*G31*(1-'ESTADO DE RESULTADOS'!$D$28)+$B$32*G32</f>
        <v>0.21810498903222525</v>
      </c>
      <c r="H35" s="143">
        <f>$B$31*H31*(1-'ESTADO DE RESULTADOS'!$D$28)+$B$32*H32</f>
        <v>0.23792130198407399</v>
      </c>
      <c r="I35" s="143">
        <f>$B$31*I31*(1-'ESTADO DE RESULTADOS'!$D$28)+$B$32*I32</f>
        <v>0.27904710311906195</v>
      </c>
      <c r="J35" s="142"/>
      <c r="K35" s="142"/>
      <c r="L35" s="142"/>
    </row>
    <row r="36" spans="1:13" ht="14.25" customHeight="1">
      <c r="E36" s="142"/>
      <c r="F36" s="142"/>
      <c r="G36" s="142"/>
      <c r="H36" s="142"/>
      <c r="I36" s="142"/>
      <c r="J36" s="142"/>
      <c r="K36" s="142"/>
      <c r="L36" s="142"/>
      <c r="M36" s="142"/>
    </row>
    <row r="37" spans="1:13" ht="14.25" customHeight="1">
      <c r="C37" s="88" t="s">
        <v>135</v>
      </c>
      <c r="D37" s="144">
        <f>SUM(E37:L37)</f>
        <v>218279630.19593585</v>
      </c>
      <c r="E37" s="145">
        <f>+E34/(1+E35)</f>
        <v>-22430436.882953208</v>
      </c>
      <c r="F37" s="145">
        <f>+F34/(1+F35)^1/(1+E35)^1</f>
        <v>23850167.211242627</v>
      </c>
      <c r="G37" s="145">
        <f>+G34/(1+G35)^1/(1+F35)^1/(1+E35)^1</f>
        <v>53299949.190002844</v>
      </c>
      <c r="H37" s="145">
        <f>+H34/(1+H35)^1/(1+G35)^1/(1+F35)^1/(1+E35)^1</f>
        <v>75290716.931893423</v>
      </c>
      <c r="I37" s="145">
        <f>+I34/(1+I35)^1/(1+H35)^1/(1+G35)^1/(1+F35)^1/(1+E35)^1</f>
        <v>88269233.745750159</v>
      </c>
      <c r="J37" s="9"/>
      <c r="K37" s="9"/>
      <c r="L37" s="9"/>
    </row>
    <row r="38" spans="1:13" ht="14.25" customHeight="1">
      <c r="E38" s="142"/>
      <c r="F38" s="142"/>
      <c r="G38" s="142"/>
      <c r="H38" s="142"/>
      <c r="I38" s="142"/>
      <c r="J38" s="142"/>
      <c r="K38" s="142"/>
      <c r="L38" s="142"/>
    </row>
    <row r="39" spans="1:13" ht="14.25" customHeight="1">
      <c r="C39" s="157" t="s">
        <v>136</v>
      </c>
      <c r="D39" s="158">
        <f>D37-C25</f>
        <v>41687902.195935845</v>
      </c>
      <c r="F39" s="146"/>
      <c r="G39" s="63"/>
    </row>
    <row r="40" spans="1:13" ht="14.25" customHeight="1">
      <c r="D40" s="9"/>
      <c r="G40" s="63"/>
    </row>
    <row r="41" spans="1:13" ht="14.25" customHeight="1">
      <c r="A41" s="89" t="s">
        <v>225</v>
      </c>
      <c r="B41" s="155" t="s">
        <v>136</v>
      </c>
      <c r="C41" s="103">
        <f>+D39</f>
        <v>41687902.195935845</v>
      </c>
      <c r="D41" s="9"/>
      <c r="E41" s="147" t="s">
        <v>183</v>
      </c>
      <c r="F41" s="147" t="s">
        <v>184</v>
      </c>
      <c r="G41" s="148" t="s">
        <v>185</v>
      </c>
      <c r="H41" s="147" t="s">
        <v>186</v>
      </c>
      <c r="I41" s="147" t="s">
        <v>187</v>
      </c>
      <c r="J41" s="147" t="s">
        <v>188</v>
      </c>
    </row>
    <row r="42" spans="1:13" ht="14.25" customHeight="1">
      <c r="B42" s="105" t="s">
        <v>182</v>
      </c>
      <c r="C42" s="104">
        <f>IRR(E42:J42,0)</f>
        <v>0.28515124872373021</v>
      </c>
      <c r="D42" s="9"/>
      <c r="E42" s="9">
        <f>(INVERSIONES!D23+INVERSIONES!C27)*-1</f>
        <v>-176591728</v>
      </c>
      <c r="F42" s="149">
        <f>E34</f>
        <v>-27103656.758949965</v>
      </c>
      <c r="G42" s="149">
        <f>F34</f>
        <v>34869483.356612399</v>
      </c>
      <c r="H42" s="149">
        <f>G34</f>
        <v>94921720.519202545</v>
      </c>
      <c r="I42" s="149">
        <f>H34</f>
        <v>165986694.10777572</v>
      </c>
      <c r="J42" s="149">
        <f>I34</f>
        <v>248901628.28430641</v>
      </c>
    </row>
    <row r="127" spans="13:13" ht="14.25" customHeight="1">
      <c r="M127" s="57"/>
    </row>
    <row r="128" spans="13:13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</sheetData>
  <mergeCells count="1">
    <mergeCell ref="A28:I2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M917"/>
  <sheetViews>
    <sheetView workbookViewId="0">
      <selection activeCell="E2" sqref="E2"/>
    </sheetView>
  </sheetViews>
  <sheetFormatPr baseColWidth="10" defaultColWidth="14.42578125" defaultRowHeight="15"/>
  <cols>
    <col min="1" max="1" width="31.140625" bestFit="1" customWidth="1"/>
    <col min="2" max="2" width="19.5703125" customWidth="1"/>
    <col min="3" max="3" width="16.42578125" customWidth="1"/>
    <col min="4" max="4" width="18" customWidth="1"/>
    <col min="5" max="5" width="29.85546875" customWidth="1"/>
    <col min="6" max="6" width="18" customWidth="1"/>
    <col min="7" max="7" width="20.85546875" customWidth="1"/>
    <col min="8" max="8" width="22.7109375" customWidth="1"/>
    <col min="9" max="9" width="20.85546875" customWidth="1"/>
    <col min="10" max="10" width="21.28515625" customWidth="1"/>
    <col min="11" max="11" width="16.85546875" customWidth="1"/>
    <col min="12" max="12" width="37.42578125" bestFit="1" customWidth="1"/>
    <col min="13" max="13" width="36.28515625" customWidth="1"/>
    <col min="14" max="14" width="25.42578125" customWidth="1"/>
    <col min="15" max="15" width="20.85546875" customWidth="1"/>
    <col min="16" max="16" width="9" customWidth="1"/>
    <col min="17" max="17" width="48.5703125" customWidth="1"/>
    <col min="18" max="18" width="27.28515625" customWidth="1"/>
    <col min="19" max="19" width="19.7109375" customWidth="1"/>
    <col min="20" max="26" width="10.7109375" customWidth="1"/>
  </cols>
  <sheetData>
    <row r="1" spans="1:13">
      <c r="A1" t="s">
        <v>201</v>
      </c>
      <c r="B1" t="s">
        <v>228</v>
      </c>
    </row>
    <row r="2" spans="1:13">
      <c r="A2" s="1" t="s">
        <v>169</v>
      </c>
      <c r="B2" s="2">
        <f>510000*1</f>
        <v>510000</v>
      </c>
    </row>
    <row r="3" spans="1:13" ht="14.25" customHeight="1">
      <c r="C3" s="9"/>
      <c r="F3" s="57"/>
      <c r="G3" s="57"/>
      <c r="H3" s="57"/>
      <c r="I3" s="57"/>
      <c r="J3" s="57"/>
      <c r="K3" s="57"/>
      <c r="L3" s="57"/>
      <c r="M3" s="57"/>
    </row>
    <row r="4" spans="1:13" ht="18.75">
      <c r="A4" s="140" t="s">
        <v>112</v>
      </c>
      <c r="E4" s="57"/>
      <c r="F4" s="57"/>
      <c r="G4" s="57"/>
      <c r="H4" s="57"/>
      <c r="J4" s="57"/>
      <c r="K4" s="57"/>
      <c r="L4" s="57"/>
      <c r="M4" s="57"/>
    </row>
    <row r="5" spans="1:13" ht="14.25" customHeight="1">
      <c r="C5" s="150" t="s">
        <v>28</v>
      </c>
      <c r="D5" s="151">
        <v>1</v>
      </c>
      <c r="E5" s="151">
        <v>2</v>
      </c>
      <c r="F5" s="151">
        <v>3</v>
      </c>
      <c r="G5" s="151">
        <v>4</v>
      </c>
      <c r="H5" s="151">
        <v>5</v>
      </c>
      <c r="J5" s="59"/>
      <c r="K5" s="59"/>
      <c r="L5" s="59"/>
      <c r="M5" s="57"/>
    </row>
    <row r="6" spans="1:13" ht="14.25" customHeight="1">
      <c r="A6" s="152" t="s">
        <v>113</v>
      </c>
      <c r="C6" s="9">
        <v>10000000</v>
      </c>
      <c r="D6" s="9">
        <v>10529000</v>
      </c>
      <c r="E6" s="9">
        <v>11085984.1</v>
      </c>
      <c r="F6" s="9">
        <v>11672432.65889</v>
      </c>
      <c r="G6" s="9">
        <v>12289904.346545281</v>
      </c>
      <c r="H6" s="9">
        <v>12940040.286477525</v>
      </c>
      <c r="J6" s="9"/>
      <c r="K6" s="9"/>
      <c r="L6" s="9"/>
      <c r="M6" s="57"/>
    </row>
    <row r="7" spans="1:13" ht="14.25" customHeight="1">
      <c r="A7" s="152" t="s">
        <v>114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1">
        <v>0</v>
      </c>
      <c r="J7" s="141"/>
      <c r="K7" s="141"/>
      <c r="L7" s="141"/>
      <c r="M7" s="57"/>
    </row>
    <row r="8" spans="1:13" ht="14.25" customHeight="1">
      <c r="A8" s="152" t="s">
        <v>115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J8" s="9"/>
      <c r="K8" s="9"/>
      <c r="L8" s="9"/>
      <c r="M8" s="57"/>
    </row>
    <row r="9" spans="1:13" ht="14.25" customHeight="1">
      <c r="A9" s="152" t="s">
        <v>116</v>
      </c>
      <c r="C9" s="9">
        <v>10000000</v>
      </c>
      <c r="D9" s="9">
        <v>10529000</v>
      </c>
      <c r="E9" s="9">
        <v>11085984.1</v>
      </c>
      <c r="F9" s="9">
        <v>11672432.65889</v>
      </c>
      <c r="G9" s="9">
        <v>12289904.346545281</v>
      </c>
      <c r="H9" s="9">
        <v>12940040.286477525</v>
      </c>
      <c r="J9" s="9"/>
      <c r="K9" s="9"/>
      <c r="L9" s="9"/>
      <c r="M9" s="57"/>
    </row>
    <row r="10" spans="1:13" ht="14.25" customHeight="1">
      <c r="A10" s="153" t="s">
        <v>117</v>
      </c>
      <c r="C10" s="60"/>
      <c r="D10" s="59"/>
      <c r="E10" s="59"/>
      <c r="F10" s="59"/>
      <c r="G10" s="59"/>
      <c r="H10" s="59"/>
      <c r="J10" s="59"/>
      <c r="K10" s="59"/>
      <c r="L10" s="59"/>
      <c r="M10" s="57"/>
    </row>
    <row r="11" spans="1:13" ht="14.25" customHeight="1">
      <c r="A11" s="152" t="s">
        <v>118</v>
      </c>
      <c r="C11" s="61">
        <v>166591728</v>
      </c>
      <c r="D11" s="61">
        <v>166591728</v>
      </c>
      <c r="E11" s="9">
        <v>166591728</v>
      </c>
      <c r="F11" s="9">
        <v>166591728</v>
      </c>
      <c r="G11" s="9">
        <v>166591728</v>
      </c>
      <c r="H11" s="9">
        <v>166591728</v>
      </c>
      <c r="J11" s="9"/>
      <c r="K11" s="9"/>
      <c r="L11" s="9"/>
      <c r="M11" s="57"/>
    </row>
    <row r="12" spans="1:13" ht="14.25" customHeight="1">
      <c r="A12" s="152" t="s">
        <v>119</v>
      </c>
      <c r="C12" s="141">
        <v>0</v>
      </c>
      <c r="D12" s="9">
        <v>20100382.800000001</v>
      </c>
      <c r="E12" s="9">
        <v>40200765.600000001</v>
      </c>
      <c r="F12" s="9">
        <v>60301148.400000006</v>
      </c>
      <c r="G12" s="9">
        <v>80401531.200000003</v>
      </c>
      <c r="H12" s="9">
        <v>100501914</v>
      </c>
      <c r="J12" s="9"/>
      <c r="K12" s="9"/>
      <c r="L12" s="9"/>
      <c r="M12" s="57"/>
    </row>
    <row r="13" spans="1:13" ht="14.25" customHeight="1">
      <c r="A13" s="152" t="s">
        <v>120</v>
      </c>
      <c r="C13" s="61">
        <v>166591728</v>
      </c>
      <c r="D13" s="61">
        <v>146491345.19999999</v>
      </c>
      <c r="E13" s="61">
        <v>126390962.40000001</v>
      </c>
      <c r="F13" s="61">
        <v>106290579.59999999</v>
      </c>
      <c r="G13" s="61">
        <v>86190196.799999997</v>
      </c>
      <c r="H13" s="61">
        <v>66089814</v>
      </c>
      <c r="J13" s="9"/>
      <c r="K13" s="9"/>
      <c r="L13" s="9"/>
    </row>
    <row r="14" spans="1:13" ht="14.25" customHeight="1">
      <c r="A14" s="152" t="s">
        <v>121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J14" s="141"/>
      <c r="K14" s="141"/>
      <c r="L14" s="141"/>
    </row>
    <row r="15" spans="1:13" ht="14.25" customHeight="1">
      <c r="A15" s="153" t="s">
        <v>122</v>
      </c>
      <c r="C15" s="154">
        <v>176591728</v>
      </c>
      <c r="D15" s="154">
        <v>157020345.19999999</v>
      </c>
      <c r="E15" s="154">
        <v>137476946.5</v>
      </c>
      <c r="F15" s="154">
        <v>117963012.25888999</v>
      </c>
      <c r="G15" s="154">
        <v>98480101.146545276</v>
      </c>
      <c r="H15" s="154">
        <v>79029854.286477521</v>
      </c>
      <c r="J15" s="9"/>
      <c r="K15" s="9"/>
      <c r="L15" s="9"/>
    </row>
    <row r="16" spans="1:13" ht="14.25" customHeight="1">
      <c r="A16" s="153"/>
      <c r="C16" s="9"/>
      <c r="D16" s="9"/>
      <c r="E16" s="9"/>
      <c r="F16" s="9"/>
      <c r="G16" s="9"/>
      <c r="H16" s="9"/>
      <c r="J16" s="9"/>
      <c r="K16" s="9"/>
      <c r="L16" s="9"/>
    </row>
    <row r="17" spans="1:12" ht="14.25" customHeight="1">
      <c r="A17" s="153" t="s">
        <v>123</v>
      </c>
      <c r="C17" s="60"/>
      <c r="D17" s="59"/>
      <c r="E17" s="59"/>
      <c r="F17" s="59"/>
      <c r="G17" s="59"/>
      <c r="H17" s="59"/>
      <c r="J17" s="59"/>
      <c r="K17" s="59"/>
      <c r="L17" s="59"/>
    </row>
    <row r="18" spans="1:12" ht="14.25" customHeight="1">
      <c r="A18" s="152" t="s">
        <v>124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J18" s="9"/>
      <c r="K18" s="9"/>
      <c r="L18" s="9"/>
    </row>
    <row r="19" spans="1:12" ht="14.25" customHeight="1">
      <c r="A19" s="152" t="s">
        <v>125</v>
      </c>
      <c r="C19" s="9">
        <v>139277489.98409998</v>
      </c>
      <c r="D19" s="9">
        <v>122549886.74874887</v>
      </c>
      <c r="E19" s="9">
        <v>101516598.44061838</v>
      </c>
      <c r="F19" s="9">
        <v>75069341.721975103</v>
      </c>
      <c r="G19" s="9">
        <v>41814561.123953044</v>
      </c>
      <c r="H19" s="9">
        <v>1.0430812835693359E-7</v>
      </c>
      <c r="J19" s="9"/>
      <c r="K19" s="9"/>
      <c r="L19" s="9"/>
    </row>
    <row r="20" spans="1:12" ht="14.25" customHeight="1">
      <c r="A20" s="153" t="s">
        <v>126</v>
      </c>
      <c r="C20" s="154">
        <v>139277489.98409998</v>
      </c>
      <c r="D20" s="154">
        <v>122549886.74874887</v>
      </c>
      <c r="E20" s="154">
        <v>101516598.44061838</v>
      </c>
      <c r="F20" s="154">
        <v>75069341.721975103</v>
      </c>
      <c r="G20" s="154">
        <v>41814561.123953044</v>
      </c>
      <c r="H20" s="154">
        <v>1.0430812835693359E-7</v>
      </c>
      <c r="J20" s="9"/>
      <c r="K20" s="9"/>
      <c r="L20" s="9"/>
    </row>
    <row r="21" spans="1:12" ht="14.25" customHeight="1">
      <c r="A21" s="153"/>
      <c r="C21" s="154"/>
      <c r="D21" s="154"/>
      <c r="E21" s="154"/>
      <c r="F21" s="154"/>
      <c r="G21" s="154"/>
      <c r="H21" s="154"/>
      <c r="J21" s="9"/>
      <c r="K21" s="9"/>
      <c r="L21" s="9"/>
    </row>
    <row r="22" spans="1:12" ht="14.25" customHeight="1">
      <c r="A22" s="153" t="s">
        <v>127</v>
      </c>
      <c r="C22" s="9"/>
      <c r="D22" s="9"/>
      <c r="E22" s="9"/>
      <c r="F22" s="9"/>
      <c r="G22" s="9"/>
      <c r="H22" s="9"/>
      <c r="J22" s="9"/>
      <c r="K22" s="9"/>
      <c r="L22" s="9"/>
    </row>
    <row r="23" spans="1:12" ht="14.25" customHeight="1">
      <c r="A23" s="152" t="s">
        <v>128</v>
      </c>
      <c r="C23" s="9">
        <v>37314238.015900016</v>
      </c>
      <c r="D23" s="9">
        <v>37314238.015900016</v>
      </c>
      <c r="E23" s="9">
        <v>37314238.015900016</v>
      </c>
      <c r="F23" s="9">
        <v>37314238.015900016</v>
      </c>
      <c r="G23" s="9">
        <v>37314238.015900016</v>
      </c>
      <c r="H23" s="9">
        <v>37314238.015900016</v>
      </c>
      <c r="J23" s="9"/>
      <c r="K23" s="9"/>
      <c r="L23" s="9"/>
    </row>
    <row r="24" spans="1:12" ht="14.25" customHeight="1">
      <c r="A24" s="152" t="s">
        <v>129</v>
      </c>
      <c r="D24" s="9">
        <v>-2843779.5646488816</v>
      </c>
      <c r="E24" s="9">
        <v>-1353889.9565183874</v>
      </c>
      <c r="F24" s="9">
        <v>5579432.5210148841</v>
      </c>
      <c r="G24" s="9">
        <v>19351302.006692186</v>
      </c>
      <c r="H24" s="9">
        <v>41715616.270577371</v>
      </c>
      <c r="J24" s="9"/>
      <c r="K24" s="9"/>
      <c r="L24" s="9"/>
    </row>
    <row r="25" spans="1:12" ht="14.25" customHeight="1">
      <c r="A25" s="153" t="s">
        <v>130</v>
      </c>
      <c r="C25" s="154">
        <v>37314238.015900016</v>
      </c>
      <c r="D25" s="154">
        <v>34470458.451251134</v>
      </c>
      <c r="E25" s="154">
        <v>35960348.059381627</v>
      </c>
      <c r="F25" s="154">
        <v>42893670.5369149</v>
      </c>
      <c r="G25" s="154">
        <v>56665540.022592202</v>
      </c>
      <c r="H25" s="154">
        <v>79029854.286477387</v>
      </c>
      <c r="J25" s="9"/>
      <c r="K25" s="9"/>
      <c r="L25" s="9"/>
    </row>
    <row r="26" spans="1:12" ht="14.25" customHeight="1">
      <c r="A26" s="153"/>
      <c r="C26" s="154"/>
      <c r="D26" s="154"/>
      <c r="E26" s="154"/>
      <c r="F26" s="154"/>
      <c r="G26" s="154"/>
      <c r="H26" s="154"/>
      <c r="J26" s="9"/>
      <c r="K26" s="9"/>
      <c r="L26" s="9"/>
    </row>
    <row r="27" spans="1:12" ht="14.25" customHeight="1">
      <c r="A27" s="152" t="s">
        <v>131</v>
      </c>
      <c r="C27" s="154">
        <v>176591728</v>
      </c>
      <c r="D27" s="154">
        <v>157020345.19999999</v>
      </c>
      <c r="E27" s="154">
        <v>137476946.5</v>
      </c>
      <c r="F27" s="154">
        <v>117963012.25889</v>
      </c>
      <c r="G27" s="154">
        <v>98480101.146545246</v>
      </c>
      <c r="H27" s="154">
        <v>79029854.286477491</v>
      </c>
      <c r="J27" s="9"/>
      <c r="K27" s="9"/>
      <c r="L27" s="9"/>
    </row>
    <row r="28" spans="1:12" ht="14.25" customHeight="1"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ht="14.25" customHeight="1"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ht="14.25" customHeight="1">
      <c r="A30" s="183" t="s">
        <v>226</v>
      </c>
      <c r="B30" s="183"/>
      <c r="C30" s="183"/>
      <c r="D30" s="183"/>
      <c r="E30" s="183"/>
      <c r="F30" s="183"/>
      <c r="G30" s="183"/>
      <c r="H30" s="183"/>
      <c r="I30" s="183"/>
      <c r="J30" s="141"/>
      <c r="K30" s="141"/>
      <c r="L30" s="141"/>
    </row>
    <row r="31" spans="1:12" ht="14.25" customHeight="1">
      <c r="D31" s="141"/>
      <c r="E31" s="141"/>
      <c r="F31" s="141"/>
      <c r="G31" s="141"/>
      <c r="H31" s="141"/>
      <c r="I31" s="141"/>
      <c r="J31" s="141"/>
      <c r="K31" s="141"/>
      <c r="L31" s="141"/>
    </row>
    <row r="32" spans="1:12" ht="14.25" customHeight="1">
      <c r="D32" s="150" t="s">
        <v>28</v>
      </c>
      <c r="E32" s="151">
        <v>1</v>
      </c>
      <c r="F32" s="151">
        <v>2</v>
      </c>
      <c r="G32" s="151">
        <v>3</v>
      </c>
      <c r="H32" s="151">
        <v>4</v>
      </c>
      <c r="I32" s="151">
        <v>5</v>
      </c>
      <c r="J32" s="59"/>
      <c r="K32" s="59"/>
      <c r="L32" s="59"/>
    </row>
    <row r="33" spans="1:13" ht="14.25" customHeight="1">
      <c r="A33" s="1" t="s">
        <v>167</v>
      </c>
      <c r="B33" s="156">
        <v>0.25740000000000002</v>
      </c>
      <c r="C33" s="31" t="s">
        <v>132</v>
      </c>
      <c r="E33" s="142">
        <v>0.78869770153729957</v>
      </c>
      <c r="F33" s="142">
        <v>0.78047138791253201</v>
      </c>
      <c r="G33" s="142">
        <v>0.73842634001634866</v>
      </c>
      <c r="H33" s="142">
        <v>0.63638033892541324</v>
      </c>
      <c r="I33" s="142">
        <v>0.42459908790843004</v>
      </c>
      <c r="J33" s="142"/>
      <c r="K33" s="142"/>
      <c r="L33" s="142"/>
      <c r="M33" s="59"/>
    </row>
    <row r="34" spans="1:13" ht="14.25" customHeight="1">
      <c r="A34" s="1" t="s">
        <v>133</v>
      </c>
      <c r="B34" s="156">
        <v>0.36149999999999999</v>
      </c>
      <c r="C34" s="31" t="s">
        <v>132</v>
      </c>
      <c r="E34" s="142">
        <v>0.21130229846270046</v>
      </c>
      <c r="F34" s="142">
        <v>0.21952861208746813</v>
      </c>
      <c r="G34" s="142">
        <v>0.26157365998365134</v>
      </c>
      <c r="H34" s="142">
        <v>0.36361966107458671</v>
      </c>
      <c r="I34" s="142">
        <v>0.57540091209156996</v>
      </c>
      <c r="J34" s="142"/>
      <c r="K34" s="142"/>
      <c r="L34" s="142"/>
      <c r="M34" s="142"/>
    </row>
    <row r="35" spans="1:13" ht="14.25" customHeight="1">
      <c r="E35" s="50">
        <v>1</v>
      </c>
      <c r="F35" s="50">
        <v>1.0000000000000002</v>
      </c>
      <c r="G35" s="50">
        <v>1</v>
      </c>
      <c r="H35" s="50">
        <v>1</v>
      </c>
      <c r="I35" s="50">
        <v>1</v>
      </c>
      <c r="J35" s="50"/>
      <c r="K35" s="50"/>
      <c r="L35" s="50"/>
      <c r="M35" s="142"/>
    </row>
    <row r="36" spans="1:13" ht="14.25" customHeight="1">
      <c r="B36" s="89" t="s">
        <v>165</v>
      </c>
      <c r="C36" s="50"/>
      <c r="E36" s="57">
        <v>-27103656.758949965</v>
      </c>
      <c r="F36" s="57">
        <v>34869483.356612399</v>
      </c>
      <c r="G36" s="57">
        <v>94921720.519202545</v>
      </c>
      <c r="H36" s="57">
        <v>165986694.10777572</v>
      </c>
      <c r="I36" s="57">
        <v>248901628.28430641</v>
      </c>
      <c r="J36" s="57"/>
      <c r="K36" s="57"/>
      <c r="L36" s="57"/>
      <c r="M36" s="50"/>
    </row>
    <row r="37" spans="1:13" ht="14.25" customHeight="1">
      <c r="C37" s="62" t="s">
        <v>134</v>
      </c>
      <c r="D37" s="62"/>
      <c r="E37" s="143">
        <v>0.20834279333847183</v>
      </c>
      <c r="F37" s="143">
        <v>0.20994026118126546</v>
      </c>
      <c r="G37" s="143">
        <v>0.21810498903222525</v>
      </c>
      <c r="H37" s="143">
        <v>0.23792130198407399</v>
      </c>
      <c r="I37" s="143">
        <v>0.27904710311906195</v>
      </c>
      <c r="J37" s="142"/>
      <c r="K37" s="142"/>
      <c r="L37" s="142"/>
    </row>
    <row r="38" spans="1:13" ht="14.25" customHeight="1">
      <c r="E38" s="142"/>
      <c r="F38" s="142"/>
      <c r="G38" s="142"/>
      <c r="H38" s="142"/>
      <c r="I38" s="142"/>
      <c r="J38" s="142"/>
      <c r="K38" s="142"/>
      <c r="L38" s="142"/>
      <c r="M38" s="142"/>
    </row>
    <row r="39" spans="1:13" ht="14.25" customHeight="1">
      <c r="C39" s="88" t="s">
        <v>135</v>
      </c>
      <c r="D39" s="144">
        <v>218279630.19593585</v>
      </c>
      <c r="E39" s="145">
        <v>-22430436.882953208</v>
      </c>
      <c r="F39" s="145">
        <v>23850167.211242627</v>
      </c>
      <c r="G39" s="145">
        <v>53299949.190002844</v>
      </c>
      <c r="H39" s="145">
        <v>75290716.931893423</v>
      </c>
      <c r="I39" s="145">
        <v>88269233.745750159</v>
      </c>
      <c r="J39" s="9"/>
      <c r="K39" s="9"/>
      <c r="L39" s="9"/>
    </row>
    <row r="40" spans="1:13" ht="14.25" customHeight="1">
      <c r="E40" s="142"/>
      <c r="F40" s="142"/>
      <c r="G40" s="142"/>
      <c r="H40" s="142"/>
      <c r="I40" s="142"/>
      <c r="J40" s="142"/>
      <c r="K40" s="142"/>
      <c r="L40" s="142"/>
    </row>
    <row r="41" spans="1:13" ht="14.25" customHeight="1">
      <c r="C41" s="157" t="s">
        <v>136</v>
      </c>
      <c r="D41" s="158">
        <v>41687902.195935845</v>
      </c>
      <c r="F41" s="146"/>
      <c r="G41" s="63"/>
    </row>
    <row r="42" spans="1:13" ht="14.25" customHeight="1">
      <c r="D42" s="9"/>
      <c r="G42" s="63"/>
    </row>
    <row r="43" spans="1:13" ht="14.25" customHeight="1">
      <c r="A43" s="89" t="s">
        <v>225</v>
      </c>
      <c r="B43" s="155" t="s">
        <v>136</v>
      </c>
      <c r="C43" s="103">
        <v>41687902.195935845</v>
      </c>
      <c r="D43" s="9"/>
      <c r="E43" s="147" t="s">
        <v>183</v>
      </c>
      <c r="F43" s="147" t="s">
        <v>184</v>
      </c>
      <c r="G43" s="148" t="s">
        <v>185</v>
      </c>
      <c r="H43" s="147" t="s">
        <v>186</v>
      </c>
      <c r="I43" s="147" t="s">
        <v>187</v>
      </c>
      <c r="J43" s="147" t="s">
        <v>188</v>
      </c>
    </row>
    <row r="44" spans="1:13" ht="14.25" customHeight="1">
      <c r="B44" s="105" t="s">
        <v>182</v>
      </c>
      <c r="C44" s="104">
        <v>0.28515124872373021</v>
      </c>
      <c r="D44" s="9"/>
      <c r="E44" s="9">
        <v>-176591728</v>
      </c>
      <c r="F44" s="149">
        <v>-27103656.758949965</v>
      </c>
      <c r="G44" s="149">
        <v>34869483.356612399</v>
      </c>
      <c r="H44" s="149">
        <v>94921720.519202545</v>
      </c>
      <c r="I44" s="149">
        <v>165986694.10777572</v>
      </c>
      <c r="J44" s="149">
        <v>248901628.28430641</v>
      </c>
    </row>
    <row r="129" spans="13:13" ht="14.25" customHeight="1">
      <c r="M129" s="57"/>
    </row>
    <row r="130" spans="13:13" ht="14.25" customHeight="1"/>
    <row r="131" spans="13:13" ht="14.25" customHeight="1"/>
    <row r="132" spans="13:13" ht="14.25" customHeight="1"/>
    <row r="133" spans="13:13" ht="14.25" customHeight="1"/>
    <row r="134" spans="13:13" ht="14.25" customHeight="1"/>
    <row r="135" spans="13:13" ht="14.25" customHeight="1"/>
    <row r="136" spans="13:13" ht="14.25" customHeight="1"/>
    <row r="137" spans="13:13" ht="14.25" customHeight="1"/>
    <row r="138" spans="13:13" ht="14.25" customHeight="1"/>
    <row r="139" spans="13:13" ht="14.25" customHeight="1"/>
    <row r="140" spans="13:13" ht="14.25" customHeight="1"/>
    <row r="141" spans="13:13" ht="14.25" customHeight="1"/>
    <row r="142" spans="13:13" ht="14.25" customHeight="1"/>
    <row r="143" spans="13:13" ht="14.25" customHeight="1"/>
    <row r="144" spans="13:13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</sheetData>
  <mergeCells count="1">
    <mergeCell ref="A30:I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COSTOS Y GASTOS</vt:lpstr>
      <vt:lpstr>NOMINA</vt:lpstr>
      <vt:lpstr>INGRESOS</vt:lpstr>
      <vt:lpstr>CREDITO</vt:lpstr>
      <vt:lpstr>INVERSIONES</vt:lpstr>
      <vt:lpstr>ESTADO DE RESULTADOS</vt:lpstr>
      <vt:lpstr>FLUJO DE CAJA LIBRE</vt:lpstr>
      <vt:lpstr>BALANCE GENERAL</vt:lpstr>
      <vt:lpstr>ESCENARIO MAS PROBABLE</vt:lpstr>
      <vt:lpstr>ESCENARIO OPTIMISTA</vt:lpstr>
      <vt:lpstr>ESCENARIO PESIMISTA</vt:lpstr>
      <vt:lpstr>tablas documento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dcterms:created xsi:type="dcterms:W3CDTF">2026-04-03T21:23:30Z</dcterms:created>
  <dcterms:modified xsi:type="dcterms:W3CDTF">2026-04-16T14:54:26Z</dcterms:modified>
</cp:coreProperties>
</file>