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chris\Desktop\info para grado\info para entregar a la escuela\entrega\"/>
    </mc:Choice>
  </mc:AlternateContent>
  <xr:revisionPtr revIDLastSave="0" documentId="8_{B0B6D4D7-1EE1-4085-90DF-D5BD8690817A}" xr6:coauthVersionLast="47" xr6:coauthVersionMax="47" xr10:uidLastSave="{00000000-0000-0000-0000-000000000000}"/>
  <bookViews>
    <workbookView xWindow="-108" yWindow="-108" windowWidth="23256" windowHeight="12576" xr2:uid="{00000000-000D-0000-FFFF-FFFF00000000}"/>
  </bookViews>
  <sheets>
    <sheet name="Prueba B-Yzoon Analisis proximo" sheetId="1" r:id="rId1"/>
    <sheet name="Torrefaccion 200 y 15" sheetId="2" r:id="rId2"/>
    <sheet name="Torrefaccion 200 y 30" sheetId="3" r:id="rId3"/>
    <sheet name="Torrefaccion 250 y 15" sheetId="4" r:id="rId4"/>
    <sheet name="Torrefaccion 250 y 30" sheetId="5" r:id="rId5"/>
    <sheet name="Torrefaccion 275 y 15" sheetId="6" r:id="rId6"/>
    <sheet name="Torrefaccion 275 y 30" sheetId="7" r:id="rId7"/>
    <sheet name="Torrefaccion 300 y 15" sheetId="8" r:id="rId8"/>
    <sheet name="Torrefaccion 300 y 30" sheetId="9" r:id="rId9"/>
    <sheet name="Analisis de torrefacciones" sheetId="10" r:id="rId10"/>
    <sheet name="Pruebas de poder calorifico" sheetId="11" r:id="rId11"/>
    <sheet name="Analisis mejor opcion" sheetId="13" r:id="rId12"/>
    <sheet name="Higrometria" sheetId="12" r:id="rId13"/>
    <sheet name="Analisis elemental" sheetId="14"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1" i="13" l="1"/>
  <c r="I106" i="11"/>
  <c r="I104" i="11"/>
  <c r="E56" i="14"/>
  <c r="E55" i="14"/>
  <c r="E54" i="14"/>
  <c r="S32" i="14"/>
  <c r="M32" i="14"/>
  <c r="E32" i="14"/>
  <c r="H6" i="14"/>
  <c r="G6" i="14"/>
  <c r="F6" i="14"/>
  <c r="H5" i="14"/>
  <c r="G5" i="14"/>
  <c r="F5" i="14"/>
  <c r="H4" i="14"/>
  <c r="G4" i="14"/>
  <c r="F4" i="14"/>
  <c r="M127" i="13"/>
  <c r="L127" i="13"/>
  <c r="M126" i="13"/>
  <c r="L126" i="13"/>
  <c r="M125" i="13"/>
  <c r="L125" i="13"/>
  <c r="M124" i="13"/>
  <c r="L124" i="13"/>
  <c r="M123" i="13"/>
  <c r="L123" i="13"/>
  <c r="M122" i="13"/>
  <c r="L122" i="13"/>
  <c r="M121" i="13"/>
  <c r="L121" i="13"/>
  <c r="M120" i="13"/>
  <c r="L120" i="13"/>
  <c r="D137" i="13"/>
  <c r="C137" i="13"/>
  <c r="F145" i="13"/>
  <c r="F166" i="13"/>
  <c r="F167" i="13"/>
  <c r="F168" i="13"/>
  <c r="F169" i="13"/>
  <c r="F170" i="13"/>
  <c r="F171" i="13"/>
  <c r="F172" i="13"/>
  <c r="F165" i="13"/>
  <c r="F156" i="13"/>
  <c r="F157" i="13"/>
  <c r="F158" i="13"/>
  <c r="F159" i="13"/>
  <c r="F160" i="13"/>
  <c r="F161" i="13"/>
  <c r="F162" i="13"/>
  <c r="F155" i="13"/>
  <c r="F146" i="13"/>
  <c r="F147" i="13"/>
  <c r="F148" i="13"/>
  <c r="F149" i="13"/>
  <c r="F150" i="13"/>
  <c r="F151" i="13"/>
  <c r="F152" i="13"/>
  <c r="N117" i="13"/>
  <c r="O117" i="13" s="1"/>
  <c r="N116" i="13"/>
  <c r="O116" i="13" s="1"/>
  <c r="N115" i="13"/>
  <c r="O115" i="13" s="1"/>
  <c r="N114" i="13"/>
  <c r="O114" i="13" s="1"/>
  <c r="N113" i="13"/>
  <c r="O113" i="13" s="1"/>
  <c r="N112" i="13"/>
  <c r="O112" i="13" s="1"/>
  <c r="N111" i="13"/>
  <c r="O111" i="13" s="1"/>
  <c r="N110" i="13"/>
  <c r="O110" i="13" s="1"/>
  <c r="J117" i="13"/>
  <c r="K117" i="13" s="1"/>
  <c r="K116" i="13"/>
  <c r="J116" i="13"/>
  <c r="J115" i="13"/>
  <c r="K115" i="13" s="1"/>
  <c r="J114" i="13"/>
  <c r="K114" i="13" s="1"/>
  <c r="J113" i="13"/>
  <c r="K113" i="13" s="1"/>
  <c r="J112" i="13"/>
  <c r="K112" i="13" s="1"/>
  <c r="J111" i="13"/>
  <c r="K111" i="13" s="1"/>
  <c r="J110" i="13"/>
  <c r="K110" i="13" s="1"/>
  <c r="D111" i="13"/>
  <c r="D113" i="13"/>
  <c r="C131" i="13"/>
  <c r="D131" i="13" s="1"/>
  <c r="C132" i="13"/>
  <c r="D132" i="13" s="1"/>
  <c r="C133" i="13"/>
  <c r="D133" i="13" s="1"/>
  <c r="C134" i="13"/>
  <c r="D134" i="13" s="1"/>
  <c r="C135" i="13"/>
  <c r="D135" i="13" s="1"/>
  <c r="C136" i="13"/>
  <c r="D136" i="13" s="1"/>
  <c r="C130" i="13"/>
  <c r="D130" i="13" s="1"/>
  <c r="C121" i="13"/>
  <c r="D121" i="13" s="1"/>
  <c r="C122" i="13"/>
  <c r="D122" i="13" s="1"/>
  <c r="C123" i="13"/>
  <c r="D123" i="13" s="1"/>
  <c r="C124" i="13"/>
  <c r="D124" i="13" s="1"/>
  <c r="C125" i="13"/>
  <c r="D125" i="13" s="1"/>
  <c r="C126" i="13"/>
  <c r="D126" i="13" s="1"/>
  <c r="C127" i="13"/>
  <c r="D127" i="13" s="1"/>
  <c r="C120" i="13"/>
  <c r="D120" i="13" s="1"/>
  <c r="C112" i="13"/>
  <c r="D112" i="13" s="1"/>
  <c r="C113" i="13"/>
  <c r="C114" i="13"/>
  <c r="D114" i="13" s="1"/>
  <c r="C115" i="13"/>
  <c r="D115" i="13" s="1"/>
  <c r="C116" i="13"/>
  <c r="D116" i="13" s="1"/>
  <c r="C117" i="13"/>
  <c r="D117" i="13" s="1"/>
  <c r="C110" i="13"/>
  <c r="D110" i="13" s="1"/>
  <c r="L76" i="13"/>
  <c r="M76" i="13" s="1"/>
  <c r="L75" i="13"/>
  <c r="M75" i="13" s="1"/>
  <c r="L74" i="13"/>
  <c r="M74" i="13" s="1"/>
  <c r="L73" i="13"/>
  <c r="M73" i="13" s="1"/>
  <c r="L72" i="13"/>
  <c r="M72" i="13" s="1"/>
  <c r="L71" i="13"/>
  <c r="M71" i="13" s="1"/>
  <c r="L70" i="13"/>
  <c r="M70" i="13" s="1"/>
  <c r="L69" i="13"/>
  <c r="M69" i="13" s="1"/>
  <c r="N66" i="13"/>
  <c r="O66" i="13" s="1"/>
  <c r="N65" i="13"/>
  <c r="O65" i="13" s="1"/>
  <c r="N64" i="13"/>
  <c r="O64" i="13" s="1"/>
  <c r="N63" i="13"/>
  <c r="O63" i="13" s="1"/>
  <c r="N62" i="13"/>
  <c r="O62" i="13" s="1"/>
  <c r="N61" i="13"/>
  <c r="O61" i="13" s="1"/>
  <c r="N60" i="13"/>
  <c r="O60" i="13" s="1"/>
  <c r="N59" i="13"/>
  <c r="O59" i="13" s="1"/>
  <c r="J66" i="13"/>
  <c r="K66" i="13" s="1"/>
  <c r="J65" i="13"/>
  <c r="K65" i="13" s="1"/>
  <c r="J64" i="13"/>
  <c r="K64" i="13" s="1"/>
  <c r="J63" i="13"/>
  <c r="K63" i="13" s="1"/>
  <c r="J62" i="13"/>
  <c r="K62" i="13" s="1"/>
  <c r="J61" i="13"/>
  <c r="K61" i="13" s="1"/>
  <c r="J60" i="13"/>
  <c r="K60" i="13" s="1"/>
  <c r="J59" i="13"/>
  <c r="K59" i="13" s="1"/>
  <c r="C95" i="13"/>
  <c r="D95" i="13" s="1"/>
  <c r="C96" i="13"/>
  <c r="D96" i="13" s="1"/>
  <c r="C97" i="13"/>
  <c r="D97" i="13" s="1"/>
  <c r="C98" i="13"/>
  <c r="D98" i="13" s="1"/>
  <c r="C99" i="13"/>
  <c r="D99" i="13" s="1"/>
  <c r="C100" i="13"/>
  <c r="D100" i="13" s="1"/>
  <c r="C101" i="13"/>
  <c r="D101" i="13" s="1"/>
  <c r="C94" i="13"/>
  <c r="D94" i="13" s="1"/>
  <c r="C85" i="13"/>
  <c r="D85" i="13" s="1"/>
  <c r="C86" i="13"/>
  <c r="D86" i="13" s="1"/>
  <c r="C87" i="13"/>
  <c r="D87" i="13" s="1"/>
  <c r="C88" i="13"/>
  <c r="D88" i="13" s="1"/>
  <c r="C89" i="13"/>
  <c r="D89" i="13" s="1"/>
  <c r="C90" i="13"/>
  <c r="D90" i="13" s="1"/>
  <c r="C91" i="13"/>
  <c r="D91" i="13" s="1"/>
  <c r="C84" i="13"/>
  <c r="D84" i="13" s="1"/>
  <c r="C75" i="13"/>
  <c r="D75" i="13" s="1"/>
  <c r="C76" i="13"/>
  <c r="D76" i="13" s="1"/>
  <c r="C77" i="13"/>
  <c r="D77" i="13" s="1"/>
  <c r="C78" i="13"/>
  <c r="D78" i="13" s="1"/>
  <c r="C79" i="13"/>
  <c r="D79" i="13" s="1"/>
  <c r="C80" i="13"/>
  <c r="D80" i="13" s="1"/>
  <c r="C81" i="13"/>
  <c r="D81" i="13" s="1"/>
  <c r="C74" i="13"/>
  <c r="D74" i="13" s="1"/>
  <c r="J119" i="11"/>
  <c r="J120" i="11"/>
  <c r="J121" i="11"/>
  <c r="J122" i="11"/>
  <c r="J123" i="11"/>
  <c r="J124" i="11"/>
  <c r="J125" i="11"/>
  <c r="J118" i="11"/>
  <c r="G119" i="11"/>
  <c r="G120" i="11"/>
  <c r="G121" i="11"/>
  <c r="G122" i="11"/>
  <c r="G123" i="11"/>
  <c r="G124" i="11"/>
  <c r="G125" i="11"/>
  <c r="G118" i="11"/>
  <c r="D119" i="11"/>
  <c r="D120" i="11"/>
  <c r="D121" i="11"/>
  <c r="D122" i="11"/>
  <c r="D123" i="11"/>
  <c r="D124" i="11"/>
  <c r="D125" i="11"/>
  <c r="D118" i="11"/>
  <c r="H125" i="11"/>
  <c r="E125" i="11"/>
  <c r="H124" i="11"/>
  <c r="E124" i="11"/>
  <c r="H123" i="11"/>
  <c r="E123" i="11"/>
  <c r="H122" i="11"/>
  <c r="E122" i="11"/>
  <c r="H121" i="11"/>
  <c r="E121" i="11"/>
  <c r="H120" i="11"/>
  <c r="E120" i="11"/>
  <c r="H119" i="11"/>
  <c r="E119" i="11"/>
  <c r="H118" i="11"/>
  <c r="E118" i="11"/>
  <c r="N47" i="13"/>
  <c r="N46" i="13"/>
  <c r="N45" i="13"/>
  <c r="N44" i="13"/>
  <c r="N43" i="13"/>
  <c r="N42" i="13"/>
  <c r="N41" i="13"/>
  <c r="N40" i="13"/>
  <c r="K47" i="13"/>
  <c r="K46" i="13"/>
  <c r="K45" i="13"/>
  <c r="K44" i="13"/>
  <c r="K43" i="13"/>
  <c r="K42" i="13"/>
  <c r="K41" i="13"/>
  <c r="K40" i="13"/>
  <c r="H47" i="13"/>
  <c r="H46" i="13"/>
  <c r="H45" i="13"/>
  <c r="H44" i="13"/>
  <c r="H43" i="13"/>
  <c r="H42" i="13"/>
  <c r="H41" i="13"/>
  <c r="H40" i="13"/>
  <c r="M13" i="13"/>
  <c r="M12" i="13"/>
  <c r="M11" i="13"/>
  <c r="M10" i="13"/>
  <c r="M9" i="13"/>
  <c r="M8" i="13"/>
  <c r="M7" i="13"/>
  <c r="M6" i="13"/>
  <c r="J13" i="13"/>
  <c r="J12" i="13"/>
  <c r="J11" i="13"/>
  <c r="J10" i="13"/>
  <c r="J9" i="13"/>
  <c r="J8" i="13"/>
  <c r="J7" i="13"/>
  <c r="J6" i="13"/>
  <c r="G13" i="13"/>
  <c r="G12" i="13"/>
  <c r="G11" i="13"/>
  <c r="G10" i="13"/>
  <c r="G9" i="13"/>
  <c r="G8" i="13"/>
  <c r="G7" i="13"/>
  <c r="G6" i="13"/>
  <c r="C61" i="13"/>
  <c r="C62" i="13"/>
  <c r="C63" i="13"/>
  <c r="C64" i="13"/>
  <c r="C65" i="13"/>
  <c r="C66" i="13"/>
  <c r="C67" i="13"/>
  <c r="C60" i="13"/>
  <c r="C51" i="13"/>
  <c r="C52" i="13"/>
  <c r="C53" i="13"/>
  <c r="C54" i="13"/>
  <c r="C55" i="13"/>
  <c r="C56" i="13"/>
  <c r="C57" i="13"/>
  <c r="C50" i="13"/>
  <c r="C41" i="13"/>
  <c r="C42" i="13"/>
  <c r="C43" i="13"/>
  <c r="C44" i="13"/>
  <c r="C45" i="13"/>
  <c r="C46" i="13"/>
  <c r="C47" i="13"/>
  <c r="C40" i="13"/>
  <c r="C27" i="13"/>
  <c r="C28" i="13"/>
  <c r="C29" i="13"/>
  <c r="C30" i="13"/>
  <c r="C31" i="13"/>
  <c r="C32" i="13"/>
  <c r="C33" i="13"/>
  <c r="C26" i="13"/>
  <c r="C17" i="13"/>
  <c r="C18" i="13"/>
  <c r="C19" i="13"/>
  <c r="C20" i="13"/>
  <c r="C21" i="13"/>
  <c r="C22" i="13"/>
  <c r="C23" i="13"/>
  <c r="C16" i="13"/>
  <c r="C7" i="13"/>
  <c r="C8" i="13"/>
  <c r="C9" i="13"/>
  <c r="C10" i="13"/>
  <c r="C11" i="13"/>
  <c r="C12" i="13"/>
  <c r="C13" i="13"/>
  <c r="C6" i="13"/>
  <c r="H41" i="9"/>
  <c r="F104" i="11"/>
  <c r="G104" i="11" s="1"/>
  <c r="H104" i="11" s="1"/>
  <c r="F102" i="11"/>
  <c r="G102" i="11" s="1"/>
  <c r="H102" i="11" s="1"/>
  <c r="I102" i="11" s="1"/>
  <c r="F100" i="11"/>
  <c r="G100" i="11" s="1"/>
  <c r="H100" i="11" s="1"/>
  <c r="I100" i="11" s="1"/>
  <c r="F99" i="11"/>
  <c r="G99" i="11" s="1"/>
  <c r="H99" i="11" s="1"/>
  <c r="F98" i="11"/>
  <c r="G98" i="11" s="1"/>
  <c r="H98" i="11" s="1"/>
  <c r="I98" i="11" s="1"/>
  <c r="G97" i="11"/>
  <c r="H97" i="11" s="1"/>
  <c r="F97" i="11"/>
  <c r="H96" i="11"/>
  <c r="I96" i="11" s="1"/>
  <c r="G96" i="11"/>
  <c r="F96" i="11"/>
  <c r="F95" i="11"/>
  <c r="G95" i="11" s="1"/>
  <c r="H95" i="11" s="1"/>
  <c r="G94" i="11"/>
  <c r="H94" i="11" s="1"/>
  <c r="F94" i="11"/>
  <c r="F93" i="11"/>
  <c r="G93" i="11" s="1"/>
  <c r="H93" i="11" s="1"/>
  <c r="F92" i="11"/>
  <c r="G92" i="11" s="1"/>
  <c r="H92" i="11" s="1"/>
  <c r="I92" i="11" s="1"/>
  <c r="F86" i="11"/>
  <c r="G86" i="11" s="1"/>
  <c r="H86" i="11" s="1"/>
  <c r="I86" i="11" s="1"/>
  <c r="F84" i="11"/>
  <c r="G84" i="11" s="1"/>
  <c r="H84" i="11" s="1"/>
  <c r="I84" i="11" s="1"/>
  <c r="F82" i="11"/>
  <c r="G82" i="11" s="1"/>
  <c r="H82" i="11" s="1"/>
  <c r="F81" i="11"/>
  <c r="G81" i="11" s="1"/>
  <c r="H81" i="11" s="1"/>
  <c r="F80" i="11"/>
  <c r="G80" i="11" s="1"/>
  <c r="H80" i="11" s="1"/>
  <c r="I80" i="11" s="1"/>
  <c r="G79" i="11"/>
  <c r="H79" i="11" s="1"/>
  <c r="F79" i="11"/>
  <c r="H78" i="11"/>
  <c r="I78" i="11" s="1"/>
  <c r="G78" i="11"/>
  <c r="F78" i="11"/>
  <c r="F77" i="11"/>
  <c r="G77" i="11" s="1"/>
  <c r="H77" i="11" s="1"/>
  <c r="G76" i="11"/>
  <c r="H76" i="11" s="1"/>
  <c r="F76" i="11"/>
  <c r="F75" i="11"/>
  <c r="G75" i="11" s="1"/>
  <c r="H75" i="11" s="1"/>
  <c r="F74" i="11"/>
  <c r="G74" i="11" s="1"/>
  <c r="H74" i="11" s="1"/>
  <c r="I74" i="11" s="1"/>
  <c r="F73" i="11"/>
  <c r="G73" i="11" s="1"/>
  <c r="H73" i="11" s="1"/>
  <c r="F72" i="11"/>
  <c r="G72" i="11" s="1"/>
  <c r="H72" i="11" s="1"/>
  <c r="I72" i="11" s="1"/>
  <c r="F67" i="11"/>
  <c r="G67" i="11" s="1"/>
  <c r="H67" i="11" s="1"/>
  <c r="G66" i="11"/>
  <c r="H66" i="11" s="1"/>
  <c r="I66" i="11" s="1"/>
  <c r="F66" i="11"/>
  <c r="F65" i="11"/>
  <c r="G65" i="11" s="1"/>
  <c r="H65" i="11" s="1"/>
  <c r="F64" i="11"/>
  <c r="G64" i="11" s="1"/>
  <c r="H64" i="11" s="1"/>
  <c r="G63" i="11"/>
  <c r="H63" i="11" s="1"/>
  <c r="F63" i="11"/>
  <c r="F62" i="11"/>
  <c r="G62" i="11" s="1"/>
  <c r="H62" i="11" s="1"/>
  <c r="F61" i="11"/>
  <c r="G61" i="11" s="1"/>
  <c r="H61" i="11" s="1"/>
  <c r="F60" i="11"/>
  <c r="G60" i="11" s="1"/>
  <c r="H60" i="11" s="1"/>
  <c r="I60" i="11" s="1"/>
  <c r="G59" i="11"/>
  <c r="H59" i="11" s="1"/>
  <c r="F59" i="11"/>
  <c r="G58" i="11"/>
  <c r="H58" i="11" s="1"/>
  <c r="F58" i="11"/>
  <c r="F57" i="11"/>
  <c r="G57" i="11" s="1"/>
  <c r="H57" i="11" s="1"/>
  <c r="F56" i="11"/>
  <c r="G56" i="11" s="1"/>
  <c r="H56" i="11" s="1"/>
  <c r="F55" i="11"/>
  <c r="G55" i="11" s="1"/>
  <c r="H55" i="11" s="1"/>
  <c r="G54" i="11"/>
  <c r="H54" i="11" s="1"/>
  <c r="I54" i="11" s="1"/>
  <c r="F54" i="11"/>
  <c r="F53" i="11"/>
  <c r="G53" i="11" s="1"/>
  <c r="H53" i="11" s="1"/>
  <c r="F52" i="11"/>
  <c r="G52" i="11" s="1"/>
  <c r="H52" i="11" s="1"/>
  <c r="W14" i="11"/>
  <c r="W11" i="11"/>
  <c r="W8" i="11"/>
  <c r="W4" i="11"/>
  <c r="Q38" i="11"/>
  <c r="Q35" i="11"/>
  <c r="Q32" i="11"/>
  <c r="Q28" i="11"/>
  <c r="Q14" i="11"/>
  <c r="Q11" i="11"/>
  <c r="Q8" i="11"/>
  <c r="Q4" i="11"/>
  <c r="F12" i="11"/>
  <c r="D12" i="11"/>
  <c r="F11" i="11"/>
  <c r="D11" i="11"/>
  <c r="F10" i="11"/>
  <c r="D10" i="11"/>
  <c r="F9" i="11"/>
  <c r="D9" i="11"/>
  <c r="F8" i="11"/>
  <c r="D8" i="11"/>
  <c r="F7" i="11"/>
  <c r="D7" i="11"/>
  <c r="F6" i="11"/>
  <c r="D6" i="11"/>
  <c r="F5" i="11"/>
  <c r="D5" i="11"/>
  <c r="K126" i="12"/>
  <c r="N122" i="12"/>
  <c r="M122" i="12"/>
  <c r="N121" i="12"/>
  <c r="O121" i="12" s="1"/>
  <c r="M121" i="12"/>
  <c r="V117" i="12"/>
  <c r="F117" i="12"/>
  <c r="M115" i="12"/>
  <c r="N115" i="12" s="1"/>
  <c r="V114" i="12"/>
  <c r="N114" i="12"/>
  <c r="O114" i="12" s="1"/>
  <c r="M114" i="12"/>
  <c r="F114" i="12"/>
  <c r="N112" i="12"/>
  <c r="M112" i="12"/>
  <c r="V111" i="12"/>
  <c r="M111" i="12"/>
  <c r="N111" i="12" s="1"/>
  <c r="O111" i="12" s="1"/>
  <c r="F111" i="12"/>
  <c r="M101" i="12"/>
  <c r="N101" i="12" s="1"/>
  <c r="O100" i="12" s="1"/>
  <c r="N100" i="12"/>
  <c r="M100" i="12"/>
  <c r="K98" i="12"/>
  <c r="V96" i="12"/>
  <c r="F96" i="12"/>
  <c r="M94" i="12"/>
  <c r="N94" i="12" s="1"/>
  <c r="V93" i="12"/>
  <c r="M93" i="12"/>
  <c r="N93" i="12" s="1"/>
  <c r="O93" i="12" s="1"/>
  <c r="F93" i="12"/>
  <c r="M91" i="12"/>
  <c r="N91" i="12" s="1"/>
  <c r="O90" i="12" s="1"/>
  <c r="V90" i="12"/>
  <c r="N90" i="12"/>
  <c r="M90" i="12"/>
  <c r="F90" i="12"/>
  <c r="P74" i="12"/>
  <c r="Q74" i="12" s="1"/>
  <c r="Q73" i="12"/>
  <c r="S73" i="12" s="1"/>
  <c r="P73" i="12"/>
  <c r="Z71" i="12"/>
  <c r="AA71" i="12" s="1"/>
  <c r="Y71" i="12"/>
  <c r="P71" i="12"/>
  <c r="Q71" i="12" s="1"/>
  <c r="E71" i="12"/>
  <c r="F71" i="12" s="1"/>
  <c r="G71" i="12" s="1"/>
  <c r="Z70" i="12"/>
  <c r="AA70" i="12" s="1"/>
  <c r="AB70" i="12" s="1"/>
  <c r="Y70" i="12"/>
  <c r="P70" i="12"/>
  <c r="E70" i="12"/>
  <c r="F70" i="12" s="1"/>
  <c r="G70" i="12" s="1"/>
  <c r="P64" i="12"/>
  <c r="Q64" i="12" s="1"/>
  <c r="S64" i="12" s="1"/>
  <c r="P63" i="12"/>
  <c r="Q63" i="12" s="1"/>
  <c r="AA61" i="12"/>
  <c r="Z61" i="12"/>
  <c r="Y61" i="12"/>
  <c r="Q61" i="12"/>
  <c r="P61" i="12"/>
  <c r="F61" i="12"/>
  <c r="G61" i="12" s="1"/>
  <c r="E61" i="12"/>
  <c r="Y60" i="12"/>
  <c r="Z60" i="12" s="1"/>
  <c r="AA60" i="12" s="1"/>
  <c r="AB60" i="12" s="1"/>
  <c r="Q60" i="12"/>
  <c r="P60" i="12"/>
  <c r="E60" i="12"/>
  <c r="F60" i="12" s="1"/>
  <c r="G60" i="12" s="1"/>
  <c r="Y58" i="12"/>
  <c r="Z58" i="12" s="1"/>
  <c r="AA58" i="12" s="1"/>
  <c r="Q58" i="12"/>
  <c r="P58" i="12"/>
  <c r="F58" i="12"/>
  <c r="G58" i="12" s="1"/>
  <c r="E58" i="12"/>
  <c r="Y57" i="12"/>
  <c r="Z57" i="12" s="1"/>
  <c r="AA57" i="12" s="1"/>
  <c r="Q57" i="12"/>
  <c r="P57" i="12"/>
  <c r="F57" i="12"/>
  <c r="G57" i="12" s="1"/>
  <c r="E57" i="12"/>
  <c r="P49" i="12"/>
  <c r="Q49" i="12" s="1"/>
  <c r="S49" i="12" s="1"/>
  <c r="P48" i="12"/>
  <c r="Q48" i="12" s="1"/>
  <c r="Z46" i="12"/>
  <c r="AA46" i="12" s="1"/>
  <c r="Y46" i="12"/>
  <c r="P46" i="12"/>
  <c r="E46" i="12"/>
  <c r="F46" i="12" s="1"/>
  <c r="G46" i="12" s="1"/>
  <c r="Z45" i="12"/>
  <c r="AA45" i="12" s="1"/>
  <c r="AB45" i="12" s="1"/>
  <c r="Y45" i="12"/>
  <c r="P45" i="12"/>
  <c r="Q45" i="12" s="1"/>
  <c r="E45" i="12"/>
  <c r="F45" i="12" s="1"/>
  <c r="G45" i="12" s="1"/>
  <c r="Y43" i="12"/>
  <c r="Z43" i="12" s="1"/>
  <c r="AA43" i="12" s="1"/>
  <c r="P43" i="12"/>
  <c r="Q43" i="12" s="1"/>
  <c r="E43" i="12"/>
  <c r="F43" i="12" s="1"/>
  <c r="G43" i="12" s="1"/>
  <c r="Z42" i="12"/>
  <c r="AA42" i="12" s="1"/>
  <c r="AB42" i="12" s="1"/>
  <c r="Y42" i="12"/>
  <c r="P42" i="12"/>
  <c r="E42" i="12"/>
  <c r="F42" i="12" s="1"/>
  <c r="G42" i="12" s="1"/>
  <c r="Q35" i="12"/>
  <c r="S35" i="12" s="1"/>
  <c r="P35" i="12"/>
  <c r="Q34" i="12"/>
  <c r="S34" i="12" s="1"/>
  <c r="P34" i="12"/>
  <c r="Y32" i="12"/>
  <c r="Z32" i="12" s="1"/>
  <c r="AA32" i="12" s="1"/>
  <c r="P32" i="12"/>
  <c r="Q32" i="12" s="1"/>
  <c r="F32" i="12"/>
  <c r="G32" i="12" s="1"/>
  <c r="E32" i="12"/>
  <c r="Y31" i="12"/>
  <c r="Z31" i="12" s="1"/>
  <c r="AA31" i="12" s="1"/>
  <c r="AB31" i="12" s="1"/>
  <c r="Q31" i="12"/>
  <c r="P31" i="12"/>
  <c r="F31" i="12"/>
  <c r="G31" i="12" s="1"/>
  <c r="E31" i="12"/>
  <c r="P26" i="12"/>
  <c r="Q26" i="12" s="1"/>
  <c r="R26" i="12" s="1"/>
  <c r="P25" i="12"/>
  <c r="Q25" i="12" s="1"/>
  <c r="Y23" i="12"/>
  <c r="Z23" i="12" s="1"/>
  <c r="AA23" i="12" s="1"/>
  <c r="P23" i="12"/>
  <c r="F23" i="12"/>
  <c r="G23" i="12" s="1"/>
  <c r="E23" i="12"/>
  <c r="Y22" i="12"/>
  <c r="Z22" i="12" s="1"/>
  <c r="AA22" i="12" s="1"/>
  <c r="AB22" i="12" s="1"/>
  <c r="P22" i="12"/>
  <c r="E22" i="12"/>
  <c r="F22" i="12" s="1"/>
  <c r="G22" i="12" s="1"/>
  <c r="Z20" i="12"/>
  <c r="AA20" i="12" s="1"/>
  <c r="Y20" i="12"/>
  <c r="P20" i="12"/>
  <c r="F20" i="12"/>
  <c r="G20" i="12" s="1"/>
  <c r="E20" i="12"/>
  <c r="Y19" i="12"/>
  <c r="Z19" i="12" s="1"/>
  <c r="AA19" i="12" s="1"/>
  <c r="P19" i="12"/>
  <c r="F19" i="12"/>
  <c r="G19" i="12" s="1"/>
  <c r="E19" i="12"/>
  <c r="F13" i="12"/>
  <c r="G13" i="12" s="1"/>
  <c r="G12" i="12"/>
  <c r="H12" i="12" s="1"/>
  <c r="I12" i="12" s="1"/>
  <c r="F12" i="12"/>
  <c r="F11" i="12"/>
  <c r="G11" i="12" s="1"/>
  <c r="H11" i="12" s="1"/>
  <c r="F8" i="12"/>
  <c r="G8" i="12" s="1"/>
  <c r="I8" i="12" s="1"/>
  <c r="G7" i="12"/>
  <c r="F7" i="12"/>
  <c r="F6" i="12"/>
  <c r="G6" i="12" s="1"/>
  <c r="H6" i="12" s="1"/>
  <c r="I6" i="12" s="1"/>
  <c r="G5" i="12"/>
  <c r="F5" i="12"/>
  <c r="Y39" i="7"/>
  <c r="I94" i="11" l="1"/>
  <c r="I76" i="11"/>
  <c r="I82" i="11"/>
  <c r="I56" i="11"/>
  <c r="I62" i="11"/>
  <c r="I52" i="11"/>
  <c r="I58" i="11"/>
  <c r="I64" i="11"/>
  <c r="R70" i="12"/>
  <c r="S70" i="12" s="1"/>
  <c r="Q75" i="12"/>
  <c r="R71" i="12" s="1"/>
  <c r="S71" i="12" s="1"/>
  <c r="S74" i="12"/>
  <c r="H7" i="12"/>
  <c r="I7" i="12" s="1"/>
  <c r="Q22" i="12"/>
  <c r="R22" i="12" s="1"/>
  <c r="R25" i="12"/>
  <c r="Q27" i="12"/>
  <c r="R46" i="12"/>
  <c r="S46" i="12" s="1"/>
  <c r="AB57" i="12"/>
  <c r="Q65" i="12"/>
  <c r="S63" i="12"/>
  <c r="AB19" i="12"/>
  <c r="I11" i="12"/>
  <c r="I14" i="12" s="1"/>
  <c r="H14" i="12"/>
  <c r="Q50" i="12"/>
  <c r="S48" i="12"/>
  <c r="H5" i="12"/>
  <c r="I5" i="12" s="1"/>
  <c r="Q42" i="12"/>
  <c r="Q46" i="12"/>
  <c r="Q70" i="12"/>
  <c r="Q36" i="12"/>
  <c r="R31" i="12" s="1"/>
  <c r="S31" i="12" s="1"/>
  <c r="R43" i="12" l="1"/>
  <c r="S43" i="12" s="1"/>
  <c r="R45" i="12"/>
  <c r="S45" i="12" s="1"/>
  <c r="Q20" i="12"/>
  <c r="R20" i="12" s="1"/>
  <c r="Q23" i="12"/>
  <c r="R23" i="12" s="1"/>
  <c r="R42" i="12"/>
  <c r="S42" i="12" s="1"/>
  <c r="Q19" i="12"/>
  <c r="R19" i="12" s="1"/>
  <c r="R32" i="12"/>
  <c r="S32" i="12" s="1"/>
  <c r="R58" i="12"/>
  <c r="S58" i="12" s="1"/>
  <c r="R61" i="12"/>
  <c r="S61" i="12" s="1"/>
  <c r="R57" i="12"/>
  <c r="S57" i="12" s="1"/>
  <c r="R60" i="12"/>
  <c r="S60" i="12" s="1"/>
  <c r="Z107" i="1" l="1"/>
  <c r="Z103" i="1"/>
  <c r="AG115" i="1"/>
  <c r="AF115" i="1"/>
  <c r="AD115" i="1"/>
  <c r="AH111" i="1"/>
  <c r="AH112" i="1"/>
  <c r="AH113" i="1"/>
  <c r="AH110" i="1"/>
  <c r="AG93" i="1"/>
  <c r="AF93" i="1"/>
  <c r="AD93" i="1"/>
  <c r="AH89" i="1"/>
  <c r="AH90" i="1"/>
  <c r="AH91" i="1"/>
  <c r="AH88" i="1"/>
  <c r="AD50" i="1"/>
  <c r="AH48" i="1"/>
  <c r="AH47" i="1"/>
  <c r="AG112" i="1" l="1"/>
  <c r="AG50" i="1"/>
  <c r="AG111" i="1"/>
  <c r="AG113" i="1"/>
  <c r="AG110" i="1"/>
  <c r="AG89" i="1"/>
  <c r="AG90" i="1"/>
  <c r="AG91" i="1"/>
  <c r="AG88" i="1"/>
  <c r="I77" i="1" l="1"/>
  <c r="J77" i="1"/>
  <c r="AO75" i="1"/>
  <c r="AN75" i="1"/>
  <c r="AM75" i="1"/>
  <c r="AN74" i="1"/>
  <c r="AM74" i="1"/>
  <c r="AO74" i="1" s="1"/>
  <c r="AN73" i="1"/>
  <c r="AM73" i="1"/>
  <c r="AO73" i="1" s="1"/>
  <c r="AN72" i="1"/>
  <c r="AM72" i="1"/>
  <c r="AO72" i="1" s="1"/>
  <c r="AC14" i="8"/>
  <c r="AF14" i="8"/>
  <c r="AI15" i="8"/>
  <c r="AI16" i="8"/>
  <c r="AC18" i="8"/>
  <c r="AF18" i="8"/>
  <c r="AI21" i="8"/>
  <c r="AH27" i="4"/>
  <c r="AH26" i="4"/>
  <c r="AH21" i="4"/>
  <c r="AH20" i="4"/>
  <c r="AH15" i="4"/>
  <c r="AH14" i="4"/>
  <c r="Y124" i="1"/>
  <c r="W117" i="1"/>
  <c r="X124" i="1"/>
  <c r="W124" i="1"/>
  <c r="V117" i="1"/>
  <c r="U117" i="1"/>
  <c r="AA31" i="1"/>
  <c r="Z31" i="1"/>
  <c r="Y31" i="1"/>
  <c r="AA24" i="1"/>
  <c r="Z24" i="1"/>
  <c r="Y24" i="1"/>
  <c r="W32" i="1"/>
  <c r="W33" i="1"/>
  <c r="W31" i="1"/>
  <c r="W26" i="1"/>
  <c r="W25" i="1"/>
  <c r="W24" i="1"/>
  <c r="F25" i="1"/>
  <c r="F26" i="1"/>
  <c r="F24" i="1"/>
  <c r="Z16" i="1"/>
  <c r="Z14" i="1"/>
  <c r="Z12" i="1"/>
  <c r="Z10" i="1"/>
  <c r="Z8" i="1"/>
  <c r="AT41" i="9"/>
  <c r="AT40" i="9"/>
  <c r="AT38" i="9"/>
  <c r="AT33" i="9"/>
  <c r="AT32" i="9"/>
  <c r="AT30" i="9"/>
  <c r="AT24" i="9"/>
  <c r="AT22" i="9"/>
  <c r="AT25" i="9" s="1"/>
  <c r="AV12" i="9"/>
  <c r="AV10" i="9"/>
  <c r="AV8" i="9"/>
  <c r="AQ24" i="9"/>
  <c r="AQ23" i="9"/>
  <c r="AN23" i="9"/>
  <c r="AQ21" i="9"/>
  <c r="AN21" i="9"/>
  <c r="AN24" i="9" s="1"/>
  <c r="AK18" i="9"/>
  <c r="AH18" i="9"/>
  <c r="AQ17" i="9"/>
  <c r="AN17" i="9"/>
  <c r="AQ15" i="9"/>
  <c r="AQ18" i="9" s="1"/>
  <c r="AN15" i="9"/>
  <c r="AN18" i="9" s="1"/>
  <c r="AK14" i="9"/>
  <c r="AH14" i="9"/>
  <c r="AQ12" i="9"/>
  <c r="AQ11" i="9"/>
  <c r="AN11" i="9"/>
  <c r="AK10" i="9"/>
  <c r="AH10" i="9"/>
  <c r="AQ9" i="9"/>
  <c r="AN9" i="9"/>
  <c r="AN12" i="9" s="1"/>
  <c r="AL41" i="9"/>
  <c r="AL44" i="9" s="1"/>
  <c r="AJ41" i="9"/>
  <c r="AJ42" i="9"/>
  <c r="AJ43" i="9"/>
  <c r="AJ44" i="9"/>
  <c r="AJ40" i="9"/>
  <c r="AK40" i="9" s="1"/>
  <c r="AL40" i="9" s="1"/>
  <c r="AL43" i="9" s="1"/>
  <c r="D46" i="9"/>
  <c r="O49" i="9" s="1"/>
  <c r="D62" i="9"/>
  <c r="O62" i="9" s="1"/>
  <c r="F61" i="9"/>
  <c r="G61" i="9" s="1"/>
  <c r="H61" i="9" s="1"/>
  <c r="F60" i="9"/>
  <c r="G60" i="9" s="1"/>
  <c r="H60" i="9" s="1"/>
  <c r="F59" i="9"/>
  <c r="G59" i="9" s="1"/>
  <c r="O58" i="9"/>
  <c r="G58" i="9"/>
  <c r="H58" i="9" s="1"/>
  <c r="F58" i="9"/>
  <c r="O57" i="9"/>
  <c r="F57" i="9"/>
  <c r="F56" i="9"/>
  <c r="G56" i="9" s="1"/>
  <c r="H56" i="9" s="1"/>
  <c r="D54" i="9"/>
  <c r="O42" i="9" s="1"/>
  <c r="F53" i="9"/>
  <c r="G53" i="9" s="1"/>
  <c r="H53" i="9" s="1"/>
  <c r="H52" i="9"/>
  <c r="G52" i="9"/>
  <c r="F52" i="9"/>
  <c r="G51" i="9"/>
  <c r="H51" i="9" s="1"/>
  <c r="F51" i="9"/>
  <c r="G50" i="9"/>
  <c r="H50" i="9" s="1"/>
  <c r="F50" i="9"/>
  <c r="G49" i="9"/>
  <c r="H49" i="9" s="1"/>
  <c r="F49" i="9"/>
  <c r="F48" i="9"/>
  <c r="G48" i="9" s="1"/>
  <c r="H48" i="9" s="1"/>
  <c r="O45" i="9"/>
  <c r="G45" i="9"/>
  <c r="H45" i="9" s="1"/>
  <c r="F45" i="9"/>
  <c r="F44" i="9"/>
  <c r="G44" i="9" s="1"/>
  <c r="H44" i="9" s="1"/>
  <c r="F43" i="9"/>
  <c r="G43" i="9" s="1"/>
  <c r="H43" i="9" s="1"/>
  <c r="F42" i="9"/>
  <c r="G42" i="9" s="1"/>
  <c r="H42" i="9" s="1"/>
  <c r="F41" i="9"/>
  <c r="G41" i="9" s="1"/>
  <c r="F40" i="9"/>
  <c r="G40" i="9" s="1"/>
  <c r="D35" i="9"/>
  <c r="F34" i="9"/>
  <c r="G34" i="9" s="1"/>
  <c r="H34" i="9" s="1"/>
  <c r="F33" i="9"/>
  <c r="G33" i="9" s="1"/>
  <c r="H33" i="9" s="1"/>
  <c r="F32" i="9"/>
  <c r="G32" i="9" s="1"/>
  <c r="D30" i="9"/>
  <c r="F29" i="9"/>
  <c r="G29" i="9" s="1"/>
  <c r="H29" i="9" s="1"/>
  <c r="F28" i="9"/>
  <c r="I27" i="9" s="1"/>
  <c r="F27" i="9"/>
  <c r="G27" i="9" s="1"/>
  <c r="H27" i="9" s="1"/>
  <c r="D25" i="9"/>
  <c r="F24" i="9"/>
  <c r="G24" i="9" s="1"/>
  <c r="H24" i="9" s="1"/>
  <c r="F23" i="9"/>
  <c r="G23" i="9" s="1"/>
  <c r="H23" i="9" s="1"/>
  <c r="F22" i="9"/>
  <c r="I22" i="9" s="1"/>
  <c r="N50" i="9" l="1"/>
  <c r="N53" i="9" s="1"/>
  <c r="I57" i="9"/>
  <c r="I49" i="9"/>
  <c r="G57" i="9"/>
  <c r="H57" i="9" s="1"/>
  <c r="N58" i="9" s="1"/>
  <c r="N61" i="9" s="1"/>
  <c r="G28" i="9"/>
  <c r="J27" i="9" s="1"/>
  <c r="I41" i="9"/>
  <c r="J41" i="9"/>
  <c r="O53" i="9"/>
  <c r="O52" i="9"/>
  <c r="O50" i="9"/>
  <c r="O51" i="9"/>
  <c r="O54" i="9"/>
  <c r="H40" i="9"/>
  <c r="H59" i="9"/>
  <c r="J57" i="9"/>
  <c r="K49" i="9"/>
  <c r="T49" i="9" s="1"/>
  <c r="O44" i="9"/>
  <c r="O46" i="9"/>
  <c r="J49" i="9"/>
  <c r="O59" i="9"/>
  <c r="P57" i="9" s="1"/>
  <c r="Q57" i="9" s="1"/>
  <c r="O43" i="9"/>
  <c r="O61" i="9"/>
  <c r="O41" i="9"/>
  <c r="O60" i="9"/>
  <c r="J32" i="9"/>
  <c r="H32" i="9"/>
  <c r="I32" i="9"/>
  <c r="G22" i="9"/>
  <c r="AL37" i="8"/>
  <c r="AL29" i="8"/>
  <c r="AL16" i="8"/>
  <c r="AI28" i="8"/>
  <c r="AI22" i="8"/>
  <c r="N76" i="8"/>
  <c r="N77" i="8"/>
  <c r="N81" i="8"/>
  <c r="N70" i="8"/>
  <c r="N71" i="8"/>
  <c r="H76" i="8"/>
  <c r="H77" i="8"/>
  <c r="H81" i="8"/>
  <c r="H75" i="8"/>
  <c r="H68" i="8"/>
  <c r="H66" i="8"/>
  <c r="S75" i="8"/>
  <c r="T76" i="8" s="1"/>
  <c r="R75" i="8"/>
  <c r="Q75" i="8"/>
  <c r="M75" i="8"/>
  <c r="N78" i="8" s="1"/>
  <c r="L75" i="8"/>
  <c r="K75" i="8"/>
  <c r="G75" i="8"/>
  <c r="H78" i="8" s="1"/>
  <c r="F75" i="8"/>
  <c r="E75" i="8"/>
  <c r="M66" i="8"/>
  <c r="N66" i="8" s="1"/>
  <c r="L66" i="8"/>
  <c r="K66" i="8"/>
  <c r="G66" i="8"/>
  <c r="H67" i="8" s="1"/>
  <c r="F66" i="8"/>
  <c r="E66" i="8"/>
  <c r="V34" i="8"/>
  <c r="V28" i="8"/>
  <c r="H72" i="8" l="1"/>
  <c r="H80" i="8"/>
  <c r="N69" i="8"/>
  <c r="T75" i="8"/>
  <c r="U75" i="8" s="1"/>
  <c r="V75" i="8" s="1"/>
  <c r="V81" i="8" s="1"/>
  <c r="H28" i="9"/>
  <c r="N42" i="9"/>
  <c r="N45" i="9" s="1"/>
  <c r="K41" i="9"/>
  <c r="H71" i="8"/>
  <c r="H79" i="8"/>
  <c r="N68" i="8"/>
  <c r="T78" i="8"/>
  <c r="P49" i="9"/>
  <c r="Q49" i="9" s="1"/>
  <c r="H70" i="8"/>
  <c r="I66" i="8" s="1"/>
  <c r="J66" i="8" s="1"/>
  <c r="J72" i="8" s="1"/>
  <c r="N67" i="8"/>
  <c r="O66" i="8" s="1"/>
  <c r="P66" i="8" s="1"/>
  <c r="P72" i="8" s="1"/>
  <c r="T77" i="8"/>
  <c r="H69" i="8"/>
  <c r="N75" i="8"/>
  <c r="P41" i="9"/>
  <c r="Q41" i="9" s="1"/>
  <c r="K57" i="9"/>
  <c r="K32" i="9"/>
  <c r="J22" i="9"/>
  <c r="H22" i="9"/>
  <c r="O75" i="8"/>
  <c r="P75" i="8" s="1"/>
  <c r="P81" i="8" s="1"/>
  <c r="I75" i="8"/>
  <c r="J75" i="8" s="1"/>
  <c r="J81" i="8" s="1"/>
  <c r="AN49" i="7"/>
  <c r="F74" i="7"/>
  <c r="AN41" i="7"/>
  <c r="AK41" i="7"/>
  <c r="AH54" i="7"/>
  <c r="AH45" i="7"/>
  <c r="AE47" i="7"/>
  <c r="AE37" i="7"/>
  <c r="L22" i="9" l="1"/>
  <c r="L46" i="9"/>
  <c r="L43" i="9"/>
  <c r="L44" i="9"/>
  <c r="L42" i="9"/>
  <c r="L45" i="9"/>
  <c r="L33" i="9"/>
  <c r="L34" i="9"/>
  <c r="L41" i="9"/>
  <c r="M41" i="9" s="1"/>
  <c r="N41" i="9" s="1"/>
  <c r="N44" i="9" s="1"/>
  <c r="L32" i="9"/>
  <c r="K27" i="9"/>
  <c r="L28" i="9" s="1"/>
  <c r="T57" i="9"/>
  <c r="L58" i="9"/>
  <c r="L62" i="9"/>
  <c r="L59" i="9"/>
  <c r="L57" i="9"/>
  <c r="L61" i="9"/>
  <c r="T41" i="9"/>
  <c r="L53" i="9"/>
  <c r="L52" i="9"/>
  <c r="L51" i="9"/>
  <c r="L49" i="9"/>
  <c r="L54" i="9"/>
  <c r="L50" i="9"/>
  <c r="L60" i="9"/>
  <c r="K22" i="9"/>
  <c r="AR22" i="6"/>
  <c r="AR14" i="6"/>
  <c r="AR7" i="6"/>
  <c r="AR21" i="6"/>
  <c r="AR13" i="6"/>
  <c r="AR6" i="6"/>
  <c r="AA65" i="6"/>
  <c r="AA55" i="6"/>
  <c r="AA46" i="6"/>
  <c r="M22" i="9" l="1"/>
  <c r="N22" i="9" s="1"/>
  <c r="N23" i="9" s="1"/>
  <c r="L23" i="9"/>
  <c r="L24" i="9"/>
  <c r="L27" i="9"/>
  <c r="L29" i="9"/>
  <c r="M32" i="9"/>
  <c r="N32" i="9" s="1"/>
  <c r="N33" i="9" s="1"/>
  <c r="M49" i="9"/>
  <c r="N49" i="9" s="1"/>
  <c r="N52" i="9" s="1"/>
  <c r="M57" i="9"/>
  <c r="N57" i="9" s="1"/>
  <c r="N60" i="9" s="1"/>
  <c r="K35" i="6"/>
  <c r="L36" i="6" s="1"/>
  <c r="N28" i="6"/>
  <c r="K26" i="6"/>
  <c r="L27" i="6" s="1"/>
  <c r="O33" i="6"/>
  <c r="D33" i="6"/>
  <c r="O32" i="6"/>
  <c r="F32" i="6"/>
  <c r="G32" i="6" s="1"/>
  <c r="H32" i="6" s="1"/>
  <c r="U34" i="6" s="1"/>
  <c r="O31" i="6"/>
  <c r="F31" i="6"/>
  <c r="G31" i="6" s="1"/>
  <c r="F30" i="6"/>
  <c r="G30" i="6" s="1"/>
  <c r="H30" i="6" s="1"/>
  <c r="O24" i="6"/>
  <c r="D24" i="6"/>
  <c r="O23" i="6"/>
  <c r="F23" i="6"/>
  <c r="G23" i="6" s="1"/>
  <c r="H23" i="6" s="1"/>
  <c r="O22" i="6"/>
  <c r="F22" i="6"/>
  <c r="I26" i="6" s="1"/>
  <c r="F21" i="6"/>
  <c r="G21" i="6" s="1"/>
  <c r="H21" i="6" s="1"/>
  <c r="N16" i="4"/>
  <c r="N11" i="4"/>
  <c r="N6" i="4"/>
  <c r="H29" i="3"/>
  <c r="F24" i="3"/>
  <c r="F25" i="3"/>
  <c r="F27" i="3"/>
  <c r="F28" i="3"/>
  <c r="F29" i="3"/>
  <c r="F23" i="3"/>
  <c r="E23" i="3"/>
  <c r="D23" i="3"/>
  <c r="AJ5" i="3"/>
  <c r="AJ8" i="3" s="1"/>
  <c r="AJ7" i="3"/>
  <c r="AJ19" i="6"/>
  <c r="AJ13" i="6"/>
  <c r="AJ18" i="6"/>
  <c r="AJ12" i="6"/>
  <c r="AG15" i="6"/>
  <c r="AG8" i="6"/>
  <c r="J35" i="6" l="1"/>
  <c r="I22" i="6"/>
  <c r="I35" i="6"/>
  <c r="U23" i="6"/>
  <c r="U24" i="6"/>
  <c r="P22" i="6"/>
  <c r="Q22" i="6" s="1"/>
  <c r="L35" i="6"/>
  <c r="M35" i="6" s="1"/>
  <c r="N35" i="6" s="1"/>
  <c r="M27" i="9"/>
  <c r="N27" i="9" s="1"/>
  <c r="N28" i="9" s="1"/>
  <c r="L26" i="6"/>
  <c r="M26" i="6" s="1"/>
  <c r="U33" i="6"/>
  <c r="N26" i="6"/>
  <c r="P31" i="6"/>
  <c r="Q31" i="6" s="1"/>
  <c r="J31" i="6"/>
  <c r="H31" i="6"/>
  <c r="K31" i="6" s="1"/>
  <c r="G22" i="6"/>
  <c r="J26" i="6" s="1"/>
  <c r="I31" i="6"/>
  <c r="G23" i="3"/>
  <c r="H23" i="3" s="1"/>
  <c r="N33" i="6" l="1"/>
  <c r="J22" i="6"/>
  <c r="H22" i="6"/>
  <c r="L32" i="6"/>
  <c r="N24" i="6" l="1"/>
  <c r="K22" i="6"/>
  <c r="T22" i="6" s="1"/>
  <c r="T31" i="6"/>
  <c r="L33" i="6"/>
  <c r="L31" i="6"/>
  <c r="M31" i="6" s="1"/>
  <c r="L24" i="6" l="1"/>
  <c r="L22" i="6"/>
  <c r="L23" i="6"/>
  <c r="N31" i="6"/>
  <c r="AJ5" i="8"/>
  <c r="AJ4" i="8"/>
  <c r="AQ46" i="7"/>
  <c r="AQ49" i="7" s="1"/>
  <c r="L74" i="7"/>
  <c r="L77" i="7" s="1"/>
  <c r="AJ7" i="6"/>
  <c r="AD19" i="6"/>
  <c r="AD13" i="6"/>
  <c r="AD7" i="6"/>
  <c r="O10" i="9"/>
  <c r="O11" i="9"/>
  <c r="O9" i="9"/>
  <c r="D16" i="9"/>
  <c r="O15" i="9" s="1"/>
  <c r="F15" i="9"/>
  <c r="G15" i="9" s="1"/>
  <c r="H15" i="9" s="1"/>
  <c r="F14" i="9"/>
  <c r="G14" i="9" s="1"/>
  <c r="H14" i="9" s="1"/>
  <c r="F13" i="9"/>
  <c r="D11" i="9"/>
  <c r="F10" i="9"/>
  <c r="G10" i="9" s="1"/>
  <c r="H10" i="9" s="1"/>
  <c r="F9" i="9"/>
  <c r="G9" i="9" s="1"/>
  <c r="H9" i="9" s="1"/>
  <c r="F8" i="9"/>
  <c r="I9" i="9" s="1"/>
  <c r="D6" i="9"/>
  <c r="O5" i="9" s="1"/>
  <c r="F5" i="9"/>
  <c r="G5" i="9" s="1"/>
  <c r="H5" i="9" s="1"/>
  <c r="F4" i="9"/>
  <c r="G4" i="9" s="1"/>
  <c r="H4" i="9" s="1"/>
  <c r="F3" i="9"/>
  <c r="M22" i="6" l="1"/>
  <c r="N22" i="6" s="1"/>
  <c r="O14" i="9"/>
  <c r="P14" i="9" s="1"/>
  <c r="Q14" i="9" s="1"/>
  <c r="O16" i="9"/>
  <c r="O4" i="9"/>
  <c r="P4" i="9" s="1"/>
  <c r="Q4" i="9" s="1"/>
  <c r="O6" i="9"/>
  <c r="I4" i="9"/>
  <c r="I14" i="9"/>
  <c r="P9" i="9"/>
  <c r="Q9" i="9" s="1"/>
  <c r="G3" i="9"/>
  <c r="G8" i="9"/>
  <c r="G13" i="9"/>
  <c r="D57" i="8"/>
  <c r="F56" i="8"/>
  <c r="G56" i="8" s="1"/>
  <c r="H56" i="8" s="1"/>
  <c r="F55" i="8"/>
  <c r="G55" i="8" s="1"/>
  <c r="H55" i="8" s="1"/>
  <c r="F54" i="8"/>
  <c r="G54" i="8" s="1"/>
  <c r="H54" i="8" s="1"/>
  <c r="F53" i="8"/>
  <c r="G53" i="8" s="1"/>
  <c r="H53" i="8" s="1"/>
  <c r="F52" i="8"/>
  <c r="G52" i="8" s="1"/>
  <c r="F51" i="8"/>
  <c r="G51" i="8" s="1"/>
  <c r="H51" i="8" s="1"/>
  <c r="F50" i="8"/>
  <c r="I51" i="8" s="1"/>
  <c r="D48" i="8"/>
  <c r="F47" i="8"/>
  <c r="G47" i="8" s="1"/>
  <c r="H47" i="8" s="1"/>
  <c r="F46" i="8"/>
  <c r="G46" i="8" s="1"/>
  <c r="H46" i="8" s="1"/>
  <c r="F45" i="8"/>
  <c r="G45" i="8" s="1"/>
  <c r="H45" i="8" s="1"/>
  <c r="F44" i="8"/>
  <c r="G44" i="8" s="1"/>
  <c r="H44" i="8" s="1"/>
  <c r="F43" i="8"/>
  <c r="G43" i="8" s="1"/>
  <c r="H43" i="8" s="1"/>
  <c r="G42" i="8"/>
  <c r="H42" i="8" s="1"/>
  <c r="F42" i="8"/>
  <c r="F41" i="8"/>
  <c r="G41" i="8" s="1"/>
  <c r="G50" i="8" l="1"/>
  <c r="H50" i="8" s="1"/>
  <c r="O55" i="8"/>
  <c r="O56" i="8"/>
  <c r="O51" i="8"/>
  <c r="O52" i="8"/>
  <c r="O53" i="8"/>
  <c r="O50" i="8"/>
  <c r="O54" i="8"/>
  <c r="O42" i="8"/>
  <c r="O41" i="8"/>
  <c r="P41" i="8" s="1"/>
  <c r="Q41" i="8" s="1"/>
  <c r="O43" i="8"/>
  <c r="O44" i="8"/>
  <c r="O46" i="8"/>
  <c r="O45" i="8"/>
  <c r="J14" i="9"/>
  <c r="H13" i="9"/>
  <c r="J9" i="9"/>
  <c r="H8" i="9"/>
  <c r="J4" i="9"/>
  <c r="H3" i="9"/>
  <c r="H41" i="8"/>
  <c r="J42" i="8"/>
  <c r="H52" i="8"/>
  <c r="J51" i="8"/>
  <c r="I42" i="8"/>
  <c r="N51" i="8" l="1"/>
  <c r="P50" i="8"/>
  <c r="Q50" i="8" s="1"/>
  <c r="N42" i="8"/>
  <c r="L52" i="8"/>
  <c r="L4" i="9"/>
  <c r="K4" i="9"/>
  <c r="K9" i="9"/>
  <c r="L9" i="9" s="1"/>
  <c r="K14" i="9"/>
  <c r="L14" i="9" s="1"/>
  <c r="K42" i="8"/>
  <c r="K51" i="8"/>
  <c r="M9" i="9" l="1"/>
  <c r="N9" i="9" s="1"/>
  <c r="T41" i="8"/>
  <c r="L45" i="8"/>
  <c r="L44" i="8"/>
  <c r="L46" i="8"/>
  <c r="L43" i="8"/>
  <c r="L42" i="8"/>
  <c r="T9" i="9"/>
  <c r="L10" i="9"/>
  <c r="L11" i="9"/>
  <c r="L41" i="8"/>
  <c r="T14" i="9"/>
  <c r="L15" i="9"/>
  <c r="L16" i="9"/>
  <c r="M14" i="9" s="1"/>
  <c r="N14" i="9" s="1"/>
  <c r="T50" i="8"/>
  <c r="L53" i="8"/>
  <c r="L51" i="8"/>
  <c r="T4" i="9"/>
  <c r="L5" i="9"/>
  <c r="M4" i="9" s="1"/>
  <c r="N4" i="9" s="1"/>
  <c r="L6" i="9"/>
  <c r="L50" i="8"/>
  <c r="S27" i="8"/>
  <c r="T28" i="8" s="1"/>
  <c r="S33" i="8"/>
  <c r="T34" i="8" s="1"/>
  <c r="R33" i="8"/>
  <c r="Q33" i="8"/>
  <c r="R27" i="8"/>
  <c r="Q27" i="8"/>
  <c r="D36" i="8"/>
  <c r="F35" i="8"/>
  <c r="G35" i="8" s="1"/>
  <c r="H35" i="8" s="1"/>
  <c r="F34" i="8"/>
  <c r="G34" i="8" s="1"/>
  <c r="H34" i="8" s="1"/>
  <c r="F33" i="8"/>
  <c r="G33" i="8" s="1"/>
  <c r="H33" i="8" s="1"/>
  <c r="F32" i="8"/>
  <c r="G32" i="8" s="1"/>
  <c r="H32" i="8" s="1"/>
  <c r="K33" i="8" s="1"/>
  <c r="L35" i="8" s="1"/>
  <c r="D30" i="8"/>
  <c r="F29" i="8"/>
  <c r="G29" i="8" s="1"/>
  <c r="H29" i="8" s="1"/>
  <c r="F28" i="8"/>
  <c r="G28" i="8" s="1"/>
  <c r="H28" i="8" s="1"/>
  <c r="F27" i="8"/>
  <c r="G27" i="8" s="1"/>
  <c r="H27" i="8" s="1"/>
  <c r="F26" i="8"/>
  <c r="G26" i="8" s="1"/>
  <c r="H26" i="8" s="1"/>
  <c r="AL36" i="8"/>
  <c r="AL28" i="8"/>
  <c r="AI27" i="8"/>
  <c r="AF22" i="8"/>
  <c r="AC22" i="8"/>
  <c r="AN16" i="8"/>
  <c r="AN14" i="8"/>
  <c r="AL15" i="8"/>
  <c r="AN12" i="8"/>
  <c r="O18" i="8"/>
  <c r="O19" i="8"/>
  <c r="O9" i="8"/>
  <c r="D19" i="8"/>
  <c r="O17" i="8" s="1"/>
  <c r="G18" i="8"/>
  <c r="H18" i="8" s="1"/>
  <c r="F18" i="8"/>
  <c r="F17" i="8"/>
  <c r="G17" i="8" s="1"/>
  <c r="H17" i="8" s="1"/>
  <c r="G16" i="8"/>
  <c r="J17" i="8" s="1"/>
  <c r="F16" i="8"/>
  <c r="I17" i="8" s="1"/>
  <c r="D14" i="8"/>
  <c r="O13" i="8" s="1"/>
  <c r="F13" i="8"/>
  <c r="G13" i="8" s="1"/>
  <c r="H13" i="8" s="1"/>
  <c r="F12" i="8"/>
  <c r="G12" i="8" s="1"/>
  <c r="H12" i="8" s="1"/>
  <c r="F11" i="8"/>
  <c r="I12" i="8" s="1"/>
  <c r="D9" i="8"/>
  <c r="O7" i="8" s="1"/>
  <c r="G8" i="8"/>
  <c r="H8" i="8" s="1"/>
  <c r="F8" i="8"/>
  <c r="F7" i="8"/>
  <c r="G7" i="8" s="1"/>
  <c r="H7" i="8" s="1"/>
  <c r="F6" i="8"/>
  <c r="I7" i="8" s="1"/>
  <c r="I73" i="7"/>
  <c r="J74" i="7" s="1"/>
  <c r="C73" i="7"/>
  <c r="D76" i="7" s="1"/>
  <c r="D68" i="7"/>
  <c r="O66" i="7" s="1"/>
  <c r="F67" i="7"/>
  <c r="G67" i="7" s="1"/>
  <c r="H67" i="7" s="1"/>
  <c r="F66" i="7"/>
  <c r="G66" i="7" s="1"/>
  <c r="H66" i="7" s="1"/>
  <c r="F65" i="7"/>
  <c r="G65" i="7" s="1"/>
  <c r="H65" i="7" s="1"/>
  <c r="F64" i="7"/>
  <c r="G64" i="7" s="1"/>
  <c r="D56" i="7"/>
  <c r="O54" i="7" s="1"/>
  <c r="F55" i="7"/>
  <c r="G55" i="7" s="1"/>
  <c r="H55" i="7" s="1"/>
  <c r="F54" i="7"/>
  <c r="G54" i="7" s="1"/>
  <c r="H54" i="7" s="1"/>
  <c r="F53" i="7"/>
  <c r="D45" i="7"/>
  <c r="O42" i="7" s="1"/>
  <c r="F44" i="7"/>
  <c r="G44" i="7" s="1"/>
  <c r="H44" i="7" s="1"/>
  <c r="F43" i="7"/>
  <c r="G43" i="7" s="1"/>
  <c r="H43" i="7" s="1"/>
  <c r="G42" i="7"/>
  <c r="H42" i="7" s="1"/>
  <c r="F42" i="7"/>
  <c r="F41" i="7"/>
  <c r="G41" i="7" s="1"/>
  <c r="H41" i="7" s="1"/>
  <c r="F40" i="7"/>
  <c r="G40" i="7" s="1"/>
  <c r="H40" i="7" s="1"/>
  <c r="AQ45" i="7"/>
  <c r="AQ48" i="7" s="1"/>
  <c r="AN45" i="7"/>
  <c r="AN48" i="7" s="1"/>
  <c r="AN40" i="7"/>
  <c r="AP37" i="7"/>
  <c r="AP35" i="7"/>
  <c r="AP33" i="7"/>
  <c r="AH53" i="7"/>
  <c r="AH44" i="7"/>
  <c r="AE46" i="7"/>
  <c r="AB43" i="7"/>
  <c r="Y43" i="7"/>
  <c r="AK40" i="7"/>
  <c r="AH39" i="7"/>
  <c r="AE41" i="7"/>
  <c r="AB39" i="7"/>
  <c r="AE36" i="7"/>
  <c r="Y35" i="7"/>
  <c r="AB33" i="7"/>
  <c r="AB35" i="7" s="1"/>
  <c r="D31" i="7"/>
  <c r="O30" i="7" s="1"/>
  <c r="F30" i="7"/>
  <c r="G30" i="7" s="1"/>
  <c r="H30" i="7" s="1"/>
  <c r="F29" i="7"/>
  <c r="G29" i="7" s="1"/>
  <c r="H29" i="7" s="1"/>
  <c r="F28" i="7"/>
  <c r="D26" i="7"/>
  <c r="O25" i="7" s="1"/>
  <c r="F25" i="7"/>
  <c r="G25" i="7" s="1"/>
  <c r="H25" i="7" s="1"/>
  <c r="F24" i="7"/>
  <c r="G24" i="7" s="1"/>
  <c r="H24" i="7" s="1"/>
  <c r="F23" i="7"/>
  <c r="D14" i="7"/>
  <c r="O12" i="7" s="1"/>
  <c r="F13" i="7"/>
  <c r="G13" i="7" s="1"/>
  <c r="H13" i="7" s="1"/>
  <c r="F12" i="7"/>
  <c r="G12" i="7" s="1"/>
  <c r="H12" i="7" s="1"/>
  <c r="F11" i="7"/>
  <c r="G11" i="7" s="1"/>
  <c r="D9" i="7"/>
  <c r="O8" i="7" s="1"/>
  <c r="F8" i="7"/>
  <c r="G8" i="7" s="1"/>
  <c r="H8" i="7" s="1"/>
  <c r="F7" i="7"/>
  <c r="G7" i="7" s="1"/>
  <c r="H7" i="7" s="1"/>
  <c r="F6" i="7"/>
  <c r="G6" i="7" s="1"/>
  <c r="O41" i="7" l="1"/>
  <c r="O68" i="7"/>
  <c r="O56" i="7"/>
  <c r="O55" i="7"/>
  <c r="K27" i="8"/>
  <c r="L28" i="8"/>
  <c r="O14" i="7"/>
  <c r="N45" i="7"/>
  <c r="O45" i="7"/>
  <c r="G11" i="8"/>
  <c r="O8" i="8"/>
  <c r="M50" i="8"/>
  <c r="N50" i="8" s="1"/>
  <c r="N55" i="8" s="1"/>
  <c r="O13" i="7"/>
  <c r="G6" i="8"/>
  <c r="J7" i="8" s="1"/>
  <c r="O12" i="8"/>
  <c r="T27" i="8"/>
  <c r="I24" i="7"/>
  <c r="O24" i="7"/>
  <c r="O14" i="8"/>
  <c r="P12" i="8" s="1"/>
  <c r="Q12" i="8" s="1"/>
  <c r="I27" i="8"/>
  <c r="T29" i="8"/>
  <c r="M41" i="8"/>
  <c r="N41" i="8" s="1"/>
  <c r="N45" i="8" s="1"/>
  <c r="O26" i="7"/>
  <c r="J27" i="8"/>
  <c r="O65" i="7"/>
  <c r="I33" i="8"/>
  <c r="I12" i="7"/>
  <c r="J33" i="8"/>
  <c r="T33" i="8"/>
  <c r="U33" i="8" s="1"/>
  <c r="V33" i="8" s="1"/>
  <c r="V36" i="8" s="1"/>
  <c r="I29" i="7"/>
  <c r="D75" i="7"/>
  <c r="D73" i="7"/>
  <c r="J77" i="7"/>
  <c r="J73" i="7"/>
  <c r="O7" i="7"/>
  <c r="P7" i="7" s="1"/>
  <c r="Q7" i="7" s="1"/>
  <c r="O9" i="7"/>
  <c r="O29" i="7"/>
  <c r="O44" i="7"/>
  <c r="D79" i="7"/>
  <c r="J76" i="7"/>
  <c r="D74" i="7"/>
  <c r="I7" i="7"/>
  <c r="O31" i="7"/>
  <c r="O43" i="7"/>
  <c r="D78" i="7"/>
  <c r="J75" i="7"/>
  <c r="O67" i="7"/>
  <c r="P65" i="7" s="1"/>
  <c r="Q65" i="7" s="1"/>
  <c r="D77" i="7"/>
  <c r="I54" i="7"/>
  <c r="L33" i="8"/>
  <c r="L36" i="8"/>
  <c r="L34" i="8"/>
  <c r="P17" i="8"/>
  <c r="Q17" i="8" s="1"/>
  <c r="P7" i="8"/>
  <c r="Q7" i="8" s="1"/>
  <c r="J12" i="8"/>
  <c r="H16" i="8"/>
  <c r="H6" i="8"/>
  <c r="H11" i="8"/>
  <c r="H64" i="7"/>
  <c r="N68" i="7" s="1"/>
  <c r="J65" i="7"/>
  <c r="I65" i="7"/>
  <c r="P54" i="7"/>
  <c r="Q54" i="7" s="1"/>
  <c r="G53" i="7"/>
  <c r="J41" i="7"/>
  <c r="I41" i="7"/>
  <c r="K41" i="7"/>
  <c r="L41" i="7" s="1"/>
  <c r="P24" i="7"/>
  <c r="Q24" i="7" s="1"/>
  <c r="G28" i="7"/>
  <c r="G23" i="7"/>
  <c r="H11" i="7"/>
  <c r="N14" i="7" s="1"/>
  <c r="J12" i="7"/>
  <c r="H6" i="7"/>
  <c r="N9" i="7" s="1"/>
  <c r="J7" i="7"/>
  <c r="AG14" i="6"/>
  <c r="AG7" i="6"/>
  <c r="AD18" i="6"/>
  <c r="AA13" i="6"/>
  <c r="X13" i="6"/>
  <c r="AD12" i="6"/>
  <c r="AA9" i="6"/>
  <c r="X9" i="6"/>
  <c r="AJ6" i="6"/>
  <c r="AD6" i="6"/>
  <c r="AA5" i="6"/>
  <c r="X5" i="6"/>
  <c r="D75" i="6"/>
  <c r="F74" i="6"/>
  <c r="G74" i="6" s="1"/>
  <c r="H74" i="6" s="1"/>
  <c r="F73" i="6"/>
  <c r="G73" i="6" s="1"/>
  <c r="H73" i="6" s="1"/>
  <c r="F72" i="6"/>
  <c r="D69" i="6"/>
  <c r="F68" i="6"/>
  <c r="G68" i="6" s="1"/>
  <c r="H68" i="6" s="1"/>
  <c r="F67" i="6"/>
  <c r="G67" i="6" s="1"/>
  <c r="H67" i="6" s="1"/>
  <c r="F66" i="6"/>
  <c r="D63" i="6"/>
  <c r="F62" i="6"/>
  <c r="G62" i="6" s="1"/>
  <c r="H62" i="6" s="1"/>
  <c r="F61" i="6"/>
  <c r="G61" i="6" s="1"/>
  <c r="H61" i="6" s="1"/>
  <c r="F60" i="6"/>
  <c r="D55" i="6"/>
  <c r="O52" i="6" s="1"/>
  <c r="F54" i="6"/>
  <c r="G54" i="6" s="1"/>
  <c r="H54" i="6" s="1"/>
  <c r="F53" i="6"/>
  <c r="G53" i="6" s="1"/>
  <c r="H53" i="6" s="1"/>
  <c r="F52" i="6"/>
  <c r="G52" i="6" s="1"/>
  <c r="H52" i="6" s="1"/>
  <c r="F51" i="6"/>
  <c r="F50" i="6"/>
  <c r="G50" i="6" s="1"/>
  <c r="H50" i="6" s="1"/>
  <c r="D48" i="6"/>
  <c r="O46" i="6" s="1"/>
  <c r="F45" i="6"/>
  <c r="G45" i="6" s="1"/>
  <c r="H45" i="6" s="1"/>
  <c r="F44" i="6"/>
  <c r="G44" i="6" s="1"/>
  <c r="H44" i="6" s="1"/>
  <c r="F43" i="6"/>
  <c r="G43" i="6" s="1"/>
  <c r="H43" i="6" s="1"/>
  <c r="F42" i="6"/>
  <c r="G42" i="6" s="1"/>
  <c r="F41" i="6"/>
  <c r="G41" i="6" s="1"/>
  <c r="H41" i="6" s="1"/>
  <c r="P12" i="7" l="1"/>
  <c r="Q12" i="7" s="1"/>
  <c r="P41" i="7"/>
  <c r="Q41" i="7" s="1"/>
  <c r="N9" i="8"/>
  <c r="N33" i="8"/>
  <c r="N35" i="8" s="1"/>
  <c r="M33" i="8"/>
  <c r="N19" i="8"/>
  <c r="E73" i="7"/>
  <c r="F73" i="7" s="1"/>
  <c r="F76" i="7" s="1"/>
  <c r="L27" i="8"/>
  <c r="M27" i="8" s="1"/>
  <c r="N27" i="8" s="1"/>
  <c r="N29" i="8" s="1"/>
  <c r="L29" i="8"/>
  <c r="L45" i="7"/>
  <c r="U27" i="8"/>
  <c r="V27" i="8" s="1"/>
  <c r="V30" i="8" s="1"/>
  <c r="L30" i="8"/>
  <c r="N14" i="8"/>
  <c r="P29" i="7"/>
  <c r="Q29" i="7" s="1"/>
  <c r="M41" i="7"/>
  <c r="N41" i="7" s="1"/>
  <c r="T41" i="7"/>
  <c r="L42" i="7"/>
  <c r="L44" i="7"/>
  <c r="K73" i="7"/>
  <c r="L73" i="7" s="1"/>
  <c r="L76" i="7" s="1"/>
  <c r="L43" i="7"/>
  <c r="L65" i="7"/>
  <c r="O43" i="6"/>
  <c r="I51" i="6"/>
  <c r="O62" i="6"/>
  <c r="O63" i="6"/>
  <c r="O61" i="6"/>
  <c r="O74" i="6"/>
  <c r="O75" i="6"/>
  <c r="O73" i="6"/>
  <c r="K67" i="6"/>
  <c r="L68" i="6" s="1"/>
  <c r="N69" i="6"/>
  <c r="O69" i="6"/>
  <c r="O68" i="6"/>
  <c r="O67" i="6"/>
  <c r="K7" i="8"/>
  <c r="K12" i="8"/>
  <c r="K17" i="8"/>
  <c r="L17" i="8" s="1"/>
  <c r="K65" i="7"/>
  <c r="J54" i="7"/>
  <c r="H53" i="7"/>
  <c r="N56" i="7" s="1"/>
  <c r="J29" i="7"/>
  <c r="H28" i="7"/>
  <c r="J24" i="7"/>
  <c r="H23" i="7"/>
  <c r="N26" i="7" s="1"/>
  <c r="K12" i="7"/>
  <c r="L12" i="7" s="1"/>
  <c r="K7" i="7"/>
  <c r="O53" i="6"/>
  <c r="O45" i="6"/>
  <c r="O44" i="6"/>
  <c r="O51" i="6"/>
  <c r="I61" i="6"/>
  <c r="I67" i="6"/>
  <c r="I73" i="6"/>
  <c r="I42" i="6"/>
  <c r="O42" i="6"/>
  <c r="L69" i="6"/>
  <c r="M67" i="6" s="1"/>
  <c r="G60" i="6"/>
  <c r="G66" i="6"/>
  <c r="G72" i="6"/>
  <c r="J42" i="6"/>
  <c r="H42" i="6"/>
  <c r="K42" i="6" s="1"/>
  <c r="G51" i="6"/>
  <c r="H51" i="6" s="1"/>
  <c r="D16" i="6"/>
  <c r="O15" i="6" s="1"/>
  <c r="F15" i="6"/>
  <c r="G15" i="6" s="1"/>
  <c r="H15" i="6" s="1"/>
  <c r="F14" i="6"/>
  <c r="F13" i="6"/>
  <c r="G13" i="6" s="1"/>
  <c r="D11" i="6"/>
  <c r="O10" i="6" s="1"/>
  <c r="F10" i="6"/>
  <c r="G10" i="6" s="1"/>
  <c r="H10" i="6" s="1"/>
  <c r="F9" i="6"/>
  <c r="F8" i="6"/>
  <c r="G8" i="6" s="1"/>
  <c r="D6" i="6"/>
  <c r="O6" i="6" s="1"/>
  <c r="F5" i="6"/>
  <c r="G5" i="6" s="1"/>
  <c r="H5" i="6" s="1"/>
  <c r="F4" i="6"/>
  <c r="F3" i="6"/>
  <c r="G3" i="6" s="1"/>
  <c r="AD19" i="5"/>
  <c r="AD13" i="5"/>
  <c r="AD7" i="5"/>
  <c r="AD18" i="5"/>
  <c r="AA13" i="5"/>
  <c r="X13" i="5"/>
  <c r="AD12" i="5"/>
  <c r="AA9" i="5"/>
  <c r="X9" i="5"/>
  <c r="AD6" i="5"/>
  <c r="AA5" i="5"/>
  <c r="X5" i="5"/>
  <c r="D16" i="5"/>
  <c r="O15" i="5" s="1"/>
  <c r="F15" i="5"/>
  <c r="G15" i="5" s="1"/>
  <c r="H15" i="5" s="1"/>
  <c r="F14" i="5"/>
  <c r="F13" i="5"/>
  <c r="G13" i="5" s="1"/>
  <c r="D11" i="5"/>
  <c r="O10" i="5" s="1"/>
  <c r="F10" i="5"/>
  <c r="G10" i="5" s="1"/>
  <c r="H10" i="5" s="1"/>
  <c r="F9" i="5"/>
  <c r="G9" i="5" s="1"/>
  <c r="H9" i="5" s="1"/>
  <c r="F8" i="5"/>
  <c r="G8" i="5" s="1"/>
  <c r="D6" i="5"/>
  <c r="O6" i="5" s="1"/>
  <c r="F5" i="5"/>
  <c r="G5" i="5" s="1"/>
  <c r="H5" i="5" s="1"/>
  <c r="F4" i="5"/>
  <c r="G4" i="5" s="1"/>
  <c r="H4" i="5" s="1"/>
  <c r="F3" i="5"/>
  <c r="G3" i="5" s="1"/>
  <c r="AK19" i="4"/>
  <c r="AK13" i="4"/>
  <c r="AK7" i="4"/>
  <c r="P42" i="6" l="1"/>
  <c r="Q42" i="6" s="1"/>
  <c r="M17" i="8"/>
  <c r="N17" i="8" s="1"/>
  <c r="T12" i="8"/>
  <c r="L14" i="8"/>
  <c r="L13" i="8"/>
  <c r="P73" i="6"/>
  <c r="Q73" i="6" s="1"/>
  <c r="L12" i="8"/>
  <c r="M12" i="8" s="1"/>
  <c r="N12" i="8" s="1"/>
  <c r="T7" i="8"/>
  <c r="L8" i="8"/>
  <c r="L9" i="8"/>
  <c r="O9" i="6"/>
  <c r="P67" i="6"/>
  <c r="Q67" i="6" s="1"/>
  <c r="P61" i="6"/>
  <c r="Q61" i="6" s="1"/>
  <c r="L7" i="8"/>
  <c r="T17" i="8"/>
  <c r="L19" i="8"/>
  <c r="L18" i="8"/>
  <c r="T65" i="7"/>
  <c r="L67" i="7"/>
  <c r="L68" i="7"/>
  <c r="L66" i="7"/>
  <c r="M65" i="7" s="1"/>
  <c r="N65" i="7" s="1"/>
  <c r="T12" i="7"/>
  <c r="L14" i="7"/>
  <c r="L13" i="7"/>
  <c r="M12" i="7" s="1"/>
  <c r="N12" i="7" s="1"/>
  <c r="T7" i="7"/>
  <c r="L9" i="7"/>
  <c r="L8" i="7"/>
  <c r="L7" i="7"/>
  <c r="M7" i="7" s="1"/>
  <c r="N7" i="7" s="1"/>
  <c r="P51" i="6"/>
  <c r="Q51" i="6" s="1"/>
  <c r="K54" i="7"/>
  <c r="L54" i="7" s="1"/>
  <c r="K29" i="7"/>
  <c r="L29" i="7" s="1"/>
  <c r="K24" i="7"/>
  <c r="T42" i="6"/>
  <c r="L42" i="6"/>
  <c r="L46" i="6"/>
  <c r="L44" i="6"/>
  <c r="L45" i="6"/>
  <c r="N47" i="6"/>
  <c r="L43" i="6"/>
  <c r="N55" i="6"/>
  <c r="H72" i="6"/>
  <c r="J73" i="6"/>
  <c r="H60" i="6"/>
  <c r="J61" i="6"/>
  <c r="J67" i="6"/>
  <c r="H66" i="6"/>
  <c r="J51" i="6"/>
  <c r="K51" i="6"/>
  <c r="L52" i="6" s="1"/>
  <c r="I14" i="5"/>
  <c r="I9" i="6"/>
  <c r="O5" i="6"/>
  <c r="O5" i="5"/>
  <c r="I4" i="6"/>
  <c r="I14" i="6"/>
  <c r="O11" i="6"/>
  <c r="P9" i="6" s="1"/>
  <c r="Q9" i="6" s="1"/>
  <c r="O9" i="5"/>
  <c r="O11" i="5"/>
  <c r="O14" i="6"/>
  <c r="O16" i="6"/>
  <c r="O4" i="6"/>
  <c r="P4" i="6" s="1"/>
  <c r="Q4" i="6" s="1"/>
  <c r="H8" i="6"/>
  <c r="H13" i="6"/>
  <c r="H3" i="6"/>
  <c r="G4" i="6"/>
  <c r="H4" i="6" s="1"/>
  <c r="G14" i="6"/>
  <c r="H14" i="6" s="1"/>
  <c r="G9" i="6"/>
  <c r="H9" i="6" s="1"/>
  <c r="I4" i="5"/>
  <c r="O14" i="5"/>
  <c r="O16" i="5"/>
  <c r="I9" i="5"/>
  <c r="G14" i="5"/>
  <c r="H14" i="5" s="1"/>
  <c r="O4" i="5"/>
  <c r="P4" i="5" s="1"/>
  <c r="Q4" i="5" s="1"/>
  <c r="H13" i="5"/>
  <c r="H8" i="5"/>
  <c r="J9" i="5"/>
  <c r="H3" i="5"/>
  <c r="J4" i="5"/>
  <c r="M7" i="8" l="1"/>
  <c r="N7" i="8" s="1"/>
  <c r="T24" i="7"/>
  <c r="L25" i="7"/>
  <c r="L26" i="7"/>
  <c r="L24" i="7"/>
  <c r="T29" i="7"/>
  <c r="L31" i="7"/>
  <c r="L30" i="7"/>
  <c r="M29" i="7" s="1"/>
  <c r="N29" i="7" s="1"/>
  <c r="T54" i="7"/>
  <c r="L55" i="7"/>
  <c r="L56" i="7"/>
  <c r="L67" i="6"/>
  <c r="N63" i="6"/>
  <c r="T51" i="6"/>
  <c r="L53" i="6"/>
  <c r="L54" i="6"/>
  <c r="L51" i="6"/>
  <c r="L55" i="6"/>
  <c r="N75" i="6"/>
  <c r="M42" i="6"/>
  <c r="N42" i="6" s="1"/>
  <c r="K73" i="6"/>
  <c r="N67" i="6"/>
  <c r="T67" i="6"/>
  <c r="K61" i="6"/>
  <c r="L61" i="6" s="1"/>
  <c r="P14" i="6"/>
  <c r="Q14" i="6" s="1"/>
  <c r="P14" i="5"/>
  <c r="Q14" i="5" s="1"/>
  <c r="P9" i="5"/>
  <c r="Q9" i="5" s="1"/>
  <c r="N16" i="6"/>
  <c r="J9" i="6"/>
  <c r="N11" i="6"/>
  <c r="N6" i="6"/>
  <c r="K4" i="6"/>
  <c r="L5" i="6" s="1"/>
  <c r="J14" i="6"/>
  <c r="K9" i="6"/>
  <c r="L10" i="6" s="1"/>
  <c r="J4" i="6"/>
  <c r="K14" i="6"/>
  <c r="N6" i="5"/>
  <c r="N16" i="5"/>
  <c r="J14" i="5"/>
  <c r="N11" i="5"/>
  <c r="K14" i="5"/>
  <c r="L15" i="5" s="1"/>
  <c r="K9" i="5"/>
  <c r="L9" i="5" s="1"/>
  <c r="K4" i="5"/>
  <c r="M54" i="7" l="1"/>
  <c r="N54" i="7" s="1"/>
  <c r="M24" i="7"/>
  <c r="N24" i="7" s="1"/>
  <c r="M51" i="6"/>
  <c r="N51" i="6" s="1"/>
  <c r="T73" i="6"/>
  <c r="L75" i="6"/>
  <c r="L74" i="6"/>
  <c r="T61" i="6"/>
  <c r="L63" i="6"/>
  <c r="L62" i="6"/>
  <c r="M61" i="6" s="1"/>
  <c r="N61" i="6" s="1"/>
  <c r="L73" i="6"/>
  <c r="L4" i="6"/>
  <c r="T14" i="6"/>
  <c r="L16" i="6"/>
  <c r="L14" i="6"/>
  <c r="T9" i="6"/>
  <c r="L11" i="6"/>
  <c r="L15" i="6"/>
  <c r="L9" i="6"/>
  <c r="T4" i="6"/>
  <c r="L6" i="6"/>
  <c r="T4" i="5"/>
  <c r="L5" i="5"/>
  <c r="L6" i="5"/>
  <c r="L14" i="5"/>
  <c r="M14" i="5" s="1"/>
  <c r="N14" i="5" s="1"/>
  <c r="T9" i="5"/>
  <c r="L10" i="5"/>
  <c r="M9" i="5" s="1"/>
  <c r="N9" i="5" s="1"/>
  <c r="L11" i="5"/>
  <c r="T14" i="5"/>
  <c r="L16" i="5"/>
  <c r="L4" i="5"/>
  <c r="M4" i="6" l="1"/>
  <c r="N4" i="6" s="1"/>
  <c r="M9" i="6"/>
  <c r="N9" i="6" s="1"/>
  <c r="M73" i="6"/>
  <c r="N73" i="6" s="1"/>
  <c r="M14" i="6"/>
  <c r="N14" i="6" s="1"/>
  <c r="M4" i="5"/>
  <c r="N4" i="5" s="1"/>
  <c r="AK18" i="4" l="1"/>
  <c r="AE13" i="4"/>
  <c r="AB13" i="4"/>
  <c r="AK12" i="4"/>
  <c r="AH9" i="4"/>
  <c r="AE9" i="4"/>
  <c r="AB9" i="4"/>
  <c r="AK6" i="4"/>
  <c r="AH5" i="4"/>
  <c r="AE5" i="4"/>
  <c r="AB5" i="4"/>
  <c r="AG19" i="3"/>
  <c r="AG13" i="3"/>
  <c r="AG12" i="3"/>
  <c r="AG7" i="3"/>
  <c r="AG18" i="3"/>
  <c r="AD13" i="3"/>
  <c r="AA13" i="3"/>
  <c r="AD9" i="3"/>
  <c r="AA9" i="3"/>
  <c r="AG6" i="3"/>
  <c r="AD5" i="3"/>
  <c r="AA5" i="3"/>
  <c r="M17" i="3"/>
  <c r="M12" i="3"/>
  <c r="M6" i="3"/>
  <c r="AE21" i="2"/>
  <c r="AE14" i="2"/>
  <c r="AE7" i="2"/>
  <c r="F44" i="2"/>
  <c r="F35" i="2"/>
  <c r="N29" i="2"/>
  <c r="N24" i="2"/>
  <c r="N18" i="2"/>
  <c r="N12" i="2"/>
  <c r="N6" i="2"/>
  <c r="AE20" i="2"/>
  <c r="AE13" i="2"/>
  <c r="AB13" i="2"/>
  <c r="Y13" i="2"/>
  <c r="AB9" i="2"/>
  <c r="Y9" i="2"/>
  <c r="AE6" i="2"/>
  <c r="AB5" i="2"/>
  <c r="Y5" i="2"/>
  <c r="AG135" i="1" l="1"/>
  <c r="AG134" i="1"/>
  <c r="AG133" i="1"/>
  <c r="AG132" i="1"/>
  <c r="E151" i="1"/>
  <c r="G151" i="1" s="1"/>
  <c r="E150" i="1"/>
  <c r="G150" i="1" s="1"/>
  <c r="E149" i="1"/>
  <c r="F149" i="1" s="1"/>
  <c r="L135" i="1"/>
  <c r="I135" i="1"/>
  <c r="E135" i="1"/>
  <c r="L134" i="1"/>
  <c r="I134" i="1"/>
  <c r="E134" i="1"/>
  <c r="L133" i="1"/>
  <c r="I133" i="1"/>
  <c r="E133" i="1"/>
  <c r="L132" i="1"/>
  <c r="I132" i="1"/>
  <c r="E132" i="1"/>
  <c r="I127" i="1"/>
  <c r="F127" i="1"/>
  <c r="E127" i="1"/>
  <c r="I126" i="1"/>
  <c r="F126" i="1"/>
  <c r="E126" i="1"/>
  <c r="I125" i="1"/>
  <c r="F125" i="1"/>
  <c r="J125" i="1" s="1"/>
  <c r="K125" i="1" s="1"/>
  <c r="E125" i="1"/>
  <c r="I124" i="1"/>
  <c r="F124" i="1"/>
  <c r="E124" i="1"/>
  <c r="I120" i="1"/>
  <c r="E120" i="1"/>
  <c r="F120" i="1" s="1"/>
  <c r="G120" i="1" s="1"/>
  <c r="I119" i="1"/>
  <c r="E119" i="1"/>
  <c r="F119" i="1" s="1"/>
  <c r="G119" i="1" s="1"/>
  <c r="I118" i="1"/>
  <c r="E118" i="1"/>
  <c r="F118" i="1" s="1"/>
  <c r="G118" i="1" s="1"/>
  <c r="I117" i="1"/>
  <c r="E117" i="1"/>
  <c r="F117" i="1" s="1"/>
  <c r="G117" i="1" s="1"/>
  <c r="E112" i="1"/>
  <c r="G112" i="1" s="1"/>
  <c r="E111" i="1"/>
  <c r="F111" i="1" s="1"/>
  <c r="E110" i="1"/>
  <c r="G110" i="1" s="1"/>
  <c r="E109" i="1"/>
  <c r="F109" i="1" s="1"/>
  <c r="E108" i="1"/>
  <c r="G108" i="1" s="1"/>
  <c r="Y107" i="1"/>
  <c r="X107" i="1"/>
  <c r="E107" i="1"/>
  <c r="F107" i="1" s="1"/>
  <c r="E106" i="1"/>
  <c r="F106" i="1" s="1"/>
  <c r="E105" i="1"/>
  <c r="F105" i="1" s="1"/>
  <c r="E104" i="1"/>
  <c r="G104" i="1" s="1"/>
  <c r="Y103" i="1"/>
  <c r="X103" i="1"/>
  <c r="E103" i="1"/>
  <c r="G103" i="1" s="1"/>
  <c r="J132" i="1" l="1"/>
  <c r="H137" i="1" s="1"/>
  <c r="G149" i="1"/>
  <c r="J149" i="1" s="1"/>
  <c r="G124" i="1"/>
  <c r="J127" i="1"/>
  <c r="K127" i="1" s="1"/>
  <c r="G126" i="1"/>
  <c r="J133" i="1"/>
  <c r="H138" i="1" s="1"/>
  <c r="J103" i="1"/>
  <c r="G111" i="1"/>
  <c r="J111" i="1" s="1"/>
  <c r="J134" i="1"/>
  <c r="H139" i="1" s="1"/>
  <c r="M134" i="1"/>
  <c r="K139" i="1" s="1"/>
  <c r="G109" i="1"/>
  <c r="J109" i="1" s="1"/>
  <c r="J124" i="1"/>
  <c r="K124" i="1" s="1"/>
  <c r="G107" i="1"/>
  <c r="J107" i="1" s="1"/>
  <c r="J126" i="1"/>
  <c r="K126" i="1" s="1"/>
  <c r="G127" i="1"/>
  <c r="M132" i="1"/>
  <c r="M135" i="1"/>
  <c r="K140" i="1" s="1"/>
  <c r="I105" i="1"/>
  <c r="G105" i="1"/>
  <c r="AI132" i="1"/>
  <c r="AH132" i="1"/>
  <c r="G125" i="1"/>
  <c r="F104" i="1"/>
  <c r="F103" i="1"/>
  <c r="G106" i="1"/>
  <c r="F108" i="1"/>
  <c r="I107" i="1" s="1"/>
  <c r="F110" i="1"/>
  <c r="I109" i="1" s="1"/>
  <c r="F112" i="1"/>
  <c r="I111" i="1" s="1"/>
  <c r="M133" i="1"/>
  <c r="J135" i="1"/>
  <c r="H140" i="1" s="1"/>
  <c r="F150" i="1"/>
  <c r="I149" i="1" s="1"/>
  <c r="F151" i="1"/>
  <c r="E96" i="1"/>
  <c r="F96" i="1" s="1"/>
  <c r="E95" i="1"/>
  <c r="G95" i="1" s="1"/>
  <c r="E94" i="1"/>
  <c r="G94" i="1" s="1"/>
  <c r="R80" i="1"/>
  <c r="O80" i="1"/>
  <c r="L80" i="1"/>
  <c r="I80" i="1"/>
  <c r="F80" i="1"/>
  <c r="E80" i="1"/>
  <c r="R79" i="1"/>
  <c r="O79" i="1"/>
  <c r="L79" i="1"/>
  <c r="I79" i="1"/>
  <c r="F79" i="1"/>
  <c r="E79" i="1"/>
  <c r="R78" i="1"/>
  <c r="O78" i="1"/>
  <c r="L78" i="1"/>
  <c r="I78" i="1"/>
  <c r="F78" i="1"/>
  <c r="E78" i="1"/>
  <c r="R77" i="1"/>
  <c r="O77" i="1"/>
  <c r="L77" i="1"/>
  <c r="F77" i="1"/>
  <c r="E77" i="1"/>
  <c r="I71" i="1"/>
  <c r="F71" i="1"/>
  <c r="E71" i="1"/>
  <c r="I70" i="1"/>
  <c r="F70" i="1"/>
  <c r="E70" i="1"/>
  <c r="I69" i="1"/>
  <c r="F69" i="1"/>
  <c r="E69" i="1"/>
  <c r="X68" i="1"/>
  <c r="Y68" i="1" s="1"/>
  <c r="W68" i="1"/>
  <c r="I68" i="1"/>
  <c r="F68" i="1"/>
  <c r="E68" i="1"/>
  <c r="I64" i="1"/>
  <c r="E64" i="1"/>
  <c r="F64" i="1" s="1"/>
  <c r="G64" i="1" s="1"/>
  <c r="I63" i="1"/>
  <c r="E63" i="1"/>
  <c r="F63" i="1" s="1"/>
  <c r="G63" i="1" s="1"/>
  <c r="I62" i="1"/>
  <c r="E62" i="1"/>
  <c r="F62" i="1" s="1"/>
  <c r="G62" i="1" s="1"/>
  <c r="I61" i="1"/>
  <c r="E61" i="1"/>
  <c r="F61" i="1" s="1"/>
  <c r="G61" i="1" s="1"/>
  <c r="V60" i="1"/>
  <c r="W60" i="1" s="1"/>
  <c r="U60" i="1"/>
  <c r="E56" i="1"/>
  <c r="G56" i="1" s="1"/>
  <c r="E55" i="1"/>
  <c r="G55" i="1" s="1"/>
  <c r="E54" i="1"/>
  <c r="G54" i="1" s="1"/>
  <c r="E53" i="1"/>
  <c r="G53" i="1" s="1"/>
  <c r="X52" i="1"/>
  <c r="Y52" i="1" s="1"/>
  <c r="W52" i="1"/>
  <c r="E52" i="1"/>
  <c r="F52" i="1" s="1"/>
  <c r="E51" i="1"/>
  <c r="F51" i="1" s="1"/>
  <c r="E50" i="1"/>
  <c r="G50" i="1" s="1"/>
  <c r="E49" i="1"/>
  <c r="F49" i="1" s="1"/>
  <c r="X48" i="1"/>
  <c r="Y48" i="1" s="1"/>
  <c r="W48" i="1"/>
  <c r="E48" i="1"/>
  <c r="F48" i="1" s="1"/>
  <c r="E47" i="1"/>
  <c r="G47" i="1" s="1"/>
  <c r="E19" i="1"/>
  <c r="G19" i="1" s="1"/>
  <c r="E18" i="1"/>
  <c r="F18" i="1" s="1"/>
  <c r="E17" i="1"/>
  <c r="G17" i="1" s="1"/>
  <c r="E16" i="1"/>
  <c r="G16" i="1" s="1"/>
  <c r="E15" i="1"/>
  <c r="G15" i="1" s="1"/>
  <c r="E14" i="1"/>
  <c r="G14" i="1" s="1"/>
  <c r="E13" i="1"/>
  <c r="G13" i="1" s="1"/>
  <c r="E12" i="1"/>
  <c r="F12" i="1" s="1"/>
  <c r="E11" i="1"/>
  <c r="G11" i="1" s="1"/>
  <c r="E10" i="1"/>
  <c r="F10" i="1" s="1"/>
  <c r="K142" i="1" l="1"/>
  <c r="G68" i="1"/>
  <c r="G80" i="1"/>
  <c r="F50" i="1"/>
  <c r="J137" i="1"/>
  <c r="J70" i="1"/>
  <c r="K70" i="1" s="1"/>
  <c r="I49" i="1"/>
  <c r="G69" i="1"/>
  <c r="P80" i="1"/>
  <c r="N85" i="1" s="1"/>
  <c r="L128" i="1"/>
  <c r="J55" i="1"/>
  <c r="F94" i="1"/>
  <c r="G51" i="1"/>
  <c r="J105" i="1"/>
  <c r="G78" i="1"/>
  <c r="J79" i="1"/>
  <c r="H84" i="1" s="1"/>
  <c r="P78" i="1"/>
  <c r="N83" i="1" s="1"/>
  <c r="K144" i="1"/>
  <c r="K128" i="1"/>
  <c r="S77" i="1"/>
  <c r="I51" i="1"/>
  <c r="G96" i="1"/>
  <c r="J94" i="1" s="1"/>
  <c r="G52" i="1"/>
  <c r="M77" i="1"/>
  <c r="K82" i="1" s="1"/>
  <c r="S78" i="1"/>
  <c r="K149" i="1"/>
  <c r="J68" i="1"/>
  <c r="K68" i="1" s="1"/>
  <c r="G70" i="1"/>
  <c r="G49" i="1"/>
  <c r="J49" i="1" s="1"/>
  <c r="J71" i="1"/>
  <c r="K71" i="1" s="1"/>
  <c r="S79" i="1"/>
  <c r="Q84" i="1" s="1"/>
  <c r="G48" i="1"/>
  <c r="J47" i="1" s="1"/>
  <c r="P77" i="1"/>
  <c r="N82" i="1" s="1"/>
  <c r="F95" i="1"/>
  <c r="G77" i="1"/>
  <c r="M79" i="1"/>
  <c r="K84" i="1" s="1"/>
  <c r="K147" i="1"/>
  <c r="K137" i="1"/>
  <c r="J69" i="1"/>
  <c r="K69" i="1" s="1"/>
  <c r="H82" i="1"/>
  <c r="G79" i="1"/>
  <c r="S80" i="1"/>
  <c r="I103" i="1"/>
  <c r="K145" i="1"/>
  <c r="K143" i="1"/>
  <c r="K148" i="1"/>
  <c r="K138" i="1"/>
  <c r="K150" i="1"/>
  <c r="J14" i="1"/>
  <c r="G12" i="1"/>
  <c r="J12" i="1" s="1"/>
  <c r="G10" i="1"/>
  <c r="Q82" i="1"/>
  <c r="J53" i="1"/>
  <c r="F47" i="1"/>
  <c r="I47" i="1" s="1"/>
  <c r="F54" i="1"/>
  <c r="F56" i="1"/>
  <c r="J78" i="1"/>
  <c r="H83" i="1" s="1"/>
  <c r="P79" i="1"/>
  <c r="J80" i="1"/>
  <c r="H85" i="1" s="1"/>
  <c r="G71" i="1"/>
  <c r="F53" i="1"/>
  <c r="M78" i="1"/>
  <c r="M80" i="1"/>
  <c r="F55" i="1"/>
  <c r="J16" i="1"/>
  <c r="F14" i="1"/>
  <c r="F16" i="1"/>
  <c r="F11" i="1"/>
  <c r="F13" i="1"/>
  <c r="G18" i="1"/>
  <c r="J18" i="1" s="1"/>
  <c r="F15" i="1"/>
  <c r="F17" i="1"/>
  <c r="F19" i="1"/>
  <c r="Q93" i="1" l="1"/>
  <c r="Q94" i="1"/>
  <c r="I55" i="1"/>
  <c r="Q92" i="1"/>
  <c r="Q95" i="1"/>
  <c r="Q87" i="1"/>
  <c r="I94" i="1"/>
  <c r="Q85" i="1"/>
  <c r="N92" i="1"/>
  <c r="Q90" i="1"/>
  <c r="J51" i="1"/>
  <c r="K94" i="1"/>
  <c r="Q83" i="1"/>
  <c r="Q88" i="1"/>
  <c r="N87" i="1"/>
  <c r="K9" i="1"/>
  <c r="O17" i="1" s="1"/>
  <c r="K89" i="1"/>
  <c r="J82" i="1"/>
  <c r="K87" i="1"/>
  <c r="I16" i="1"/>
  <c r="I12" i="1"/>
  <c r="I10" i="1"/>
  <c r="I18" i="1"/>
  <c r="I53" i="1"/>
  <c r="J10" i="1"/>
  <c r="K13" i="1"/>
  <c r="L13" i="1"/>
  <c r="M13" i="1" s="1"/>
  <c r="L9" i="1"/>
  <c r="M9" i="1" s="1"/>
  <c r="K92" i="1"/>
  <c r="P19" i="1"/>
  <c r="Q19" i="1"/>
  <c r="I14" i="1"/>
  <c r="K90" i="1"/>
  <c r="K95" i="1"/>
  <c r="K85" i="1"/>
  <c r="K93" i="1"/>
  <c r="K83" i="1"/>
  <c r="K88" i="1"/>
  <c r="N84" i="1"/>
  <c r="P82" i="1" s="1"/>
  <c r="N94" i="1"/>
  <c r="N89" i="1"/>
  <c r="N95" i="1"/>
  <c r="Q89" i="1"/>
  <c r="N90" i="1"/>
  <c r="N88" i="1"/>
  <c r="N93" i="1"/>
  <c r="M82" i="1" l="1"/>
  <c r="S82" i="1"/>
  <c r="O11" i="1"/>
  <c r="O14" i="1"/>
  <c r="O12" i="1"/>
  <c r="O13" i="1"/>
  <c r="O9" i="1"/>
  <c r="O16" i="1"/>
  <c r="O18" i="1"/>
  <c r="O15" i="1"/>
  <c r="O10" i="1"/>
  <c r="P9" i="1" l="1"/>
  <c r="Q9" i="1" s="1"/>
</calcChain>
</file>

<file path=xl/sharedStrings.xml><?xml version="1.0" encoding="utf-8"?>
<sst xmlns="http://schemas.openxmlformats.org/spreadsheetml/2006/main" count="4326" uniqueCount="519">
  <si>
    <t>Comentarios: Esta prueba fue realizada para llevar en conjunto las 3 pruebas de analisis proximo, ya que, realizar un analisis de pruebas diferentes aunque fueran de la misma biomasa, el manejo y cantidad de humedad puede cambiar, alterando las medidas obtenidas por cada prueba. para ello, se decidio realizar Humedad-Volatiles-Cenizas seguidas por cada biomasa</t>
  </si>
  <si>
    <t>Especie:Citronela</t>
  </si>
  <si>
    <t>contenido de humedad</t>
  </si>
  <si>
    <t>Humedad</t>
  </si>
  <si>
    <t>promedio total</t>
  </si>
  <si>
    <t>varianza</t>
  </si>
  <si>
    <t>Petri</t>
  </si>
  <si>
    <t>Conjunto</t>
  </si>
  <si>
    <t>Muestra</t>
  </si>
  <si>
    <t>Final</t>
  </si>
  <si>
    <t>muestra final</t>
  </si>
  <si>
    <t>%perdida</t>
  </si>
  <si>
    <t>masa normalizada</t>
  </si>
  <si>
    <t>horas</t>
  </si>
  <si>
    <t>Promedio %</t>
  </si>
  <si>
    <t>Promedio masa %</t>
  </si>
  <si>
    <t>A1</t>
  </si>
  <si>
    <t>A2</t>
  </si>
  <si>
    <t>A3</t>
  </si>
  <si>
    <t>A4</t>
  </si>
  <si>
    <t>A5</t>
  </si>
  <si>
    <t>A6</t>
  </si>
  <si>
    <t>A7</t>
  </si>
  <si>
    <t>A8</t>
  </si>
  <si>
    <t>A9</t>
  </si>
  <si>
    <t>A10</t>
  </si>
  <si>
    <t>Prehumedad</t>
  </si>
  <si>
    <t>crisol</t>
  </si>
  <si>
    <t>conjunto</t>
  </si>
  <si>
    <t>muestra</t>
  </si>
  <si>
    <t>final</t>
  </si>
  <si>
    <t>masa final</t>
  </si>
  <si>
    <t>masa perdida</t>
  </si>
  <si>
    <t>% perdida</t>
  </si>
  <si>
    <t>peso inicial volatiles</t>
  </si>
  <si>
    <t>humedad ganada</t>
  </si>
  <si>
    <t>B1</t>
  </si>
  <si>
    <t>B2</t>
  </si>
  <si>
    <t>B3</t>
  </si>
  <si>
    <t>B4</t>
  </si>
  <si>
    <t>crisoles</t>
  </si>
  <si>
    <t>completo</t>
  </si>
  <si>
    <t>Volatiles</t>
  </si>
  <si>
    <t>valor anterior</t>
  </si>
  <si>
    <t>crisol inicial</t>
  </si>
  <si>
    <t>masa total inicial</t>
  </si>
  <si>
    <t>masa inicial seca</t>
  </si>
  <si>
    <t>final volatiles</t>
  </si>
  <si>
    <t>perdida volatiles</t>
  </si>
  <si>
    <t>% Perdida volatiles</t>
  </si>
  <si>
    <t>Cenizas</t>
  </si>
  <si>
    <t>valor anterior seca</t>
  </si>
  <si>
    <t>Preceniza</t>
  </si>
  <si>
    <t>final 3h</t>
  </si>
  <si>
    <t>masa final 3h</t>
  </si>
  <si>
    <t>pedida 3h</t>
  </si>
  <si>
    <t>final +1h</t>
  </si>
  <si>
    <t>masa final +1h</t>
  </si>
  <si>
    <t>perdida +1h</t>
  </si>
  <si>
    <t>masa inicial</t>
  </si>
  <si>
    <t>muestra perdida 3h</t>
  </si>
  <si>
    <t>masa remanente</t>
  </si>
  <si>
    <t>final 1h</t>
  </si>
  <si>
    <t>muestra perdida 1h</t>
  </si>
  <si>
    <t>% masas remanente</t>
  </si>
  <si>
    <t>Promedio</t>
  </si>
  <si>
    <t>Especie:Patchouli</t>
  </si>
  <si>
    <r>
      <rPr>
        <b/>
        <sz val="12"/>
        <color theme="1"/>
        <rFont val="Calibri"/>
        <family val="2"/>
        <scheme val="minor"/>
      </rPr>
      <t>Comentarios:</t>
    </r>
    <r>
      <rPr>
        <sz val="12"/>
        <color theme="1"/>
        <rFont val="Calibri"/>
        <family val="2"/>
        <scheme val="minor"/>
      </rPr>
      <t xml:space="preserve"> para esta prueba se usaron 10 muestras de 0,5 gr. las cuales fueron seleccionadas aleatoriamente para ser medidas en los intervalos establecidos. Las pruebas se llevaron a cabo al mismo tiempo, donde se programaron para durar un total de 24 h, sin embargo, tener en cuenta que, 1. cada hora se abria la mufla, 2. hubo un apagon al rededor de las 11 de la noche, de modo que el mufla se reinicio, de modo que es posible que algo de humedad hubiera sido absorvida.  Hora inicial: 10:49 am, Hora final: 10:49 am, sin embargo se sometio a 8 h, de modo que, Hora inicio: 10:05 am, Hora final: 5:00 pm.</t>
    </r>
  </si>
  <si>
    <t>Contenido de humedad Patchouli</t>
  </si>
  <si>
    <t>petri</t>
  </si>
  <si>
    <t>Horas</t>
  </si>
  <si>
    <t>B10</t>
  </si>
  <si>
    <t>B9</t>
  </si>
  <si>
    <t>B7</t>
  </si>
  <si>
    <t>B6</t>
  </si>
  <si>
    <t>B8</t>
  </si>
  <si>
    <t>B5</t>
  </si>
  <si>
    <t>Pre-secado Patchouli</t>
  </si>
  <si>
    <r>
      <rPr>
        <b/>
        <sz val="11"/>
        <color theme="1"/>
        <rFont val="Calibri"/>
        <family val="2"/>
        <scheme val="minor"/>
      </rPr>
      <t>Comentarios</t>
    </r>
    <r>
      <rPr>
        <sz val="11"/>
        <color theme="1"/>
        <rFont val="Calibri"/>
        <family val="2"/>
        <scheme val="minor"/>
      </rPr>
      <t>: Estas muestras fueron sometidas a 24 horas al igual que las muestras para prueba de humedad, sin embargo, debido a el apagon registrado en la noche solo estuvo en secado por alrededor de 11 horas, de modo que, durante aproximadamente 10 horas estuvo expuesta a menos de 105 °C, por este motivo, se realizo un secado de 8 h, el cual puede o no ser suficiente para compensar la exposicion, es por esto que se recomienda realizar la prueba de humedad nuevamente, determinando si la humedad absorvida puede ser liberada en las 8 h posteriores.</t>
    </r>
  </si>
  <si>
    <t>Crisol</t>
  </si>
  <si>
    <t>Masa final</t>
  </si>
  <si>
    <t>Masa perdida</t>
  </si>
  <si>
    <t>% Perdida</t>
  </si>
  <si>
    <t>promedio</t>
  </si>
  <si>
    <r>
      <rPr>
        <b/>
        <sz val="11"/>
        <color theme="1"/>
        <rFont val="Calibri"/>
        <family val="2"/>
        <scheme val="minor"/>
      </rPr>
      <t>Comentarios:</t>
    </r>
    <r>
      <rPr>
        <sz val="11"/>
        <color theme="1"/>
        <rFont val="Calibri"/>
        <family val="2"/>
        <scheme val="minor"/>
      </rPr>
      <t xml:space="preserve"> Para esta prueba, las muestras se almacenaron durante la noche en el desecador, se regisro la diferencia de humedad absorvida en los periodos de almacenamiento antes y despues de la prueba, se registro las perdidas de masa en base seca, de modo que, si se comparan con arreglos previos de la prueba, deberia poder compararse el total de masa liberada en base humeda con la prueba actual</t>
    </r>
  </si>
  <si>
    <t>Volatiles Patchouli</t>
  </si>
  <si>
    <t>Perdida respecto a anterior</t>
  </si>
  <si>
    <t>%masa remanente</t>
  </si>
  <si>
    <t>% perdida respecto a inicial</t>
  </si>
  <si>
    <t>Promedio perdida</t>
  </si>
  <si>
    <t>% perdida respecto a anterior</t>
  </si>
  <si>
    <t>(cerro)</t>
  </si>
  <si>
    <t>Caja</t>
  </si>
  <si>
    <t>Estalló</t>
  </si>
  <si>
    <t>Especie:Palmarosa</t>
  </si>
  <si>
    <t>C1</t>
  </si>
  <si>
    <t>C2</t>
  </si>
  <si>
    <t>C3</t>
  </si>
  <si>
    <t>C4</t>
  </si>
  <si>
    <t>C5</t>
  </si>
  <si>
    <t>C6</t>
  </si>
  <si>
    <t>C7</t>
  </si>
  <si>
    <t>C8</t>
  </si>
  <si>
    <t>C9</t>
  </si>
  <si>
    <t>C10</t>
  </si>
  <si>
    <r>
      <rPr>
        <b/>
        <sz val="11"/>
        <color theme="1"/>
        <rFont val="Calibri"/>
        <family val="2"/>
        <scheme val="minor"/>
      </rPr>
      <t>Comentarios</t>
    </r>
    <r>
      <rPr>
        <sz val="11"/>
        <color theme="1"/>
        <rFont val="Calibri"/>
        <family val="2"/>
        <scheme val="minor"/>
      </rPr>
      <t>: Estas muestras fueron sometidas a 24 horas al igual que las muestras para prueba de humedad, tambien se incluyeron las muestras finales de la prueba anterior (patchuoli de 24 h), se noto que estas ultimas no se vieron influenciadas, de modo que no perdieron mas masa de la registrada anteriormente, es por esto que se concluye que la masa final corresponde a el valor maximo perdido de humedad para el patchouli</t>
    </r>
  </si>
  <si>
    <t>Pre-secado Palmarosa</t>
  </si>
  <si>
    <t>Volatiles Palamarosa</t>
  </si>
  <si>
    <t>-</t>
  </si>
  <si>
    <r>
      <rPr>
        <b/>
        <sz val="11"/>
        <color theme="1"/>
        <rFont val="Calibri"/>
        <family val="2"/>
        <scheme val="minor"/>
      </rPr>
      <t xml:space="preserve">Comentarios: </t>
    </r>
    <r>
      <rPr>
        <sz val="11"/>
        <color theme="1"/>
        <rFont val="Calibri"/>
        <family val="2"/>
        <scheme val="minor"/>
      </rPr>
      <t xml:space="preserve">esta prueba fue algo controversial ya que, las muestras estuvieron selladas en el desecador 3 dias, esto debido a ciertos importunios que provocaron su atraso, de modo que, aunque los resultados pueden considerarse concluyentes, incluyen algo de humedad absorvida durante su estadia </t>
    </r>
    <r>
      <rPr>
        <sz val="11"/>
        <color rgb="FFFF0000"/>
        <rFont val="Calibri"/>
        <family val="2"/>
        <scheme val="minor"/>
      </rPr>
      <t>(recomendacion: preguntar al profesor sobre la posible impermeabilidad de la biomasa y crisoles contenidos, y si esto es razon para tener que repetir el experimento)</t>
    </r>
  </si>
  <si>
    <t>varianza porcentual</t>
  </si>
  <si>
    <t>Promedio humedad %</t>
  </si>
  <si>
    <t>desviacion</t>
  </si>
  <si>
    <t>suma</t>
  </si>
  <si>
    <t>resta</t>
  </si>
  <si>
    <t>Comentario: prueba de funciones de excel entre desvest y Var.s; aparte de eso, se notó que la desviacion paso a paso aporta un valor menor a las funciones ofrecidas por excel</t>
  </si>
  <si>
    <t>Desviacion</t>
  </si>
  <si>
    <t>desviacion porcentual</t>
  </si>
  <si>
    <t>TORREFACCION Temperatura: 200°C tiempo: 15 min, tercera prueba</t>
  </si>
  <si>
    <t>promedios</t>
  </si>
  <si>
    <t>citronela</t>
  </si>
  <si>
    <t>caja</t>
  </si>
  <si>
    <t>peso final</t>
  </si>
  <si>
    <t>desviacion %perdida estandar</t>
  </si>
  <si>
    <t>desviacion masica estandar</t>
  </si>
  <si>
    <t>desviacion % perdida porcentual</t>
  </si>
  <si>
    <t>1A</t>
  </si>
  <si>
    <t>restas</t>
  </si>
  <si>
    <t>desviacion%</t>
  </si>
  <si>
    <t>porcentaje</t>
  </si>
  <si>
    <t>2A</t>
  </si>
  <si>
    <t>3A</t>
  </si>
  <si>
    <t>TORREFACCION Temperatura: 200°C tiempo:15 min, primera prueba</t>
  </si>
  <si>
    <t>pachuli</t>
  </si>
  <si>
    <t>1B</t>
  </si>
  <si>
    <t>2B</t>
  </si>
  <si>
    <t>3B</t>
  </si>
  <si>
    <t>palma rosa</t>
  </si>
  <si>
    <t>1C</t>
  </si>
  <si>
    <t>2C</t>
  </si>
  <si>
    <t>3C</t>
  </si>
  <si>
    <t>TORREFACCION Temperatura: 200°C tiempo:15 min, segunda prueba</t>
  </si>
  <si>
    <t>TORREFACCION Temperatura: 200°C tiempo:15 min, combinacion primera y segunda prueba</t>
  </si>
  <si>
    <t>1B.2</t>
  </si>
  <si>
    <t>2B.2</t>
  </si>
  <si>
    <t>3B.2</t>
  </si>
  <si>
    <t>% combinado</t>
  </si>
  <si>
    <t>1C.2</t>
  </si>
  <si>
    <t>2C.2</t>
  </si>
  <si>
    <t>3C.2</t>
  </si>
  <si>
    <t>Nota: se combinaron las muestras de la primera y segunda prueba, en este momento se cuentan con gr aproximadamente</t>
  </si>
  <si>
    <t>Nota: se combinaron las muestras de la primera y segunda prueba, en este momento se cuentan con  gr aproximadamente</t>
  </si>
  <si>
    <t>%perdida 1</t>
  </si>
  <si>
    <t>%perdida 2</t>
  </si>
  <si>
    <t>%perdida 3</t>
  </si>
  <si>
    <t>porcentual</t>
  </si>
  <si>
    <t>TORREFACCION Temperatura:200°C tiempo: 30 min, segunda prueba</t>
  </si>
  <si>
    <t>Nota: esta torrefaccion sola presenta aproximadamente  gr</t>
  </si>
  <si>
    <t>TORREFACCION Temperatura:200°C tiempo: 30 min, tercera prueba</t>
  </si>
  <si>
    <t>desviacion %perdida</t>
  </si>
  <si>
    <t>desviacion masica</t>
  </si>
  <si>
    <t>desviacion %perdida porcentual</t>
  </si>
  <si>
    <t>Nota: esta torrefaccion sola presenta aproximadamente 6,007 gr. fue secada</t>
  </si>
  <si>
    <t>TORREFACCION Temperatura: 250°C tiempo: 15 min, cuarta prueba</t>
  </si>
  <si>
    <t>Nota: esta torrefaccion presenta una masa de aproximadamente  gr.</t>
  </si>
  <si>
    <t>Nota: esta torrefaccion presenta una masa de aproximadamente 5,6317 gr. fue secada</t>
  </si>
  <si>
    <t>Comentario: la desviacion es aceptable por lo cual el uso de esta Biomasa es aceptable</t>
  </si>
  <si>
    <t>TORREFACCION Temperatura: 250°C tiempo: 30 min, tercera prueba</t>
  </si>
  <si>
    <t>TORREFACCION Temperatura: 275°C tiempo: 15 min, tercera prueba</t>
  </si>
  <si>
    <r>
      <t xml:space="preserve">TORREFACCION Temperatura: 275°C tiempo: 15 min, </t>
    </r>
    <r>
      <rPr>
        <b/>
        <sz val="11"/>
        <color theme="1"/>
        <rFont val="Calibri"/>
        <family val="2"/>
        <scheme val="minor"/>
      </rPr>
      <t>nueva prueba para higrometria</t>
    </r>
  </si>
  <si>
    <t>Patchouli</t>
  </si>
  <si>
    <t>Palmarosa</t>
  </si>
  <si>
    <t>valido</t>
  </si>
  <si>
    <t>%prom total</t>
  </si>
  <si>
    <t>HA1</t>
  </si>
  <si>
    <t>HA2</t>
  </si>
  <si>
    <t>HA3</t>
  </si>
  <si>
    <t>HB2</t>
  </si>
  <si>
    <t>HB3</t>
  </si>
  <si>
    <t>HC1</t>
  </si>
  <si>
    <t>HC2</t>
  </si>
  <si>
    <t>HC3</t>
  </si>
  <si>
    <t>comentarios: analisis de la torrefaccion de citronela y comparacion con los valores de las muestras usadas en calorimetrias para determinar si es admisible su uso.</t>
  </si>
  <si>
    <t>rechazado</t>
  </si>
  <si>
    <t>%perdida 5</t>
  </si>
  <si>
    <t>%perdida conv</t>
  </si>
  <si>
    <t>1C.1</t>
  </si>
  <si>
    <t>3C.1</t>
  </si>
  <si>
    <t>%perdida 6</t>
  </si>
  <si>
    <t>patchouli</t>
  </si>
  <si>
    <t>palmarosa</t>
  </si>
  <si>
    <t>4B</t>
  </si>
  <si>
    <t>continuacion, se mezclo la torrefaccion cuarta pruena de palmarosa con la nueva prueba para determinar cuanto de esta era representativa y eleminar el valor mas desviado</t>
  </si>
  <si>
    <t>remplazo de torrefaccion de patchouli, debido a la desviacion grande, no hay suficiente masa, se requiere de mas</t>
  </si>
  <si>
    <r>
      <t xml:space="preserve">TORREFACCION Temperatura: 275°C tiempo: 30 min, </t>
    </r>
    <r>
      <rPr>
        <b/>
        <sz val="11"/>
        <color theme="1"/>
        <rFont val="Calibri"/>
        <family val="2"/>
        <scheme val="minor"/>
      </rPr>
      <t>quinta prueba</t>
    </r>
    <r>
      <rPr>
        <sz val="11"/>
        <color theme="1"/>
        <rFont val="Calibri"/>
        <family val="2"/>
        <scheme val="minor"/>
      </rPr>
      <t xml:space="preserve">, </t>
    </r>
    <r>
      <rPr>
        <b/>
        <sz val="11"/>
        <color theme="1"/>
        <rFont val="Calibri"/>
        <family val="2"/>
        <scheme val="minor"/>
      </rPr>
      <t>remplazo de 4 prueba patchouli</t>
    </r>
  </si>
  <si>
    <r>
      <t xml:space="preserve">TORREFACCION Temperatura: 275°C tiempo: 30 min, </t>
    </r>
    <r>
      <rPr>
        <b/>
        <sz val="11"/>
        <color theme="1"/>
        <rFont val="Calibri"/>
        <family val="2"/>
        <scheme val="minor"/>
      </rPr>
      <t>sexta prueba</t>
    </r>
    <r>
      <rPr>
        <sz val="11"/>
        <color theme="1"/>
        <rFont val="Calibri"/>
        <family val="2"/>
        <scheme val="minor"/>
      </rPr>
      <t>, para hacer masa de mas</t>
    </r>
  </si>
  <si>
    <t>Desviacion excluyendo los resultados problematicos</t>
  </si>
  <si>
    <t>desviacion %</t>
  </si>
  <si>
    <t>pachuli 5p</t>
  </si>
  <si>
    <r>
      <t xml:space="preserve">Desviacion con la inclusuion de todos los resultados: </t>
    </r>
    <r>
      <rPr>
        <b/>
        <sz val="11"/>
        <color theme="1"/>
        <rFont val="Calibri"/>
        <family val="2"/>
        <scheme val="minor"/>
      </rPr>
      <t>quinta</t>
    </r>
    <r>
      <rPr>
        <sz val="11"/>
        <color theme="1"/>
        <rFont val="Calibri"/>
        <family val="2"/>
        <scheme val="minor"/>
      </rPr>
      <t xml:space="preserve"> y </t>
    </r>
    <r>
      <rPr>
        <b/>
        <sz val="11"/>
        <color theme="1"/>
        <rFont val="Calibri"/>
        <family val="2"/>
        <scheme val="minor"/>
      </rPr>
      <t>sexta</t>
    </r>
    <r>
      <rPr>
        <sz val="11"/>
        <color theme="1"/>
        <rFont val="Calibri"/>
        <family val="2"/>
        <scheme val="minor"/>
      </rPr>
      <t xml:space="preserve"> </t>
    </r>
    <r>
      <rPr>
        <b/>
        <sz val="11"/>
        <color theme="1"/>
        <rFont val="Calibri"/>
        <family val="2"/>
        <scheme val="minor"/>
      </rPr>
      <t>prueba</t>
    </r>
  </si>
  <si>
    <r>
      <t xml:space="preserve">TORREFACCION Temperatura: 275°C tiempo: 30 min, </t>
    </r>
    <r>
      <rPr>
        <b/>
        <sz val="11"/>
        <color theme="1"/>
        <rFont val="Calibri"/>
        <family val="2"/>
        <scheme val="minor"/>
      </rPr>
      <t>tercera prueba</t>
    </r>
  </si>
  <si>
    <r>
      <t>TORREFACCION Temperatura: 275°C tiempo: 30 min,</t>
    </r>
    <r>
      <rPr>
        <b/>
        <sz val="11"/>
        <color theme="1"/>
        <rFont val="Calibri"/>
        <family val="2"/>
        <scheme val="minor"/>
      </rPr>
      <t xml:space="preserve"> cuarta prueba</t>
    </r>
  </si>
  <si>
    <r>
      <t xml:space="preserve">TORREFACCION Temperatura: 275°C tiempo: 30 min, </t>
    </r>
    <r>
      <rPr>
        <b/>
        <sz val="11"/>
        <color theme="1"/>
        <rFont val="Calibri"/>
        <family val="2"/>
        <scheme val="minor"/>
      </rPr>
      <t>prueba combinada</t>
    </r>
    <r>
      <rPr>
        <sz val="11"/>
        <color theme="1"/>
        <rFont val="Calibri"/>
        <family val="2"/>
        <scheme val="minor"/>
      </rPr>
      <t xml:space="preserve"> palmarosa</t>
    </r>
    <r>
      <rPr>
        <b/>
        <sz val="11"/>
        <color theme="1"/>
        <rFont val="Calibri"/>
        <family val="2"/>
        <scheme val="minor"/>
      </rPr>
      <t xml:space="preserve"> 3 y 4</t>
    </r>
  </si>
  <si>
    <r>
      <t xml:space="preserve">comentario: esta muestra es valida, pero se requiere mas masa, peso actual estimado es de 4,14 gr, </t>
    </r>
    <r>
      <rPr>
        <b/>
        <sz val="11"/>
        <color rgb="FFFF0000"/>
        <rFont val="Calibri"/>
        <family val="2"/>
        <scheme val="minor"/>
      </rPr>
      <t>se aconseja hacer mas</t>
    </r>
  </si>
  <si>
    <r>
      <t xml:space="preserve">TORREFACCION Temperatura: 300°C tiempo: 15 min, </t>
    </r>
    <r>
      <rPr>
        <b/>
        <sz val="11"/>
        <color theme="1"/>
        <rFont val="Calibri"/>
        <family val="2"/>
        <scheme val="minor"/>
      </rPr>
      <t>tercera prueba</t>
    </r>
  </si>
  <si>
    <t>(perdida por la mezcla)</t>
  </si>
  <si>
    <t>4A</t>
  </si>
  <si>
    <r>
      <t xml:space="preserve">TORREFACCION Temperatura: 300°C tiempo: 15 min </t>
    </r>
    <r>
      <rPr>
        <b/>
        <sz val="11"/>
        <color theme="1"/>
        <rFont val="Calibri"/>
        <family val="2"/>
        <scheme val="minor"/>
      </rPr>
      <t>cuarta prueba</t>
    </r>
  </si>
  <si>
    <t>TORREFACCION Temperatura: 300°C tiempo: 15 min, combinatoria 3 y 4 prueba</t>
  </si>
  <si>
    <t xml:space="preserve">promedios </t>
  </si>
  <si>
    <t>1A.2</t>
  </si>
  <si>
    <t>2A.2</t>
  </si>
  <si>
    <t>3A.2</t>
  </si>
  <si>
    <t>4A.2</t>
  </si>
  <si>
    <t>Patchuli</t>
  </si>
  <si>
    <t>4B.2</t>
  </si>
  <si>
    <t>TORREFACCION Temperatura: 300°C tiempo: 30 min, tercera prueba</t>
  </si>
  <si>
    <t>nota: se pueden combinar las Y6, falta pasar por la malla las pruebas Y6 y Y6_2, para combinar ambas finalmente,masa actual estimada es de 7,9653 gr</t>
  </si>
  <si>
    <r>
      <t xml:space="preserve">nota: se pueden combinar las X6, falta pasar por la malla la prueba X6_2, para combinar ambas finalmente, masa actual estimada es de 6,6873 gr, </t>
    </r>
    <r>
      <rPr>
        <b/>
        <sz val="11"/>
        <color rgb="FFFF0000"/>
        <rFont val="Calibri"/>
        <family val="2"/>
        <scheme val="minor"/>
      </rPr>
      <t>se aconseja hacer mas si luego del tamizado no hay al menos 6 gr</t>
    </r>
  </si>
  <si>
    <t>Palma rosa</t>
  </si>
  <si>
    <t>nota: se pueden combinar las Z6, falta pasar por la malla las pruebas Z6 y Z6_2, para combinar ambas finalmente, masa actual estimada es de 8,0431 gr</t>
  </si>
  <si>
    <t>Primera prueba</t>
  </si>
  <si>
    <t>Segunda prueba</t>
  </si>
  <si>
    <t>Tercera prueba</t>
  </si>
  <si>
    <t>Combinatoria 1</t>
  </si>
  <si>
    <t>Citronela</t>
  </si>
  <si>
    <t>Cuarta prueba</t>
  </si>
  <si>
    <t>Quinta prueba</t>
  </si>
  <si>
    <t>Sexta prueba</t>
  </si>
  <si>
    <t>Combinatoria prueba</t>
  </si>
  <si>
    <t>Combinatoria</t>
  </si>
  <si>
    <r>
      <rPr>
        <b/>
        <sz val="11"/>
        <color theme="1"/>
        <rFont val="Calibri"/>
        <family val="2"/>
        <scheme val="minor"/>
      </rPr>
      <t>Comentarios</t>
    </r>
    <r>
      <rPr>
        <sz val="11"/>
        <color theme="1"/>
        <rFont val="Calibri"/>
        <family val="2"/>
        <scheme val="minor"/>
      </rPr>
      <t>: estos datos fueron tomados en cuenta ya que los resultados combinados mostraron una relevancia significativa con respecto a los valores, de manera que al considerarse dentro de un grupo mas grande de datos, la desviacion podria acomodar valores mas dispersos.</t>
    </r>
  </si>
  <si>
    <r>
      <rPr>
        <b/>
        <sz val="11"/>
        <color theme="1"/>
        <rFont val="Calibri"/>
        <family val="2"/>
        <scheme val="minor"/>
      </rPr>
      <t>Conclusion:</t>
    </r>
    <r>
      <rPr>
        <sz val="11"/>
        <color theme="1"/>
        <rFont val="Calibri"/>
        <family val="2"/>
        <scheme val="minor"/>
      </rPr>
      <t xml:space="preserve"> se acepta la combinacion de las pruebas pathouli de remplazo de 4 prueba y 5 prueba</t>
    </r>
  </si>
  <si>
    <t>Combinatoria patchuli 5 y 6 prueba</t>
  </si>
  <si>
    <t>Combinatoria de patchouli</t>
  </si>
  <si>
    <t>Combinatoria de primera y segunda prueba para el Patchouli</t>
  </si>
  <si>
    <t>Combinatoria 3 y 4 prueba</t>
  </si>
  <si>
    <t>Higrometria</t>
  </si>
  <si>
    <r>
      <t>TORREFACCION Temperatura: 275°C tiempo: 15 min,</t>
    </r>
    <r>
      <rPr>
        <b/>
        <sz val="11"/>
        <color theme="1"/>
        <rFont val="Calibri"/>
        <family val="2"/>
        <scheme val="minor"/>
      </rPr>
      <t xml:space="preserve"> cuarta prueba, combinatoria</t>
    </r>
  </si>
  <si>
    <r>
      <t xml:space="preserve">TORREFACCION Temperatura: 275°C tiempo: 15 min, </t>
    </r>
    <r>
      <rPr>
        <b/>
        <sz val="11"/>
        <color theme="1"/>
        <rFont val="Calibri"/>
        <family val="2"/>
        <scheme val="minor"/>
      </rPr>
      <t>cuarta prueba</t>
    </r>
  </si>
  <si>
    <t>Combinatoria prueba egonometria, 3 y 4 prueba</t>
  </si>
  <si>
    <t>Descarto de valores fuera de la desviacion</t>
  </si>
  <si>
    <t>Evaluacion de masas en combocatoria según sus desviaciones respecto al promedio</t>
  </si>
  <si>
    <t>Citronela prueba de desviaciones</t>
  </si>
  <si>
    <t>Primera ronda</t>
  </si>
  <si>
    <t>Segunda ronda</t>
  </si>
  <si>
    <t>Tercera ronda</t>
  </si>
  <si>
    <r>
      <t xml:space="preserve">TORREFACCION Temperatura: 300°C tiempo: 30 min, </t>
    </r>
    <r>
      <rPr>
        <b/>
        <sz val="11"/>
        <color theme="1"/>
        <rFont val="Calibri"/>
        <family val="2"/>
        <scheme val="minor"/>
      </rPr>
      <t>cuarta prueba</t>
    </r>
  </si>
  <si>
    <r>
      <t xml:space="preserve">TORREFACCION Temperatura: 300°C tiempo: 30 min, </t>
    </r>
    <r>
      <rPr>
        <b/>
        <sz val="11"/>
        <color theme="1"/>
        <rFont val="Calibri"/>
        <family val="2"/>
        <scheme val="minor"/>
      </rPr>
      <t>combinatoria 3 y 4 Prueba</t>
    </r>
  </si>
  <si>
    <t>La muestra 1A.2 se perdio durante la recoleccion de biomasa, de manera que no se tuvo en cuenta.</t>
  </si>
  <si>
    <t>%desviacion</t>
  </si>
  <si>
    <t>Contenido de humedad de Citronela</t>
  </si>
  <si>
    <t>Pre-secado Citronela</t>
  </si>
  <si>
    <t>Volatiles Citronela</t>
  </si>
  <si>
    <t>Masa inicial seca</t>
  </si>
  <si>
    <t>Perdida volatiles</t>
  </si>
  <si>
    <t>Varianza</t>
  </si>
  <si>
    <t>Varianza porcentual</t>
  </si>
  <si>
    <t>Historial de pruebas 200°C 15 minutos</t>
  </si>
  <si>
    <t>Historial de pruebas 200°C y 30 minutos</t>
  </si>
  <si>
    <t>Historial de pruebas 250°C y 15 minutos</t>
  </si>
  <si>
    <t>Cenizas Citronela</t>
  </si>
  <si>
    <t>Cenizas Patchuli</t>
  </si>
  <si>
    <t>final 1h (4)</t>
  </si>
  <si>
    <t>muestra perdida 1h (4)</t>
  </si>
  <si>
    <t>masa remanente (4)</t>
  </si>
  <si>
    <t>final 1h (5)</t>
  </si>
  <si>
    <t>muestra perdida 1h (5)</t>
  </si>
  <si>
    <t>masa remanente (5)</t>
  </si>
  <si>
    <t>final 1h (6)</t>
  </si>
  <si>
    <t>muestra perdida 1h (6)</t>
  </si>
  <si>
    <t>masa remanente (6)</t>
  </si>
  <si>
    <t>masa remanente 3h</t>
  </si>
  <si>
    <t>`</t>
  </si>
  <si>
    <t>Cenizas Palmarosa</t>
  </si>
  <si>
    <t>Historial de pruebas 250°C y 30 minutos</t>
  </si>
  <si>
    <t>Hisotirial de pruebas 275°C y 15 minutos</t>
  </si>
  <si>
    <t>Historial de pruebas 275°C y 30 minutos</t>
  </si>
  <si>
    <t>Historial de pruebas 300°C y 15 minutos</t>
  </si>
  <si>
    <t>Historial de pruebas 300°C y 30 minutos</t>
  </si>
  <si>
    <t>Analisis de Citronela</t>
  </si>
  <si>
    <t>Temperatura</t>
  </si>
  <si>
    <t>Perdida de masa</t>
  </si>
  <si>
    <t>30 minutos</t>
  </si>
  <si>
    <t>15 minutos</t>
  </si>
  <si>
    <t>Analisis de Patchouli</t>
  </si>
  <si>
    <t>Analisis de Palmarosa</t>
  </si>
  <si>
    <t>comparacion en base a especie para introducir en el trabajo</t>
  </si>
  <si>
    <t>comparacion entre diferentes especies en base a 15 y 30 minutos</t>
  </si>
  <si>
    <t>Nota: al parecer las muestras usadas para el experiemento de 24 horas se tomaron en un crison en lugar de una caja de petro, [por lo cual los valores de los conjuntos varian, teniendo en cuenta que durante uno de los procesos se realizo el pesaje, aparentemente sin la tapa o bien por perdida de material en los crisoles.</t>
  </si>
  <si>
    <r>
      <rPr>
        <b/>
        <sz val="14"/>
        <color theme="1"/>
        <rFont val="Calibri"/>
        <family val="2"/>
        <scheme val="minor"/>
      </rPr>
      <t xml:space="preserve">RESULTADOS: </t>
    </r>
    <r>
      <rPr>
        <sz val="14"/>
        <color theme="1"/>
        <rFont val="Calibri"/>
        <family val="2"/>
        <scheme val="minor"/>
      </rPr>
      <t xml:space="preserve">
En esta prueba de cenizas hubieron algunos malentendidos con el manejo de datos, para inicial se tiene  que:   
1. se inician con las dos muestras del proceso anterior y por tanto se entiende que estan en base seca. 
2. Se toman los valores de las masa finalez de las pruebas de volatiles como las masas iniciales de la prueba de cenizas.  
3. se toman los valores del crisol completo como el valor Final de la prueba de volatiles; sin embargo para la probeta A1 se hace una alteracion ya que la pestaña del crisol se rompio y por tanto se pesa nuevamente el valor completo, sabiendo que el valor de la masa de la muestra es el mismo.   
4. los valores calculados se hicieron respecto a la masa remanente (cenizas) y la masa perdida (otros valores).   
5. finalmente se calcula el porcentaje de las cenizas usando la masa remanente y masa inicial del experimento.
6. se requiere calcular el porcentaje del remanete de biomasa en base a los datos iniciales de volatiles.</t>
    </r>
  </si>
  <si>
    <t>% masas remanente desded volatiles</t>
  </si>
  <si>
    <t>Humedad Palmarosa</t>
  </si>
  <si>
    <t>% Perdida 2</t>
  </si>
  <si>
    <t>Porcentual</t>
  </si>
  <si>
    <t>% Perdida 3</t>
  </si>
  <si>
    <t>% Combinado</t>
  </si>
  <si>
    <t>% Perdida 1</t>
  </si>
  <si>
    <t>%Perdida 3</t>
  </si>
  <si>
    <t>% Perdida 4</t>
  </si>
  <si>
    <t>Desviación</t>
  </si>
  <si>
    <t>%perdida 3, 4 y higrometría</t>
  </si>
  <si>
    <t>desviación</t>
  </si>
  <si>
    <t>Higrometría</t>
  </si>
  <si>
    <t>Historial de pruebas 275°C y 15 minutos</t>
  </si>
  <si>
    <t>Combinatoria prueba higrometría, 3 y 4 prueba</t>
  </si>
  <si>
    <t>% Perdida 3}</t>
  </si>
  <si>
    <t>% Perdida 5</t>
  </si>
  <si>
    <t>% Perdida 6</t>
  </si>
  <si>
    <t>Resumen</t>
  </si>
  <si>
    <t>Absorcion promedio de paquetes contenedores de biomasa.</t>
  </si>
  <si>
    <t>perdida agua</t>
  </si>
  <si>
    <t>Absorvida</t>
  </si>
  <si>
    <t>Absorvida (%)</t>
  </si>
  <si>
    <t>#1</t>
  </si>
  <si>
    <t>Secado de biomasas</t>
  </si>
  <si>
    <t>Prueba de higrometria de biomasa</t>
  </si>
  <si>
    <t>Prueba 2 absorcion de agua</t>
  </si>
  <si>
    <t>perdida masa</t>
  </si>
  <si>
    <t>% humedad</t>
  </si>
  <si>
    <t>biomasa</t>
  </si>
  <si>
    <t>agua inicial</t>
  </si>
  <si>
    <t>Agua final</t>
  </si>
  <si>
    <t>perdida por absorcion</t>
  </si>
  <si>
    <t>perdida por absorcion%</t>
  </si>
  <si>
    <t>Muestra final</t>
  </si>
  <si>
    <t>Perdida</t>
  </si>
  <si>
    <t>% Humedad</t>
  </si>
  <si>
    <t>Arbitros para perdida de agua</t>
  </si>
  <si>
    <t>#2</t>
  </si>
  <si>
    <t>Secado de biomasas torrefactadas 275 y 15 minutos</t>
  </si>
  <si>
    <t>Prueba de higrometria de biomasa torrefactada 275 y 15 minutos</t>
  </si>
  <si>
    <t>Prueba 2 absorcion de agua para biomasas torrefactadas a 275 y 15 minutos</t>
  </si>
  <si>
    <t>X1</t>
  </si>
  <si>
    <t>X2</t>
  </si>
  <si>
    <t>Y1</t>
  </si>
  <si>
    <t>Y2</t>
  </si>
  <si>
    <t>Z1</t>
  </si>
  <si>
    <t>Z2</t>
  </si>
  <si>
    <t>Pruebas de absorcio de agua 10 mL.</t>
  </si>
  <si>
    <t>contenedor</t>
  </si>
  <si>
    <t>agua</t>
  </si>
  <si>
    <t>elemento</t>
  </si>
  <si>
    <t>Compensada</t>
  </si>
  <si>
    <t>Compensada (%)</t>
  </si>
  <si>
    <t>Comentario= esta prueba se desecho ya que, la cantidad de agua utilizada era muy poca para considerar que el elemento es capaz de absorver lo maximo</t>
  </si>
  <si>
    <t>Pruebas primera de absorcio de agua 60 mL.</t>
  </si>
  <si>
    <t>Comentario= aunque esta prueba aporta una buena medida sobre el agua "perdida" para confirmar, se necesitaria relizar tambien el pesado y secado del elemento humedo</t>
  </si>
  <si>
    <t>Promedio de absorcion de los paquetes contenedores de biomasa segun se calculo es de= 9.3054</t>
  </si>
  <si>
    <t>Secado de biomasa</t>
  </si>
  <si>
    <t>Prueba 1: absorcion de agua</t>
  </si>
  <si>
    <t>Prueba 2: absorcion de agua</t>
  </si>
  <si>
    <t>Especie: Citronela. Intento 1</t>
  </si>
  <si>
    <t>post</t>
  </si>
  <si>
    <t>post pegado</t>
  </si>
  <si>
    <t>vaso</t>
  </si>
  <si>
    <t>perdida%</t>
  </si>
  <si>
    <t>Contenedor</t>
  </si>
  <si>
    <t>Especie: Patchouli. Intento 1</t>
  </si>
  <si>
    <t>Especie: Palmarosa. Intento 1</t>
  </si>
  <si>
    <t>Especie: Citronela. Intento 2</t>
  </si>
  <si>
    <t>Especie: Patchouli. Intento 2</t>
  </si>
  <si>
    <t>Prueba de higrometria para torrefacciones</t>
  </si>
  <si>
    <t>Especie: Citronela. 275 y 15 Intento 1</t>
  </si>
  <si>
    <t>Especie: Patchouli. 275 y 15  Intento 1</t>
  </si>
  <si>
    <t>Especie: Palmarosa. 275 y 15 Intento 1</t>
  </si>
  <si>
    <t>CITRONELA</t>
  </si>
  <si>
    <t>PATCHOULI</t>
  </si>
  <si>
    <t>PALMAROSA</t>
  </si>
  <si>
    <t>ESPECIMEN</t>
  </si>
  <si>
    <t>PODER</t>
  </si>
  <si>
    <t>X3</t>
  </si>
  <si>
    <t>X4</t>
  </si>
  <si>
    <t>X7</t>
  </si>
  <si>
    <t>X8</t>
  </si>
  <si>
    <t>X5</t>
  </si>
  <si>
    <t>X6</t>
  </si>
  <si>
    <t>TEMPERATURA</t>
  </si>
  <si>
    <t>TIEMPO MIN.</t>
  </si>
  <si>
    <t>Y3</t>
  </si>
  <si>
    <t>Y4</t>
  </si>
  <si>
    <t>Y7</t>
  </si>
  <si>
    <t>Y8</t>
  </si>
  <si>
    <t>Y5</t>
  </si>
  <si>
    <t>Y6</t>
  </si>
  <si>
    <t>Z3</t>
  </si>
  <si>
    <t>Z4</t>
  </si>
  <si>
    <t>Z7</t>
  </si>
  <si>
    <t>Z8</t>
  </si>
  <si>
    <t>Z5</t>
  </si>
  <si>
    <t>Z6</t>
  </si>
  <si>
    <t>masa</t>
  </si>
  <si>
    <t>acido</t>
  </si>
  <si>
    <t>poder</t>
  </si>
  <si>
    <t>X1.1</t>
  </si>
  <si>
    <t>X1.2</t>
  </si>
  <si>
    <t>X.1.3.2</t>
  </si>
  <si>
    <t>X2.1</t>
  </si>
  <si>
    <t>X2.2</t>
  </si>
  <si>
    <t>X3.1</t>
  </si>
  <si>
    <t>X3.2</t>
  </si>
  <si>
    <t>X4.1</t>
  </si>
  <si>
    <t>X4.2</t>
  </si>
  <si>
    <t>X7.1</t>
  </si>
  <si>
    <t>X8.1</t>
  </si>
  <si>
    <t>X5.1</t>
  </si>
  <si>
    <t>X6.1</t>
  </si>
  <si>
    <t>Y1.1</t>
  </si>
  <si>
    <t>Y1.2</t>
  </si>
  <si>
    <t>Y.1.2.1</t>
  </si>
  <si>
    <t>Y2.1</t>
  </si>
  <si>
    <t>Y2.2</t>
  </si>
  <si>
    <t>Y3.1</t>
  </si>
  <si>
    <t>Y3.2</t>
  </si>
  <si>
    <t>Y4.1</t>
  </si>
  <si>
    <t>Y4.2</t>
  </si>
  <si>
    <t>Y7.1</t>
  </si>
  <si>
    <t>Y8.1</t>
  </si>
  <si>
    <t>Y5.1</t>
  </si>
  <si>
    <t>Y6.1</t>
  </si>
  <si>
    <t>Z1.1</t>
  </si>
  <si>
    <t>Z1.2</t>
  </si>
  <si>
    <t>Z2.1</t>
  </si>
  <si>
    <t>Z2.2</t>
  </si>
  <si>
    <t>Z3.1</t>
  </si>
  <si>
    <t>Z3.2</t>
  </si>
  <si>
    <t>Z4.1</t>
  </si>
  <si>
    <t>Z4.2.1</t>
  </si>
  <si>
    <t>Z7.1</t>
  </si>
  <si>
    <t>Z8.1</t>
  </si>
  <si>
    <t>Z5.1</t>
  </si>
  <si>
    <t>Z6.1</t>
  </si>
  <si>
    <t>Secado de torrefacciones para hacer pruebas de calorimetrias.</t>
  </si>
  <si>
    <t>Especimen</t>
  </si>
  <si>
    <t>Remanente</t>
  </si>
  <si>
    <t>%Humedad</t>
  </si>
  <si>
    <t>%Promedio</t>
  </si>
  <si>
    <t>X7.2</t>
  </si>
  <si>
    <t>X8.2</t>
  </si>
  <si>
    <t>X5.2</t>
  </si>
  <si>
    <t>X6.2</t>
  </si>
  <si>
    <t>Y7.2</t>
  </si>
  <si>
    <t>Y8.2</t>
  </si>
  <si>
    <t>Y5.2</t>
  </si>
  <si>
    <t>Y6.2</t>
  </si>
  <si>
    <t>Z4.2</t>
  </si>
  <si>
    <t>Z7.2</t>
  </si>
  <si>
    <t>Z8.2</t>
  </si>
  <si>
    <t>Z5.2</t>
  </si>
  <si>
    <t>Z6.2</t>
  </si>
  <si>
    <t>Tratamiento</t>
  </si>
  <si>
    <r>
      <t>200</t>
    </r>
    <r>
      <rPr>
        <sz val="11"/>
        <color theme="1"/>
        <rFont val="Calibri"/>
        <family val="2"/>
      </rPr>
      <t>°C 15 minutos</t>
    </r>
  </si>
  <si>
    <r>
      <t>200</t>
    </r>
    <r>
      <rPr>
        <sz val="11"/>
        <color theme="1"/>
        <rFont val="Calibri"/>
        <family val="2"/>
      </rPr>
      <t>°C 30 minutos</t>
    </r>
  </si>
  <si>
    <r>
      <t>250</t>
    </r>
    <r>
      <rPr>
        <sz val="11"/>
        <color theme="1"/>
        <rFont val="Calibri"/>
        <family val="2"/>
      </rPr>
      <t>°C 15 minutos</t>
    </r>
  </si>
  <si>
    <r>
      <t>250</t>
    </r>
    <r>
      <rPr>
        <sz val="11"/>
        <color theme="1"/>
        <rFont val="Calibri"/>
        <family val="2"/>
      </rPr>
      <t>°C 30 minutos</t>
    </r>
  </si>
  <si>
    <t>275°C 15 minutos</t>
  </si>
  <si>
    <t>275°C 30 minutos</t>
  </si>
  <si>
    <t>300°C 15 minutos</t>
  </si>
  <si>
    <t>300°C 30 minutos</t>
  </si>
  <si>
    <t>%Humedad de biomasas tratadas</t>
  </si>
  <si>
    <t>Poderes caloríficos de biomasas torrefactadas en MJ/Kg.</t>
  </si>
  <si>
    <t>Qcal MJ/Kg</t>
  </si>
  <si>
    <t>CE</t>
  </si>
  <si>
    <t>η</t>
  </si>
  <si>
    <t>EA</t>
  </si>
  <si>
    <t>Comparación de poderes caloríficos</t>
  </si>
  <si>
    <t xml:space="preserve"> Carbón carbonizado MJ/Kg</t>
  </si>
  <si>
    <t>Densidad energética del Carbón carbonizado 32 MJ/Kg</t>
  </si>
  <si>
    <t>Espécimen</t>
  </si>
  <si>
    <t>Análisis de energía aprovechable</t>
  </si>
  <si>
    <t>Análisis de comparación másica</t>
  </si>
  <si>
    <t>Comparacion entre poderes calorificos en MJ/Kg.</t>
  </si>
  <si>
    <t>CITRONELA VIRGEN:</t>
  </si>
  <si>
    <t>PATCHOULI VIRGEN:</t>
  </si>
  <si>
    <t>PALMAROSA VIRGEN:</t>
  </si>
  <si>
    <t>% Perdida masa</t>
  </si>
  <si>
    <t>% RMe</t>
  </si>
  <si>
    <t>% Rendimiento masico del carbón por carbonización</t>
  </si>
  <si>
    <t>CM</t>
  </si>
  <si>
    <t>Comparacion de absorcion de humedad</t>
  </si>
  <si>
    <t>CA</t>
  </si>
  <si>
    <t>% Humedad absorvida por el carbon a 83% de humedad relavita</t>
  </si>
  <si>
    <t>CAc</t>
  </si>
  <si>
    <t>% Humedad absorvida por el carbon a 83% de humedad relavita.</t>
  </si>
  <si>
    <t>% Rendimiento masico del carbón por carbonización.</t>
  </si>
  <si>
    <t>CTT</t>
  </si>
  <si>
    <t>Calculo de calidad de tratamiento termico %</t>
  </si>
  <si>
    <t>Mejor opcion</t>
  </si>
  <si>
    <t>Segunda mejor opcion</t>
  </si>
  <si>
    <t>Tercera mejor opcion</t>
  </si>
  <si>
    <t>humedad_teoricapalmarosa=6.27099088E+00-1.00736577E-02*T-1.05179893E-05*T^2</t>
  </si>
  <si>
    <t>Muestra inicial</t>
  </si>
  <si>
    <t>Perdida masa</t>
  </si>
  <si>
    <t>Biomasa</t>
  </si>
  <si>
    <t>Agua inicial</t>
  </si>
  <si>
    <t>Perdida por absorcion</t>
  </si>
  <si>
    <t>Perdida por absorcion%</t>
  </si>
  <si>
    <t>Agua absorvida por biomasa</t>
  </si>
  <si>
    <t>Agua absorvida por biomasa%</t>
  </si>
  <si>
    <t>Humedad%</t>
  </si>
  <si>
    <t>Volátiles%</t>
  </si>
  <si>
    <t>Cenizas%</t>
  </si>
  <si>
    <t>Carbón Fijo%</t>
  </si>
  <si>
    <t>Carbono %</t>
  </si>
  <si>
    <t>Hidrogeno %</t>
  </si>
  <si>
    <t>Oxigeno %</t>
  </si>
  <si>
    <t>Otros elementos</t>
  </si>
  <si>
    <t>Analisis comparativo</t>
  </si>
  <si>
    <t>Biomasa o espécimen</t>
  </si>
  <si>
    <t>Aspectos para comparar</t>
  </si>
  <si>
    <t>Sin tratamiento térmico (%)</t>
  </si>
  <si>
    <t>Con tratamiento térmico 7 (%)</t>
  </si>
  <si>
    <t>Diferencia</t>
  </si>
  <si>
    <t>Humedad inicial</t>
  </si>
  <si>
    <t>Agua absorbida por biomasa (1 gr seca)</t>
  </si>
  <si>
    <t>Humedad liberada (2 gr en biomasa humedad)</t>
  </si>
  <si>
    <t>Patchoulii</t>
  </si>
  <si>
    <t>Diferencia %</t>
  </si>
  <si>
    <t>COMPARACION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</si>
</sst>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0"/>
  </numFmts>
  <fonts count="2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sz val="11"/>
      <color theme="1"/>
      <name val="Calibri"/>
      <family val="2"/>
    </font>
    <font>
      <b/>
      <sz val="16"/>
      <color theme="1"/>
      <name val="Calibri"/>
      <family val="2"/>
      <scheme val="minor"/>
    </font>
    <font>
      <b/>
      <sz val="11"/>
      <color rgb="FFFF0000"/>
      <name val="Calibri"/>
      <family val="2"/>
      <scheme val="minor"/>
    </font>
    <font>
      <sz val="14"/>
      <color theme="1"/>
      <name val="Calibri"/>
      <family val="2"/>
      <scheme val="minor"/>
    </font>
    <font>
      <sz val="11"/>
      <name val="Calibri"/>
      <family val="2"/>
      <scheme val="minor"/>
    </font>
    <font>
      <sz val="18"/>
      <color theme="1"/>
      <name val="Calibri"/>
      <family val="2"/>
      <scheme val="minor"/>
    </font>
    <font>
      <sz val="16"/>
      <color theme="1"/>
      <name val="Calibri"/>
      <family val="2"/>
      <scheme val="minor"/>
    </font>
    <font>
      <sz val="10"/>
      <color theme="1"/>
      <name val="Calibri"/>
      <family val="2"/>
      <scheme val="minor"/>
    </font>
    <font>
      <sz val="12"/>
      <name val="Calibri"/>
      <family val="2"/>
      <scheme val="minor"/>
    </font>
    <font>
      <sz val="12"/>
      <color rgb="FF000000"/>
      <name val="Arial"/>
      <family val="2"/>
    </font>
    <font>
      <sz val="11"/>
      <color rgb="FF000000"/>
      <name val="Arial"/>
      <family val="2"/>
    </font>
    <font>
      <sz val="11"/>
      <color theme="1"/>
      <name val="Arial"/>
      <family val="2"/>
    </font>
    <font>
      <sz val="10"/>
      <color rgb="FF000000"/>
      <name val="Arial"/>
      <family val="2"/>
    </font>
    <font>
      <sz val="12"/>
      <color rgb="FFC00000"/>
      <name val="Calibri"/>
      <family val="2"/>
      <scheme val="minor"/>
    </font>
    <font>
      <sz val="10"/>
      <color theme="1"/>
      <name val="Arial"/>
      <family val="2"/>
    </font>
  </fonts>
  <fills count="35">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4"/>
        <bgColor indexed="64"/>
      </patternFill>
    </fill>
    <fill>
      <patternFill patternType="solid">
        <fgColor theme="5" tint="0.59999389629810485"/>
        <bgColor indexed="64"/>
      </patternFill>
    </fill>
    <fill>
      <patternFill patternType="solid">
        <fgColor rgb="FF00FF00"/>
        <bgColor indexed="64"/>
      </patternFill>
    </fill>
    <fill>
      <patternFill patternType="solid">
        <fgColor rgb="FFFFF2CC"/>
        <bgColor rgb="FF000000"/>
      </patternFill>
    </fill>
    <fill>
      <patternFill patternType="solid">
        <fgColor rgb="FFDDEBF7"/>
        <bgColor rgb="FF000000"/>
      </patternFill>
    </fill>
    <fill>
      <patternFill patternType="solid">
        <fgColor rgb="FF5B9BD5"/>
        <bgColor rgb="FF000000"/>
      </patternFill>
    </fill>
    <fill>
      <patternFill patternType="solid">
        <fgColor rgb="FFF8CBAD"/>
        <bgColor rgb="FF000000"/>
      </patternFill>
    </fill>
    <fill>
      <patternFill patternType="solid">
        <fgColor rgb="FFFFFF00"/>
        <bgColor rgb="FF000000"/>
      </patternFill>
    </fill>
    <fill>
      <patternFill patternType="solid">
        <fgColor rgb="FF00B0F0"/>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00FF00"/>
        <bgColor rgb="FF000000"/>
      </patternFill>
    </fill>
    <fill>
      <patternFill patternType="solid">
        <fgColor theme="5" tint="0.79998168889431442"/>
        <bgColor indexed="64"/>
      </patternFill>
    </fill>
    <fill>
      <patternFill patternType="solid">
        <fgColor rgb="FFFCE4D6"/>
        <bgColor rgb="FF000000"/>
      </patternFill>
    </fill>
    <fill>
      <patternFill patternType="solid">
        <fgColor rgb="FFFFC0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7" tint="0.59999389629810485"/>
        <bgColor rgb="FF000000"/>
      </patternFill>
    </fill>
    <fill>
      <patternFill patternType="solid">
        <fgColor rgb="FFFFE599"/>
        <bgColor indexed="64"/>
      </patternFill>
    </fill>
    <fill>
      <patternFill patternType="solid">
        <fgColor rgb="FFF7CAAC"/>
        <bgColor indexed="64"/>
      </patternFill>
    </fill>
    <fill>
      <patternFill patternType="solid">
        <fgColor rgb="FF9CC2E5"/>
        <bgColor indexed="64"/>
      </patternFill>
    </fill>
    <fill>
      <patternFill patternType="solid">
        <fgColor rgb="FFFBE4D5"/>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1043">
    <xf numFmtId="0" fontId="0" fillId="0" borderId="0" xfId="0"/>
    <xf numFmtId="0" fontId="0" fillId="5" borderId="1" xfId="0" applyFill="1" applyBorder="1" applyAlignment="1">
      <alignment horizontal="center"/>
    </xf>
    <xf numFmtId="0" fontId="0" fillId="3" borderId="13" xfId="0" applyFill="1" applyBorder="1" applyAlignment="1">
      <alignment horizontal="center" vertical="center"/>
    </xf>
    <xf numFmtId="0" fontId="0" fillId="3" borderId="1" xfId="0" applyFill="1" applyBorder="1" applyAlignment="1">
      <alignment horizontal="center"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6" xfId="0" applyBorder="1" applyAlignment="1">
      <alignment horizontal="center" vertical="center"/>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0" fillId="7" borderId="0" xfId="0" applyFill="1" applyAlignment="1">
      <alignment horizontal="center" vertical="center"/>
    </xf>
    <xf numFmtId="0" fontId="0" fillId="6" borderId="2" xfId="0" applyFill="1" applyBorder="1" applyAlignment="1">
      <alignment horizontal="center" vertical="center"/>
    </xf>
    <xf numFmtId="0" fontId="0" fillId="6" borderId="4" xfId="0" applyFill="1" applyBorder="1" applyAlignment="1">
      <alignment horizontal="center" vertical="center"/>
    </xf>
    <xf numFmtId="0" fontId="0" fillId="0" borderId="17" xfId="0" applyBorder="1" applyAlignment="1">
      <alignment horizontal="center" vertical="center"/>
    </xf>
    <xf numFmtId="0" fontId="0" fillId="7" borderId="5" xfId="0" applyFill="1" applyBorder="1" applyAlignment="1">
      <alignment horizontal="center"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0" fillId="7" borderId="8" xfId="0" applyFill="1" applyBorder="1" applyAlignment="1">
      <alignment horizontal="center" vertical="center"/>
    </xf>
    <xf numFmtId="0" fontId="0" fillId="6" borderId="14" xfId="0" applyFill="1" applyBorder="1" applyAlignment="1">
      <alignment horizontal="center" vertical="center"/>
    </xf>
    <xf numFmtId="0" fontId="0" fillId="8" borderId="1" xfId="0" applyFill="1" applyBorder="1" applyAlignment="1">
      <alignment horizontal="center" vertical="center"/>
    </xf>
    <xf numFmtId="0" fontId="0" fillId="0" borderId="18" xfId="0" applyBorder="1" applyAlignment="1">
      <alignment horizontal="center" vertical="center"/>
    </xf>
    <xf numFmtId="0" fontId="0" fillId="7" borderId="7" xfId="0" applyFill="1" applyBorder="1" applyAlignment="1">
      <alignment horizontal="center" vertical="center"/>
    </xf>
    <xf numFmtId="0" fontId="0" fillId="6" borderId="7" xfId="0" applyFill="1" applyBorder="1" applyAlignment="1">
      <alignment horizontal="center" vertical="center"/>
    </xf>
    <xf numFmtId="0" fontId="0" fillId="6" borderId="9" xfId="0" applyFill="1" applyBorder="1" applyAlignment="1">
      <alignment horizontal="center" vertical="center"/>
    </xf>
    <xf numFmtId="0" fontId="0" fillId="6" borderId="15" xfId="0" applyFill="1" applyBorder="1" applyAlignment="1">
      <alignment horizontal="center" vertical="center"/>
    </xf>
    <xf numFmtId="0" fontId="0" fillId="6" borderId="19" xfId="0" applyFill="1" applyBorder="1" applyAlignment="1">
      <alignment horizontal="center" vertical="center"/>
    </xf>
    <xf numFmtId="0" fontId="0" fillId="7" borderId="15" xfId="0" applyFill="1" applyBorder="1" applyAlignment="1">
      <alignment horizontal="center" vertical="center"/>
    </xf>
    <xf numFmtId="0" fontId="0" fillId="7" borderId="19" xfId="0" applyFill="1" applyBorder="1" applyAlignment="1">
      <alignment horizontal="center" vertical="center"/>
    </xf>
    <xf numFmtId="0" fontId="0" fillId="3" borderId="12" xfId="0" applyFill="1" applyBorder="1" applyAlignment="1">
      <alignment horizontal="center" vertical="center"/>
    </xf>
    <xf numFmtId="0" fontId="0" fillId="8" borderId="5" xfId="0" applyFill="1" applyBorder="1" applyAlignment="1">
      <alignment horizontal="center" vertical="center"/>
    </xf>
    <xf numFmtId="0" fontId="0" fillId="8" borderId="0" xfId="0" applyFill="1" applyAlignment="1">
      <alignment horizontal="center" vertical="center"/>
    </xf>
    <xf numFmtId="0" fontId="0" fillId="8" borderId="6" xfId="0" applyFill="1" applyBorder="1" applyAlignment="1">
      <alignment horizontal="center" vertical="center"/>
    </xf>
    <xf numFmtId="0" fontId="0" fillId="6" borderId="6" xfId="0" applyFill="1" applyBorder="1" applyAlignment="1">
      <alignment horizontal="center"/>
    </xf>
    <xf numFmtId="0" fontId="0" fillId="8" borderId="0" xfId="0" applyFill="1" applyAlignment="1">
      <alignment horizont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6" borderId="9" xfId="0" applyFill="1" applyBorder="1" applyAlignment="1">
      <alignment horizontal="center"/>
    </xf>
    <xf numFmtId="0" fontId="0" fillId="8" borderId="8" xfId="0" applyFill="1" applyBorder="1" applyAlignment="1">
      <alignment horizont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6" borderId="4" xfId="0" applyFill="1" applyBorder="1" applyAlignment="1">
      <alignment horizontal="center"/>
    </xf>
    <xf numFmtId="0" fontId="0" fillId="8" borderId="3" xfId="0" applyFill="1" applyBorder="1" applyAlignment="1">
      <alignment horizontal="center"/>
    </xf>
    <xf numFmtId="0" fontId="0" fillId="0" borderId="23" xfId="0" applyBorder="1" applyAlignment="1">
      <alignment horizontal="center" vertical="center"/>
    </xf>
    <xf numFmtId="0" fontId="0" fillId="0" borderId="19" xfId="0" applyBorder="1" applyAlignment="1">
      <alignment horizontal="center" vertical="center"/>
    </xf>
    <xf numFmtId="0" fontId="0" fillId="6" borderId="0" xfId="0" applyFill="1" applyAlignment="1">
      <alignment horizontal="center" vertical="center"/>
    </xf>
    <xf numFmtId="0" fontId="0" fillId="3" borderId="11" xfId="0" applyFill="1" applyBorder="1" applyAlignment="1">
      <alignment horizontal="center" vertical="center"/>
    </xf>
    <xf numFmtId="0" fontId="0" fillId="8" borderId="6" xfId="0" applyFill="1" applyBorder="1" applyAlignment="1">
      <alignment horizontal="center"/>
    </xf>
    <xf numFmtId="0" fontId="0" fillId="6" borderId="5" xfId="0" applyFill="1" applyBorder="1" applyAlignment="1">
      <alignment horizontal="center"/>
    </xf>
    <xf numFmtId="0" fontId="0" fillId="6" borderId="0" xfId="0" applyFill="1" applyAlignment="1">
      <alignment horizontal="center"/>
    </xf>
    <xf numFmtId="0" fontId="0" fillId="8" borderId="2" xfId="0" applyFill="1" applyBorder="1" applyAlignment="1">
      <alignment horizontal="center"/>
    </xf>
    <xf numFmtId="0" fontId="0" fillId="8" borderId="4" xfId="0"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8" borderId="5" xfId="0" applyFill="1" applyBorder="1"/>
    <xf numFmtId="0" fontId="0" fillId="8" borderId="0" xfId="0" applyFill="1"/>
    <xf numFmtId="0" fontId="0" fillId="8" borderId="6" xfId="0" applyFill="1" applyBorder="1"/>
    <xf numFmtId="0" fontId="0" fillId="6" borderId="2" xfId="0" applyFill="1" applyBorder="1"/>
    <xf numFmtId="0" fontId="0" fillId="6" borderId="3" xfId="0" applyFill="1" applyBorder="1"/>
    <xf numFmtId="0" fontId="0" fillId="6" borderId="4" xfId="0" applyFill="1" applyBorder="1"/>
    <xf numFmtId="0" fontId="0" fillId="8" borderId="5" xfId="0" applyFill="1" applyBorder="1" applyAlignment="1">
      <alignment horizontal="center"/>
    </xf>
    <xf numFmtId="0" fontId="0" fillId="6" borderId="5" xfId="0" applyFill="1" applyBorder="1"/>
    <xf numFmtId="0" fontId="0" fillId="6" borderId="0" xfId="0" applyFill="1"/>
    <xf numFmtId="0" fontId="0" fillId="6" borderId="6" xfId="0" applyFill="1" applyBorder="1"/>
    <xf numFmtId="0" fontId="0" fillId="8" borderId="9"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0" fillId="8" borderId="7" xfId="0" applyFill="1" applyBorder="1" applyAlignment="1">
      <alignment horizontal="center"/>
    </xf>
    <xf numFmtId="0" fontId="0" fillId="8" borderId="7" xfId="0" applyFill="1" applyBorder="1"/>
    <xf numFmtId="0" fontId="0" fillId="6" borderId="7" xfId="0" applyFill="1" applyBorder="1"/>
    <xf numFmtId="0" fontId="0" fillId="6" borderId="8" xfId="0" applyFill="1" applyBorder="1"/>
    <xf numFmtId="0" fontId="0" fillId="6" borderId="9" xfId="0" applyFill="1" applyBorder="1"/>
    <xf numFmtId="0" fontId="0" fillId="8" borderId="8" xfId="0" applyFill="1" applyBorder="1"/>
    <xf numFmtId="0" fontId="0" fillId="8" borderId="9" xfId="0" applyFill="1" applyBorder="1"/>
    <xf numFmtId="0" fontId="0" fillId="9" borderId="26" xfId="0" applyFill="1" applyBorder="1"/>
    <xf numFmtId="0" fontId="0" fillId="0" borderId="26" xfId="0" applyBorder="1"/>
    <xf numFmtId="0" fontId="0" fillId="0" borderId="29" xfId="0" applyBorder="1"/>
    <xf numFmtId="0" fontId="0" fillId="9" borderId="0" xfId="0" applyFill="1"/>
    <xf numFmtId="0" fontId="0" fillId="0" borderId="24" xfId="0" applyBorder="1"/>
    <xf numFmtId="0" fontId="0" fillId="7" borderId="4" xfId="0" applyFill="1" applyBorder="1" applyAlignment="1">
      <alignment horizontal="center" vertical="center"/>
    </xf>
    <xf numFmtId="0" fontId="0" fillId="7" borderId="6" xfId="0" applyFill="1" applyBorder="1" applyAlignment="1">
      <alignment horizontal="center" vertical="center"/>
    </xf>
    <xf numFmtId="0" fontId="0" fillId="6" borderId="1" xfId="0" applyFill="1" applyBorder="1" applyAlignment="1">
      <alignment horizontal="center"/>
    </xf>
    <xf numFmtId="0" fontId="0" fillId="7" borderId="1" xfId="0" applyFill="1" applyBorder="1" applyAlignment="1">
      <alignment horizontal="center"/>
    </xf>
    <xf numFmtId="0" fontId="0" fillId="8" borderId="1" xfId="0" applyFill="1" applyBorder="1" applyAlignment="1">
      <alignment horizontal="center"/>
    </xf>
    <xf numFmtId="0" fontId="0" fillId="6" borderId="23" xfId="0" applyFill="1" applyBorder="1" applyAlignment="1">
      <alignment horizontal="center" vertical="center"/>
    </xf>
    <xf numFmtId="0" fontId="0" fillId="7" borderId="9" xfId="0" applyFill="1" applyBorder="1" applyAlignment="1">
      <alignment horizontal="center" vertical="center"/>
    </xf>
    <xf numFmtId="0" fontId="0" fillId="6" borderId="8" xfId="0" applyFill="1" applyBorder="1" applyAlignment="1">
      <alignment horizontal="center" vertical="center"/>
    </xf>
    <xf numFmtId="0" fontId="0" fillId="9" borderId="8" xfId="0" applyFill="1" applyBorder="1"/>
    <xf numFmtId="0" fontId="0" fillId="0" borderId="21" xfId="0" applyBorder="1"/>
    <xf numFmtId="0" fontId="0" fillId="9" borderId="3" xfId="0" applyFill="1" applyBorder="1"/>
    <xf numFmtId="0" fontId="0" fillId="7" borderId="23" xfId="0" applyFill="1" applyBorder="1" applyAlignment="1">
      <alignment horizontal="center" vertical="center"/>
    </xf>
    <xf numFmtId="0" fontId="0" fillId="3" borderId="1" xfId="0" applyFill="1" applyBorder="1" applyAlignment="1">
      <alignment horizontal="center"/>
    </xf>
    <xf numFmtId="0" fontId="0" fillId="3" borderId="20" xfId="0" applyFill="1" applyBorder="1" applyAlignment="1">
      <alignment horizontal="center"/>
    </xf>
    <xf numFmtId="0" fontId="0" fillId="8" borderId="23" xfId="0" applyFill="1" applyBorder="1" applyAlignment="1">
      <alignment horizontal="center" vertical="center"/>
    </xf>
    <xf numFmtId="0" fontId="0" fillId="6" borderId="23" xfId="0" applyFill="1" applyBorder="1" applyAlignment="1">
      <alignment horizontal="center"/>
    </xf>
    <xf numFmtId="0" fontId="0" fillId="8" borderId="23" xfId="0" applyFill="1" applyBorder="1" applyAlignment="1">
      <alignment horizontal="center"/>
    </xf>
    <xf numFmtId="0" fontId="0" fillId="8" borderId="19" xfId="0" applyFill="1" applyBorder="1" applyAlignment="1">
      <alignment horizontal="center" vertical="center"/>
    </xf>
    <xf numFmtId="0" fontId="0" fillId="6" borderId="19" xfId="0" applyFill="1" applyBorder="1" applyAlignment="1">
      <alignment horizontal="center"/>
    </xf>
    <xf numFmtId="0" fontId="0" fillId="8" borderId="19" xfId="0" applyFill="1" applyBorder="1" applyAlignment="1">
      <alignment horizontal="center"/>
    </xf>
    <xf numFmtId="0" fontId="0" fillId="3" borderId="5" xfId="0" applyFill="1" applyBorder="1" applyAlignment="1">
      <alignment horizontal="center" vertical="center"/>
    </xf>
    <xf numFmtId="0" fontId="0" fillId="0" borderId="5" xfId="0" applyBorder="1" applyAlignment="1">
      <alignment horizontal="center"/>
    </xf>
    <xf numFmtId="0" fontId="0" fillId="0" borderId="0" xfId="0" applyAlignment="1">
      <alignment horizontal="center"/>
    </xf>
    <xf numFmtId="0" fontId="0" fillId="10" borderId="6" xfId="0" applyFill="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30" xfId="0" applyBorder="1" applyAlignment="1">
      <alignment horizontal="center" vertical="center"/>
    </xf>
    <xf numFmtId="0" fontId="0" fillId="7" borderId="31" xfId="0" applyFill="1" applyBorder="1" applyAlignment="1">
      <alignment horizontal="center" vertical="center"/>
    </xf>
    <xf numFmtId="0" fontId="0" fillId="7" borderId="32" xfId="0" applyFill="1" applyBorder="1" applyAlignment="1">
      <alignment horizontal="center" vertical="center"/>
    </xf>
    <xf numFmtId="0" fontId="0" fillId="7" borderId="33" xfId="0" applyFill="1" applyBorder="1" applyAlignment="1">
      <alignment horizontal="center" vertical="center"/>
    </xf>
    <xf numFmtId="0" fontId="0" fillId="6" borderId="32" xfId="0" applyFill="1" applyBorder="1" applyAlignment="1">
      <alignment horizontal="center" vertical="center"/>
    </xf>
    <xf numFmtId="0" fontId="0" fillId="0" borderId="32" xfId="0" applyBorder="1"/>
    <xf numFmtId="0" fontId="0" fillId="0" borderId="34" xfId="0" applyBorder="1"/>
    <xf numFmtId="0" fontId="0" fillId="3" borderId="14" xfId="0" applyFill="1" applyBorder="1" applyAlignment="1">
      <alignment horizontal="center"/>
    </xf>
    <xf numFmtId="0" fontId="0" fillId="11" borderId="17" xfId="0" applyFill="1" applyBorder="1" applyAlignment="1">
      <alignment horizontal="center" vertical="center"/>
    </xf>
    <xf numFmtId="0" fontId="0" fillId="11" borderId="5" xfId="0" applyFill="1" applyBorder="1" applyAlignment="1">
      <alignment horizontal="center" vertical="center"/>
    </xf>
    <xf numFmtId="0" fontId="0" fillId="11" borderId="0" xfId="0" applyFill="1" applyAlignment="1">
      <alignment horizontal="center" vertical="center"/>
    </xf>
    <xf numFmtId="0" fontId="0" fillId="11" borderId="6" xfId="0" applyFill="1" applyBorder="1" applyAlignment="1">
      <alignment horizontal="center" vertical="center"/>
    </xf>
    <xf numFmtId="0" fontId="1" fillId="0" borderId="0" xfId="0" applyFont="1" applyAlignment="1">
      <alignment horizontal="center"/>
    </xf>
    <xf numFmtId="0" fontId="0" fillId="9" borderId="15" xfId="0" applyFill="1" applyBorder="1"/>
    <xf numFmtId="0" fontId="0" fillId="9" borderId="23" xfId="0" applyFill="1" applyBorder="1"/>
    <xf numFmtId="0" fontId="0" fillId="3" borderId="1" xfId="0" applyFill="1" applyBorder="1"/>
    <xf numFmtId="0" fontId="0" fillId="9" borderId="19" xfId="0" applyFill="1" applyBorder="1"/>
    <xf numFmtId="0" fontId="0" fillId="8" borderId="15" xfId="0" applyFill="1" applyBorder="1" applyAlignment="1">
      <alignment horizontal="center"/>
    </xf>
    <xf numFmtId="0" fontId="0" fillId="7" borderId="23" xfId="0" applyFill="1" applyBorder="1" applyAlignment="1">
      <alignment horizontal="center"/>
    </xf>
    <xf numFmtId="0" fontId="0" fillId="7" borderId="19" xfId="0" applyFill="1" applyBorder="1" applyAlignment="1">
      <alignment horizontal="center"/>
    </xf>
    <xf numFmtId="0" fontId="0" fillId="6" borderId="3" xfId="0" applyFill="1" applyBorder="1" applyAlignment="1">
      <alignment horizontal="center" vertical="center"/>
    </xf>
    <xf numFmtId="0" fontId="0" fillId="0" borderId="23" xfId="0" applyBorder="1" applyAlignment="1">
      <alignment horizontal="center"/>
    </xf>
    <xf numFmtId="0" fontId="0" fillId="0" borderId="19" xfId="0" applyBorder="1" applyAlignment="1">
      <alignment horizontal="center"/>
    </xf>
    <xf numFmtId="0" fontId="0" fillId="3" borderId="19" xfId="0" applyFill="1" applyBorder="1" applyAlignment="1">
      <alignment horizontal="center"/>
    </xf>
    <xf numFmtId="0" fontId="0" fillId="3" borderId="9"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10" borderId="4" xfId="0" applyFill="1" applyBorder="1" applyAlignment="1">
      <alignment horizontal="center"/>
    </xf>
    <xf numFmtId="0" fontId="0" fillId="10" borderId="0" xfId="0" applyFill="1" applyAlignment="1">
      <alignment horizontal="center"/>
    </xf>
    <xf numFmtId="0" fontId="0" fillId="0" borderId="4" xfId="0" applyBorder="1" applyAlignment="1">
      <alignment horizontal="center"/>
    </xf>
    <xf numFmtId="0" fontId="0" fillId="11" borderId="30" xfId="0" applyFill="1" applyBorder="1" applyAlignment="1">
      <alignment horizontal="center" vertical="center"/>
    </xf>
    <xf numFmtId="0" fontId="0" fillId="11" borderId="31" xfId="0" applyFill="1" applyBorder="1" applyAlignment="1">
      <alignment horizontal="center" vertical="center"/>
    </xf>
    <xf numFmtId="0" fontId="0" fillId="11" borderId="32" xfId="0" applyFill="1" applyBorder="1" applyAlignment="1">
      <alignment horizontal="center" vertical="center"/>
    </xf>
    <xf numFmtId="0" fontId="0" fillId="11" borderId="33" xfId="0" applyFill="1" applyBorder="1" applyAlignment="1">
      <alignment horizontal="center" vertical="center"/>
    </xf>
    <xf numFmtId="0" fontId="0" fillId="3" borderId="12" xfId="0" applyFill="1" applyBorder="1" applyAlignment="1">
      <alignment horizontal="center"/>
    </xf>
    <xf numFmtId="0" fontId="0" fillId="7" borderId="5" xfId="0" applyFill="1" applyBorder="1" applyAlignment="1">
      <alignment horizontal="center"/>
    </xf>
    <xf numFmtId="0" fontId="0" fillId="12" borderId="0" xfId="0" applyFill="1" applyAlignment="1">
      <alignment horizontal="center"/>
    </xf>
    <xf numFmtId="0" fontId="0" fillId="7" borderId="6" xfId="0" applyFill="1" applyBorder="1" applyAlignment="1">
      <alignment horizontal="center"/>
    </xf>
    <xf numFmtId="0" fontId="0" fillId="12" borderId="5" xfId="0" applyFill="1" applyBorder="1" applyAlignment="1">
      <alignment horizontal="center"/>
    </xf>
    <xf numFmtId="0" fontId="0" fillId="7" borderId="0" xfId="0" applyFill="1" applyAlignment="1">
      <alignment horizontal="center"/>
    </xf>
    <xf numFmtId="0" fontId="0" fillId="12" borderId="6" xfId="0" applyFill="1" applyBorder="1" applyAlignment="1">
      <alignment horizontal="center"/>
    </xf>
    <xf numFmtId="0" fontId="0" fillId="7" borderId="7" xfId="0" applyFill="1" applyBorder="1" applyAlignment="1">
      <alignment horizontal="center"/>
    </xf>
    <xf numFmtId="0" fontId="0" fillId="12" borderId="8" xfId="0" applyFill="1" applyBorder="1" applyAlignment="1">
      <alignment horizontal="center"/>
    </xf>
    <xf numFmtId="0" fontId="0" fillId="7" borderId="9" xfId="0" applyFill="1" applyBorder="1" applyAlignment="1">
      <alignment horizontal="center"/>
    </xf>
    <xf numFmtId="0" fontId="0" fillId="12" borderId="7" xfId="0" applyFill="1" applyBorder="1" applyAlignment="1">
      <alignment horizontal="center"/>
    </xf>
    <xf numFmtId="0" fontId="0" fillId="7" borderId="8" xfId="0" applyFill="1" applyBorder="1" applyAlignment="1">
      <alignment horizontal="center"/>
    </xf>
    <xf numFmtId="0" fontId="0" fillId="12" borderId="9" xfId="0" applyFill="1" applyBorder="1" applyAlignment="1">
      <alignment horizontal="center"/>
    </xf>
    <xf numFmtId="0" fontId="0" fillId="5" borderId="20" xfId="0" applyFill="1" applyBorder="1" applyAlignment="1">
      <alignment horizontal="center"/>
    </xf>
    <xf numFmtId="0" fontId="0" fillId="6" borderId="14" xfId="0" applyFill="1" applyBorder="1" applyAlignment="1">
      <alignment horizontal="center"/>
    </xf>
    <xf numFmtId="0" fontId="0" fillId="5" borderId="12" xfId="0" applyFill="1" applyBorder="1" applyAlignment="1">
      <alignment horizontal="center"/>
    </xf>
    <xf numFmtId="0" fontId="0" fillId="0" borderId="25" xfId="0" applyBorder="1"/>
    <xf numFmtId="0" fontId="0" fillId="5" borderId="26" xfId="0" applyFill="1" applyBorder="1" applyAlignment="1">
      <alignment horizontal="center"/>
    </xf>
    <xf numFmtId="0" fontId="0" fillId="5" borderId="29" xfId="0" applyFill="1" applyBorder="1" applyAlignment="1">
      <alignment horizontal="center"/>
    </xf>
    <xf numFmtId="0" fontId="0" fillId="0" borderId="35" xfId="0" applyBorder="1"/>
    <xf numFmtId="0" fontId="0" fillId="0" borderId="13" xfId="0" applyBorder="1" applyAlignment="1">
      <alignment horizontal="center"/>
    </xf>
    <xf numFmtId="0" fontId="0" fillId="0" borderId="1"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40" xfId="0" applyBorder="1" applyAlignment="1">
      <alignment horizontal="center"/>
    </xf>
    <xf numFmtId="0" fontId="0" fillId="0" borderId="21" xfId="0" applyBorder="1" applyAlignment="1">
      <alignment horizontal="center"/>
    </xf>
    <xf numFmtId="0" fontId="0" fillId="13" borderId="0" xfId="0" applyFill="1"/>
    <xf numFmtId="0" fontId="0" fillId="0" borderId="5" xfId="0" applyBorder="1"/>
    <xf numFmtId="0" fontId="0" fillId="14" borderId="6" xfId="0" applyFill="1" applyBorder="1"/>
    <xf numFmtId="0" fontId="0" fillId="0" borderId="22" xfId="0" applyBorder="1" applyAlignment="1">
      <alignment horizontal="center"/>
    </xf>
    <xf numFmtId="0" fontId="0" fillId="0" borderId="6" xfId="0" applyBorder="1"/>
    <xf numFmtId="0" fontId="0" fillId="0" borderId="35" xfId="0" applyBorder="1" applyAlignment="1">
      <alignment horizontal="center"/>
    </xf>
    <xf numFmtId="0" fontId="0" fillId="0" borderId="32" xfId="0" applyBorder="1" applyAlignment="1">
      <alignment horizontal="center"/>
    </xf>
    <xf numFmtId="0" fontId="0" fillId="10" borderId="32" xfId="0" applyFill="1" applyBorder="1" applyAlignment="1">
      <alignment horizontal="center"/>
    </xf>
    <xf numFmtId="0" fontId="0" fillId="0" borderId="31" xfId="0" applyBorder="1"/>
    <xf numFmtId="0" fontId="0" fillId="0" borderId="33" xfId="0" applyBorder="1"/>
    <xf numFmtId="0" fontId="0" fillId="15" borderId="20" xfId="0" applyFill="1" applyBorder="1"/>
    <xf numFmtId="0" fontId="0" fillId="0" borderId="3" xfId="0" applyBorder="1"/>
    <xf numFmtId="0" fontId="0" fillId="6" borderId="1" xfId="0" applyFill="1" applyBorder="1"/>
    <xf numFmtId="0" fontId="0" fillId="0" borderId="2" xfId="0" applyBorder="1"/>
    <xf numFmtId="0" fontId="0" fillId="14" borderId="4" xfId="0" applyFill="1" applyBorder="1"/>
    <xf numFmtId="0" fontId="0" fillId="0" borderId="8" xfId="0" applyBorder="1"/>
    <xf numFmtId="0" fontId="0" fillId="0" borderId="7" xfId="0" applyBorder="1"/>
    <xf numFmtId="0" fontId="0" fillId="0" borderId="9" xfId="0" applyBorder="1"/>
    <xf numFmtId="0" fontId="6" fillId="0" borderId="0" xfId="0" applyFont="1"/>
    <xf numFmtId="0" fontId="6" fillId="0" borderId="5" xfId="0" applyFont="1" applyBorder="1"/>
    <xf numFmtId="0" fontId="6" fillId="0" borderId="6" xfId="0" applyFont="1" applyBorder="1"/>
    <xf numFmtId="0" fontId="6" fillId="0" borderId="2" xfId="0" applyFont="1" applyBorder="1" applyAlignment="1">
      <alignment horizontal="center"/>
    </xf>
    <xf numFmtId="0" fontId="6" fillId="0" borderId="3" xfId="0" applyFont="1" applyBorder="1" applyAlignment="1">
      <alignment horizontal="center"/>
    </xf>
    <xf numFmtId="0" fontId="6" fillId="0" borderId="3" xfId="0" applyFont="1" applyBorder="1"/>
    <xf numFmtId="0" fontId="6" fillId="16" borderId="1" xfId="0" applyFont="1" applyFill="1" applyBorder="1"/>
    <xf numFmtId="0" fontId="6" fillId="17" borderId="1" xfId="0" applyFont="1" applyFill="1" applyBorder="1"/>
    <xf numFmtId="0" fontId="6" fillId="0" borderId="0" xfId="0" applyFont="1" applyAlignment="1">
      <alignment horizontal="center"/>
    </xf>
    <xf numFmtId="0" fontId="6" fillId="0" borderId="4"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16" borderId="19" xfId="0" applyFont="1" applyFill="1" applyBorder="1"/>
    <xf numFmtId="0" fontId="6" fillId="17" borderId="19" xfId="0" applyFont="1" applyFill="1" applyBorder="1"/>
    <xf numFmtId="0" fontId="6" fillId="18" borderId="0" xfId="0" applyFont="1" applyFill="1"/>
    <xf numFmtId="0" fontId="6" fillId="19" borderId="6" xfId="0" applyFont="1" applyFill="1" applyBorder="1"/>
    <xf numFmtId="0" fontId="6" fillId="0" borderId="2" xfId="0" applyFont="1" applyBorder="1"/>
    <xf numFmtId="0" fontId="6" fillId="19" borderId="4" xfId="0" applyFont="1" applyFill="1" applyBorder="1"/>
    <xf numFmtId="0" fontId="6" fillId="0" borderId="8" xfId="0" applyFont="1" applyBorder="1" applyAlignment="1">
      <alignment horizontal="center"/>
    </xf>
    <xf numFmtId="0" fontId="6" fillId="0" borderId="8" xfId="0" applyFont="1" applyBorder="1"/>
    <xf numFmtId="0" fontId="6" fillId="20" borderId="0" xfId="0" applyFont="1" applyFill="1" applyAlignment="1">
      <alignment horizontal="center"/>
    </xf>
    <xf numFmtId="0" fontId="6" fillId="0" borderId="7" xfId="0" applyFont="1" applyBorder="1"/>
    <xf numFmtId="0" fontId="6" fillId="0" borderId="9" xfId="0" applyFont="1" applyBorder="1"/>
    <xf numFmtId="0" fontId="0" fillId="15" borderId="0" xfId="0" applyFill="1"/>
    <xf numFmtId="0" fontId="0" fillId="14" borderId="3" xfId="0" applyFill="1" applyBorder="1"/>
    <xf numFmtId="0" fontId="0" fillId="15" borderId="32" xfId="0" applyFill="1" applyBorder="1"/>
    <xf numFmtId="0" fontId="6" fillId="0" borderId="13" xfId="0" applyFont="1" applyBorder="1" applyAlignment="1">
      <alignment horizontal="center"/>
    </xf>
    <xf numFmtId="0" fontId="6" fillId="0" borderId="24" xfId="0" applyFont="1" applyBorder="1"/>
    <xf numFmtId="0" fontId="6" fillId="0" borderId="10" xfId="0" applyFont="1" applyBorder="1" applyAlignment="1">
      <alignment horizontal="center"/>
    </xf>
    <xf numFmtId="0" fontId="6" fillId="0" borderId="40" xfId="0" applyFont="1" applyBorder="1" applyAlignment="1">
      <alignment horizontal="center"/>
    </xf>
    <xf numFmtId="0" fontId="6" fillId="0" borderId="21" xfId="0" applyFont="1" applyBorder="1" applyAlignment="1">
      <alignment horizontal="center"/>
    </xf>
    <xf numFmtId="0" fontId="6" fillId="19" borderId="3" xfId="0" applyFont="1" applyFill="1" applyBorder="1"/>
    <xf numFmtId="0" fontId="6" fillId="19" borderId="24" xfId="0" applyFont="1" applyFill="1" applyBorder="1"/>
    <xf numFmtId="0" fontId="6" fillId="0" borderId="22" xfId="0" applyFont="1" applyBorder="1" applyAlignment="1">
      <alignment horizontal="center"/>
    </xf>
    <xf numFmtId="0" fontId="6" fillId="0" borderId="44" xfId="0" applyFont="1" applyBorder="1"/>
    <xf numFmtId="0" fontId="6" fillId="0" borderId="35" xfId="0" applyFont="1" applyBorder="1" applyAlignment="1">
      <alignment horizontal="center"/>
    </xf>
    <xf numFmtId="0" fontId="6" fillId="0" borderId="32" xfId="0" applyFont="1" applyBorder="1"/>
    <xf numFmtId="0" fontId="6" fillId="0" borderId="34" xfId="0" applyFont="1" applyBorder="1"/>
    <xf numFmtId="0" fontId="6" fillId="0" borderId="19" xfId="0" applyFont="1" applyBorder="1" applyAlignment="1">
      <alignment horizontal="center"/>
    </xf>
    <xf numFmtId="0" fontId="0" fillId="0" borderId="4" xfId="0" applyBorder="1"/>
    <xf numFmtId="0" fontId="0" fillId="0" borderId="14" xfId="0" applyBorder="1"/>
    <xf numFmtId="0" fontId="0" fillId="0" borderId="12" xfId="0" applyBorder="1"/>
    <xf numFmtId="0" fontId="0" fillId="0" borderId="20" xfId="0" applyBorder="1"/>
    <xf numFmtId="0" fontId="0" fillId="6" borderId="46" xfId="0" applyFill="1" applyBorder="1" applyAlignment="1">
      <alignment horizontal="center"/>
    </xf>
    <xf numFmtId="0" fontId="0" fillId="14" borderId="6" xfId="0" applyFill="1" applyBorder="1" applyAlignment="1">
      <alignment horizontal="center"/>
    </xf>
    <xf numFmtId="0" fontId="0" fillId="14" borderId="1" xfId="0" applyFill="1" applyBorder="1" applyAlignment="1">
      <alignment horizontal="center"/>
    </xf>
    <xf numFmtId="0" fontId="0" fillId="10" borderId="1" xfId="0" applyFill="1" applyBorder="1" applyAlignment="1">
      <alignment horizontal="center"/>
    </xf>
    <xf numFmtId="0" fontId="0" fillId="3" borderId="0" xfId="0" applyFill="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14" borderId="42" xfId="0" applyFill="1" applyBorder="1"/>
    <xf numFmtId="0" fontId="0" fillId="0" borderId="50" xfId="0" applyBorder="1" applyAlignment="1">
      <alignment horizontal="center"/>
    </xf>
    <xf numFmtId="0" fontId="0" fillId="3" borderId="51" xfId="0" applyFill="1" applyBorder="1"/>
    <xf numFmtId="0" fontId="0" fillId="14" borderId="0" xfId="0" applyFill="1"/>
    <xf numFmtId="0" fontId="0" fillId="21" borderId="24" xfId="0" applyFill="1" applyBorder="1"/>
    <xf numFmtId="0" fontId="0" fillId="15" borderId="24" xfId="0" applyFill="1" applyBorder="1"/>
    <xf numFmtId="0" fontId="0" fillId="14" borderId="14" xfId="0" applyFill="1" applyBorder="1" applyAlignment="1">
      <alignment horizontal="center"/>
    </xf>
    <xf numFmtId="0" fontId="0" fillId="14" borderId="50" xfId="0" applyFill="1" applyBorder="1" applyAlignment="1">
      <alignment horizontal="center"/>
    </xf>
    <xf numFmtId="0" fontId="0" fillId="3" borderId="50" xfId="0" applyFill="1"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5" borderId="20" xfId="0" applyFill="1" applyBorder="1"/>
    <xf numFmtId="0" fontId="0" fillId="0" borderId="54" xfId="0" applyBorder="1" applyAlignment="1">
      <alignment horizontal="center"/>
    </xf>
    <xf numFmtId="0" fontId="0" fillId="14" borderId="54" xfId="0" applyFill="1" applyBorder="1"/>
    <xf numFmtId="0" fontId="0" fillId="0" borderId="27" xfId="0" applyBorder="1"/>
    <xf numFmtId="0" fontId="0" fillId="15" borderId="33" xfId="0" applyFill="1" applyBorder="1"/>
    <xf numFmtId="0" fontId="0" fillId="0" borderId="26" xfId="0" applyBorder="1" applyAlignment="1">
      <alignment horizontal="center"/>
    </xf>
    <xf numFmtId="0" fontId="0" fillId="13" borderId="0" xfId="0" applyFill="1" applyAlignment="1">
      <alignment horizontal="center"/>
    </xf>
    <xf numFmtId="0" fontId="0" fillId="14" borderId="4" xfId="0" applyFill="1" applyBorder="1" applyAlignment="1">
      <alignment horizontal="center"/>
    </xf>
    <xf numFmtId="0" fontId="0" fillId="14" borderId="54" xfId="0" applyFill="1" applyBorder="1" applyAlignment="1">
      <alignment horizontal="center"/>
    </xf>
    <xf numFmtId="0" fontId="0" fillId="0" borderId="24" xfId="0" applyBorder="1" applyAlignment="1">
      <alignment horizontal="center"/>
    </xf>
    <xf numFmtId="0" fontId="0" fillId="0" borderId="31" xfId="0" applyBorder="1" applyAlignment="1">
      <alignment horizontal="center"/>
    </xf>
    <xf numFmtId="0" fontId="0" fillId="15" borderId="33" xfId="0" applyFill="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14" borderId="3" xfId="0" applyFill="1" applyBorder="1" applyAlignment="1">
      <alignment horizontal="center"/>
    </xf>
    <xf numFmtId="0" fontId="0" fillId="15" borderId="32" xfId="0" applyFill="1" applyBorder="1" applyAlignment="1">
      <alignment horizontal="center"/>
    </xf>
    <xf numFmtId="0" fontId="0" fillId="0" borderId="15" xfId="0" applyBorder="1" applyAlignment="1">
      <alignment horizontal="center"/>
    </xf>
    <xf numFmtId="0" fontId="0" fillId="10" borderId="2" xfId="0" applyFill="1" applyBorder="1" applyAlignment="1">
      <alignment horizontal="center"/>
    </xf>
    <xf numFmtId="0" fontId="0" fillId="6" borderId="55" xfId="0" applyFill="1" applyBorder="1" applyAlignment="1">
      <alignment horizontal="center"/>
    </xf>
    <xf numFmtId="0" fontId="0" fillId="10" borderId="14" xfId="0" applyFill="1" applyBorder="1" applyAlignment="1">
      <alignment horizontal="center"/>
    </xf>
    <xf numFmtId="0" fontId="0" fillId="3" borderId="55" xfId="0" applyFill="1" applyBorder="1" applyAlignment="1">
      <alignment horizontal="center"/>
    </xf>
    <xf numFmtId="0" fontId="0" fillId="0" borderId="39" xfId="0" applyBorder="1"/>
    <xf numFmtId="0" fontId="0" fillId="0" borderId="37" xfId="0" applyBorder="1"/>
    <xf numFmtId="0" fontId="0" fillId="0" borderId="45" xfId="0" applyBorder="1"/>
    <xf numFmtId="0" fontId="0" fillId="10" borderId="0" xfId="0" applyFill="1"/>
    <xf numFmtId="0" fontId="0" fillId="0" borderId="16" xfId="0" applyBorder="1" applyAlignment="1">
      <alignment horizontal="center"/>
    </xf>
    <xf numFmtId="0" fontId="0" fillId="14" borderId="24" xfId="0" applyFill="1" applyBorder="1" applyAlignment="1">
      <alignment horizontal="center"/>
    </xf>
    <xf numFmtId="0" fontId="0" fillId="5" borderId="24" xfId="0" applyFill="1" applyBorder="1" applyAlignment="1">
      <alignment horizontal="center"/>
    </xf>
    <xf numFmtId="0" fontId="0" fillId="15" borderId="58" xfId="0" applyFill="1" applyBorder="1"/>
    <xf numFmtId="0" fontId="0" fillId="21" borderId="58" xfId="0" applyFill="1" applyBorder="1"/>
    <xf numFmtId="0" fontId="0" fillId="3" borderId="41" xfId="0" applyFill="1" applyBorder="1" applyAlignment="1">
      <alignment horizontal="center"/>
    </xf>
    <xf numFmtId="0" fontId="0" fillId="14" borderId="41" xfId="0" applyFill="1" applyBorder="1" applyAlignment="1">
      <alignment horizontal="center"/>
    </xf>
    <xf numFmtId="0" fontId="0" fillId="0" borderId="51" xfId="0" applyBorder="1" applyAlignment="1">
      <alignment horizontal="center"/>
    </xf>
    <xf numFmtId="0" fontId="0" fillId="0" borderId="40" xfId="0" applyBorder="1"/>
    <xf numFmtId="0" fontId="0" fillId="15" borderId="9" xfId="0" applyFill="1" applyBorder="1"/>
    <xf numFmtId="0" fontId="0" fillId="3" borderId="24" xfId="0" applyFill="1" applyBorder="1" applyAlignment="1">
      <alignment horizontal="center"/>
    </xf>
    <xf numFmtId="0" fontId="0" fillId="0" borderId="28" xfId="0" applyBorder="1"/>
    <xf numFmtId="0" fontId="0" fillId="0" borderId="59" xfId="0" applyBorder="1"/>
    <xf numFmtId="0" fontId="0" fillId="0" borderId="60" xfId="0" applyBorder="1"/>
    <xf numFmtId="0" fontId="0" fillId="0" borderId="61" xfId="0" applyBorder="1"/>
    <xf numFmtId="0" fontId="0" fillId="11" borderId="1" xfId="0" applyFill="1" applyBorder="1" applyAlignment="1">
      <alignment horizontal="center"/>
    </xf>
    <xf numFmtId="0" fontId="0" fillId="6" borderId="1" xfId="0" applyFill="1" applyBorder="1" applyAlignment="1">
      <alignment horizontal="center" vertical="center"/>
    </xf>
    <xf numFmtId="0" fontId="0" fillId="0" borderId="38" xfId="0" applyBorder="1" applyAlignment="1">
      <alignment horizontal="center"/>
    </xf>
    <xf numFmtId="0" fontId="0" fillId="11" borderId="5" xfId="0" applyFill="1" applyBorder="1"/>
    <xf numFmtId="0" fontId="0" fillId="11" borderId="0" xfId="0" applyFill="1"/>
    <xf numFmtId="0" fontId="0" fillId="15" borderId="14" xfId="0" applyFill="1" applyBorder="1"/>
    <xf numFmtId="0" fontId="0" fillId="15" borderId="12" xfId="0" applyFill="1" applyBorder="1"/>
    <xf numFmtId="0" fontId="0" fillId="15" borderId="5" xfId="0" applyFill="1" applyBorder="1"/>
    <xf numFmtId="0" fontId="0" fillId="15" borderId="6" xfId="0" applyFill="1" applyBorder="1"/>
    <xf numFmtId="0" fontId="0" fillId="10" borderId="9" xfId="0" applyFill="1" applyBorder="1"/>
    <xf numFmtId="0" fontId="0" fillId="0" borderId="10" xfId="0" applyBorder="1"/>
    <xf numFmtId="0" fontId="0" fillId="0" borderId="54" xfId="0" applyBorder="1"/>
    <xf numFmtId="0" fontId="0" fillId="0" borderId="22" xfId="0" applyBorder="1"/>
    <xf numFmtId="0" fontId="0" fillId="0" borderId="44" xfId="0" applyBorder="1"/>
    <xf numFmtId="0" fontId="0" fillId="10" borderId="50" xfId="0" applyFill="1" applyBorder="1" applyAlignment="1">
      <alignment horizontal="center"/>
    </xf>
    <xf numFmtId="0" fontId="0" fillId="14" borderId="40" xfId="0" applyFill="1" applyBorder="1" applyAlignment="1">
      <alignment horizontal="center"/>
    </xf>
    <xf numFmtId="0" fontId="0" fillId="3" borderId="40" xfId="0" applyFill="1" applyBorder="1" applyAlignment="1">
      <alignment horizontal="center"/>
    </xf>
    <xf numFmtId="0" fontId="0" fillId="11" borderId="5" xfId="0" applyFill="1" applyBorder="1" applyAlignment="1">
      <alignment horizontal="center"/>
    </xf>
    <xf numFmtId="0" fontId="0" fillId="11" borderId="7" xfId="0" applyFill="1" applyBorder="1" applyAlignment="1">
      <alignment horizontal="center"/>
    </xf>
    <xf numFmtId="0" fontId="0" fillId="11" borderId="8" xfId="0" applyFill="1" applyBorder="1" applyAlignment="1">
      <alignment horizontal="center" vertical="center"/>
    </xf>
    <xf numFmtId="0" fontId="0" fillId="15" borderId="8" xfId="0" applyFill="1" applyBorder="1"/>
    <xf numFmtId="0" fontId="0" fillId="11" borderId="7" xfId="0" applyFill="1" applyBorder="1"/>
    <xf numFmtId="0" fontId="0" fillId="0" borderId="1" xfId="0" applyBorder="1"/>
    <xf numFmtId="0" fontId="0" fillId="10" borderId="6" xfId="0" applyFill="1" applyBorder="1"/>
    <xf numFmtId="0" fontId="0" fillId="15" borderId="27" xfId="0" applyFill="1" applyBorder="1"/>
    <xf numFmtId="0" fontId="0" fillId="15" borderId="26" xfId="0" applyFill="1" applyBorder="1"/>
    <xf numFmtId="0" fontId="0" fillId="15" borderId="28" xfId="0" applyFill="1" applyBorder="1"/>
    <xf numFmtId="0" fontId="0" fillId="15" borderId="55" xfId="0" applyFill="1" applyBorder="1"/>
    <xf numFmtId="0" fontId="0" fillId="15" borderId="56" xfId="0" applyFill="1" applyBorder="1"/>
    <xf numFmtId="0" fontId="0" fillId="15" borderId="57" xfId="0" applyFill="1" applyBorder="1"/>
    <xf numFmtId="0" fontId="0" fillId="0" borderId="55" xfId="0" applyBorder="1"/>
    <xf numFmtId="0" fontId="0" fillId="0" borderId="56" xfId="0" applyBorder="1"/>
    <xf numFmtId="0" fontId="0" fillId="0" borderId="57" xfId="0" applyBorder="1"/>
    <xf numFmtId="0" fontId="0" fillId="23" borderId="50" xfId="0" applyFill="1" applyBorder="1" applyAlignment="1">
      <alignment horizontal="center"/>
    </xf>
    <xf numFmtId="0" fontId="0" fillId="23" borderId="62" xfId="0" applyFill="1" applyBorder="1" applyAlignment="1">
      <alignment horizontal="center"/>
    </xf>
    <xf numFmtId="0" fontId="0" fillId="0" borderId="63" xfId="0" applyBorder="1" applyAlignment="1">
      <alignment horizontal="center"/>
    </xf>
    <xf numFmtId="0" fontId="0" fillId="11" borderId="20" xfId="0" applyFill="1" applyBorder="1" applyAlignment="1">
      <alignment horizontal="center"/>
    </xf>
    <xf numFmtId="0" fontId="0" fillId="10" borderId="7" xfId="0" applyFill="1" applyBorder="1"/>
    <xf numFmtId="0" fontId="0" fillId="10" borderId="5" xfId="0" applyFill="1" applyBorder="1"/>
    <xf numFmtId="0" fontId="0" fillId="0" borderId="27" xfId="0" applyBorder="1" applyAlignment="1">
      <alignment horizontal="center"/>
    </xf>
    <xf numFmtId="0" fontId="0" fillId="5" borderId="46" xfId="0" applyFill="1" applyBorder="1" applyAlignment="1">
      <alignment horizontal="center"/>
    </xf>
    <xf numFmtId="0" fontId="0" fillId="11" borderId="46" xfId="0" applyFill="1" applyBorder="1" applyAlignment="1">
      <alignment horizontal="center"/>
    </xf>
    <xf numFmtId="0" fontId="0" fillId="15" borderId="59" xfId="0" applyFill="1" applyBorder="1"/>
    <xf numFmtId="0" fontId="0" fillId="15" borderId="60" xfId="0" applyFill="1" applyBorder="1"/>
    <xf numFmtId="0" fontId="0" fillId="15" borderId="61" xfId="0" applyFill="1" applyBorder="1"/>
    <xf numFmtId="0" fontId="0" fillId="0" borderId="39" xfId="0" applyBorder="1" applyAlignment="1">
      <alignment horizontal="center"/>
    </xf>
    <xf numFmtId="0" fontId="0" fillId="11" borderId="10" xfId="0" applyFill="1" applyBorder="1" applyAlignment="1">
      <alignment horizontal="center"/>
    </xf>
    <xf numFmtId="0" fontId="0" fillId="0" borderId="1" xfId="0" applyBorder="1" applyAlignment="1">
      <alignment horizontal="center" vertical="center"/>
    </xf>
    <xf numFmtId="0" fontId="0" fillId="6" borderId="15" xfId="0" applyFill="1" applyBorder="1"/>
    <xf numFmtId="0" fontId="0" fillId="6" borderId="23" xfId="0" applyFill="1" applyBorder="1"/>
    <xf numFmtId="0" fontId="0" fillId="11" borderId="21" xfId="0" applyFill="1" applyBorder="1" applyAlignment="1">
      <alignment horizontal="center"/>
    </xf>
    <xf numFmtId="0" fontId="0" fillId="11" borderId="23" xfId="0" applyFill="1" applyBorder="1"/>
    <xf numFmtId="0" fontId="0" fillId="6" borderId="64" xfId="0" applyFill="1" applyBorder="1"/>
    <xf numFmtId="0" fontId="0" fillId="0" borderId="38" xfId="0" applyBorder="1"/>
    <xf numFmtId="0" fontId="0" fillId="6" borderId="15" xfId="0" applyFill="1" applyBorder="1" applyAlignment="1">
      <alignment horizontal="center"/>
    </xf>
    <xf numFmtId="0" fontId="0" fillId="0" borderId="11" xfId="0" applyBorder="1" applyAlignment="1">
      <alignment horizontal="center"/>
    </xf>
    <xf numFmtId="0" fontId="0" fillId="6" borderId="64" xfId="0" applyFill="1" applyBorder="1" applyAlignment="1">
      <alignment horizontal="center"/>
    </xf>
    <xf numFmtId="0" fontId="0" fillId="0" borderId="48" xfId="0" applyBorder="1"/>
    <xf numFmtId="0" fontId="0" fillId="23" borderId="40" xfId="0" applyFill="1" applyBorder="1" applyAlignment="1">
      <alignment horizontal="center"/>
    </xf>
    <xf numFmtId="0" fontId="0" fillId="21" borderId="19" xfId="0" applyFill="1" applyBorder="1"/>
    <xf numFmtId="0" fontId="0" fillId="14" borderId="1" xfId="0" applyFill="1" applyBorder="1" applyAlignment="1">
      <alignment horizontal="left"/>
    </xf>
    <xf numFmtId="0" fontId="6" fillId="0" borderId="1" xfId="0" applyFont="1" applyBorder="1" applyAlignment="1">
      <alignment horizontal="center"/>
    </xf>
    <xf numFmtId="0" fontId="0" fillId="2" borderId="15" xfId="0" applyFill="1" applyBorder="1"/>
    <xf numFmtId="0" fontId="0" fillId="15" borderId="23" xfId="0" applyFill="1" applyBorder="1"/>
    <xf numFmtId="0" fontId="0" fillId="3" borderId="23" xfId="0" applyFill="1" applyBorder="1"/>
    <xf numFmtId="0" fontId="0" fillId="0" borderId="65" xfId="0" applyBorder="1"/>
    <xf numFmtId="0" fontId="0" fillId="0" borderId="46" xfId="0" applyBorder="1"/>
    <xf numFmtId="0" fontId="0" fillId="0" borderId="62" xfId="0" applyBorder="1"/>
    <xf numFmtId="0" fontId="0" fillId="21" borderId="50" xfId="0" applyFill="1" applyBorder="1" applyAlignment="1">
      <alignment horizontal="center"/>
    </xf>
    <xf numFmtId="0" fontId="0" fillId="27" borderId="3" xfId="0" applyFill="1" applyBorder="1" applyAlignment="1">
      <alignment horizontal="center"/>
    </xf>
    <xf numFmtId="0" fontId="0" fillId="27" borderId="4" xfId="0" applyFill="1" applyBorder="1" applyAlignment="1">
      <alignment horizontal="center"/>
    </xf>
    <xf numFmtId="0" fontId="0" fillId="27" borderId="20" xfId="0" applyFill="1" applyBorder="1" applyAlignment="1">
      <alignment horizontal="center"/>
    </xf>
    <xf numFmtId="0" fontId="0" fillId="27" borderId="10" xfId="0" applyFill="1" applyBorder="1" applyAlignment="1">
      <alignment horizontal="center"/>
    </xf>
    <xf numFmtId="0" fontId="0" fillId="6" borderId="14" xfId="0" applyFill="1" applyBorder="1"/>
    <xf numFmtId="0" fontId="0" fillId="15" borderId="44" xfId="0" applyFill="1" applyBorder="1"/>
    <xf numFmtId="0" fontId="0" fillId="21" borderId="44" xfId="0" applyFill="1" applyBorder="1"/>
    <xf numFmtId="0" fontId="0" fillId="14" borderId="50" xfId="0" applyFill="1" applyBorder="1"/>
    <xf numFmtId="0" fontId="0" fillId="15" borderId="50" xfId="0" applyFill="1" applyBorder="1"/>
    <xf numFmtId="0" fontId="0" fillId="21" borderId="62" xfId="0" applyFill="1" applyBorder="1"/>
    <xf numFmtId="0" fontId="0" fillId="15" borderId="51" xfId="0" applyFill="1" applyBorder="1"/>
    <xf numFmtId="0" fontId="0" fillId="21" borderId="34" xfId="0" applyFill="1" applyBorder="1"/>
    <xf numFmtId="0" fontId="0" fillId="10" borderId="62" xfId="0" applyFill="1" applyBorder="1" applyAlignment="1">
      <alignment horizontal="center"/>
    </xf>
    <xf numFmtId="0" fontId="0" fillId="0" borderId="19" xfId="0" applyBorder="1"/>
    <xf numFmtId="0" fontId="1" fillId="0" borderId="39" xfId="0" applyFont="1" applyBorder="1" applyAlignment="1">
      <alignment horizontal="center"/>
    </xf>
    <xf numFmtId="0" fontId="1" fillId="0" borderId="1" xfId="0" applyFont="1" applyBorder="1" applyAlignment="1">
      <alignment horizontal="center"/>
    </xf>
    <xf numFmtId="0" fontId="1" fillId="0" borderId="14" xfId="0" applyFont="1" applyBorder="1" applyAlignment="1">
      <alignment horizontal="center"/>
    </xf>
    <xf numFmtId="0" fontId="0" fillId="15" borderId="4" xfId="0" applyFill="1" applyBorder="1"/>
    <xf numFmtId="0" fontId="6" fillId="19" borderId="54" xfId="0" applyFont="1" applyFill="1" applyBorder="1"/>
    <xf numFmtId="0" fontId="6" fillId="0" borderId="18" xfId="0" applyFont="1" applyBorder="1" applyAlignment="1">
      <alignment horizontal="center"/>
    </xf>
    <xf numFmtId="0" fontId="6" fillId="0" borderId="32" xfId="0" applyFont="1" applyBorder="1" applyAlignment="1">
      <alignment horizontal="center"/>
    </xf>
    <xf numFmtId="0" fontId="6" fillId="20" borderId="32" xfId="0" applyFont="1" applyFill="1" applyBorder="1" applyAlignment="1">
      <alignment horizontal="center"/>
    </xf>
    <xf numFmtId="0" fontId="6" fillId="0" borderId="31" xfId="0" applyFont="1" applyBorder="1"/>
    <xf numFmtId="0" fontId="6" fillId="0" borderId="33" xfId="0" applyFont="1" applyBorder="1"/>
    <xf numFmtId="0" fontId="6" fillId="0" borderId="26" xfId="0" applyFont="1" applyBorder="1"/>
    <xf numFmtId="0" fontId="6" fillId="0" borderId="29" xfId="0" applyFont="1" applyBorder="1"/>
    <xf numFmtId="0" fontId="1" fillId="0" borderId="52" xfId="0" applyFont="1" applyBorder="1" applyAlignment="1">
      <alignment horizontal="center"/>
    </xf>
    <xf numFmtId="0" fontId="1" fillId="0" borderId="53" xfId="0" applyFont="1" applyBorder="1" applyAlignment="1">
      <alignment horizontal="center"/>
    </xf>
    <xf numFmtId="0" fontId="0" fillId="13" borderId="24" xfId="0" applyFill="1" applyBorder="1"/>
    <xf numFmtId="0" fontId="0" fillId="15" borderId="34" xfId="0" applyFill="1" applyBorder="1"/>
    <xf numFmtId="0" fontId="0" fillId="0" borderId="66" xfId="0" applyBorder="1"/>
    <xf numFmtId="0" fontId="0" fillId="14" borderId="67" xfId="0" applyFill="1" applyBorder="1"/>
    <xf numFmtId="0" fontId="0" fillId="15" borderId="68" xfId="0" applyFill="1" applyBorder="1"/>
    <xf numFmtId="0" fontId="0" fillId="0" borderId="69" xfId="0" applyBorder="1" applyAlignment="1">
      <alignment horizontal="center"/>
    </xf>
    <xf numFmtId="0" fontId="5" fillId="21" borderId="68" xfId="0" applyFont="1" applyFill="1" applyBorder="1"/>
    <xf numFmtId="0" fontId="5" fillId="3" borderId="69" xfId="0" applyFont="1" applyFill="1" applyBorder="1" applyAlignment="1">
      <alignment horizontal="center"/>
    </xf>
    <xf numFmtId="0" fontId="0" fillId="0" borderId="28" xfId="0" applyBorder="1" applyAlignment="1">
      <alignment horizontal="center"/>
    </xf>
    <xf numFmtId="0" fontId="5" fillId="2" borderId="0" xfId="0" applyFont="1" applyFill="1"/>
    <xf numFmtId="0" fontId="0" fillId="15" borderId="9" xfId="0" applyFill="1" applyBorder="1" applyAlignment="1">
      <alignment horizontal="center"/>
    </xf>
    <xf numFmtId="0" fontId="0" fillId="0" borderId="65" xfId="0" applyBorder="1" applyAlignment="1">
      <alignment horizontal="center"/>
    </xf>
    <xf numFmtId="0" fontId="0" fillId="0" borderId="25" xfId="0" applyBorder="1" applyAlignment="1">
      <alignment horizontal="center"/>
    </xf>
    <xf numFmtId="0" fontId="0" fillId="22" borderId="1" xfId="0" applyFill="1" applyBorder="1" applyAlignment="1">
      <alignment horizontal="center"/>
    </xf>
    <xf numFmtId="0" fontId="0" fillId="0" borderId="29" xfId="0" applyBorder="1" applyAlignment="1">
      <alignment horizontal="center"/>
    </xf>
    <xf numFmtId="0" fontId="5" fillId="10" borderId="1" xfId="0" applyFont="1" applyFill="1" applyBorder="1" applyAlignment="1">
      <alignment horizontal="center"/>
    </xf>
    <xf numFmtId="0" fontId="0" fillId="11" borderId="1" xfId="0" applyFill="1" applyBorder="1" applyAlignment="1">
      <alignment horizontal="center" vertical="center"/>
    </xf>
    <xf numFmtId="0" fontId="0" fillId="21" borderId="50" xfId="0" applyFill="1" applyBorder="1"/>
    <xf numFmtId="0" fontId="0" fillId="11" borderId="13" xfId="0" applyFill="1" applyBorder="1" applyAlignment="1">
      <alignment horizontal="center"/>
    </xf>
    <xf numFmtId="0" fontId="0" fillId="11" borderId="65" xfId="0" applyFill="1" applyBorder="1" applyAlignment="1">
      <alignment horizontal="center"/>
    </xf>
    <xf numFmtId="0" fontId="0" fillId="11" borderId="46" xfId="0" applyFill="1" applyBorder="1" applyAlignment="1">
      <alignment horizontal="center" vertical="center"/>
    </xf>
    <xf numFmtId="0" fontId="5" fillId="15" borderId="14" xfId="0" applyFont="1" applyFill="1" applyBorder="1"/>
    <xf numFmtId="0" fontId="5" fillId="0" borderId="14" xfId="0" applyFont="1" applyBorder="1" applyAlignment="1">
      <alignment horizontal="center"/>
    </xf>
    <xf numFmtId="0" fontId="0" fillId="0" borderId="13" xfId="0" applyBorder="1"/>
    <xf numFmtId="0" fontId="0" fillId="0" borderId="37" xfId="0" applyBorder="1" applyAlignment="1">
      <alignment horizontal="center"/>
    </xf>
    <xf numFmtId="0" fontId="0" fillId="5" borderId="13" xfId="0" applyFill="1" applyBorder="1" applyAlignment="1">
      <alignment horizontal="center"/>
    </xf>
    <xf numFmtId="0" fontId="0" fillId="14" borderId="24" xfId="0" applyFill="1" applyBorder="1"/>
    <xf numFmtId="0" fontId="0" fillId="11" borderId="34" xfId="0" applyFill="1" applyBorder="1"/>
    <xf numFmtId="0" fontId="0" fillId="21" borderId="0" xfId="0" applyFill="1"/>
    <xf numFmtId="0" fontId="0" fillId="5" borderId="57" xfId="0" applyFill="1" applyBorder="1" applyAlignment="1">
      <alignment horizontal="center"/>
    </xf>
    <xf numFmtId="0" fontId="0" fillId="11" borderId="32" xfId="0" applyFill="1" applyBorder="1"/>
    <xf numFmtId="0" fontId="0" fillId="0" borderId="70" xfId="0" applyBorder="1" applyAlignment="1">
      <alignment horizontal="center"/>
    </xf>
    <xf numFmtId="0" fontId="0" fillId="6" borderId="50" xfId="0" applyFill="1" applyBorder="1" applyAlignment="1">
      <alignment horizontal="center"/>
    </xf>
    <xf numFmtId="0" fontId="0" fillId="11" borderId="6" xfId="0" applyFill="1" applyBorder="1" applyAlignment="1">
      <alignment horizontal="center"/>
    </xf>
    <xf numFmtId="0" fontId="0" fillId="11" borderId="50" xfId="0" applyFill="1" applyBorder="1" applyAlignment="1">
      <alignment horizontal="center"/>
    </xf>
    <xf numFmtId="0" fontId="0" fillId="11" borderId="21" xfId="0" applyFill="1" applyBorder="1"/>
    <xf numFmtId="0" fontId="0" fillId="6" borderId="62" xfId="0" applyFill="1" applyBorder="1" applyAlignment="1">
      <alignment horizontal="center"/>
    </xf>
    <xf numFmtId="0" fontId="0" fillId="11" borderId="35" xfId="0" applyFill="1" applyBorder="1"/>
    <xf numFmtId="0" fontId="0" fillId="23" borderId="24" xfId="0" applyFill="1" applyBorder="1" applyAlignment="1">
      <alignment horizontal="center"/>
    </xf>
    <xf numFmtId="0" fontId="0" fillId="23" borderId="43" xfId="0" applyFill="1" applyBorder="1" applyAlignment="1">
      <alignment horizontal="center"/>
    </xf>
    <xf numFmtId="0" fontId="0" fillId="10" borderId="24" xfId="0" applyFill="1" applyBorder="1"/>
    <xf numFmtId="0" fontId="0" fillId="3" borderId="20" xfId="0" applyFill="1" applyBorder="1" applyAlignment="1">
      <alignment horizontal="center" vertical="center"/>
    </xf>
    <xf numFmtId="0" fontId="0" fillId="7" borderId="1" xfId="0" applyFill="1" applyBorder="1" applyAlignment="1">
      <alignment horizontal="center" vertical="center"/>
    </xf>
    <xf numFmtId="0" fontId="0" fillId="11" borderId="23" xfId="0" applyFill="1" applyBorder="1" applyAlignment="1">
      <alignment horizontal="center" vertical="center"/>
    </xf>
    <xf numFmtId="0" fontId="0" fillId="11" borderId="23" xfId="0" applyFill="1" applyBorder="1" applyAlignment="1">
      <alignment horizontal="center"/>
    </xf>
    <xf numFmtId="0" fontId="0" fillId="21" borderId="54" xfId="0" applyFill="1" applyBorder="1" applyAlignment="1">
      <alignment horizontal="center"/>
    </xf>
    <xf numFmtId="0" fontId="0" fillId="0" borderId="18" xfId="0" applyBorder="1"/>
    <xf numFmtId="0" fontId="0" fillId="14" borderId="13" xfId="0" applyFill="1" applyBorder="1" applyAlignment="1">
      <alignment horizontal="left"/>
    </xf>
    <xf numFmtId="0" fontId="0" fillId="14" borderId="65" xfId="0" applyFill="1" applyBorder="1" applyAlignment="1">
      <alignment horizontal="left"/>
    </xf>
    <xf numFmtId="0" fontId="0" fillId="15" borderId="3" xfId="0" applyFill="1" applyBorder="1"/>
    <xf numFmtId="0" fontId="0" fillId="8" borderId="4" xfId="0" applyFill="1" applyBorder="1"/>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8" borderId="15" xfId="0" applyFill="1" applyBorder="1" applyAlignment="1">
      <alignment horizontal="center" vertical="center"/>
    </xf>
    <xf numFmtId="0" fontId="0" fillId="0" borderId="0" xfId="0" applyAlignment="1">
      <alignment horizontal="center" vertical="center"/>
    </xf>
    <xf numFmtId="0" fontId="0" fillId="15" borderId="15" xfId="0" applyFill="1" applyBorder="1" applyAlignment="1">
      <alignment horizontal="center" vertical="center"/>
    </xf>
    <xf numFmtId="0" fontId="0" fillId="15" borderId="19" xfId="0" applyFill="1" applyBorder="1" applyAlignment="1">
      <alignment horizontal="center" vertical="center"/>
    </xf>
    <xf numFmtId="0" fontId="0" fillId="3" borderId="70" xfId="0" applyFill="1" applyBorder="1" applyAlignment="1">
      <alignment horizontal="center" vertical="center"/>
    </xf>
    <xf numFmtId="0" fontId="0" fillId="6" borderId="67" xfId="0" applyFill="1" applyBorder="1" applyAlignment="1">
      <alignment horizontal="center"/>
    </xf>
    <xf numFmtId="0" fontId="0" fillId="6" borderId="68" xfId="0" applyFill="1" applyBorder="1" applyAlignment="1">
      <alignment horizontal="center"/>
    </xf>
    <xf numFmtId="0" fontId="0" fillId="8" borderId="67" xfId="0" applyFill="1" applyBorder="1" applyAlignment="1">
      <alignment horizontal="center"/>
    </xf>
    <xf numFmtId="0" fontId="0" fillId="8" borderId="68" xfId="0" applyFill="1" applyBorder="1" applyAlignment="1">
      <alignment horizontal="center"/>
    </xf>
    <xf numFmtId="0" fontId="0" fillId="8" borderId="67" xfId="0" applyFill="1" applyBorder="1" applyAlignment="1">
      <alignment horizontal="center" vertical="center"/>
    </xf>
    <xf numFmtId="0" fontId="0" fillId="8" borderId="68" xfId="0" applyFill="1" applyBorder="1" applyAlignment="1">
      <alignment horizontal="center" vertical="center"/>
    </xf>
    <xf numFmtId="0" fontId="0" fillId="3" borderId="19" xfId="0" applyFill="1" applyBorder="1" applyAlignment="1">
      <alignment horizontal="center" vertical="center"/>
    </xf>
    <xf numFmtId="0" fontId="0" fillId="8" borderId="71" xfId="0" applyFill="1" applyBorder="1" applyAlignment="1">
      <alignment horizontal="center"/>
    </xf>
    <xf numFmtId="0" fontId="0" fillId="3" borderId="23" xfId="0" applyFill="1" applyBorder="1" applyAlignment="1">
      <alignment horizontal="center" vertical="center"/>
    </xf>
    <xf numFmtId="0" fontId="0" fillId="3" borderId="22" xfId="0" applyFill="1" applyBorder="1" applyAlignment="1">
      <alignment horizontal="center" vertical="center"/>
    </xf>
    <xf numFmtId="0" fontId="0" fillId="3" borderId="4" xfId="0" applyFill="1" applyBorder="1" applyAlignment="1">
      <alignment horizontal="center" vertical="center"/>
    </xf>
    <xf numFmtId="0" fontId="0" fillId="15" borderId="2" xfId="0" applyFill="1" applyBorder="1" applyAlignment="1">
      <alignment horizontal="center"/>
    </xf>
    <xf numFmtId="0" fontId="0" fillId="15" borderId="5" xfId="0" applyFill="1" applyBorder="1" applyAlignment="1">
      <alignment horizontal="center"/>
    </xf>
    <xf numFmtId="0" fontId="0" fillId="15" borderId="7" xfId="0" applyFill="1" applyBorder="1" applyAlignment="1">
      <alignment horizontal="center"/>
    </xf>
    <xf numFmtId="0" fontId="0" fillId="15" borderId="15" xfId="0" applyFill="1" applyBorder="1" applyAlignment="1">
      <alignment horizontal="center"/>
    </xf>
    <xf numFmtId="0" fontId="0" fillId="15" borderId="23" xfId="0" applyFill="1" applyBorder="1" applyAlignment="1">
      <alignment horizontal="center"/>
    </xf>
    <xf numFmtId="0" fontId="0" fillId="15" borderId="19" xfId="0" applyFill="1" applyBorder="1" applyAlignment="1">
      <alignment horizontal="center"/>
    </xf>
    <xf numFmtId="0" fontId="6" fillId="26" borderId="14" xfId="0" applyFont="1" applyFill="1" applyBorder="1" applyAlignment="1">
      <alignment horizontal="center"/>
    </xf>
    <xf numFmtId="0" fontId="6" fillId="26" borderId="20" xfId="0" applyFont="1" applyFill="1" applyBorder="1" applyAlignment="1">
      <alignment horizontal="center"/>
    </xf>
    <xf numFmtId="0" fontId="6" fillId="24" borderId="14" xfId="0" applyFont="1" applyFill="1" applyBorder="1" applyAlignment="1">
      <alignment horizontal="center"/>
    </xf>
    <xf numFmtId="0" fontId="6" fillId="24" borderId="20" xfId="0" applyFont="1" applyFill="1" applyBorder="1" applyAlignment="1">
      <alignment horizontal="center"/>
    </xf>
    <xf numFmtId="0" fontId="0" fillId="15" borderId="14" xfId="0" applyFill="1" applyBorder="1" applyAlignment="1">
      <alignment horizontal="center"/>
    </xf>
    <xf numFmtId="0" fontId="0" fillId="15" borderId="20" xfId="0" applyFill="1" applyBorder="1" applyAlignment="1">
      <alignment horizontal="center"/>
    </xf>
    <xf numFmtId="0" fontId="0" fillId="15" borderId="40" xfId="0" applyFill="1" applyBorder="1" applyAlignment="1">
      <alignment horizontal="center"/>
    </xf>
    <xf numFmtId="0" fontId="6" fillId="26" borderId="14" xfId="0" applyFont="1" applyFill="1" applyBorder="1"/>
    <xf numFmtId="0" fontId="6" fillId="26" borderId="20" xfId="0" applyFont="1" applyFill="1" applyBorder="1"/>
    <xf numFmtId="0" fontId="6" fillId="24" borderId="14" xfId="0" applyFont="1" applyFill="1" applyBorder="1"/>
    <xf numFmtId="0" fontId="6" fillId="24" borderId="20" xfId="0" applyFont="1" applyFill="1" applyBorder="1"/>
    <xf numFmtId="0" fontId="6" fillId="24" borderId="1" xfId="0" applyFont="1" applyFill="1" applyBorder="1"/>
    <xf numFmtId="0" fontId="0" fillId="15" borderId="1" xfId="0" applyFill="1" applyBorder="1"/>
    <xf numFmtId="0" fontId="0" fillId="22" borderId="14" xfId="0" applyFill="1" applyBorder="1"/>
    <xf numFmtId="0" fontId="0" fillId="22" borderId="20" xfId="0" applyFill="1" applyBorder="1"/>
    <xf numFmtId="0" fontId="0" fillId="15" borderId="40" xfId="0" applyFill="1" applyBorder="1"/>
    <xf numFmtId="0" fontId="0" fillId="6" borderId="20" xfId="0" applyFill="1" applyBorder="1" applyAlignment="1">
      <alignment horizontal="center"/>
    </xf>
    <xf numFmtId="0" fontId="0" fillId="5" borderId="14" xfId="0" applyFill="1" applyBorder="1" applyAlignment="1">
      <alignment horizontal="center"/>
    </xf>
    <xf numFmtId="0" fontId="0" fillId="9" borderId="14" xfId="0" applyFill="1" applyBorder="1" applyAlignment="1">
      <alignment horizontal="center"/>
    </xf>
    <xf numFmtId="0" fontId="0" fillId="9" borderId="20" xfId="0" applyFill="1" applyBorder="1" applyAlignment="1">
      <alignment horizontal="center"/>
    </xf>
    <xf numFmtId="0" fontId="0" fillId="0" borderId="55" xfId="0" applyBorder="1" applyAlignment="1">
      <alignment horizontal="center"/>
    </xf>
    <xf numFmtId="0" fontId="0" fillId="15" borderId="1" xfId="0" applyFill="1" applyBorder="1" applyAlignment="1">
      <alignment horizontal="center"/>
    </xf>
    <xf numFmtId="0" fontId="0" fillId="10" borderId="55" xfId="0" applyFill="1" applyBorder="1" applyAlignment="1">
      <alignment horizontal="center"/>
    </xf>
    <xf numFmtId="0" fontId="0" fillId="0" borderId="46" xfId="0" applyBorder="1" applyAlignment="1">
      <alignment horizontal="center"/>
    </xf>
    <xf numFmtId="0" fontId="0" fillId="15" borderId="4" xfId="0" applyFill="1" applyBorder="1" applyAlignment="1">
      <alignment horizontal="center"/>
    </xf>
    <xf numFmtId="0" fontId="0" fillId="0" borderId="36" xfId="0" applyBorder="1" applyAlignment="1">
      <alignment horizontal="center"/>
    </xf>
    <xf numFmtId="0" fontId="0" fillId="0" borderId="62" xfId="0" applyBorder="1" applyAlignment="1">
      <alignment horizontal="center"/>
    </xf>
    <xf numFmtId="0" fontId="0" fillId="14" borderId="0" xfId="0" applyFill="1" applyAlignment="1">
      <alignment horizontal="center"/>
    </xf>
    <xf numFmtId="0" fontId="0" fillId="21" borderId="59" xfId="0" applyFill="1" applyBorder="1"/>
    <xf numFmtId="0" fontId="0" fillId="21" borderId="66" xfId="0" applyFill="1" applyBorder="1"/>
    <xf numFmtId="0" fontId="0" fillId="21" borderId="14" xfId="0" applyFill="1" applyBorder="1" applyAlignment="1">
      <alignment horizontal="center"/>
    </xf>
    <xf numFmtId="0" fontId="0" fillId="21" borderId="42" xfId="0" applyFill="1" applyBorder="1"/>
    <xf numFmtId="0" fontId="0" fillId="15" borderId="19" xfId="0" applyFill="1" applyBorder="1"/>
    <xf numFmtId="0" fontId="1" fillId="0" borderId="48" xfId="0" applyFont="1" applyBorder="1" applyAlignment="1">
      <alignment horizontal="center"/>
    </xf>
    <xf numFmtId="0" fontId="0" fillId="3" borderId="51" xfId="0" applyFill="1" applyBorder="1" applyAlignment="1">
      <alignment horizontal="center"/>
    </xf>
    <xf numFmtId="0" fontId="0" fillId="21" borderId="41" xfId="0" applyFill="1" applyBorder="1"/>
    <xf numFmtId="0" fontId="0" fillId="0" borderId="17" xfId="0" applyBorder="1" applyAlignment="1">
      <alignment horizontal="center"/>
    </xf>
    <xf numFmtId="0" fontId="0" fillId="0" borderId="9" xfId="0" applyBorder="1" applyAlignment="1">
      <alignment horizontal="center" vertical="center"/>
    </xf>
    <xf numFmtId="0" fontId="0" fillId="23" borderId="14" xfId="0" applyFill="1" applyBorder="1" applyAlignment="1">
      <alignment horizontal="center"/>
    </xf>
    <xf numFmtId="0" fontId="0" fillId="22" borderId="1" xfId="0" applyFill="1" applyBorder="1" applyAlignment="1">
      <alignment horizontal="center" vertical="center"/>
    </xf>
    <xf numFmtId="0" fontId="0" fillId="0" borderId="1" xfId="0" applyBorder="1" applyAlignment="1">
      <alignment horizontal="left"/>
    </xf>
    <xf numFmtId="0" fontId="0" fillId="5" borderId="20" xfId="0" applyFill="1" applyBorder="1" applyAlignment="1">
      <alignment horizontal="center" vertical="center"/>
    </xf>
    <xf numFmtId="0" fontId="0" fillId="5" borderId="1" xfId="0" applyFill="1" applyBorder="1" applyAlignment="1">
      <alignment horizontal="center" vertical="center"/>
    </xf>
    <xf numFmtId="0" fontId="0" fillId="5" borderId="15" xfId="0" applyFill="1" applyBorder="1" applyAlignment="1">
      <alignment horizontal="center" wrapText="1"/>
    </xf>
    <xf numFmtId="0" fontId="0" fillId="3" borderId="2" xfId="0" applyFill="1" applyBorder="1" applyAlignment="1">
      <alignment horizontal="center" vertical="center" wrapText="1"/>
    </xf>
    <xf numFmtId="0" fontId="0" fillId="5" borderId="1" xfId="0" applyFill="1" applyBorder="1" applyAlignment="1">
      <alignment horizontal="center" vertical="center" wrapText="1"/>
    </xf>
    <xf numFmtId="0" fontId="0" fillId="15" borderId="2" xfId="0" applyFill="1" applyBorder="1"/>
    <xf numFmtId="0" fontId="0" fillId="21" borderId="1" xfId="0" applyFill="1" applyBorder="1"/>
    <xf numFmtId="0" fontId="0" fillId="22" borderId="15" xfId="0" applyFill="1" applyBorder="1" applyAlignment="1">
      <alignment horizontal="center"/>
    </xf>
    <xf numFmtId="0" fontId="0" fillId="5" borderId="15" xfId="0" applyFill="1" applyBorder="1" applyAlignment="1">
      <alignment horizontal="center" vertical="center" wrapText="1"/>
    </xf>
    <xf numFmtId="0" fontId="0" fillId="15" borderId="15" xfId="0" applyFill="1" applyBorder="1"/>
    <xf numFmtId="0" fontId="0" fillId="5" borderId="19" xfId="0" applyFill="1" applyBorder="1" applyAlignment="1">
      <alignment horizontal="center"/>
    </xf>
    <xf numFmtId="0" fontId="0" fillId="10" borderId="9" xfId="0" applyFill="1" applyBorder="1" applyAlignment="1">
      <alignment horizontal="center"/>
    </xf>
    <xf numFmtId="0" fontId="0" fillId="3" borderId="2" xfId="0" applyFill="1" applyBorder="1" applyAlignment="1">
      <alignment horizontal="center"/>
    </xf>
    <xf numFmtId="0" fontId="0" fillId="3" borderId="6" xfId="0" applyFill="1" applyBorder="1" applyAlignment="1">
      <alignment horizontal="center"/>
    </xf>
    <xf numFmtId="0" fontId="0" fillId="10" borderId="15" xfId="0" applyFill="1" applyBorder="1" applyAlignment="1">
      <alignment horizontal="center"/>
    </xf>
    <xf numFmtId="0" fontId="0" fillId="10" borderId="19" xfId="0" applyFill="1" applyBorder="1" applyAlignment="1">
      <alignment horizontal="center"/>
    </xf>
    <xf numFmtId="0" fontId="0" fillId="9" borderId="14" xfId="0" applyFill="1" applyBorder="1"/>
    <xf numFmtId="0" fontId="0" fillId="9" borderId="20" xfId="0" applyFill="1" applyBorder="1"/>
    <xf numFmtId="0" fontId="0" fillId="9" borderId="12" xfId="0" applyFill="1" applyBorder="1" applyAlignment="1">
      <alignment horizontal="center"/>
    </xf>
    <xf numFmtId="0" fontId="0" fillId="9" borderId="0" xfId="0" applyFill="1" applyAlignment="1">
      <alignment horizontal="center"/>
    </xf>
    <xf numFmtId="0" fontId="0" fillId="9" borderId="6" xfId="0" applyFill="1" applyBorder="1" applyAlignment="1">
      <alignment horizontal="center"/>
    </xf>
    <xf numFmtId="0" fontId="0" fillId="5" borderId="15" xfId="0" applyFill="1" applyBorder="1" applyAlignment="1">
      <alignment horizontal="center"/>
    </xf>
    <xf numFmtId="0" fontId="0" fillId="6" borderId="13" xfId="0" applyFill="1" applyBorder="1" applyAlignment="1">
      <alignment horizontal="center" vertical="center"/>
    </xf>
    <xf numFmtId="0" fontId="0" fillId="22" borderId="13" xfId="0" applyFill="1" applyBorder="1" applyAlignment="1">
      <alignment horizontal="center" vertical="center"/>
    </xf>
    <xf numFmtId="0" fontId="0" fillId="6" borderId="13" xfId="0" applyFill="1" applyBorder="1" applyAlignment="1">
      <alignment horizontal="center"/>
    </xf>
    <xf numFmtId="0" fontId="0" fillId="22" borderId="13" xfId="0" applyFill="1" applyBorder="1" applyAlignment="1">
      <alignment horizontal="center"/>
    </xf>
    <xf numFmtId="0" fontId="0" fillId="15" borderId="46" xfId="0" applyFill="1" applyBorder="1" applyAlignment="1">
      <alignment horizontal="center"/>
    </xf>
    <xf numFmtId="0" fontId="3" fillId="25" borderId="35" xfId="0" applyFont="1" applyFill="1" applyBorder="1" applyAlignment="1">
      <alignment horizontal="center" vertical="center"/>
    </xf>
    <xf numFmtId="0" fontId="3" fillId="25" borderId="61" xfId="0" applyFont="1" applyFill="1" applyBorder="1" applyAlignment="1">
      <alignment horizontal="center" vertical="center"/>
    </xf>
    <xf numFmtId="0" fontId="3" fillId="25" borderId="32" xfId="0" applyFont="1" applyFill="1" applyBorder="1" applyAlignment="1">
      <alignment horizontal="center" vertical="center"/>
    </xf>
    <xf numFmtId="0" fontId="3" fillId="29" borderId="21" xfId="0" applyFont="1" applyFill="1" applyBorder="1" applyAlignment="1">
      <alignment horizontal="center" vertical="center"/>
    </xf>
    <xf numFmtId="0" fontId="3" fillId="29" borderId="24" xfId="0" applyFont="1" applyFill="1" applyBorder="1" applyAlignment="1">
      <alignment horizontal="center" vertical="center"/>
    </xf>
    <xf numFmtId="0" fontId="3" fillId="29" borderId="0" xfId="0" applyFont="1" applyFill="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3" fillId="0" borderId="32" xfId="0" applyFont="1" applyBorder="1" applyAlignment="1">
      <alignment horizontal="center" vertical="center"/>
    </xf>
    <xf numFmtId="0" fontId="3" fillId="25" borderId="59" xfId="0" applyFont="1" applyFill="1" applyBorder="1" applyAlignment="1">
      <alignment horizontal="center" vertical="center"/>
    </xf>
    <xf numFmtId="0" fontId="3" fillId="25" borderId="58" xfId="0" applyFont="1" applyFill="1" applyBorder="1" applyAlignment="1">
      <alignment horizontal="center" vertical="center"/>
    </xf>
    <xf numFmtId="0" fontId="3" fillId="10" borderId="21" xfId="0" applyFont="1" applyFill="1" applyBorder="1" applyAlignment="1">
      <alignment horizontal="center" vertical="center"/>
    </xf>
    <xf numFmtId="0" fontId="3" fillId="10" borderId="24" xfId="0" applyFont="1" applyFill="1" applyBorder="1" applyAlignment="1">
      <alignment horizontal="center" vertical="center"/>
    </xf>
    <xf numFmtId="0" fontId="3" fillId="29" borderId="25" xfId="0" applyFont="1" applyFill="1" applyBorder="1" applyAlignment="1">
      <alignment horizontal="center" vertical="center"/>
    </xf>
    <xf numFmtId="0" fontId="3" fillId="29" borderId="26" xfId="0" applyFont="1" applyFill="1" applyBorder="1" applyAlignment="1">
      <alignment horizontal="center" vertical="center"/>
    </xf>
    <xf numFmtId="0" fontId="3" fillId="29" borderId="29" xfId="0" applyFont="1" applyFill="1" applyBorder="1" applyAlignment="1">
      <alignment horizontal="center" vertical="center"/>
    </xf>
    <xf numFmtId="0" fontId="0" fillId="10" borderId="21" xfId="0" applyFill="1" applyBorder="1" applyAlignment="1">
      <alignment horizontal="center"/>
    </xf>
    <xf numFmtId="0" fontId="0" fillId="10" borderId="21" xfId="0" applyFill="1" applyBorder="1" applyAlignment="1">
      <alignment horizontal="center" vertical="center"/>
    </xf>
    <xf numFmtId="0" fontId="0" fillId="10" borderId="0" xfId="0" applyFill="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center" vertical="center"/>
    </xf>
    <xf numFmtId="0" fontId="0" fillId="3" borderId="29" xfId="0" applyFill="1" applyBorder="1" applyAlignment="1">
      <alignment horizontal="center" vertical="center"/>
    </xf>
    <xf numFmtId="0" fontId="0" fillId="3" borderId="52" xfId="0" applyFill="1" applyBorder="1" applyAlignment="1">
      <alignment horizontal="center"/>
    </xf>
    <xf numFmtId="0" fontId="0" fillId="3" borderId="53" xfId="0" applyFill="1" applyBorder="1" applyAlignment="1">
      <alignment horizontal="center"/>
    </xf>
    <xf numFmtId="0" fontId="0" fillId="3" borderId="27" xfId="0" applyFill="1" applyBorder="1" applyAlignment="1">
      <alignment horizontal="center"/>
    </xf>
    <xf numFmtId="0" fontId="0" fillId="3" borderId="73" xfId="0" applyFill="1" applyBorder="1" applyAlignment="1">
      <alignment horizontal="center"/>
    </xf>
    <xf numFmtId="0" fontId="0" fillId="14" borderId="47" xfId="0" applyFill="1" applyBorder="1" applyAlignment="1">
      <alignment horizontal="center"/>
    </xf>
    <xf numFmtId="0" fontId="0" fillId="14" borderId="65" xfId="0" applyFill="1" applyBorder="1" applyAlignment="1">
      <alignment horizontal="center"/>
    </xf>
    <xf numFmtId="0" fontId="0" fillId="22" borderId="46" xfId="0" applyFill="1" applyBorder="1" applyAlignment="1">
      <alignment horizontal="center"/>
    </xf>
    <xf numFmtId="0" fontId="0" fillId="22" borderId="55" xfId="0" applyFill="1" applyBorder="1" applyAlignment="1">
      <alignment horizontal="center"/>
    </xf>
    <xf numFmtId="0" fontId="0" fillId="14" borderId="18" xfId="0" applyFill="1" applyBorder="1" applyAlignment="1">
      <alignment horizontal="center"/>
    </xf>
    <xf numFmtId="0" fontId="0" fillId="3" borderId="52" xfId="0" applyFill="1" applyBorder="1" applyAlignment="1">
      <alignment horizontal="center" vertical="center"/>
    </xf>
    <xf numFmtId="0" fontId="0" fillId="3" borderId="53" xfId="0" applyFill="1" applyBorder="1" applyAlignment="1">
      <alignment horizontal="center" vertical="center"/>
    </xf>
    <xf numFmtId="0" fontId="0" fillId="3" borderId="73" xfId="0" applyFill="1" applyBorder="1" applyAlignment="1">
      <alignment horizontal="center" vertical="center"/>
    </xf>
    <xf numFmtId="0" fontId="0" fillId="14" borderId="47" xfId="0" applyFill="1" applyBorder="1" applyAlignment="1">
      <alignment horizontal="center" vertical="center"/>
    </xf>
    <xf numFmtId="0" fontId="0" fillId="0" borderId="48" xfId="0" applyBorder="1" applyAlignment="1">
      <alignment horizontal="center" vertical="center"/>
    </xf>
    <xf numFmtId="0" fontId="0" fillId="14" borderId="65" xfId="0" applyFill="1" applyBorder="1" applyAlignment="1">
      <alignment horizontal="center" vertical="center"/>
    </xf>
    <xf numFmtId="0" fontId="0" fillId="22" borderId="46" xfId="0" applyFill="1" applyBorder="1" applyAlignment="1">
      <alignment horizontal="center" vertical="center"/>
    </xf>
    <xf numFmtId="0" fontId="0" fillId="14" borderId="18" xfId="0" applyFill="1" applyBorder="1" applyAlignment="1">
      <alignment horizontal="center" vertical="center"/>
    </xf>
    <xf numFmtId="0" fontId="0" fillId="3" borderId="18" xfId="0" applyFill="1" applyBorder="1" applyAlignment="1">
      <alignment horizontal="center" vertical="center"/>
    </xf>
    <xf numFmtId="0" fontId="0" fillId="14" borderId="13" xfId="0" applyFill="1" applyBorder="1" applyAlignment="1">
      <alignment horizontal="center" vertical="center"/>
    </xf>
    <xf numFmtId="0" fontId="0" fillId="14" borderId="19" xfId="0" applyFill="1" applyBorder="1" applyAlignment="1">
      <alignment horizontal="center" vertical="center"/>
    </xf>
    <xf numFmtId="0" fontId="0" fillId="14" borderId="51" xfId="0" applyFill="1" applyBorder="1" applyAlignment="1">
      <alignment horizontal="center" vertical="center"/>
    </xf>
    <xf numFmtId="0" fontId="0" fillId="3" borderId="13" xfId="0" applyFill="1" applyBorder="1" applyAlignment="1">
      <alignment horizontal="center"/>
    </xf>
    <xf numFmtId="0" fontId="0" fillId="3" borderId="65" xfId="0" applyFill="1" applyBorder="1" applyAlignment="1">
      <alignment horizontal="center"/>
    </xf>
    <xf numFmtId="0" fontId="0" fillId="22" borderId="50" xfId="0" applyFill="1" applyBorder="1" applyAlignment="1">
      <alignment horizontal="center"/>
    </xf>
    <xf numFmtId="0" fontId="3" fillId="0" borderId="0" xfId="0" applyFont="1" applyAlignment="1">
      <alignment horizontal="center" vertical="center"/>
    </xf>
    <xf numFmtId="0" fontId="0" fillId="3" borderId="61" xfId="0" applyFill="1" applyBorder="1" applyAlignment="1">
      <alignment horizontal="center"/>
    </xf>
    <xf numFmtId="0" fontId="0" fillId="3" borderId="21" xfId="0" applyFill="1" applyBorder="1" applyAlignment="1">
      <alignment horizontal="center"/>
    </xf>
    <xf numFmtId="0" fontId="0" fillId="3" borderId="25" xfId="0" applyFill="1" applyBorder="1" applyAlignment="1">
      <alignment horizontal="center"/>
    </xf>
    <xf numFmtId="0" fontId="0" fillId="3" borderId="26" xfId="0" applyFill="1" applyBorder="1" applyAlignment="1">
      <alignment horizontal="center"/>
    </xf>
    <xf numFmtId="0" fontId="0" fillId="3" borderId="29" xfId="0" applyFill="1" applyBorder="1" applyAlignment="1">
      <alignment horizontal="center"/>
    </xf>
    <xf numFmtId="0" fontId="3" fillId="3" borderId="26"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5" xfId="0" applyFont="1" applyFill="1" applyBorder="1" applyAlignment="1">
      <alignment horizontal="center" vertical="center"/>
    </xf>
    <xf numFmtId="0" fontId="3" fillId="22" borderId="21" xfId="0" applyFont="1" applyFill="1" applyBorder="1" applyAlignment="1">
      <alignment horizontal="center" vertical="center"/>
    </xf>
    <xf numFmtId="0" fontId="3" fillId="22" borderId="0" xfId="0" applyFont="1" applyFill="1" applyAlignment="1">
      <alignment horizontal="center" vertical="center"/>
    </xf>
    <xf numFmtId="0" fontId="3" fillId="9" borderId="21" xfId="0" applyFont="1" applyFill="1" applyBorder="1" applyAlignment="1">
      <alignment horizontal="center" vertical="center"/>
    </xf>
    <xf numFmtId="0" fontId="3" fillId="9" borderId="0" xfId="0" applyFont="1" applyFill="1" applyAlignment="1">
      <alignment horizontal="center" vertical="center"/>
    </xf>
    <xf numFmtId="0" fontId="3" fillId="3" borderId="0" xfId="0" applyFont="1" applyFill="1" applyAlignment="1">
      <alignment horizontal="center" vertical="center"/>
    </xf>
    <xf numFmtId="0" fontId="3" fillId="3" borderId="21" xfId="0" applyFont="1" applyFill="1" applyBorder="1" applyAlignment="1">
      <alignment horizontal="center" vertical="center"/>
    </xf>
    <xf numFmtId="0" fontId="3" fillId="9" borderId="24" xfId="0" applyFont="1" applyFill="1" applyBorder="1" applyAlignment="1">
      <alignment horizontal="center" vertical="center"/>
    </xf>
    <xf numFmtId="0" fontId="3" fillId="22" borderId="24" xfId="0" applyFont="1" applyFill="1" applyBorder="1" applyAlignment="1">
      <alignment horizontal="center" vertical="center"/>
    </xf>
    <xf numFmtId="0" fontId="3" fillId="22" borderId="35" xfId="0" applyFont="1" applyFill="1" applyBorder="1" applyAlignment="1">
      <alignment horizontal="center" vertical="center"/>
    </xf>
    <xf numFmtId="0" fontId="3" fillId="22" borderId="32" xfId="0" applyFont="1" applyFill="1" applyBorder="1" applyAlignment="1">
      <alignment horizontal="center" vertical="center"/>
    </xf>
    <xf numFmtId="0" fontId="3" fillId="3" borderId="24" xfId="0" applyFont="1" applyFill="1" applyBorder="1" applyAlignment="1">
      <alignment horizontal="center" vertical="center"/>
    </xf>
    <xf numFmtId="0" fontId="14" fillId="14" borderId="61" xfId="0" applyFont="1" applyFill="1" applyBorder="1" applyAlignment="1">
      <alignment horizontal="center" vertical="center"/>
    </xf>
    <xf numFmtId="0" fontId="0" fillId="9" borderId="61" xfId="0" applyFill="1" applyBorder="1" applyAlignment="1">
      <alignment horizontal="center" vertical="center"/>
    </xf>
    <xf numFmtId="0" fontId="0" fillId="3" borderId="66" xfId="0" applyFill="1" applyBorder="1" applyAlignment="1">
      <alignment horizontal="center"/>
    </xf>
    <xf numFmtId="0" fontId="0" fillId="0" borderId="67" xfId="0" applyBorder="1"/>
    <xf numFmtId="0" fontId="0" fillId="21" borderId="67" xfId="0" applyFill="1" applyBorder="1"/>
    <xf numFmtId="0" fontId="0" fillId="10" borderId="67" xfId="0" applyFill="1" applyBorder="1"/>
    <xf numFmtId="0" fontId="0" fillId="9" borderId="25" xfId="0" applyFill="1" applyBorder="1"/>
    <xf numFmtId="0" fontId="0" fillId="9" borderId="21" xfId="0" applyFill="1" applyBorder="1"/>
    <xf numFmtId="0" fontId="0" fillId="9" borderId="24" xfId="0" applyFill="1" applyBorder="1"/>
    <xf numFmtId="0" fontId="0" fillId="9" borderId="35" xfId="0" applyFill="1" applyBorder="1"/>
    <xf numFmtId="0" fontId="0" fillId="9" borderId="32" xfId="0" applyFill="1" applyBorder="1"/>
    <xf numFmtId="0" fontId="0" fillId="9" borderId="34" xfId="0" applyFill="1" applyBorder="1"/>
    <xf numFmtId="0" fontId="0" fillId="21" borderId="32" xfId="0" applyFill="1" applyBorder="1"/>
    <xf numFmtId="0" fontId="15" fillId="31" borderId="58" xfId="0" applyFont="1" applyFill="1" applyBorder="1" applyAlignment="1">
      <alignment horizontal="center" vertical="center" wrapText="1"/>
    </xf>
    <xf numFmtId="0" fontId="15" fillId="32" borderId="68" xfId="0" applyFont="1" applyFill="1" applyBorder="1" applyAlignment="1">
      <alignment vertical="center" wrapText="1"/>
    </xf>
    <xf numFmtId="0" fontId="16" fillId="33"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18" fillId="31" borderId="61" xfId="0" applyFont="1" applyFill="1" applyBorder="1" applyAlignment="1">
      <alignment horizontal="center" vertical="center" wrapText="1"/>
    </xf>
    <xf numFmtId="0" fontId="19" fillId="22" borderId="32" xfId="0" applyFont="1" applyFill="1" applyBorder="1" applyAlignment="1">
      <alignment horizontal="center" vertical="center"/>
    </xf>
    <xf numFmtId="0" fontId="19" fillId="22" borderId="34" xfId="0" applyFont="1" applyFill="1" applyBorder="1" applyAlignment="1">
      <alignment horizontal="center" vertical="center"/>
    </xf>
    <xf numFmtId="0" fontId="18" fillId="32" borderId="58" xfId="0" applyFont="1" applyFill="1" applyBorder="1" applyAlignment="1">
      <alignment horizontal="justify" vertical="center" wrapText="1"/>
    </xf>
    <xf numFmtId="0" fontId="18" fillId="32" borderId="61" xfId="0" applyFont="1" applyFill="1" applyBorder="1" applyAlignment="1">
      <alignment horizontal="center" vertical="center" wrapText="1"/>
    </xf>
    <xf numFmtId="0" fontId="18" fillId="33" borderId="34" xfId="0" applyFont="1" applyFill="1" applyBorder="1" applyAlignment="1">
      <alignment vertical="center" wrapText="1"/>
    </xf>
    <xf numFmtId="0" fontId="18" fillId="33" borderId="34" xfId="0" applyFont="1" applyFill="1" applyBorder="1" applyAlignment="1">
      <alignment horizontal="center" vertical="center" wrapText="1"/>
    </xf>
    <xf numFmtId="0" fontId="20" fillId="0" borderId="34" xfId="0" applyFont="1" applyBorder="1" applyAlignment="1">
      <alignment vertical="center" wrapText="1"/>
    </xf>
    <xf numFmtId="0" fontId="20" fillId="0" borderId="34" xfId="0" applyFont="1" applyBorder="1" applyAlignment="1">
      <alignment horizontal="center" vertical="center" wrapText="1"/>
    </xf>
    <xf numFmtId="0" fontId="18" fillId="34" borderId="34" xfId="0" applyFont="1" applyFill="1" applyBorder="1" applyAlignment="1">
      <alignment vertical="center" wrapText="1"/>
    </xf>
    <xf numFmtId="0" fontId="18" fillId="34" borderId="34" xfId="0" applyFont="1" applyFill="1" applyBorder="1" applyAlignment="1">
      <alignment horizontal="center" vertical="center" wrapText="1"/>
    </xf>
    <xf numFmtId="0" fontId="18" fillId="32" borderId="58" xfId="0" applyFont="1" applyFill="1" applyBorder="1" applyAlignment="1">
      <alignment horizontal="left" vertical="center" wrapText="1"/>
    </xf>
    <xf numFmtId="0" fontId="18" fillId="32" borderId="61" xfId="0" applyFont="1" applyFill="1" applyBorder="1" applyAlignment="1">
      <alignment horizontal="left" vertical="center" wrapText="1"/>
    </xf>
    <xf numFmtId="0" fontId="16" fillId="32" borderId="58" xfId="0" applyFont="1" applyFill="1" applyBorder="1" applyAlignment="1">
      <alignment horizontal="center" vertical="center" wrapText="1"/>
    </xf>
    <xf numFmtId="0" fontId="16" fillId="32" borderId="61" xfId="0" applyFont="1" applyFill="1" applyBorder="1" applyAlignment="1">
      <alignment horizontal="center" vertical="center" wrapText="1"/>
    </xf>
    <xf numFmtId="165" fontId="20" fillId="0" borderId="34" xfId="0" applyNumberFormat="1" applyFont="1" applyBorder="1" applyAlignment="1">
      <alignment horizontal="center" vertical="center" wrapText="1"/>
    </xf>
    <xf numFmtId="165" fontId="18" fillId="34" borderId="34" xfId="0" applyNumberFormat="1" applyFont="1" applyFill="1" applyBorder="1" applyAlignment="1">
      <alignment horizontal="center" vertical="center" wrapText="1"/>
    </xf>
    <xf numFmtId="0" fontId="0" fillId="3" borderId="14" xfId="0" applyFill="1" applyBorder="1" applyAlignment="1">
      <alignment horizontal="center" vertical="center"/>
    </xf>
    <xf numFmtId="0" fontId="0" fillId="3" borderId="12" xfId="0" applyFill="1" applyBorder="1" applyAlignment="1">
      <alignment horizontal="center" vertical="center"/>
    </xf>
    <xf numFmtId="0" fontId="0" fillId="3" borderId="20"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5" xfId="0" applyFill="1" applyBorder="1" applyAlignment="1">
      <alignment horizontal="center" vertical="center"/>
    </xf>
    <xf numFmtId="0" fontId="0" fillId="3" borderId="0" xfId="0" applyFill="1" applyAlignment="1">
      <alignment horizontal="center" vertical="center"/>
    </xf>
    <xf numFmtId="0" fontId="0" fillId="12" borderId="5" xfId="0" applyFill="1" applyBorder="1" applyAlignment="1">
      <alignment horizontal="center"/>
    </xf>
    <xf numFmtId="0" fontId="0" fillId="12" borderId="6" xfId="0" applyFill="1" applyBorder="1" applyAlignment="1">
      <alignment horizontal="center"/>
    </xf>
    <xf numFmtId="0" fontId="0" fillId="12" borderId="7" xfId="0" applyFill="1" applyBorder="1" applyAlignment="1">
      <alignment horizontal="center"/>
    </xf>
    <xf numFmtId="0" fontId="0" fillId="12" borderId="9" xfId="0" applyFill="1" applyBorder="1" applyAlignment="1">
      <alignment horizontal="center"/>
    </xf>
    <xf numFmtId="0" fontId="0" fillId="6" borderId="15" xfId="0" applyFill="1" applyBorder="1" applyAlignment="1">
      <alignment horizontal="center" vertical="center"/>
    </xf>
    <xf numFmtId="0" fontId="0" fillId="6" borderId="19" xfId="0" applyFill="1" applyBorder="1" applyAlignment="1">
      <alignment horizontal="center" vertical="center"/>
    </xf>
    <xf numFmtId="0" fontId="0" fillId="8" borderId="5" xfId="0" applyFill="1" applyBorder="1" applyAlignment="1">
      <alignment horizontal="center"/>
    </xf>
    <xf numFmtId="0" fontId="0" fillId="8" borderId="6" xfId="0" applyFill="1" applyBorder="1" applyAlignment="1">
      <alignment horizontal="center"/>
    </xf>
    <xf numFmtId="0" fontId="0" fillId="8" borderId="23" xfId="0" applyFill="1" applyBorder="1" applyAlignment="1">
      <alignment horizontal="center"/>
    </xf>
    <xf numFmtId="0" fontId="0" fillId="8" borderId="7" xfId="0" applyFill="1" applyBorder="1" applyAlignment="1">
      <alignment horizontal="center"/>
    </xf>
    <xf numFmtId="0" fontId="0" fillId="8" borderId="9"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5" xfId="0" applyFill="1" applyBorder="1" applyAlignment="1">
      <alignment horizontal="center"/>
    </xf>
    <xf numFmtId="0" fontId="0" fillId="6" borderId="6" xfId="0" applyFill="1" applyBorder="1" applyAlignment="1">
      <alignment horizontal="center"/>
    </xf>
    <xf numFmtId="0" fontId="1" fillId="4" borderId="14"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20" xfId="0" applyFont="1" applyFill="1" applyBorder="1" applyAlignment="1">
      <alignment horizontal="center" vertical="center"/>
    </xf>
    <xf numFmtId="0" fontId="0" fillId="12" borderId="2" xfId="0" applyFill="1" applyBorder="1" applyAlignment="1">
      <alignment horizontal="center"/>
    </xf>
    <xf numFmtId="0" fontId="0" fillId="12" borderId="4" xfId="0" applyFill="1" applyBorder="1" applyAlignment="1">
      <alignment horizontal="center"/>
    </xf>
    <xf numFmtId="0" fontId="0" fillId="6" borderId="2" xfId="0" applyFill="1" applyBorder="1" applyAlignment="1">
      <alignment horizontal="center" vertical="center"/>
    </xf>
    <xf numFmtId="0" fontId="0" fillId="6" borderId="4" xfId="0" applyFill="1" applyBorder="1" applyAlignment="1">
      <alignment horizontal="center" vertical="center"/>
    </xf>
    <xf numFmtId="0" fontId="0" fillId="6" borderId="7" xfId="0" applyFill="1" applyBorder="1" applyAlignment="1">
      <alignment horizontal="center" vertical="center"/>
    </xf>
    <xf numFmtId="0" fontId="0" fillId="6" borderId="9" xfId="0" applyFill="1" applyBorder="1" applyAlignment="1">
      <alignment horizontal="center" vertical="center"/>
    </xf>
    <xf numFmtId="0" fontId="0" fillId="5" borderId="14" xfId="0" applyFill="1" applyBorder="1" applyAlignment="1">
      <alignment horizontal="center"/>
    </xf>
    <xf numFmtId="0" fontId="0" fillId="5" borderId="20" xfId="0" applyFill="1" applyBorder="1" applyAlignment="1">
      <alignment horizontal="center"/>
    </xf>
    <xf numFmtId="0" fontId="0" fillId="5" borderId="12" xfId="0" applyFill="1" applyBorder="1" applyAlignment="1">
      <alignment horizontal="center"/>
    </xf>
    <xf numFmtId="0" fontId="0" fillId="6" borderId="14" xfId="0" applyFill="1" applyBorder="1" applyAlignment="1">
      <alignment horizontal="center"/>
    </xf>
    <xf numFmtId="0" fontId="0" fillId="6" borderId="20" xfId="0" applyFill="1" applyBorder="1" applyAlignment="1">
      <alignment horizontal="center"/>
    </xf>
    <xf numFmtId="0" fontId="0" fillId="7" borderId="5" xfId="0" applyFill="1" applyBorder="1" applyAlignment="1">
      <alignment horizontal="center" vertical="center"/>
    </xf>
    <xf numFmtId="0" fontId="0" fillId="7" borderId="0" xfId="0" applyFill="1" applyAlignment="1">
      <alignment horizontal="center" vertical="center"/>
    </xf>
    <xf numFmtId="0" fontId="0" fillId="7" borderId="15" xfId="0" applyFill="1" applyBorder="1" applyAlignment="1">
      <alignment horizontal="center" vertical="center"/>
    </xf>
    <xf numFmtId="0" fontId="0" fillId="7" borderId="19" xfId="0" applyFill="1" applyBorder="1" applyAlignment="1">
      <alignment horizontal="center" vertical="center"/>
    </xf>
    <xf numFmtId="0" fontId="0" fillId="6" borderId="7" xfId="0" applyFill="1" applyBorder="1" applyAlignment="1">
      <alignment horizontal="center"/>
    </xf>
    <xf numFmtId="0" fontId="0" fillId="6" borderId="9" xfId="0" applyFill="1" applyBorder="1" applyAlignment="1">
      <alignment horizontal="center"/>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6" borderId="5" xfId="0" applyFill="1" applyBorder="1" applyAlignment="1">
      <alignment horizontal="center" vertical="center"/>
    </xf>
    <xf numFmtId="0" fontId="0" fillId="6" borderId="6" xfId="0" applyFill="1" applyBorder="1" applyAlignment="1">
      <alignment horizontal="center" vertical="center"/>
    </xf>
    <xf numFmtId="0" fontId="2" fillId="2" borderId="10" xfId="0" applyFont="1" applyFill="1" applyBorder="1" applyAlignment="1">
      <alignment horizontal="center"/>
    </xf>
    <xf numFmtId="0" fontId="2" fillId="2" borderId="3" xfId="0" applyFont="1" applyFill="1" applyBorder="1" applyAlignment="1">
      <alignment horizontal="center"/>
    </xf>
    <xf numFmtId="0" fontId="1" fillId="4" borderId="11" xfId="0" applyFont="1" applyFill="1" applyBorder="1" applyAlignment="1">
      <alignment horizontal="center" vertical="center"/>
    </xf>
    <xf numFmtId="0" fontId="0" fillId="7" borderId="2" xfId="0" applyFill="1" applyBorder="1" applyAlignment="1">
      <alignment horizontal="center" vertical="center"/>
    </xf>
    <xf numFmtId="0" fontId="0" fillId="7" borderId="7"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3" borderId="14" xfId="0" applyFill="1" applyBorder="1" applyAlignment="1">
      <alignment horizontal="center"/>
    </xf>
    <xf numFmtId="0" fontId="0" fillId="3" borderId="20" xfId="0" applyFill="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4" borderId="20" xfId="0" applyFont="1" applyFill="1" applyBorder="1" applyAlignment="1">
      <alignment horizontal="center"/>
    </xf>
    <xf numFmtId="0" fontId="0" fillId="3" borderId="7" xfId="0" applyFill="1" applyBorder="1" applyAlignment="1">
      <alignment horizontal="center"/>
    </xf>
    <xf numFmtId="0" fontId="0" fillId="3" borderId="9" xfId="0" applyFill="1" applyBorder="1" applyAlignment="1">
      <alignment horizontal="center"/>
    </xf>
    <xf numFmtId="0" fontId="1" fillId="4" borderId="13" xfId="0" applyFont="1" applyFill="1" applyBorder="1" applyAlignment="1">
      <alignment horizontal="center" vertical="center"/>
    </xf>
    <xf numFmtId="0" fontId="1" fillId="4" borderId="1" xfId="0" applyFont="1" applyFill="1" applyBorder="1" applyAlignment="1">
      <alignment horizontal="center" vertical="center"/>
    </xf>
    <xf numFmtId="0" fontId="0" fillId="9" borderId="2" xfId="0" applyFill="1" applyBorder="1" applyAlignment="1">
      <alignment horizontal="center" vertical="center" wrapText="1"/>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0" fillId="9" borderId="0" xfId="0" applyFill="1" applyAlignment="1">
      <alignment horizontal="center" vertical="center" wrapText="1"/>
    </xf>
    <xf numFmtId="0" fontId="0" fillId="9" borderId="6"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9" borderId="9" xfId="0" applyFill="1" applyBorder="1" applyAlignment="1">
      <alignment horizontal="center" vertical="center" wrapText="1"/>
    </xf>
    <xf numFmtId="0" fontId="1" fillId="4" borderId="22"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3" xfId="0" applyFont="1" applyFill="1" applyBorder="1" applyAlignment="1">
      <alignment horizontal="center"/>
    </xf>
    <xf numFmtId="0" fontId="3" fillId="0" borderId="2" xfId="0" applyFont="1" applyBorder="1" applyAlignment="1">
      <alignment horizontal="left" vertical="center" wrapText="1" indent="2"/>
    </xf>
    <xf numFmtId="0" fontId="3" fillId="0" borderId="3" xfId="0" applyFont="1" applyBorder="1" applyAlignment="1">
      <alignment horizontal="left" vertical="center" wrapText="1" indent="2"/>
    </xf>
    <xf numFmtId="0" fontId="3" fillId="0" borderId="4" xfId="0" applyFont="1" applyBorder="1" applyAlignment="1">
      <alignment horizontal="left" vertical="center" wrapText="1" indent="2"/>
    </xf>
    <xf numFmtId="0" fontId="3" fillId="0" borderId="5" xfId="0" applyFont="1" applyBorder="1" applyAlignment="1">
      <alignment horizontal="left" vertical="center" wrapText="1" indent="2"/>
    </xf>
    <xf numFmtId="0" fontId="3" fillId="0" borderId="0" xfId="0" applyFont="1" applyAlignment="1">
      <alignment horizontal="left" vertical="center" wrapText="1" indent="2"/>
    </xf>
    <xf numFmtId="0" fontId="3" fillId="0" borderId="6" xfId="0" applyFont="1" applyBorder="1" applyAlignment="1">
      <alignment horizontal="left" vertical="center" wrapText="1" indent="2"/>
    </xf>
    <xf numFmtId="0" fontId="3" fillId="0" borderId="7" xfId="0" applyFont="1" applyBorder="1" applyAlignment="1">
      <alignment horizontal="left" vertical="center" wrapText="1" indent="2"/>
    </xf>
    <xf numFmtId="0" fontId="3" fillId="0" borderId="8" xfId="0" applyFont="1" applyBorder="1" applyAlignment="1">
      <alignment horizontal="left" vertical="center" wrapText="1" indent="2"/>
    </xf>
    <xf numFmtId="0" fontId="3" fillId="0" borderId="9" xfId="0" applyFont="1" applyBorder="1" applyAlignment="1">
      <alignment horizontal="left" vertical="center" wrapText="1" indent="2"/>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0" xfId="0" applyFont="1" applyFill="1" applyBorder="1" applyAlignment="1">
      <alignment horizontal="center"/>
    </xf>
    <xf numFmtId="0" fontId="0" fillId="6" borderId="23" xfId="0" applyFill="1" applyBorder="1" applyAlignment="1">
      <alignment horizontal="center" vertical="center"/>
    </xf>
    <xf numFmtId="0" fontId="0" fillId="7" borderId="23" xfId="0" applyFill="1" applyBorder="1" applyAlignment="1">
      <alignment horizontal="center" vertical="center"/>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0" fillId="0" borderId="35" xfId="0" applyBorder="1" applyAlignment="1">
      <alignment horizontal="center" vertical="center" wrapText="1"/>
    </xf>
    <xf numFmtId="0" fontId="0" fillId="0" borderId="34" xfId="0" applyBorder="1" applyAlignment="1">
      <alignment horizontal="center" vertical="center" wrapText="1"/>
    </xf>
    <xf numFmtId="0" fontId="0" fillId="4" borderId="14" xfId="0" applyFill="1" applyBorder="1" applyAlignment="1">
      <alignment horizontal="center"/>
    </xf>
    <xf numFmtId="0" fontId="0" fillId="4" borderId="12" xfId="0" applyFill="1" applyBorder="1" applyAlignment="1">
      <alignment horizontal="center"/>
    </xf>
    <xf numFmtId="0" fontId="0" fillId="4" borderId="20" xfId="0" applyFill="1" applyBorder="1" applyAlignment="1">
      <alignment horizontal="center"/>
    </xf>
    <xf numFmtId="0" fontId="3" fillId="0" borderId="27" xfId="0" applyFont="1" applyBorder="1" applyAlignment="1">
      <alignment horizontal="left" vertical="center" wrapText="1" indent="2"/>
    </xf>
    <xf numFmtId="0" fontId="3" fillId="0" borderId="26" xfId="0" applyFont="1" applyBorder="1" applyAlignment="1">
      <alignment horizontal="left" vertical="center" wrapText="1" indent="2"/>
    </xf>
    <xf numFmtId="0" fontId="3" fillId="0" borderId="28" xfId="0" applyFont="1" applyBorder="1" applyAlignment="1">
      <alignment horizontal="left" vertical="center" wrapText="1" indent="2"/>
    </xf>
    <xf numFmtId="0" fontId="0" fillId="3" borderId="15" xfId="0" applyFill="1" applyBorder="1" applyAlignment="1">
      <alignment horizontal="center" vertical="center" wrapText="1"/>
    </xf>
    <xf numFmtId="0" fontId="0" fillId="3" borderId="23" xfId="0" applyFill="1" applyBorder="1" applyAlignment="1">
      <alignment horizontal="center"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29" xfId="0" applyFont="1" applyBorder="1" applyAlignment="1">
      <alignment horizontal="left" vertical="center" wrapText="1"/>
    </xf>
    <xf numFmtId="0" fontId="9" fillId="0" borderId="21" xfId="0" applyFont="1" applyBorder="1" applyAlignment="1">
      <alignment horizontal="left" vertical="center" wrapText="1"/>
    </xf>
    <xf numFmtId="0" fontId="9" fillId="0" borderId="0" xfId="0" applyFont="1" applyAlignment="1">
      <alignment horizontal="left" vertical="center" wrapText="1"/>
    </xf>
    <xf numFmtId="0" fontId="9" fillId="0" borderId="24" xfId="0" applyFont="1" applyBorder="1" applyAlignment="1">
      <alignment horizontal="left" vertical="center" wrapText="1"/>
    </xf>
    <xf numFmtId="0" fontId="9" fillId="0" borderId="35" xfId="0" applyFont="1" applyBorder="1" applyAlignment="1">
      <alignment horizontal="left" vertical="center" wrapText="1"/>
    </xf>
    <xf numFmtId="0" fontId="9" fillId="0" borderId="32" xfId="0" applyFont="1" applyBorder="1" applyAlignment="1">
      <alignment horizontal="left" vertical="center" wrapText="1"/>
    </xf>
    <xf numFmtId="0" fontId="9" fillId="0" borderId="34" xfId="0" applyFont="1" applyBorder="1" applyAlignment="1">
      <alignment horizontal="left" vertical="center" wrapText="1"/>
    </xf>
    <xf numFmtId="0" fontId="0" fillId="8" borderId="2" xfId="0" applyFill="1" applyBorder="1" applyAlignment="1">
      <alignment horizontal="center" vertical="center"/>
    </xf>
    <xf numFmtId="0" fontId="0" fillId="8" borderId="4" xfId="0" applyFill="1" applyBorder="1" applyAlignment="1">
      <alignment horizontal="center" vertical="center"/>
    </xf>
    <xf numFmtId="0" fontId="0" fillId="8" borderId="7" xfId="0" applyFill="1" applyBorder="1" applyAlignment="1">
      <alignment horizontal="center" vertical="center"/>
    </xf>
    <xf numFmtId="0" fontId="0" fillId="8" borderId="9" xfId="0" applyFill="1" applyBorder="1" applyAlignment="1">
      <alignment horizontal="center" vertical="center"/>
    </xf>
    <xf numFmtId="0" fontId="0" fillId="6" borderId="23" xfId="0" applyFill="1" applyBorder="1" applyAlignment="1">
      <alignment horizontal="center"/>
    </xf>
    <xf numFmtId="0" fontId="4" fillId="0" borderId="14" xfId="0" applyFont="1" applyBorder="1" applyAlignment="1">
      <alignment horizontal="center"/>
    </xf>
    <xf numFmtId="0" fontId="4" fillId="0" borderId="12" xfId="0" applyFont="1" applyBorder="1" applyAlignment="1">
      <alignment horizontal="center"/>
    </xf>
    <xf numFmtId="0" fontId="4" fillId="0" borderId="20" xfId="0" applyFont="1" applyBorder="1" applyAlignment="1">
      <alignment horizont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4" xfId="0" applyBorder="1" applyAlignment="1">
      <alignment horizontal="center"/>
    </xf>
    <xf numFmtId="0" fontId="0" fillId="0" borderId="12" xfId="0" applyBorder="1" applyAlignment="1">
      <alignment horizontal="center"/>
    </xf>
    <xf numFmtId="0" fontId="0" fillId="2" borderId="36" xfId="0" applyFill="1" applyBorder="1" applyAlignment="1">
      <alignment horizontal="center"/>
    </xf>
    <xf numFmtId="0" fontId="0" fillId="2" borderId="37" xfId="0" applyFill="1" applyBorder="1" applyAlignment="1">
      <alignment horizontal="center"/>
    </xf>
    <xf numFmtId="0" fontId="0" fillId="2" borderId="38" xfId="0" applyFill="1" applyBorder="1" applyAlignment="1">
      <alignment horizontal="center"/>
    </xf>
    <xf numFmtId="0" fontId="0" fillId="0" borderId="39"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20" xfId="0" applyBorder="1" applyAlignment="1">
      <alignment horizontal="center"/>
    </xf>
    <xf numFmtId="0" fontId="0" fillId="0" borderId="40" xfId="0" applyBorder="1" applyAlignment="1">
      <alignment horizontal="center"/>
    </xf>
    <xf numFmtId="0" fontId="4" fillId="0" borderId="59" xfId="0" applyFont="1" applyBorder="1" applyAlignment="1">
      <alignment horizontal="center"/>
    </xf>
    <xf numFmtId="0" fontId="4" fillId="0" borderId="60" xfId="0" applyFont="1" applyBorder="1" applyAlignment="1">
      <alignment horizontal="center"/>
    </xf>
    <xf numFmtId="0" fontId="4" fillId="0" borderId="61" xfId="0" applyFon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44" xfId="0" applyBorder="1" applyAlignment="1">
      <alignment horizontal="center"/>
    </xf>
    <xf numFmtId="0" fontId="0" fillId="2" borderId="45" xfId="0" applyFill="1" applyBorder="1" applyAlignment="1">
      <alignment horizontal="center"/>
    </xf>
    <xf numFmtId="0" fontId="0" fillId="0" borderId="9" xfId="0" applyBorder="1" applyAlignment="1">
      <alignment horizontal="center"/>
    </xf>
    <xf numFmtId="0" fontId="0" fillId="0" borderId="26" xfId="0" applyBorder="1" applyAlignment="1">
      <alignment horizontal="center" vertical="center" wrapText="1"/>
    </xf>
    <xf numFmtId="0" fontId="0" fillId="0" borderId="32" xfId="0" applyBorder="1" applyAlignment="1">
      <alignment horizontal="center" vertical="center" wrapText="1"/>
    </xf>
    <xf numFmtId="0" fontId="6" fillId="26" borderId="14" xfId="0" applyFont="1" applyFill="1" applyBorder="1" applyAlignment="1">
      <alignment horizontal="center"/>
    </xf>
    <xf numFmtId="0" fontId="6" fillId="26" borderId="20" xfId="0" applyFont="1" applyFill="1" applyBorder="1" applyAlignment="1">
      <alignment horizontal="center"/>
    </xf>
    <xf numFmtId="0" fontId="6" fillId="24" borderId="1" xfId="0" applyFont="1" applyFill="1" applyBorder="1" applyAlignment="1">
      <alignment horizontal="center"/>
    </xf>
    <xf numFmtId="0" fontId="0" fillId="22" borderId="14" xfId="0" applyFill="1" applyBorder="1" applyAlignment="1">
      <alignment horizontal="center"/>
    </xf>
    <xf numFmtId="0" fontId="0" fillId="22" borderId="20" xfId="0" applyFill="1" applyBorder="1" applyAlignment="1">
      <alignment horizontal="center"/>
    </xf>
    <xf numFmtId="0" fontId="6" fillId="20" borderId="14" xfId="0" applyFont="1" applyFill="1" applyBorder="1" applyAlignment="1">
      <alignment horizontal="center"/>
    </xf>
    <xf numFmtId="0" fontId="6" fillId="20" borderId="20" xfId="0" applyFont="1" applyFill="1" applyBorder="1" applyAlignment="1">
      <alignment horizontal="center"/>
    </xf>
    <xf numFmtId="0" fontId="6" fillId="24" borderId="14" xfId="0" applyFont="1" applyFill="1" applyBorder="1" applyAlignment="1">
      <alignment horizontal="center"/>
    </xf>
    <xf numFmtId="0" fontId="6" fillId="24" borderId="20" xfId="0" applyFont="1" applyFill="1" applyBorder="1" applyAlignment="1">
      <alignment horizontal="center"/>
    </xf>
    <xf numFmtId="0" fontId="0" fillId="22" borderId="8" xfId="0" applyFill="1" applyBorder="1" applyAlignment="1">
      <alignment horizontal="center"/>
    </xf>
    <xf numFmtId="0" fontId="0" fillId="22" borderId="9" xfId="0" applyFill="1" applyBorder="1" applyAlignment="1">
      <alignment horizontal="center"/>
    </xf>
    <xf numFmtId="0" fontId="0" fillId="22" borderId="7" xfId="0" applyFill="1" applyBorder="1" applyAlignment="1">
      <alignment horizontal="center"/>
    </xf>
    <xf numFmtId="0" fontId="0" fillId="15" borderId="14" xfId="0" applyFill="1" applyBorder="1" applyAlignment="1">
      <alignment horizontal="center"/>
    </xf>
    <xf numFmtId="0" fontId="0" fillId="15" borderId="20" xfId="0" applyFill="1" applyBorder="1" applyAlignment="1">
      <alignment horizontal="center"/>
    </xf>
    <xf numFmtId="0" fontId="0" fillId="0" borderId="45"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9"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9" xfId="0" applyBorder="1" applyAlignment="1">
      <alignment horizontal="center"/>
    </xf>
    <xf numFmtId="0" fontId="2" fillId="0" borderId="14"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0" fillId="9" borderId="14" xfId="0" applyFill="1" applyBorder="1" applyAlignment="1">
      <alignment horizontal="center"/>
    </xf>
    <xf numFmtId="0" fontId="0" fillId="9" borderId="20" xfId="0" applyFill="1" applyBorder="1" applyAlignment="1">
      <alignment horizontal="center"/>
    </xf>
    <xf numFmtId="0" fontId="0" fillId="22" borderId="12" xfId="0" applyFill="1" applyBorder="1" applyAlignment="1">
      <alignment horizontal="center"/>
    </xf>
    <xf numFmtId="0" fontId="0" fillId="2" borderId="32" xfId="0" applyFill="1" applyBorder="1" applyAlignment="1">
      <alignment horizontal="center"/>
    </xf>
    <xf numFmtId="0" fontId="0" fillId="2" borderId="33" xfId="0" applyFill="1"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43"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51"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15" borderId="1" xfId="0" applyFill="1" applyBorder="1" applyAlignment="1">
      <alignment horizontal="center"/>
    </xf>
    <xf numFmtId="0" fontId="6" fillId="0" borderId="1" xfId="0" applyFont="1" applyBorder="1" applyAlignment="1">
      <alignment horizontal="center"/>
    </xf>
    <xf numFmtId="0" fontId="2" fillId="0" borderId="60" xfId="0" applyFont="1" applyBorder="1" applyAlignment="1">
      <alignment horizontal="center"/>
    </xf>
    <xf numFmtId="0" fontId="0" fillId="22" borderId="1" xfId="0" applyFill="1" applyBorder="1" applyAlignment="1">
      <alignment horizontal="center"/>
    </xf>
    <xf numFmtId="0" fontId="6" fillId="20" borderId="1" xfId="0" applyFont="1" applyFill="1" applyBorder="1" applyAlignment="1">
      <alignment horizontal="center"/>
    </xf>
    <xf numFmtId="0" fontId="6" fillId="26" borderId="1" xfId="0" applyFont="1" applyFill="1" applyBorder="1" applyAlignment="1">
      <alignment horizontal="center"/>
    </xf>
    <xf numFmtId="0" fontId="0" fillId="25" borderId="1" xfId="0" applyFill="1" applyBorder="1" applyAlignment="1">
      <alignment horizontal="center"/>
    </xf>
    <xf numFmtId="0" fontId="0" fillId="22" borderId="2" xfId="0" applyFill="1" applyBorder="1" applyAlignment="1">
      <alignment horizontal="center" wrapText="1"/>
    </xf>
    <xf numFmtId="0" fontId="0" fillId="22" borderId="3" xfId="0" applyFill="1" applyBorder="1" applyAlignment="1">
      <alignment horizontal="center" wrapText="1"/>
    </xf>
    <xf numFmtId="0" fontId="0" fillId="22" borderId="4" xfId="0" applyFill="1" applyBorder="1" applyAlignment="1">
      <alignment horizont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7" fillId="15" borderId="2" xfId="0" applyFont="1" applyFill="1" applyBorder="1" applyAlignment="1">
      <alignment horizontal="center"/>
    </xf>
    <xf numFmtId="0" fontId="7" fillId="15" borderId="3" xfId="0" applyFont="1" applyFill="1" applyBorder="1" applyAlignment="1">
      <alignment horizontal="center"/>
    </xf>
    <xf numFmtId="0" fontId="7" fillId="15" borderId="4" xfId="0" applyFont="1" applyFill="1" applyBorder="1" applyAlignment="1">
      <alignment horizontal="center"/>
    </xf>
    <xf numFmtId="0" fontId="0" fillId="0" borderId="0" xfId="0" applyAlignment="1">
      <alignment horizontal="center" wrapText="1"/>
    </xf>
    <xf numFmtId="0" fontId="0" fillId="0" borderId="1" xfId="0" applyBorder="1" applyAlignment="1">
      <alignment horizontal="center"/>
    </xf>
    <xf numFmtId="0" fontId="7" fillId="15" borderId="14" xfId="0" applyFont="1" applyFill="1" applyBorder="1" applyAlignment="1">
      <alignment horizontal="center"/>
    </xf>
    <xf numFmtId="0" fontId="7" fillId="15" borderId="12" xfId="0" applyFont="1" applyFill="1" applyBorder="1" applyAlignment="1">
      <alignment horizontal="center"/>
    </xf>
    <xf numFmtId="0" fontId="7" fillId="15" borderId="20" xfId="0" applyFont="1" applyFill="1" applyBorder="1" applyAlignment="1">
      <alignment horizontal="center"/>
    </xf>
    <xf numFmtId="0" fontId="0" fillId="0" borderId="5" xfId="0" applyBorder="1" applyAlignment="1">
      <alignment horizontal="center" wrapText="1"/>
    </xf>
    <xf numFmtId="0" fontId="0" fillId="15" borderId="12" xfId="0" applyFill="1" applyBorder="1" applyAlignment="1">
      <alignment horizontal="center"/>
    </xf>
    <xf numFmtId="0" fontId="0" fillId="15" borderId="7" xfId="0" applyFill="1" applyBorder="1" applyAlignment="1">
      <alignment horizontal="center"/>
    </xf>
    <xf numFmtId="0" fontId="0" fillId="15" borderId="8" xfId="0" applyFill="1" applyBorder="1" applyAlignment="1">
      <alignment horizontal="center"/>
    </xf>
    <xf numFmtId="0" fontId="0" fillId="15" borderId="9" xfId="0" applyFill="1" applyBorder="1" applyAlignment="1">
      <alignment horizontal="center"/>
    </xf>
    <xf numFmtId="0" fontId="0" fillId="2" borderId="22" xfId="0" applyFill="1" applyBorder="1" applyAlignment="1">
      <alignment horizontal="center"/>
    </xf>
    <xf numFmtId="0" fontId="2" fillId="0" borderId="59" xfId="0" applyFont="1" applyBorder="1" applyAlignment="1">
      <alignment horizontal="center"/>
    </xf>
    <xf numFmtId="0" fontId="2" fillId="0" borderId="61" xfId="0" applyFont="1" applyBorder="1" applyAlignment="1">
      <alignment horizontal="center"/>
    </xf>
    <xf numFmtId="0" fontId="0" fillId="10" borderId="14" xfId="0" applyFill="1" applyBorder="1" applyAlignment="1">
      <alignment horizontal="center"/>
    </xf>
    <xf numFmtId="0" fontId="0" fillId="10" borderId="20" xfId="0" applyFill="1" applyBorder="1" applyAlignment="1">
      <alignment horizontal="center"/>
    </xf>
    <xf numFmtId="0" fontId="0" fillId="10" borderId="1" xfId="0" applyFill="1" applyBorder="1" applyAlignment="1">
      <alignment horizontal="center"/>
    </xf>
    <xf numFmtId="0" fontId="0" fillId="22" borderId="40" xfId="0" applyFill="1" applyBorder="1" applyAlignment="1">
      <alignment horizontal="center"/>
    </xf>
    <xf numFmtId="0" fontId="0" fillId="0" borderId="50" xfId="0"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4" xfId="0" applyFont="1" applyBorder="1" applyAlignment="1">
      <alignment horizontal="center" vertical="center" wrapText="1"/>
    </xf>
    <xf numFmtId="0" fontId="0" fillId="2" borderId="14" xfId="0" applyFill="1" applyBorder="1" applyAlignment="1">
      <alignment horizontal="center"/>
    </xf>
    <xf numFmtId="0" fontId="0" fillId="2" borderId="12" xfId="0" applyFill="1" applyBorder="1" applyAlignment="1">
      <alignment horizontal="center"/>
    </xf>
    <xf numFmtId="0" fontId="0" fillId="2" borderId="20" xfId="0" applyFill="1" applyBorder="1" applyAlignment="1">
      <alignment horizontal="center"/>
    </xf>
    <xf numFmtId="0" fontId="6" fillId="24" borderId="50" xfId="0" applyFont="1" applyFill="1" applyBorder="1" applyAlignment="1">
      <alignment horizontal="center"/>
    </xf>
    <xf numFmtId="0" fontId="0" fillId="25" borderId="14" xfId="0" applyFill="1" applyBorder="1" applyAlignment="1">
      <alignment horizontal="center"/>
    </xf>
    <xf numFmtId="0" fontId="0" fillId="25" borderId="20" xfId="0" applyFill="1" applyBorder="1" applyAlignment="1">
      <alignment horizontal="center"/>
    </xf>
    <xf numFmtId="0" fontId="0" fillId="25" borderId="46" xfId="0" applyFill="1" applyBorder="1" applyAlignment="1">
      <alignment horizontal="center"/>
    </xf>
    <xf numFmtId="0" fontId="0" fillId="0" borderId="46" xfId="0" applyBorder="1" applyAlignment="1">
      <alignment horizontal="center"/>
    </xf>
    <xf numFmtId="0" fontId="6" fillId="24" borderId="46" xfId="0" applyFont="1" applyFill="1" applyBorder="1" applyAlignment="1">
      <alignment horizontal="center"/>
    </xf>
    <xf numFmtId="0" fontId="6" fillId="24" borderId="62" xfId="0" applyFont="1" applyFill="1"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0" fillId="0" borderId="61"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10" borderId="55" xfId="0" applyFill="1" applyBorder="1" applyAlignment="1">
      <alignment horizontal="center"/>
    </xf>
    <xf numFmtId="0" fontId="0" fillId="10" borderId="57" xfId="0" applyFill="1" applyBorder="1" applyAlignment="1">
      <alignment horizontal="center"/>
    </xf>
    <xf numFmtId="0" fontId="0" fillId="15" borderId="55" xfId="0" applyFill="1" applyBorder="1" applyAlignment="1">
      <alignment horizontal="center"/>
    </xf>
    <xf numFmtId="0" fontId="0" fillId="15" borderId="57" xfId="0" applyFill="1"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0" fillId="0" borderId="24" xfId="0" applyBorder="1" applyAlignment="1">
      <alignment horizontal="center"/>
    </xf>
    <xf numFmtId="0" fontId="0" fillId="14" borderId="14" xfId="0" applyFill="1" applyBorder="1" applyAlignment="1">
      <alignment horizontal="center"/>
    </xf>
    <xf numFmtId="0" fontId="0" fillId="14" borderId="20" xfId="0" applyFill="1" applyBorder="1" applyAlignment="1">
      <alignment horizontal="center"/>
    </xf>
    <xf numFmtId="0" fontId="0" fillId="15" borderId="50" xfId="0" applyFill="1" applyBorder="1" applyAlignment="1">
      <alignment horizontal="center"/>
    </xf>
    <xf numFmtId="0" fontId="0" fillId="22" borderId="44" xfId="0" applyFill="1" applyBorder="1" applyAlignment="1">
      <alignment horizontal="center"/>
    </xf>
    <xf numFmtId="0" fontId="0" fillId="15" borderId="3" xfId="0" applyFill="1" applyBorder="1" applyAlignment="1">
      <alignment horizontal="center"/>
    </xf>
    <xf numFmtId="0" fontId="0" fillId="15" borderId="4" xfId="0" applyFill="1" applyBorder="1" applyAlignment="1">
      <alignment horizontal="center"/>
    </xf>
    <xf numFmtId="0" fontId="0" fillId="0" borderId="3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4" xfId="0" applyBorder="1" applyAlignment="1">
      <alignment horizontal="center" vertical="center"/>
    </xf>
    <xf numFmtId="0" fontId="0" fillId="14" borderId="55" xfId="0" applyFill="1" applyBorder="1" applyAlignment="1">
      <alignment horizontal="center"/>
    </xf>
    <xf numFmtId="0" fontId="0" fillId="14" borderId="57" xfId="0" applyFill="1" applyBorder="1" applyAlignment="1">
      <alignment horizontal="center"/>
    </xf>
    <xf numFmtId="0" fontId="0" fillId="22" borderId="50" xfId="0" applyFill="1" applyBorder="1" applyAlignment="1">
      <alignment horizontal="center"/>
    </xf>
    <xf numFmtId="0" fontId="6" fillId="30" borderId="14" xfId="0" applyFont="1" applyFill="1" applyBorder="1" applyAlignment="1">
      <alignment horizontal="center"/>
    </xf>
    <xf numFmtId="0" fontId="6" fillId="30" borderId="20" xfId="0" applyFont="1" applyFill="1" applyBorder="1" applyAlignment="1">
      <alignment horizontal="center"/>
    </xf>
    <xf numFmtId="2" fontId="0" fillId="0" borderId="14" xfId="0" applyNumberFormat="1" applyBorder="1" applyAlignment="1">
      <alignment horizontal="center"/>
    </xf>
    <xf numFmtId="2" fontId="0" fillId="0" borderId="20" xfId="0" applyNumberFormat="1" applyBorder="1" applyAlignment="1">
      <alignment horizontal="center"/>
    </xf>
    <xf numFmtId="0" fontId="9" fillId="3" borderId="14" xfId="0" applyFont="1" applyFill="1" applyBorder="1" applyAlignment="1">
      <alignment horizontal="center"/>
    </xf>
    <xf numFmtId="0" fontId="9" fillId="3" borderId="12" xfId="0" applyFont="1" applyFill="1" applyBorder="1" applyAlignment="1">
      <alignment horizontal="center"/>
    </xf>
    <xf numFmtId="0" fontId="9" fillId="3" borderId="20" xfId="0" applyFont="1" applyFill="1" applyBorder="1" applyAlignment="1">
      <alignment horizontal="center"/>
    </xf>
    <xf numFmtId="0" fontId="13" fillId="22" borderId="14" xfId="0" applyFont="1" applyFill="1" applyBorder="1" applyAlignment="1">
      <alignment horizontal="center"/>
    </xf>
    <xf numFmtId="0" fontId="13" fillId="22" borderId="20" xfId="0" applyFont="1" applyFill="1" applyBorder="1" applyAlignment="1">
      <alignment horizontal="center"/>
    </xf>
    <xf numFmtId="0" fontId="0" fillId="14" borderId="1" xfId="0" applyFill="1" applyBorder="1" applyAlignment="1">
      <alignment horizontal="center"/>
    </xf>
    <xf numFmtId="0" fontId="0" fillId="0" borderId="1" xfId="0" applyBorder="1"/>
    <xf numFmtId="2" fontId="6" fillId="0" borderId="14" xfId="0" applyNumberFormat="1" applyFont="1" applyBorder="1" applyAlignment="1">
      <alignment horizontal="center"/>
    </xf>
    <xf numFmtId="2" fontId="6" fillId="0" borderId="20" xfId="0" applyNumberFormat="1" applyFont="1" applyBorder="1" applyAlignment="1">
      <alignment horizontal="center"/>
    </xf>
    <xf numFmtId="0" fontId="0" fillId="14" borderId="12" xfId="0" applyFill="1" applyBorder="1" applyAlignment="1">
      <alignment horizontal="center"/>
    </xf>
    <xf numFmtId="0" fontId="0" fillId="14" borderId="8" xfId="0" applyFill="1" applyBorder="1" applyAlignment="1">
      <alignment horizontal="center"/>
    </xf>
    <xf numFmtId="0" fontId="0" fillId="14" borderId="9" xfId="0" applyFill="1" applyBorder="1" applyAlignment="1">
      <alignment horizontal="center"/>
    </xf>
    <xf numFmtId="0" fontId="0" fillId="14" borderId="7" xfId="0" applyFill="1" applyBorder="1" applyAlignment="1">
      <alignment horizontal="center"/>
    </xf>
    <xf numFmtId="2" fontId="0" fillId="0" borderId="12" xfId="0" applyNumberFormat="1" applyBorder="1" applyAlignment="1">
      <alignment horizontal="center"/>
    </xf>
    <xf numFmtId="2" fontId="6" fillId="0" borderId="1" xfId="0" applyNumberFormat="1" applyFont="1" applyBorder="1" applyAlignment="1">
      <alignment horizontal="center"/>
    </xf>
    <xf numFmtId="0" fontId="2" fillId="0" borderId="1" xfId="0" applyFont="1" applyBorder="1" applyAlignment="1">
      <alignment horizontal="center"/>
    </xf>
    <xf numFmtId="0" fontId="0" fillId="22" borderId="39" xfId="0" applyFill="1" applyBorder="1" applyAlignment="1">
      <alignment horizontal="center"/>
    </xf>
    <xf numFmtId="0" fontId="0" fillId="22" borderId="38" xfId="0" applyFill="1" applyBorder="1" applyAlignment="1">
      <alignment horizontal="center"/>
    </xf>
    <xf numFmtId="0" fontId="0" fillId="22" borderId="45" xfId="0" applyFill="1" applyBorder="1" applyAlignment="1">
      <alignment horizontal="center"/>
    </xf>
    <xf numFmtId="0" fontId="0" fillId="0" borderId="72" xfId="0" applyBorder="1" applyAlignment="1">
      <alignment horizontal="center"/>
    </xf>
    <xf numFmtId="0" fontId="0" fillId="15" borderId="40" xfId="0" applyFill="1" applyBorder="1" applyAlignment="1">
      <alignment horizontal="center"/>
    </xf>
    <xf numFmtId="0" fontId="9" fillId="23" borderId="1" xfId="0" applyFont="1" applyFill="1" applyBorder="1" applyAlignment="1">
      <alignment horizontal="center"/>
    </xf>
    <xf numFmtId="164" fontId="6" fillId="0" borderId="14" xfId="0" applyNumberFormat="1" applyFont="1" applyBorder="1" applyAlignment="1">
      <alignment horizontal="center"/>
    </xf>
    <xf numFmtId="164" fontId="6" fillId="0" borderId="20" xfId="0" applyNumberFormat="1" applyFont="1" applyBorder="1" applyAlignment="1">
      <alignment horizontal="center"/>
    </xf>
    <xf numFmtId="164" fontId="0" fillId="0" borderId="14" xfId="0" applyNumberFormat="1" applyBorder="1" applyAlignment="1">
      <alignment horizontal="center"/>
    </xf>
    <xf numFmtId="164" fontId="0" fillId="0" borderId="20" xfId="0" applyNumberFormat="1" applyBorder="1" applyAlignment="1">
      <alignment horizontal="center"/>
    </xf>
    <xf numFmtId="0" fontId="9" fillId="0" borderId="14" xfId="0" applyFont="1" applyBorder="1" applyAlignment="1">
      <alignment horizontal="center"/>
    </xf>
    <xf numFmtId="0" fontId="9" fillId="0" borderId="12" xfId="0" applyFont="1" applyBorder="1" applyAlignment="1">
      <alignment horizontal="center"/>
    </xf>
    <xf numFmtId="0" fontId="9" fillId="0" borderId="20" xfId="0" applyFont="1" applyBorder="1" applyAlignment="1">
      <alignment horizontal="center"/>
    </xf>
    <xf numFmtId="164" fontId="6" fillId="0" borderId="1" xfId="0" applyNumberFormat="1" applyFont="1" applyBorder="1" applyAlignment="1">
      <alignment horizontal="center"/>
    </xf>
    <xf numFmtId="164" fontId="0" fillId="0" borderId="12" xfId="0" applyNumberFormat="1" applyBorder="1" applyAlignment="1">
      <alignment horizontal="center"/>
    </xf>
    <xf numFmtId="0" fontId="0" fillId="15" borderId="11" xfId="0" applyFill="1" applyBorder="1" applyAlignment="1">
      <alignment horizontal="center"/>
    </xf>
    <xf numFmtId="0" fontId="14" fillId="14" borderId="59" xfId="0" applyFont="1" applyFill="1" applyBorder="1" applyAlignment="1">
      <alignment horizontal="center" vertical="center"/>
    </xf>
    <xf numFmtId="0" fontId="14" fillId="14" borderId="60" xfId="0" applyFont="1" applyFill="1" applyBorder="1" applyAlignment="1">
      <alignment horizontal="center" vertical="center"/>
    </xf>
    <xf numFmtId="0" fontId="0" fillId="0" borderId="1" xfId="0" applyBorder="1" applyAlignment="1">
      <alignment horizontal="center" vertical="center"/>
    </xf>
    <xf numFmtId="0" fontId="0" fillId="0" borderId="50" xfId="0" applyBorder="1" applyAlignment="1">
      <alignment horizontal="center" vertical="center"/>
    </xf>
    <xf numFmtId="0" fontId="0" fillId="22" borderId="1" xfId="0" applyFill="1" applyBorder="1" applyAlignment="1">
      <alignment horizontal="center" vertical="center"/>
    </xf>
    <xf numFmtId="0" fontId="0" fillId="22" borderId="50" xfId="0" applyFill="1" applyBorder="1" applyAlignment="1">
      <alignment horizontal="center" vertical="center"/>
    </xf>
    <xf numFmtId="0" fontId="0" fillId="22" borderId="46" xfId="0" applyFill="1" applyBorder="1" applyAlignment="1">
      <alignment horizontal="center" vertical="center"/>
    </xf>
    <xf numFmtId="0" fontId="0" fillId="22" borderId="62" xfId="0" applyFill="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0" fillId="3" borderId="19" xfId="0" applyFill="1" applyBorder="1" applyAlignment="1">
      <alignment horizontal="center" vertical="center"/>
    </xf>
    <xf numFmtId="0" fontId="0" fillId="3" borderId="51" xfId="0" applyFill="1" applyBorder="1" applyAlignment="1">
      <alignment horizontal="center" vertical="center"/>
    </xf>
    <xf numFmtId="0" fontId="9" fillId="9" borderId="59" xfId="0" applyFont="1" applyFill="1" applyBorder="1" applyAlignment="1">
      <alignment horizontal="center"/>
    </xf>
    <xf numFmtId="0" fontId="9" fillId="9" borderId="60" xfId="0" applyFont="1" applyFill="1" applyBorder="1" applyAlignment="1">
      <alignment horizontal="center"/>
    </xf>
    <xf numFmtId="0" fontId="9" fillId="9" borderId="61" xfId="0" applyFont="1" applyFill="1" applyBorder="1" applyAlignment="1">
      <alignment horizontal="center"/>
    </xf>
    <xf numFmtId="0" fontId="0" fillId="0" borderId="62" xfId="0"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0" fillId="0" borderId="49" xfId="0" applyBorder="1" applyAlignment="1">
      <alignment horizontal="center" vertical="center"/>
    </xf>
    <xf numFmtId="0" fontId="0" fillId="0" borderId="73" xfId="0"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10" fillId="14" borderId="59" xfId="0" applyFont="1" applyFill="1" applyBorder="1" applyAlignment="1">
      <alignment horizontal="center" vertical="center"/>
    </xf>
    <xf numFmtId="0" fontId="10" fillId="14" borderId="61" xfId="0" applyFont="1" applyFill="1" applyBorder="1" applyAlignment="1">
      <alignment horizontal="center" vertical="center"/>
    </xf>
    <xf numFmtId="0" fontId="11" fillId="0" borderId="59" xfId="0" applyFont="1" applyBorder="1" applyAlignment="1">
      <alignment horizontal="center"/>
    </xf>
    <xf numFmtId="0" fontId="11" fillId="0" borderId="60" xfId="0" applyFont="1" applyBorder="1" applyAlignment="1">
      <alignment horizontal="center"/>
    </xf>
    <xf numFmtId="0" fontId="11" fillId="0" borderId="61" xfId="0" applyFont="1" applyBorder="1" applyAlignment="1">
      <alignment horizont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0" fillId="22" borderId="59" xfId="0" applyFill="1" applyBorder="1" applyAlignment="1">
      <alignment horizontal="center"/>
    </xf>
    <xf numFmtId="0" fontId="0" fillId="22" borderId="60" xfId="0" applyFill="1" applyBorder="1" applyAlignment="1">
      <alignment horizontal="center"/>
    </xf>
    <xf numFmtId="0" fontId="0" fillId="22" borderId="61" xfId="0" applyFill="1" applyBorder="1" applyAlignment="1">
      <alignment horizontal="center"/>
    </xf>
    <xf numFmtId="0" fontId="0" fillId="14" borderId="59" xfId="0" applyFill="1" applyBorder="1" applyAlignment="1">
      <alignment horizontal="center"/>
    </xf>
    <xf numFmtId="0" fontId="0" fillId="14" borderId="60" xfId="0" applyFill="1" applyBorder="1" applyAlignment="1">
      <alignment horizontal="center"/>
    </xf>
    <xf numFmtId="0" fontId="0" fillId="14" borderId="61" xfId="0" applyFill="1" applyBorder="1" applyAlignment="1">
      <alignment horizontal="center"/>
    </xf>
    <xf numFmtId="0" fontId="3" fillId="9" borderId="59" xfId="0" applyFont="1" applyFill="1" applyBorder="1" applyAlignment="1">
      <alignment horizontal="left" vertical="center" wrapText="1"/>
    </xf>
    <xf numFmtId="0" fontId="3" fillId="9" borderId="60" xfId="0" applyFont="1" applyFill="1" applyBorder="1" applyAlignment="1">
      <alignment horizontal="left" vertical="center" wrapText="1"/>
    </xf>
    <xf numFmtId="0" fontId="0" fillId="22" borderId="21" xfId="0" applyFill="1" applyBorder="1" applyAlignment="1">
      <alignment horizontal="center"/>
    </xf>
    <xf numFmtId="0" fontId="0" fillId="22" borderId="0" xfId="0" applyFill="1" applyAlignment="1">
      <alignment horizontal="center"/>
    </xf>
    <xf numFmtId="0" fontId="0" fillId="22" borderId="24" xfId="0" applyFill="1" applyBorder="1" applyAlignment="1">
      <alignment horizontal="center"/>
    </xf>
    <xf numFmtId="0" fontId="0" fillId="22" borderId="25" xfId="0" applyFill="1" applyBorder="1" applyAlignment="1">
      <alignment horizontal="center"/>
    </xf>
    <xf numFmtId="0" fontId="0" fillId="22" borderId="26" xfId="0" applyFill="1" applyBorder="1" applyAlignment="1">
      <alignment horizontal="center"/>
    </xf>
    <xf numFmtId="0" fontId="0" fillId="22" borderId="29" xfId="0" applyFill="1" applyBorder="1" applyAlignment="1">
      <alignment horizontal="center"/>
    </xf>
    <xf numFmtId="0" fontId="0" fillId="9" borderId="59" xfId="0" applyFill="1" applyBorder="1" applyAlignment="1">
      <alignment horizontal="left" wrapText="1"/>
    </xf>
    <xf numFmtId="0" fontId="0" fillId="9" borderId="60" xfId="0" applyFill="1" applyBorder="1" applyAlignment="1">
      <alignment horizontal="left" wrapText="1"/>
    </xf>
    <xf numFmtId="0" fontId="0" fillId="9" borderId="59" xfId="0" applyFill="1" applyBorder="1" applyAlignment="1">
      <alignment horizontal="right" vertical="center" wrapText="1"/>
    </xf>
    <xf numFmtId="0" fontId="0" fillId="9" borderId="60" xfId="0" applyFill="1" applyBorder="1" applyAlignment="1">
      <alignment horizontal="right" vertical="center" wrapText="1"/>
    </xf>
    <xf numFmtId="10" fontId="0" fillId="9" borderId="60" xfId="0" applyNumberFormat="1" applyFill="1" applyBorder="1" applyAlignment="1">
      <alignment horizontal="left" vertical="center"/>
    </xf>
    <xf numFmtId="10" fontId="0" fillId="9" borderId="61" xfId="0" applyNumberFormat="1" applyFill="1" applyBorder="1" applyAlignment="1">
      <alignment horizontal="left" vertical="center"/>
    </xf>
    <xf numFmtId="0" fontId="3" fillId="14" borderId="59" xfId="0" applyFont="1" applyFill="1" applyBorder="1" applyAlignment="1">
      <alignment horizontal="center"/>
    </xf>
    <xf numFmtId="0" fontId="3" fillId="14" borderId="60" xfId="0" applyFont="1" applyFill="1" applyBorder="1" applyAlignment="1">
      <alignment horizontal="center"/>
    </xf>
    <xf numFmtId="0" fontId="3" fillId="14" borderId="61" xfId="0" applyFont="1" applyFill="1" applyBorder="1" applyAlignment="1">
      <alignment horizontal="center"/>
    </xf>
    <xf numFmtId="9" fontId="3" fillId="9" borderId="60" xfId="0" applyNumberFormat="1" applyFont="1" applyFill="1" applyBorder="1" applyAlignment="1">
      <alignment horizontal="left" vertical="center"/>
    </xf>
    <xf numFmtId="9" fontId="3" fillId="9" borderId="61" xfId="0" applyNumberFormat="1" applyFont="1" applyFill="1" applyBorder="1" applyAlignment="1">
      <alignment horizontal="left" vertical="center"/>
    </xf>
    <xf numFmtId="0" fontId="0" fillId="14" borderId="25" xfId="0" applyFill="1" applyBorder="1" applyAlignment="1">
      <alignment horizontal="center"/>
    </xf>
    <xf numFmtId="0" fontId="0" fillId="14" borderId="26" xfId="0" applyFill="1" applyBorder="1" applyAlignment="1">
      <alignment horizontal="center"/>
    </xf>
    <xf numFmtId="0" fontId="0" fillId="14" borderId="29" xfId="0" applyFill="1" applyBorder="1" applyAlignment="1">
      <alignment horizontal="center"/>
    </xf>
    <xf numFmtId="0" fontId="13" fillId="3" borderId="35" xfId="0" applyFont="1" applyFill="1" applyBorder="1" applyAlignment="1">
      <alignment horizontal="center" wrapText="1"/>
    </xf>
    <xf numFmtId="0" fontId="13" fillId="3" borderId="32" xfId="0" applyFont="1" applyFill="1" applyBorder="1" applyAlignment="1">
      <alignment horizontal="center" wrapText="1"/>
    </xf>
    <xf numFmtId="0" fontId="13" fillId="3" borderId="34" xfId="0" applyFont="1" applyFill="1" applyBorder="1" applyAlignment="1">
      <alignment horizontal="center" wrapText="1"/>
    </xf>
    <xf numFmtId="0" fontId="13" fillId="3" borderId="59" xfId="0" applyFont="1" applyFill="1" applyBorder="1" applyAlignment="1">
      <alignment horizontal="center" wrapText="1"/>
    </xf>
    <xf numFmtId="0" fontId="13" fillId="3" borderId="60" xfId="0" applyFont="1" applyFill="1" applyBorder="1" applyAlignment="1">
      <alignment horizontal="center" wrapText="1"/>
    </xf>
    <xf numFmtId="0" fontId="16" fillId="31" borderId="66" xfId="0" applyFont="1" applyFill="1" applyBorder="1" applyAlignment="1">
      <alignment horizontal="center" vertical="center" wrapText="1"/>
    </xf>
    <xf numFmtId="0" fontId="16" fillId="31" borderId="68" xfId="0" applyFont="1" applyFill="1" applyBorder="1" applyAlignment="1">
      <alignment horizontal="center" vertical="center" wrapText="1"/>
    </xf>
    <xf numFmtId="0" fontId="16" fillId="31" borderId="67" xfId="0" applyFont="1" applyFill="1" applyBorder="1" applyAlignment="1">
      <alignment horizontal="center" vertical="center" wrapText="1"/>
    </xf>
    <xf numFmtId="0" fontId="18" fillId="31" borderId="66" xfId="0" applyFont="1" applyFill="1" applyBorder="1" applyAlignment="1">
      <alignment horizontal="center" vertical="center" wrapText="1"/>
    </xf>
    <xf numFmtId="0" fontId="18" fillId="31" borderId="67" xfId="0" applyFont="1" applyFill="1" applyBorder="1" applyAlignment="1">
      <alignment horizontal="center" vertical="center" wrapText="1"/>
    </xf>
    <xf numFmtId="0" fontId="18" fillId="31" borderId="68" xfId="0" applyFont="1" applyFill="1" applyBorder="1" applyAlignment="1">
      <alignment horizontal="center" vertical="center" wrapText="1"/>
    </xf>
    <xf numFmtId="0" fontId="0" fillId="14" borderId="2" xfId="0" applyFill="1" applyBorder="1" applyAlignment="1">
      <alignment horizontal="center"/>
    </xf>
    <xf numFmtId="0" fontId="0" fillId="14" borderId="3" xfId="0" applyFill="1" applyBorder="1" applyAlignment="1">
      <alignment horizontal="center"/>
    </xf>
    <xf numFmtId="0" fontId="0" fillId="14" borderId="4" xfId="0" applyFill="1" applyBorder="1" applyAlignment="1">
      <alignment horizontal="center"/>
    </xf>
    <xf numFmtId="0" fontId="0" fillId="28" borderId="14" xfId="0" applyFill="1" applyBorder="1" applyAlignment="1">
      <alignment horizontal="center"/>
    </xf>
    <xf numFmtId="0" fontId="0" fillId="28" borderId="12" xfId="0" applyFill="1" applyBorder="1" applyAlignment="1">
      <alignment horizontal="center"/>
    </xf>
    <xf numFmtId="0" fontId="0" fillId="28" borderId="20" xfId="0" applyFill="1" applyBorder="1" applyAlignment="1">
      <alignment horizontal="center"/>
    </xf>
    <xf numFmtId="0" fontId="0" fillId="14" borderId="54" xfId="0" applyFill="1" applyBorder="1" applyAlignment="1">
      <alignment horizontal="center"/>
    </xf>
    <xf numFmtId="0" fontId="0" fillId="28" borderId="11" xfId="0" applyFill="1" applyBorder="1" applyAlignment="1">
      <alignment horizontal="center"/>
    </xf>
    <xf numFmtId="0" fontId="0" fillId="14" borderId="10" xfId="0" applyFill="1" applyBorder="1" applyAlignment="1">
      <alignment horizontal="center"/>
    </xf>
    <xf numFmtId="0" fontId="0" fillId="14" borderId="5" xfId="0" applyFill="1" applyBorder="1" applyAlignment="1">
      <alignment horizontal="center"/>
    </xf>
    <xf numFmtId="0" fontId="0" fillId="14" borderId="0" xfId="0" applyFill="1" applyAlignment="1">
      <alignment horizontal="center"/>
    </xf>
    <xf numFmtId="0" fontId="0" fillId="14" borderId="6" xfId="0" applyFill="1" applyBorder="1" applyAlignment="1">
      <alignment horizontal="center"/>
    </xf>
    <xf numFmtId="0" fontId="0" fillId="14" borderId="22" xfId="0" applyFill="1" applyBorder="1" applyAlignment="1">
      <alignment horizontal="center"/>
    </xf>
    <xf numFmtId="0" fontId="4" fillId="3" borderId="59" xfId="0" applyFont="1" applyFill="1" applyBorder="1" applyAlignment="1">
      <alignment horizontal="center"/>
    </xf>
    <xf numFmtId="0" fontId="4" fillId="3" borderId="60" xfId="0" applyFont="1" applyFill="1" applyBorder="1" applyAlignment="1">
      <alignment horizontal="center"/>
    </xf>
    <xf numFmtId="0" fontId="4" fillId="3" borderId="61" xfId="0" applyFont="1" applyFill="1" applyBorder="1" applyAlignment="1">
      <alignment horizontal="center"/>
    </xf>
    <xf numFmtId="0" fontId="0" fillId="3" borderId="12"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sz="2000" b="1"/>
              <a:t>Citronela</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5.1711601865454919E-2"/>
          <c:y val="8.3622185202883531E-2"/>
          <c:w val="0.83579629898527452"/>
          <c:h val="0.84375624752101197"/>
        </c:manualLayout>
      </c:layout>
      <c:scatterChart>
        <c:scatterStyle val="smoothMarker"/>
        <c:varyColors val="0"/>
        <c:ser>
          <c:idx val="0"/>
          <c:order val="0"/>
          <c:tx>
            <c:strRef>
              <c:f>'Analisis de torrefacciones'!$R$3:$U$3</c:f>
              <c:strCache>
                <c:ptCount val="1"/>
                <c:pt idx="0">
                  <c:v>15 minutos</c:v>
                </c:pt>
              </c:strCache>
            </c:strRef>
          </c:tx>
          <c:spPr>
            <a:ln w="19050" cap="rnd">
              <a:solidFill>
                <a:schemeClr val="accent1">
                  <a:alpha val="60000"/>
                </a:schemeClr>
              </a:solidFill>
              <a:round/>
            </a:ln>
            <a:effectLst/>
          </c:spPr>
          <c:marker>
            <c:symbol val="circle"/>
            <c:size val="6"/>
            <c:spPr>
              <a:solidFill>
                <a:schemeClr val="lt1"/>
              </a:solidFill>
              <a:ln w="38100">
                <a:solidFill>
                  <a:schemeClr val="accent1">
                    <a:alpha val="60000"/>
                  </a:schemeClr>
                </a:solidFill>
              </a:ln>
              <a:effectLst/>
            </c:spPr>
          </c:marker>
          <c:dLbls>
            <c:dLbl>
              <c:idx val="0"/>
              <c:layout>
                <c:manualLayout>
                  <c:x val="0.10350181185725511"/>
                  <c:y val="-2.53043884335784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E7-4E2A-B713-E0A3F6276E95}"/>
                </c:ext>
              </c:extLst>
            </c:dLbl>
            <c:dLbl>
              <c:idx val="1"/>
              <c:layout>
                <c:manualLayout>
                  <c:x val="2.3839349012607258E-2"/>
                  <c:y val="-2.513390459046098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E7-4E2A-B713-E0A3F6276E95}"/>
                </c:ext>
              </c:extLst>
            </c:dLbl>
            <c:dLbl>
              <c:idx val="2"/>
              <c:layout>
                <c:manualLayout>
                  <c:x val="-6.6696793108749876E-3"/>
                  <c:y val="3.29392730568929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E7-4E2A-B713-E0A3F6276E95}"/>
                </c:ext>
              </c:extLst>
            </c:dLbl>
            <c:dLbl>
              <c:idx val="3"/>
              <c:layout>
                <c:manualLayout>
                  <c:x val="-8.7178147101028391E-2"/>
                  <c:y val="0.131700264279866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E7-4E2A-B713-E0A3F6276E95}"/>
                </c:ext>
              </c:extLst>
            </c:dLbl>
            <c:spPr>
              <a:noFill/>
              <a:ln>
                <a:solidFill>
                  <a:schemeClr val="accent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torrefacciones'!$R$5:$R$8</c:f>
              <c:numCache>
                <c:formatCode>General</c:formatCode>
                <c:ptCount val="4"/>
                <c:pt idx="0">
                  <c:v>200</c:v>
                </c:pt>
                <c:pt idx="1">
                  <c:v>250</c:v>
                </c:pt>
                <c:pt idx="2">
                  <c:v>275</c:v>
                </c:pt>
                <c:pt idx="3">
                  <c:v>300</c:v>
                </c:pt>
              </c:numCache>
            </c:numRef>
          </c:xVal>
          <c:yVal>
            <c:numRef>
              <c:f>'Analisis de torrefacciones'!$T$5:$T$8</c:f>
              <c:numCache>
                <c:formatCode>General</c:formatCode>
                <c:ptCount val="4"/>
                <c:pt idx="0">
                  <c:v>10.104896427177048</c:v>
                </c:pt>
                <c:pt idx="1">
                  <c:v>19.7922618562807</c:v>
                </c:pt>
                <c:pt idx="2">
                  <c:v>31.734412744513559</c:v>
                </c:pt>
                <c:pt idx="3">
                  <c:v>43.090357961087719</c:v>
                </c:pt>
              </c:numCache>
            </c:numRef>
          </c:yVal>
          <c:smooth val="1"/>
          <c:extLst>
            <c:ext xmlns:c16="http://schemas.microsoft.com/office/drawing/2014/chart" uri="{C3380CC4-5D6E-409C-BE32-E72D297353CC}">
              <c16:uniqueId val="{00000000-6106-4E53-97A9-0BA89A766222}"/>
            </c:ext>
          </c:extLst>
        </c:ser>
        <c:ser>
          <c:idx val="1"/>
          <c:order val="1"/>
          <c:tx>
            <c:strRef>
              <c:f>'Analisis de torrefacciones'!$W$3:$Z$3</c:f>
              <c:strCache>
                <c:ptCount val="1"/>
                <c:pt idx="0">
                  <c:v>30 minutos</c:v>
                </c:pt>
              </c:strCache>
            </c:strRef>
          </c:tx>
          <c:spPr>
            <a:ln w="19050" cap="rnd">
              <a:solidFill>
                <a:schemeClr val="accent2">
                  <a:alpha val="60000"/>
                </a:schemeClr>
              </a:solidFill>
              <a:round/>
            </a:ln>
            <a:effectLst/>
          </c:spPr>
          <c:marker>
            <c:symbol val="circle"/>
            <c:size val="6"/>
            <c:spPr>
              <a:solidFill>
                <a:schemeClr val="lt1"/>
              </a:solidFill>
              <a:ln w="38100">
                <a:solidFill>
                  <a:schemeClr val="accent2">
                    <a:alpha val="60000"/>
                  </a:schemeClr>
                </a:solidFill>
              </a:ln>
              <a:effectLst/>
            </c:spPr>
          </c:marker>
          <c:dLbls>
            <c:dLbl>
              <c:idx val="0"/>
              <c:layout>
                <c:manualLayout>
                  <c:x val="-8.3646253288462199E-3"/>
                  <c:y val="-0.103806714790300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E7-4E2A-B713-E0A3F6276E95}"/>
                </c:ext>
              </c:extLst>
            </c:dLbl>
            <c:dLbl>
              <c:idx val="1"/>
              <c:layout>
                <c:manualLayout>
                  <c:x val="-9.1416980209436671E-2"/>
                  <c:y val="-3.7966053974985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E7-4E2A-B713-E0A3F6276E95}"/>
                </c:ext>
              </c:extLst>
            </c:dLbl>
            <c:dLbl>
              <c:idx val="2"/>
              <c:layout>
                <c:manualLayout>
                  <c:x val="-8.9722034191465377E-2"/>
                  <c:y val="-3.796605397498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E7-4E2A-B713-E0A3F6276E95}"/>
                </c:ext>
              </c:extLst>
            </c:dLbl>
            <c:dLbl>
              <c:idx val="3"/>
              <c:layout>
                <c:manualLayout>
                  <c:x val="-0.11599222940653947"/>
                  <c:y val="2.551275757516543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E7-4E2A-B713-E0A3F6276E95}"/>
                </c:ext>
              </c:extLst>
            </c:dLbl>
            <c:spPr>
              <a:no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torrefacciones'!$W$5:$W$8</c:f>
              <c:numCache>
                <c:formatCode>General</c:formatCode>
                <c:ptCount val="4"/>
                <c:pt idx="0">
                  <c:v>200</c:v>
                </c:pt>
                <c:pt idx="1">
                  <c:v>250</c:v>
                </c:pt>
                <c:pt idx="2">
                  <c:v>275</c:v>
                </c:pt>
                <c:pt idx="3">
                  <c:v>300</c:v>
                </c:pt>
              </c:numCache>
            </c:numRef>
          </c:xVal>
          <c:yVal>
            <c:numRef>
              <c:f>'Analisis de torrefacciones'!$Y$5:$Y$8</c:f>
              <c:numCache>
                <c:formatCode>General</c:formatCode>
                <c:ptCount val="4"/>
                <c:pt idx="0">
                  <c:v>13.130216285605565</c:v>
                </c:pt>
                <c:pt idx="1">
                  <c:v>26.7588007757229</c:v>
                </c:pt>
                <c:pt idx="2">
                  <c:v>33.825100445260489</c:v>
                </c:pt>
                <c:pt idx="3">
                  <c:v>46.639627113417603</c:v>
                </c:pt>
              </c:numCache>
            </c:numRef>
          </c:yVal>
          <c:smooth val="1"/>
          <c:extLst>
            <c:ext xmlns:c16="http://schemas.microsoft.com/office/drawing/2014/chart" uri="{C3380CC4-5D6E-409C-BE32-E72D297353CC}">
              <c16:uniqueId val="{00000001-6106-4E53-97A9-0BA89A766222}"/>
            </c:ext>
          </c:extLst>
        </c:ser>
        <c:dLbls>
          <c:dLblPos val="t"/>
          <c:showLegendKey val="0"/>
          <c:showVal val="1"/>
          <c:showCatName val="0"/>
          <c:showSerName val="0"/>
          <c:showPercent val="0"/>
          <c:showBubbleSize val="0"/>
        </c:dLbls>
        <c:axId val="1955835167"/>
        <c:axId val="1955835999"/>
      </c:scatterChart>
      <c:valAx>
        <c:axId val="1955835167"/>
        <c:scaling>
          <c:orientation val="minMax"/>
          <c:max val="300"/>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r>
                  <a:rPr lang="en-US" sz="1400"/>
                  <a:t>temperatura</a:t>
                </a:r>
              </a:p>
            </c:rich>
          </c:tx>
          <c:layout>
            <c:manualLayout>
              <c:xMode val="edge"/>
              <c:yMode val="edge"/>
              <c:x val="0.71237686951211177"/>
              <c:y val="0.9351731311138558"/>
            </c:manualLayout>
          </c:layout>
          <c:overlay val="0"/>
          <c:spPr>
            <a:noFill/>
            <a:ln>
              <a:noFill/>
            </a:ln>
            <a:effectLst/>
          </c:spPr>
          <c:txPr>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solidFill>
              <a:schemeClr val="tx1">
                <a:lumMod val="25000"/>
                <a:lumOff val="75000"/>
              </a:schemeClr>
            </a:solidFill>
          </a:ln>
          <a:effectLst/>
        </c:spPr>
        <c:txPr>
          <a:bodyPr rot="-60000000" spcFirstLastPara="1" vertOverflow="ellipsis" vert="horz" wrap="square" anchor="ctr"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999"/>
        <c:crosses val="autoZero"/>
        <c:crossBetween val="midCat"/>
        <c:majorUnit val="25"/>
        <c:minorUnit val="10"/>
      </c:valAx>
      <c:valAx>
        <c:axId val="1955835999"/>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r>
                  <a:rPr lang="en-US" sz="1400" b="0" i="0" u="none" strike="noStrike" kern="1200" cap="all" baseline="0">
                    <a:solidFill>
                      <a:sysClr val="windowText" lastClr="000000">
                        <a:lumMod val="65000"/>
                        <a:lumOff val="35000"/>
                      </a:sysClr>
                    </a:solidFill>
                    <a:latin typeface="+mn-lt"/>
                    <a:ea typeface="+mn-ea"/>
                    <a:cs typeface="+mn-cs"/>
                  </a:rPr>
                  <a:t>% masa perdida</a:t>
                </a:r>
              </a:p>
            </c:rich>
          </c:tx>
          <c:layout>
            <c:manualLayout>
              <c:xMode val="edge"/>
              <c:yMode val="edge"/>
              <c:x val="0.70126015899928251"/>
              <c:y val="3.1214946755340242E-2"/>
            </c:manualLayout>
          </c:layout>
          <c:overlay val="0"/>
          <c:spPr>
            <a:noFill/>
            <a:ln>
              <a:noFill/>
            </a:ln>
            <a:effectLst/>
          </c:spPr>
          <c:txPr>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endParaRPr lang="es-CO"/>
            </a:p>
          </c:txPr>
        </c:title>
        <c:numFmt formatCode="General" sourceLinked="1"/>
        <c:majorTickMark val="none"/>
        <c:minorTickMark val="none"/>
        <c:tickLblPos val="high"/>
        <c:spPr>
          <a:noFill/>
          <a:ln w="12700">
            <a:solidFill>
              <a:schemeClr val="tx1">
                <a:lumMod val="25000"/>
                <a:lumOff val="75000"/>
              </a:schemeClr>
            </a:solidFill>
          </a:ln>
          <a:effectLst/>
        </c:spPr>
        <c:txPr>
          <a:bodyPr rot="-60000000" spcFirstLastPara="1" vertOverflow="ellipsis" vert="horz" wrap="square" anchor="t"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167"/>
        <c:crosses val="autoZero"/>
        <c:crossBetween val="midCat"/>
        <c:majorUnit val="5"/>
        <c:minorUnit val="0.5"/>
      </c:valAx>
      <c:spPr>
        <a:noFill/>
        <a:ln>
          <a:noFill/>
        </a:ln>
        <a:effectLst/>
      </c:spPr>
    </c:plotArea>
    <c:legend>
      <c:legendPos val="b"/>
      <c:layout>
        <c:manualLayout>
          <c:xMode val="edge"/>
          <c:yMode val="edge"/>
          <c:x val="6.7483408213468196E-2"/>
          <c:y val="8.6143990454500025E-2"/>
          <c:w val="0.26502229321124737"/>
          <c:h val="3.88952298470807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Citronela</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E0BF-45BD-9ED8-56E9D687508B}"/>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E0BF-45BD-9ED8-56E9D687508B}"/>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E0BF-45BD-9ED8-56E9D687508B}"/>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E0BF-45BD-9ED8-56E9D687508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elemental'!$B$31:$E$31</c:f>
              <c:strCache>
                <c:ptCount val="4"/>
                <c:pt idx="0">
                  <c:v>Carbono %</c:v>
                </c:pt>
                <c:pt idx="1">
                  <c:v>Hidrogeno %</c:v>
                </c:pt>
                <c:pt idx="2">
                  <c:v>Oxigeno %</c:v>
                </c:pt>
                <c:pt idx="3">
                  <c:v>Otros elementos</c:v>
                </c:pt>
              </c:strCache>
            </c:strRef>
          </c:cat>
          <c:val>
            <c:numRef>
              <c:f>'Analisis elemental'!$B$32:$E$32</c:f>
              <c:numCache>
                <c:formatCode>General</c:formatCode>
                <c:ptCount val="4"/>
                <c:pt idx="0">
                  <c:v>46.605649999999997</c:v>
                </c:pt>
                <c:pt idx="1">
                  <c:v>5.6477000000000004</c:v>
                </c:pt>
                <c:pt idx="2">
                  <c:v>41.436199999999999</c:v>
                </c:pt>
                <c:pt idx="3">
                  <c:v>6.310450000000003</c:v>
                </c:pt>
              </c:numCache>
            </c:numRef>
          </c:val>
          <c:extLst>
            <c:ext xmlns:c16="http://schemas.microsoft.com/office/drawing/2014/chart" uri="{C3380CC4-5D6E-409C-BE32-E72D297353CC}">
              <c16:uniqueId val="{00000000-9E8C-4114-85BB-C29548D6878C}"/>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Patchouli</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15F6-4F67-B4B6-58CCA1119729}"/>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15F6-4F67-B4B6-58CCA1119729}"/>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15F6-4F67-B4B6-58CCA1119729}"/>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15F6-4F67-B4B6-58CCA111972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elemental'!$J$31:$M$31</c:f>
              <c:strCache>
                <c:ptCount val="4"/>
                <c:pt idx="0">
                  <c:v>Carbono %</c:v>
                </c:pt>
                <c:pt idx="1">
                  <c:v>Hidrogeno %</c:v>
                </c:pt>
                <c:pt idx="2">
                  <c:v>Oxigeno %</c:v>
                </c:pt>
                <c:pt idx="3">
                  <c:v>Otros elementos</c:v>
                </c:pt>
              </c:strCache>
            </c:strRef>
          </c:cat>
          <c:val>
            <c:numRef>
              <c:f>'Analisis elemental'!$J$32:$M$32</c:f>
              <c:numCache>
                <c:formatCode>General</c:formatCode>
                <c:ptCount val="4"/>
                <c:pt idx="0">
                  <c:v>44.163209999999999</c:v>
                </c:pt>
                <c:pt idx="1">
                  <c:v>5.3677799999999998</c:v>
                </c:pt>
                <c:pt idx="2">
                  <c:v>39.431879999999992</c:v>
                </c:pt>
                <c:pt idx="3">
                  <c:v>11.037130000000005</c:v>
                </c:pt>
              </c:numCache>
            </c:numRef>
          </c:val>
          <c:extLst>
            <c:ext xmlns:c16="http://schemas.microsoft.com/office/drawing/2014/chart" uri="{C3380CC4-5D6E-409C-BE32-E72D297353CC}">
              <c16:uniqueId val="{00000000-37C4-4C44-90B8-54CFDEC86D8F}"/>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Palma rosa</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54A1-46A4-AD44-D20A8B657887}"/>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54A1-46A4-AD44-D20A8B657887}"/>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54A1-46A4-AD44-D20A8B657887}"/>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54A1-46A4-AD44-D20A8B65788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elemental'!$P$31:$S$31</c:f>
              <c:strCache>
                <c:ptCount val="4"/>
                <c:pt idx="0">
                  <c:v>Carbono %</c:v>
                </c:pt>
                <c:pt idx="1">
                  <c:v>Hidrogeno %</c:v>
                </c:pt>
                <c:pt idx="2">
                  <c:v>Oxigeno %</c:v>
                </c:pt>
                <c:pt idx="3">
                  <c:v>Otros elementos</c:v>
                </c:pt>
              </c:strCache>
            </c:strRef>
          </c:cat>
          <c:val>
            <c:numRef>
              <c:f>'Analisis elemental'!$P$32:$S$32</c:f>
              <c:numCache>
                <c:formatCode>General</c:formatCode>
                <c:ptCount val="4"/>
                <c:pt idx="0">
                  <c:v>44.583629999999999</c:v>
                </c:pt>
                <c:pt idx="1">
                  <c:v>5.4421199999999992</c:v>
                </c:pt>
                <c:pt idx="2">
                  <c:v>40.049280000000003</c:v>
                </c:pt>
                <c:pt idx="3">
                  <c:v>9.9249699999999947</c:v>
                </c:pt>
              </c:numCache>
            </c:numRef>
          </c:val>
          <c:extLst>
            <c:ext xmlns:c16="http://schemas.microsoft.com/office/drawing/2014/chart" uri="{C3380CC4-5D6E-409C-BE32-E72D297353CC}">
              <c16:uniqueId val="{00000000-16FB-49A6-8B7B-611A3889496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sz="2000" b="1"/>
              <a:t>Patchouli</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6626763811541218E-2"/>
          <c:y val="8.3622238489722722E-2"/>
          <c:w val="0.83579629898527452"/>
          <c:h val="0.84375624752101197"/>
        </c:manualLayout>
      </c:layout>
      <c:scatterChart>
        <c:scatterStyle val="smoothMarker"/>
        <c:varyColors val="0"/>
        <c:ser>
          <c:idx val="0"/>
          <c:order val="0"/>
          <c:tx>
            <c:strRef>
              <c:f>'Analisis de torrefacciones'!$R$3:$U$3</c:f>
              <c:strCache>
                <c:ptCount val="1"/>
                <c:pt idx="0">
                  <c:v>15 minutos</c:v>
                </c:pt>
              </c:strCache>
            </c:strRef>
          </c:tx>
          <c:spPr>
            <a:ln w="19050" cap="rnd">
              <a:solidFill>
                <a:schemeClr val="accent1">
                  <a:alpha val="60000"/>
                </a:schemeClr>
              </a:solidFill>
              <a:round/>
            </a:ln>
            <a:effectLst/>
          </c:spPr>
          <c:marker>
            <c:symbol val="circle"/>
            <c:size val="6"/>
            <c:spPr>
              <a:solidFill>
                <a:schemeClr val="lt1"/>
              </a:solidFill>
              <a:ln w="38100">
                <a:solidFill>
                  <a:schemeClr val="accent1">
                    <a:alpha val="60000"/>
                  </a:schemeClr>
                </a:solidFill>
              </a:ln>
              <a:effectLst/>
            </c:spPr>
          </c:marker>
          <c:dLbls>
            <c:dLbl>
              <c:idx val="0"/>
              <c:layout>
                <c:manualLayout>
                  <c:x val="2.7229241048549659E-2"/>
                  <c:y val="1.1728943461863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C8-473C-AD9E-B46CB8D69974}"/>
                </c:ext>
              </c:extLst>
            </c:dLbl>
            <c:dLbl>
              <c:idx val="1"/>
              <c:layout>
                <c:manualLayout>
                  <c:x val="-3.2797872749325226E-3"/>
                  <c:y val="2.3440365898034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C8-473C-AD9E-B46CB8D69974}"/>
                </c:ext>
              </c:extLst>
            </c:dLbl>
            <c:dLbl>
              <c:idx val="2"/>
              <c:layout>
                <c:manualLayout>
                  <c:x val="1.1010476100994227E-4"/>
                  <c:y val="3.04672193597374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C8-473C-AD9E-B46CB8D69974}"/>
                </c:ext>
              </c:extLst>
            </c:dLbl>
            <c:dLbl>
              <c:idx val="3"/>
              <c:layout>
                <c:manualLayout>
                  <c:x val="-8.5857557270490964E-2"/>
                  <c:y val="0.114789460900171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C8-473C-AD9E-B46CB8D69974}"/>
                </c:ext>
              </c:extLst>
            </c:dLbl>
            <c:spPr>
              <a:noFill/>
              <a:ln>
                <a:solidFill>
                  <a:schemeClr val="accent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torrefacciones'!$T$45:$T$48</c:f>
              <c:numCache>
                <c:formatCode>General</c:formatCode>
                <c:ptCount val="4"/>
                <c:pt idx="0">
                  <c:v>200</c:v>
                </c:pt>
                <c:pt idx="1">
                  <c:v>250</c:v>
                </c:pt>
                <c:pt idx="2">
                  <c:v>275</c:v>
                </c:pt>
                <c:pt idx="3">
                  <c:v>300</c:v>
                </c:pt>
              </c:numCache>
            </c:numRef>
          </c:xVal>
          <c:yVal>
            <c:numRef>
              <c:f>'Analisis de torrefacciones'!$V$45:$V$48</c:f>
              <c:numCache>
                <c:formatCode>General</c:formatCode>
                <c:ptCount val="4"/>
                <c:pt idx="0">
                  <c:v>11.550665965741041</c:v>
                </c:pt>
                <c:pt idx="1">
                  <c:v>19.15067227575398</c:v>
                </c:pt>
                <c:pt idx="2">
                  <c:v>29.938004293730586</c:v>
                </c:pt>
                <c:pt idx="3">
                  <c:v>41.633134300421645</c:v>
                </c:pt>
              </c:numCache>
            </c:numRef>
          </c:yVal>
          <c:smooth val="1"/>
          <c:extLst>
            <c:ext xmlns:c16="http://schemas.microsoft.com/office/drawing/2014/chart" uri="{C3380CC4-5D6E-409C-BE32-E72D297353CC}">
              <c16:uniqueId val="{00000004-60C8-473C-AD9E-B46CB8D69974}"/>
            </c:ext>
          </c:extLst>
        </c:ser>
        <c:ser>
          <c:idx val="1"/>
          <c:order val="1"/>
          <c:tx>
            <c:strRef>
              <c:f>'Analisis de torrefacciones'!$Y$43:$AB$43</c:f>
              <c:strCache>
                <c:ptCount val="1"/>
                <c:pt idx="0">
                  <c:v>30 minutos</c:v>
                </c:pt>
              </c:strCache>
            </c:strRef>
          </c:tx>
          <c:spPr>
            <a:ln w="19050" cap="rnd">
              <a:solidFill>
                <a:schemeClr val="accent2">
                  <a:alpha val="60000"/>
                </a:schemeClr>
              </a:solidFill>
              <a:round/>
            </a:ln>
            <a:effectLst/>
          </c:spPr>
          <c:marker>
            <c:symbol val="circle"/>
            <c:size val="6"/>
            <c:spPr>
              <a:solidFill>
                <a:schemeClr val="lt1"/>
              </a:solidFill>
              <a:ln w="38100">
                <a:solidFill>
                  <a:schemeClr val="accent2">
                    <a:alpha val="60000"/>
                  </a:schemeClr>
                </a:solidFill>
              </a:ln>
              <a:effectLst/>
            </c:spPr>
          </c:marker>
          <c:dLbls>
            <c:dLbl>
              <c:idx val="0"/>
              <c:layout>
                <c:manualLayout>
                  <c:x val="-3.7178707634357169E-2"/>
                  <c:y val="-6.0881875642399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C8-473C-AD9E-B46CB8D69974}"/>
                </c:ext>
              </c:extLst>
            </c:dLbl>
            <c:dLbl>
              <c:idx val="1"/>
              <c:layout>
                <c:manualLayout>
                  <c:x val="-0.12192600853291885"/>
                  <c:y val="-1.8720754872182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C8-473C-AD9E-B46CB8D69974}"/>
                </c:ext>
              </c:extLst>
            </c:dLbl>
            <c:dLbl>
              <c:idx val="2"/>
              <c:layout>
                <c:manualLayout>
                  <c:x val="-0.11345127844306263"/>
                  <c:y val="-3.27744617955879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C8-473C-AD9E-B46CB8D69974}"/>
                </c:ext>
              </c:extLst>
            </c:dLbl>
            <c:dLbl>
              <c:idx val="3"/>
              <c:layout>
                <c:manualLayout>
                  <c:x val="-0.12192600853291878"/>
                  <c:y val="-2.3405323846650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C8-473C-AD9E-B46CB8D69974}"/>
                </c:ext>
              </c:extLst>
            </c:dLbl>
            <c:spPr>
              <a:no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torrefacciones'!$Y$45:$Y$48</c:f>
              <c:numCache>
                <c:formatCode>General</c:formatCode>
                <c:ptCount val="4"/>
                <c:pt idx="0">
                  <c:v>200</c:v>
                </c:pt>
                <c:pt idx="1">
                  <c:v>250</c:v>
                </c:pt>
                <c:pt idx="2">
                  <c:v>275</c:v>
                </c:pt>
                <c:pt idx="3">
                  <c:v>300</c:v>
                </c:pt>
              </c:numCache>
            </c:numRef>
          </c:xVal>
          <c:yVal>
            <c:numRef>
              <c:f>'Analisis de torrefacciones'!$AA$45:$AA$48</c:f>
              <c:numCache>
                <c:formatCode>General</c:formatCode>
                <c:ptCount val="4"/>
                <c:pt idx="0">
                  <c:v>12.191717285328137</c:v>
                </c:pt>
                <c:pt idx="1">
                  <c:v>27.227829469572765</c:v>
                </c:pt>
                <c:pt idx="2">
                  <c:v>35.114588827230754</c:v>
                </c:pt>
                <c:pt idx="3">
                  <c:v>46.830219487455565</c:v>
                </c:pt>
              </c:numCache>
            </c:numRef>
          </c:yVal>
          <c:smooth val="1"/>
          <c:extLst>
            <c:ext xmlns:c16="http://schemas.microsoft.com/office/drawing/2014/chart" uri="{C3380CC4-5D6E-409C-BE32-E72D297353CC}">
              <c16:uniqueId val="{00000009-60C8-473C-AD9E-B46CB8D69974}"/>
            </c:ext>
          </c:extLst>
        </c:ser>
        <c:dLbls>
          <c:dLblPos val="t"/>
          <c:showLegendKey val="0"/>
          <c:showVal val="1"/>
          <c:showCatName val="0"/>
          <c:showSerName val="0"/>
          <c:showPercent val="0"/>
          <c:showBubbleSize val="0"/>
        </c:dLbls>
        <c:axId val="1955835167"/>
        <c:axId val="1955835999"/>
      </c:scatterChart>
      <c:valAx>
        <c:axId val="1955835167"/>
        <c:scaling>
          <c:orientation val="minMax"/>
          <c:max val="300"/>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r>
                  <a:rPr lang="en-US" sz="1400"/>
                  <a:t>temperatura</a:t>
                </a:r>
              </a:p>
            </c:rich>
          </c:tx>
          <c:layout>
            <c:manualLayout>
              <c:xMode val="edge"/>
              <c:yMode val="edge"/>
              <c:x val="0.71237686951211177"/>
              <c:y val="0.9351731311138558"/>
            </c:manualLayout>
          </c:layout>
          <c:overlay val="0"/>
          <c:spPr>
            <a:noFill/>
            <a:ln>
              <a:noFill/>
            </a:ln>
            <a:effectLst/>
          </c:spPr>
          <c:txPr>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solidFill>
              <a:schemeClr val="tx1">
                <a:lumMod val="25000"/>
                <a:lumOff val="75000"/>
              </a:schemeClr>
            </a:solidFill>
          </a:ln>
          <a:effectLst/>
        </c:spPr>
        <c:txPr>
          <a:bodyPr rot="-60000000" spcFirstLastPara="1" vertOverflow="ellipsis" vert="horz" wrap="square" anchor="ctr"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999"/>
        <c:crosses val="autoZero"/>
        <c:crossBetween val="midCat"/>
        <c:majorUnit val="25"/>
        <c:minorUnit val="10"/>
      </c:valAx>
      <c:valAx>
        <c:axId val="1955835999"/>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r>
                  <a:rPr lang="en-US" sz="1400" b="0" i="0" u="none" strike="noStrike" kern="1200" cap="all" baseline="0">
                    <a:solidFill>
                      <a:sysClr val="windowText" lastClr="000000">
                        <a:lumMod val="65000"/>
                        <a:lumOff val="35000"/>
                      </a:sysClr>
                    </a:solidFill>
                    <a:latin typeface="+mn-lt"/>
                    <a:ea typeface="+mn-ea"/>
                    <a:cs typeface="+mn-cs"/>
                  </a:rPr>
                  <a:t>% masa perdida</a:t>
                </a:r>
              </a:p>
            </c:rich>
          </c:tx>
          <c:layout>
            <c:manualLayout>
              <c:xMode val="edge"/>
              <c:yMode val="edge"/>
              <c:x val="0.70126015899928251"/>
              <c:y val="3.1214946755340242E-2"/>
            </c:manualLayout>
          </c:layout>
          <c:overlay val="0"/>
          <c:spPr>
            <a:noFill/>
            <a:ln>
              <a:noFill/>
            </a:ln>
            <a:effectLst/>
          </c:spPr>
          <c:txPr>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endParaRPr lang="es-CO"/>
            </a:p>
          </c:txPr>
        </c:title>
        <c:numFmt formatCode="General" sourceLinked="1"/>
        <c:majorTickMark val="none"/>
        <c:minorTickMark val="none"/>
        <c:tickLblPos val="high"/>
        <c:spPr>
          <a:noFill/>
          <a:ln w="12700">
            <a:solidFill>
              <a:schemeClr val="tx1">
                <a:lumMod val="25000"/>
                <a:lumOff val="75000"/>
              </a:schemeClr>
            </a:solidFill>
          </a:ln>
          <a:effectLst/>
        </c:spPr>
        <c:txPr>
          <a:bodyPr rot="-60000000" spcFirstLastPara="1" vertOverflow="ellipsis" vert="horz" wrap="square" anchor="t"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167"/>
        <c:crosses val="autoZero"/>
        <c:crossBetween val="midCat"/>
        <c:majorUnit val="5"/>
        <c:minorUnit val="0.5"/>
      </c:valAx>
      <c:spPr>
        <a:noFill/>
        <a:ln>
          <a:noFill/>
        </a:ln>
        <a:effectLst/>
      </c:spPr>
    </c:plotArea>
    <c:legend>
      <c:legendPos val="b"/>
      <c:layout>
        <c:manualLayout>
          <c:xMode val="edge"/>
          <c:yMode val="edge"/>
          <c:x val="6.7483408213468196E-2"/>
          <c:y val="8.6143990454500025E-2"/>
          <c:w val="0.26502229321124737"/>
          <c:h val="4.010532621203085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sz="2000" b="1"/>
              <a:t>Palmarosa</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6626763811541218E-2"/>
          <c:y val="8.3622238489722722E-2"/>
          <c:w val="0.83579629898527452"/>
          <c:h val="0.84375624752101197"/>
        </c:manualLayout>
      </c:layout>
      <c:scatterChart>
        <c:scatterStyle val="smoothMarker"/>
        <c:varyColors val="0"/>
        <c:ser>
          <c:idx val="0"/>
          <c:order val="0"/>
          <c:tx>
            <c:strRef>
              <c:f>'Analisis de torrefacciones'!$T$43:$W$43</c:f>
              <c:strCache>
                <c:ptCount val="1"/>
                <c:pt idx="0">
                  <c:v>15 minutos</c:v>
                </c:pt>
              </c:strCache>
            </c:strRef>
          </c:tx>
          <c:spPr>
            <a:ln w="19050" cap="rnd">
              <a:solidFill>
                <a:schemeClr val="accent1">
                  <a:alpha val="60000"/>
                </a:schemeClr>
              </a:solidFill>
              <a:round/>
            </a:ln>
            <a:effectLst/>
          </c:spPr>
          <c:marker>
            <c:symbol val="circle"/>
            <c:size val="6"/>
            <c:spPr>
              <a:solidFill>
                <a:schemeClr val="lt1"/>
              </a:solidFill>
              <a:ln w="38100">
                <a:solidFill>
                  <a:schemeClr val="accent1">
                    <a:alpha val="60000"/>
                  </a:schemeClr>
                </a:solidFill>
              </a:ln>
              <a:effectLst/>
            </c:spPr>
          </c:marker>
          <c:dLbls>
            <c:dLbl>
              <c:idx val="0"/>
              <c:layout>
                <c:manualLayout>
                  <c:x val="0.10689170389319758"/>
                  <c:y val="-7.0094246519356029E-3"/>
                </c:manualLayout>
              </c:layout>
              <c:spPr>
                <a:noFill/>
                <a:ln>
                  <a:solidFill>
                    <a:schemeClr val="accent1">
                      <a:lumMod val="75000"/>
                    </a:schemeClr>
                  </a:solid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manualLayout>
                      <c:w val="9.1306741988110285E-2"/>
                      <c:h val="3.744150974436454E-2"/>
                    </c:manualLayout>
                  </c15:layout>
                </c:ext>
                <c:ext xmlns:c16="http://schemas.microsoft.com/office/drawing/2014/chart" uri="{C3380CC4-5D6E-409C-BE32-E72D297353CC}">
                  <c16:uniqueId val="{00000000-884D-4E89-9426-F93ACA2D1B54}"/>
                </c:ext>
              </c:extLst>
            </c:dLbl>
            <c:dLbl>
              <c:idx val="1"/>
              <c:layout>
                <c:manualLayout>
                  <c:x val="2.0449456976664792E-2"/>
                  <c:y val="1.15939360405600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4D-4E89-9426-F93ACA2D1B54}"/>
                </c:ext>
              </c:extLst>
            </c:dLbl>
            <c:dLbl>
              <c:idx val="2"/>
              <c:layout>
                <c:manualLayout>
                  <c:x val="1.1974726886808569E-2"/>
                  <c:y val="-7.009332436010908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4D-4E89-9426-F93ACA2D1B54}"/>
                </c:ext>
              </c:extLst>
            </c:dLbl>
            <c:dLbl>
              <c:idx val="3"/>
              <c:layout>
                <c:manualLayout>
                  <c:x val="-0.10497654835320647"/>
                  <c:y val="0.154608297183153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4D-4E89-9426-F93ACA2D1B54}"/>
                </c:ext>
              </c:extLst>
            </c:dLbl>
            <c:spPr>
              <a:noFill/>
              <a:ln>
                <a:solidFill>
                  <a:schemeClr val="accent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torrefacciones'!$T$87:$T$90</c:f>
              <c:numCache>
                <c:formatCode>General</c:formatCode>
                <c:ptCount val="4"/>
                <c:pt idx="0">
                  <c:v>200</c:v>
                </c:pt>
                <c:pt idx="1">
                  <c:v>250</c:v>
                </c:pt>
                <c:pt idx="2">
                  <c:v>275</c:v>
                </c:pt>
                <c:pt idx="3">
                  <c:v>300</c:v>
                </c:pt>
              </c:numCache>
            </c:numRef>
          </c:xVal>
          <c:yVal>
            <c:numRef>
              <c:f>'Analisis de torrefacciones'!$V$87:$V$90</c:f>
              <c:numCache>
                <c:formatCode>General</c:formatCode>
                <c:ptCount val="4"/>
                <c:pt idx="0">
                  <c:v>10.845335016608322</c:v>
                </c:pt>
                <c:pt idx="1">
                  <c:v>16.956748226226896</c:v>
                </c:pt>
                <c:pt idx="2">
                  <c:v>27.841641075514048</c:v>
                </c:pt>
                <c:pt idx="3">
                  <c:v>40.535370926800397</c:v>
                </c:pt>
              </c:numCache>
            </c:numRef>
          </c:yVal>
          <c:smooth val="1"/>
          <c:extLst>
            <c:ext xmlns:c16="http://schemas.microsoft.com/office/drawing/2014/chart" uri="{C3380CC4-5D6E-409C-BE32-E72D297353CC}">
              <c16:uniqueId val="{00000004-884D-4E89-9426-F93ACA2D1B54}"/>
            </c:ext>
          </c:extLst>
        </c:ser>
        <c:ser>
          <c:idx val="1"/>
          <c:order val="1"/>
          <c:tx>
            <c:strRef>
              <c:f>'Analisis de torrefacciones'!$Y$85:$AB$85</c:f>
              <c:strCache>
                <c:ptCount val="1"/>
                <c:pt idx="0">
                  <c:v>30 minutos</c:v>
                </c:pt>
              </c:strCache>
            </c:strRef>
          </c:tx>
          <c:spPr>
            <a:ln w="19050" cap="rnd">
              <a:solidFill>
                <a:schemeClr val="accent2">
                  <a:alpha val="60000"/>
                </a:schemeClr>
              </a:solidFill>
              <a:round/>
            </a:ln>
            <a:effectLst/>
          </c:spPr>
          <c:marker>
            <c:symbol val="circle"/>
            <c:size val="6"/>
            <c:spPr>
              <a:solidFill>
                <a:schemeClr val="lt1"/>
              </a:solidFill>
              <a:ln w="38100">
                <a:solidFill>
                  <a:schemeClr val="accent2">
                    <a:alpha val="60000"/>
                  </a:schemeClr>
                </a:solidFill>
              </a:ln>
              <a:effectLst/>
            </c:spPr>
          </c:marker>
          <c:dLbls>
            <c:dLbl>
              <c:idx val="0"/>
              <c:layout>
                <c:manualLayout>
                  <c:x val="1.5364618922751018E-2"/>
                  <c:y val="-0.121781272310490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84D-4E89-9426-F93ACA2D1B54}"/>
                </c:ext>
              </c:extLst>
            </c:dLbl>
            <c:dLbl>
              <c:idx val="1"/>
              <c:layout>
                <c:manualLayout>
                  <c:x val="-0.10958680152208822"/>
                  <c:y val="-3.00818840533471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4D-4E89-9426-F93ACA2D1B54}"/>
                </c:ext>
              </c:extLst>
            </c:dLbl>
            <c:dLbl>
              <c:idx val="2"/>
              <c:layout>
                <c:manualLayout>
                  <c:x val="-0.12192600853291878"/>
                  <c:y val="-7.009332436010908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84D-4E89-9426-F93ACA2D1B54}"/>
                </c:ext>
              </c:extLst>
            </c:dLbl>
            <c:dLbl>
              <c:idx val="3"/>
              <c:layout>
                <c:manualLayout>
                  <c:x val="-0.13718052269465988"/>
                  <c:y val="-3.51167462828221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84D-4E89-9426-F93ACA2D1B54}"/>
                </c:ext>
              </c:extLst>
            </c:dLbl>
            <c:spPr>
              <a:no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torrefacciones'!$Y$87:$Y$90</c:f>
              <c:numCache>
                <c:formatCode>General</c:formatCode>
                <c:ptCount val="4"/>
                <c:pt idx="0">
                  <c:v>200</c:v>
                </c:pt>
                <c:pt idx="1">
                  <c:v>250</c:v>
                </c:pt>
                <c:pt idx="2">
                  <c:v>275</c:v>
                </c:pt>
                <c:pt idx="3">
                  <c:v>300</c:v>
                </c:pt>
              </c:numCache>
            </c:numRef>
          </c:xVal>
          <c:yVal>
            <c:numRef>
              <c:f>'Analisis de torrefacciones'!$AA$87:$AA$90</c:f>
              <c:numCache>
                <c:formatCode>General</c:formatCode>
                <c:ptCount val="4"/>
                <c:pt idx="0">
                  <c:v>10.555963789093047</c:v>
                </c:pt>
                <c:pt idx="1">
                  <c:v>21.748967099086034</c:v>
                </c:pt>
                <c:pt idx="2">
                  <c:v>33.731382136837269</c:v>
                </c:pt>
                <c:pt idx="3">
                  <c:v>45.384170733127881</c:v>
                </c:pt>
              </c:numCache>
            </c:numRef>
          </c:yVal>
          <c:smooth val="1"/>
          <c:extLst>
            <c:ext xmlns:c16="http://schemas.microsoft.com/office/drawing/2014/chart" uri="{C3380CC4-5D6E-409C-BE32-E72D297353CC}">
              <c16:uniqueId val="{00000009-884D-4E89-9426-F93ACA2D1B54}"/>
            </c:ext>
          </c:extLst>
        </c:ser>
        <c:dLbls>
          <c:dLblPos val="t"/>
          <c:showLegendKey val="0"/>
          <c:showVal val="1"/>
          <c:showCatName val="0"/>
          <c:showSerName val="0"/>
          <c:showPercent val="0"/>
          <c:showBubbleSize val="0"/>
        </c:dLbls>
        <c:axId val="1955835167"/>
        <c:axId val="1955835999"/>
      </c:scatterChart>
      <c:valAx>
        <c:axId val="1955835167"/>
        <c:scaling>
          <c:orientation val="minMax"/>
          <c:max val="300"/>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r>
                  <a:rPr lang="en-US" sz="1400"/>
                  <a:t>temperatura</a:t>
                </a:r>
              </a:p>
            </c:rich>
          </c:tx>
          <c:layout>
            <c:manualLayout>
              <c:xMode val="edge"/>
              <c:yMode val="edge"/>
              <c:x val="0.71237686951211177"/>
              <c:y val="0.9351731311138558"/>
            </c:manualLayout>
          </c:layout>
          <c:overlay val="0"/>
          <c:spPr>
            <a:noFill/>
            <a:ln>
              <a:noFill/>
            </a:ln>
            <a:effectLst/>
          </c:spPr>
          <c:txPr>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solidFill>
              <a:schemeClr val="tx1">
                <a:lumMod val="25000"/>
                <a:lumOff val="75000"/>
              </a:schemeClr>
            </a:solidFill>
          </a:ln>
          <a:effectLst/>
        </c:spPr>
        <c:txPr>
          <a:bodyPr rot="-60000000" spcFirstLastPara="1" vertOverflow="ellipsis" vert="horz" wrap="square" anchor="ctr"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999"/>
        <c:crosses val="autoZero"/>
        <c:crossBetween val="midCat"/>
        <c:majorUnit val="25"/>
        <c:minorUnit val="10"/>
      </c:valAx>
      <c:valAx>
        <c:axId val="1955835999"/>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r>
                  <a:rPr lang="en-US" sz="1400" b="0" i="0" u="none" strike="noStrike" kern="1200" cap="all" baseline="0">
                    <a:solidFill>
                      <a:sysClr val="windowText" lastClr="000000">
                        <a:lumMod val="65000"/>
                        <a:lumOff val="35000"/>
                      </a:sysClr>
                    </a:solidFill>
                    <a:latin typeface="+mn-lt"/>
                    <a:ea typeface="+mn-ea"/>
                    <a:cs typeface="+mn-cs"/>
                  </a:rPr>
                  <a:t>% masa perdida</a:t>
                </a:r>
              </a:p>
            </c:rich>
          </c:tx>
          <c:layout>
            <c:manualLayout>
              <c:xMode val="edge"/>
              <c:yMode val="edge"/>
              <c:x val="0.70126015899928251"/>
              <c:y val="3.1214946755340242E-2"/>
            </c:manualLayout>
          </c:layout>
          <c:overlay val="0"/>
          <c:spPr>
            <a:noFill/>
            <a:ln>
              <a:noFill/>
            </a:ln>
            <a:effectLst/>
          </c:spPr>
          <c:txPr>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endParaRPr lang="es-CO"/>
            </a:p>
          </c:txPr>
        </c:title>
        <c:numFmt formatCode="General" sourceLinked="1"/>
        <c:majorTickMark val="none"/>
        <c:minorTickMark val="none"/>
        <c:tickLblPos val="high"/>
        <c:spPr>
          <a:noFill/>
          <a:ln w="12700">
            <a:solidFill>
              <a:schemeClr val="tx1">
                <a:lumMod val="25000"/>
                <a:lumOff val="75000"/>
              </a:schemeClr>
            </a:solidFill>
          </a:ln>
          <a:effectLst/>
        </c:spPr>
        <c:txPr>
          <a:bodyPr rot="-60000000" spcFirstLastPara="1" vertOverflow="ellipsis" vert="horz" wrap="square" anchor="t"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167"/>
        <c:crosses val="autoZero"/>
        <c:crossBetween val="midCat"/>
        <c:majorUnit val="5"/>
        <c:minorUnit val="0.5"/>
      </c:valAx>
      <c:spPr>
        <a:noFill/>
        <a:ln>
          <a:noFill/>
        </a:ln>
        <a:effectLst/>
      </c:spPr>
    </c:plotArea>
    <c:legend>
      <c:legendPos val="b"/>
      <c:layout>
        <c:manualLayout>
          <c:xMode val="edge"/>
          <c:yMode val="edge"/>
          <c:x val="6.7483408213468196E-2"/>
          <c:y val="8.6143990454500025E-2"/>
          <c:w val="0.26502229321124737"/>
          <c:h val="4.010532621203085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sz="2000" b="1"/>
              <a:t>15 minutos</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6626763811541218E-2"/>
          <c:y val="8.3622238489722722E-2"/>
          <c:w val="0.88494973350644013"/>
          <c:h val="0.85726216638387709"/>
        </c:manualLayout>
      </c:layout>
      <c:scatterChart>
        <c:scatterStyle val="smoothMarker"/>
        <c:varyColors val="0"/>
        <c:ser>
          <c:idx val="0"/>
          <c:order val="0"/>
          <c:tx>
            <c:strRef>
              <c:f>'Analisis de torrefacciones'!$AH$45:$AI$45</c:f>
              <c:strCache>
                <c:ptCount val="1"/>
                <c:pt idx="0">
                  <c:v>Citronela</c:v>
                </c:pt>
              </c:strCache>
            </c:strRef>
          </c:tx>
          <c:spPr>
            <a:ln w="19050" cap="rnd">
              <a:solidFill>
                <a:schemeClr val="accent1">
                  <a:alpha val="60000"/>
                </a:schemeClr>
              </a:solidFill>
              <a:round/>
            </a:ln>
            <a:effectLst/>
          </c:spPr>
          <c:marker>
            <c:symbol val="circle"/>
            <c:size val="6"/>
            <c:spPr>
              <a:solidFill>
                <a:schemeClr val="lt1"/>
              </a:solidFill>
              <a:ln w="38100">
                <a:solidFill>
                  <a:schemeClr val="accent1">
                    <a:alpha val="60000"/>
                  </a:schemeClr>
                </a:solidFill>
              </a:ln>
              <a:effectLst/>
            </c:spPr>
          </c:marker>
          <c:dLbls>
            <c:dLbl>
              <c:idx val="0"/>
              <c:layout>
                <c:manualLayout>
                  <c:x val="7.4656375189943364E-2"/>
                  <c:y val="-2.0483004692949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3E-4165-937E-1F6B3D7FB171}"/>
                </c:ext>
              </c:extLst>
            </c:dLbl>
            <c:dLbl>
              <c:idx val="1"/>
              <c:layout>
                <c:manualLayout>
                  <c:x val="-9.7858244693097576E-2"/>
                  <c:y val="-4.55386130779155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3E-4165-937E-1F6B3D7FB171}"/>
                </c:ext>
              </c:extLst>
            </c:dLbl>
            <c:dLbl>
              <c:idx val="2"/>
              <c:layout>
                <c:manualLayout>
                  <c:x val="-0.11247812773403336"/>
                  <c:y val="-3.64274827561097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3E-4165-937E-1F6B3D7FB171}"/>
                </c:ext>
              </c:extLst>
            </c:dLbl>
            <c:dLbl>
              <c:idx val="3"/>
              <c:layout>
                <c:manualLayout>
                  <c:x val="-0.11384030943500484"/>
                  <c:y val="-2.2760787273400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3E-4165-937E-1F6B3D7FB171}"/>
                </c:ext>
              </c:extLst>
            </c:dLbl>
            <c:spPr>
              <a:noFill/>
              <a:ln>
                <a:solidFill>
                  <a:schemeClr val="accent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torrefacciones'!$AF$47:$AF$50</c:f>
              <c:numCache>
                <c:formatCode>General</c:formatCode>
                <c:ptCount val="4"/>
                <c:pt idx="0">
                  <c:v>200</c:v>
                </c:pt>
                <c:pt idx="1">
                  <c:v>250</c:v>
                </c:pt>
                <c:pt idx="2">
                  <c:v>275</c:v>
                </c:pt>
                <c:pt idx="3">
                  <c:v>300</c:v>
                </c:pt>
              </c:numCache>
            </c:numRef>
          </c:xVal>
          <c:yVal>
            <c:numRef>
              <c:f>'Analisis de torrefacciones'!$AH$47:$AH$50</c:f>
              <c:numCache>
                <c:formatCode>General</c:formatCode>
                <c:ptCount val="4"/>
                <c:pt idx="0">
                  <c:v>10.104896427177048</c:v>
                </c:pt>
                <c:pt idx="1">
                  <c:v>19.7922618562807</c:v>
                </c:pt>
                <c:pt idx="2">
                  <c:v>31.734412744513559</c:v>
                </c:pt>
                <c:pt idx="3">
                  <c:v>43.090357961087719</c:v>
                </c:pt>
              </c:numCache>
            </c:numRef>
          </c:yVal>
          <c:smooth val="1"/>
          <c:extLst>
            <c:ext xmlns:c16="http://schemas.microsoft.com/office/drawing/2014/chart" uri="{C3380CC4-5D6E-409C-BE32-E72D297353CC}">
              <c16:uniqueId val="{00000004-B53E-4165-937E-1F6B3D7FB171}"/>
            </c:ext>
          </c:extLst>
        </c:ser>
        <c:ser>
          <c:idx val="1"/>
          <c:order val="1"/>
          <c:tx>
            <c:strRef>
              <c:f>'Analisis de torrefacciones'!$AJ$45:$AK$45</c:f>
              <c:strCache>
                <c:ptCount val="1"/>
                <c:pt idx="0">
                  <c:v>Patchouli</c:v>
                </c:pt>
              </c:strCache>
            </c:strRef>
          </c:tx>
          <c:spPr>
            <a:ln w="19050" cap="rnd">
              <a:solidFill>
                <a:schemeClr val="accent2">
                  <a:alpha val="60000"/>
                </a:schemeClr>
              </a:solidFill>
              <a:round/>
            </a:ln>
            <a:effectLst/>
          </c:spPr>
          <c:marker>
            <c:symbol val="circle"/>
            <c:size val="6"/>
            <c:spPr>
              <a:solidFill>
                <a:schemeClr val="lt1"/>
              </a:solidFill>
              <a:ln w="38100">
                <a:solidFill>
                  <a:schemeClr val="accent2">
                    <a:alpha val="60000"/>
                  </a:schemeClr>
                </a:solidFill>
              </a:ln>
              <a:effectLst/>
            </c:spPr>
          </c:marker>
          <c:dLbls>
            <c:dLbl>
              <c:idx val="0"/>
              <c:layout>
                <c:manualLayout>
                  <c:x val="1.6176843026200659E-2"/>
                  <c:y val="-5.23719608192699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3E-4165-937E-1F6B3D7FB171}"/>
                </c:ext>
              </c:extLst>
            </c:dLbl>
            <c:dLbl>
              <c:idx val="1"/>
              <c:layout>
                <c:manualLayout>
                  <c:x val="9.3662223143159737E-2"/>
                  <c:y val="-4.538526629789306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3E-4165-937E-1F6B3D7FB171}"/>
                </c:ext>
              </c:extLst>
            </c:dLbl>
            <c:dLbl>
              <c:idx val="2"/>
              <c:layout>
                <c:manualLayout>
                  <c:x val="6.2960468757194826E-2"/>
                  <c:y val="-2.27607872734009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53E-4165-937E-1F6B3D7FB171}"/>
                </c:ext>
              </c:extLst>
            </c:dLbl>
            <c:dLbl>
              <c:idx val="3"/>
              <c:layout>
                <c:manualLayout>
                  <c:x val="-0.14202744393792882"/>
                  <c:y val="4.572603692016512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53E-4165-937E-1F6B3D7FB171}"/>
                </c:ext>
              </c:extLst>
            </c:dLbl>
            <c:spPr>
              <a:no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torrefacciones'!$AF$47:$AF$50</c:f>
              <c:numCache>
                <c:formatCode>General</c:formatCode>
                <c:ptCount val="4"/>
                <c:pt idx="0">
                  <c:v>200</c:v>
                </c:pt>
                <c:pt idx="1">
                  <c:v>250</c:v>
                </c:pt>
                <c:pt idx="2">
                  <c:v>275</c:v>
                </c:pt>
                <c:pt idx="3">
                  <c:v>300</c:v>
                </c:pt>
              </c:numCache>
            </c:numRef>
          </c:xVal>
          <c:yVal>
            <c:numRef>
              <c:f>'Analisis de torrefacciones'!$AJ$47:$AJ$50</c:f>
              <c:numCache>
                <c:formatCode>General</c:formatCode>
                <c:ptCount val="4"/>
                <c:pt idx="0">
                  <c:v>11.550665965741041</c:v>
                </c:pt>
                <c:pt idx="1">
                  <c:v>19.15067227575398</c:v>
                </c:pt>
                <c:pt idx="2">
                  <c:v>29.938004293730586</c:v>
                </c:pt>
                <c:pt idx="3">
                  <c:v>41.633134300421645</c:v>
                </c:pt>
              </c:numCache>
            </c:numRef>
          </c:yVal>
          <c:smooth val="1"/>
          <c:extLst>
            <c:ext xmlns:c16="http://schemas.microsoft.com/office/drawing/2014/chart" uri="{C3380CC4-5D6E-409C-BE32-E72D297353CC}">
              <c16:uniqueId val="{00000009-B53E-4165-937E-1F6B3D7FB171}"/>
            </c:ext>
          </c:extLst>
        </c:ser>
        <c:ser>
          <c:idx val="2"/>
          <c:order val="2"/>
          <c:tx>
            <c:strRef>
              <c:f>'Analisis de torrefacciones'!$AL$45:$AM$45</c:f>
              <c:strCache>
                <c:ptCount val="1"/>
                <c:pt idx="0">
                  <c:v>Palmarosa</c:v>
                </c:pt>
              </c:strCache>
            </c:strRef>
          </c:tx>
          <c:spPr>
            <a:ln w="19050" cap="rnd">
              <a:solidFill>
                <a:schemeClr val="accent3">
                  <a:alpha val="60000"/>
                </a:schemeClr>
              </a:solidFill>
              <a:round/>
            </a:ln>
            <a:effectLst/>
          </c:spPr>
          <c:marker>
            <c:symbol val="circle"/>
            <c:size val="6"/>
            <c:spPr>
              <a:solidFill>
                <a:schemeClr val="lt1"/>
              </a:solidFill>
              <a:ln w="38100">
                <a:solidFill>
                  <a:schemeClr val="accent3">
                    <a:alpha val="60000"/>
                  </a:schemeClr>
                </a:solidFill>
              </a:ln>
              <a:effectLst/>
            </c:spPr>
          </c:marker>
          <c:dLbls>
            <c:dLbl>
              <c:idx val="0"/>
              <c:layout>
                <c:manualLayout>
                  <c:x val="4.4809365934521343E-3"/>
                  <c:y val="-0.1366499162959740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53E-4165-937E-1F6B3D7FB171}"/>
                </c:ext>
              </c:extLst>
            </c:dLbl>
            <c:dLbl>
              <c:idx val="1"/>
              <c:layout>
                <c:manualLayout>
                  <c:x val="1.0328889809826403E-2"/>
                  <c:y val="2.5072646916079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53E-4165-937E-1F6B3D7FB171}"/>
                </c:ext>
              </c:extLst>
            </c:dLbl>
            <c:dLbl>
              <c:idx val="2"/>
              <c:layout>
                <c:manualLayout>
                  <c:x val="1.7638831330294241E-2"/>
                  <c:y val="2.7350429496531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53E-4165-937E-1F6B3D7FB171}"/>
                </c:ext>
              </c:extLst>
            </c:dLbl>
            <c:dLbl>
              <c:idx val="3"/>
              <c:layout>
                <c:manualLayout>
                  <c:x val="-2.3197034581203771E-2"/>
                  <c:y val="7.973942884691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53E-4165-937E-1F6B3D7FB171}"/>
                </c:ext>
              </c:extLst>
            </c:dLbl>
            <c:spPr>
              <a:noFill/>
              <a:ln>
                <a:solidFill>
                  <a:schemeClr val="bg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torrefacciones'!$AF$47:$AF$50</c:f>
              <c:numCache>
                <c:formatCode>General</c:formatCode>
                <c:ptCount val="4"/>
                <c:pt idx="0">
                  <c:v>200</c:v>
                </c:pt>
                <c:pt idx="1">
                  <c:v>250</c:v>
                </c:pt>
                <c:pt idx="2">
                  <c:v>275</c:v>
                </c:pt>
                <c:pt idx="3">
                  <c:v>300</c:v>
                </c:pt>
              </c:numCache>
            </c:numRef>
          </c:xVal>
          <c:yVal>
            <c:numRef>
              <c:f>'Analisis de torrefacciones'!$AL$47:$AL$50</c:f>
              <c:numCache>
                <c:formatCode>General</c:formatCode>
                <c:ptCount val="4"/>
                <c:pt idx="0">
                  <c:v>10.845335016608322</c:v>
                </c:pt>
                <c:pt idx="1">
                  <c:v>16.956748226226896</c:v>
                </c:pt>
                <c:pt idx="2">
                  <c:v>27.841641075514048</c:v>
                </c:pt>
                <c:pt idx="3">
                  <c:v>40.535370926800397</c:v>
                </c:pt>
              </c:numCache>
            </c:numRef>
          </c:yVal>
          <c:smooth val="1"/>
          <c:extLst>
            <c:ext xmlns:c16="http://schemas.microsoft.com/office/drawing/2014/chart" uri="{C3380CC4-5D6E-409C-BE32-E72D297353CC}">
              <c16:uniqueId val="{0000000B-B53E-4165-937E-1F6B3D7FB171}"/>
            </c:ext>
          </c:extLst>
        </c:ser>
        <c:dLbls>
          <c:dLblPos val="t"/>
          <c:showLegendKey val="0"/>
          <c:showVal val="1"/>
          <c:showCatName val="0"/>
          <c:showSerName val="0"/>
          <c:showPercent val="0"/>
          <c:showBubbleSize val="0"/>
        </c:dLbls>
        <c:axId val="1955835167"/>
        <c:axId val="1955835999"/>
      </c:scatterChart>
      <c:valAx>
        <c:axId val="1955835167"/>
        <c:scaling>
          <c:orientation val="minMax"/>
          <c:max val="300"/>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r>
                  <a:rPr lang="en-US" sz="1400"/>
                  <a:t>temperatura</a:t>
                </a:r>
              </a:p>
            </c:rich>
          </c:tx>
          <c:layout>
            <c:manualLayout>
              <c:xMode val="edge"/>
              <c:yMode val="edge"/>
              <c:x val="0.70559708544022681"/>
              <c:y val="0.86989491848725298"/>
            </c:manualLayout>
          </c:layout>
          <c:overlay val="0"/>
          <c:spPr>
            <a:noFill/>
            <a:ln>
              <a:noFill/>
            </a:ln>
            <a:effectLst/>
          </c:spPr>
          <c:txPr>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solidFill>
              <a:schemeClr val="tx1">
                <a:lumMod val="25000"/>
                <a:lumOff val="75000"/>
              </a:schemeClr>
            </a:solidFill>
          </a:ln>
          <a:effectLst/>
        </c:spPr>
        <c:txPr>
          <a:bodyPr rot="-60000000" spcFirstLastPara="1" vertOverflow="ellipsis" vert="horz" wrap="square" anchor="ctr"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999"/>
        <c:crosses val="autoZero"/>
        <c:crossBetween val="midCat"/>
        <c:majorUnit val="25"/>
        <c:minorUnit val="10"/>
      </c:valAx>
      <c:valAx>
        <c:axId val="1955835999"/>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r>
                  <a:rPr lang="en-US" sz="1400" b="0" i="0" u="none" strike="noStrike" kern="1200" cap="all" baseline="0">
                    <a:solidFill>
                      <a:sysClr val="windowText" lastClr="000000">
                        <a:lumMod val="65000"/>
                        <a:lumOff val="35000"/>
                      </a:sysClr>
                    </a:solidFill>
                    <a:latin typeface="+mn-lt"/>
                    <a:ea typeface="+mn-ea"/>
                    <a:cs typeface="+mn-cs"/>
                  </a:rPr>
                  <a:t>% masa perdida</a:t>
                </a:r>
              </a:p>
            </c:rich>
          </c:tx>
          <c:layout>
            <c:manualLayout>
              <c:xMode val="edge"/>
              <c:yMode val="edge"/>
              <c:x val="0.70126015899928251"/>
              <c:y val="3.1214946755340242E-2"/>
            </c:manualLayout>
          </c:layout>
          <c:overlay val="0"/>
          <c:spPr>
            <a:noFill/>
            <a:ln>
              <a:noFill/>
            </a:ln>
            <a:effectLst/>
          </c:spPr>
          <c:txPr>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endParaRPr lang="es-CO"/>
            </a:p>
          </c:txPr>
        </c:title>
        <c:numFmt formatCode="General" sourceLinked="1"/>
        <c:majorTickMark val="none"/>
        <c:minorTickMark val="none"/>
        <c:tickLblPos val="high"/>
        <c:spPr>
          <a:noFill/>
          <a:ln w="12700">
            <a:solidFill>
              <a:schemeClr val="tx1">
                <a:lumMod val="25000"/>
                <a:lumOff val="75000"/>
              </a:schemeClr>
            </a:solidFill>
          </a:ln>
          <a:effectLst/>
        </c:spPr>
        <c:txPr>
          <a:bodyPr rot="-60000000" spcFirstLastPara="1" vertOverflow="ellipsis" vert="horz" wrap="square" anchor="t"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167"/>
        <c:crosses val="autoZero"/>
        <c:crossBetween val="midCat"/>
        <c:majorUnit val="5"/>
        <c:minorUnit val="0.5"/>
      </c:valAx>
      <c:spPr>
        <a:noFill/>
        <a:ln>
          <a:noFill/>
        </a:ln>
        <a:effectLst/>
      </c:spPr>
    </c:plotArea>
    <c:legend>
      <c:legendPos val="b"/>
      <c:layout>
        <c:manualLayout>
          <c:xMode val="edge"/>
          <c:yMode val="edge"/>
          <c:x val="6.7483408213468196E-2"/>
          <c:y val="8.6143990454500025E-2"/>
          <c:w val="0.38486324077911321"/>
          <c:h val="0.1181526310197607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sz="2000" b="1"/>
              <a:t>30 minutos</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6626763811541218E-2"/>
          <c:y val="8.3622238489722722E-2"/>
          <c:w val="0.88494973350644013"/>
          <c:h val="0.85726216638387709"/>
        </c:manualLayout>
      </c:layout>
      <c:scatterChart>
        <c:scatterStyle val="smoothMarker"/>
        <c:varyColors val="0"/>
        <c:ser>
          <c:idx val="0"/>
          <c:order val="0"/>
          <c:tx>
            <c:strRef>
              <c:f>'Analisis de torrefacciones'!$AH$86:$AI$86</c:f>
              <c:strCache>
                <c:ptCount val="1"/>
                <c:pt idx="0">
                  <c:v>Citronela</c:v>
                </c:pt>
              </c:strCache>
            </c:strRef>
          </c:tx>
          <c:spPr>
            <a:ln w="19050" cap="rnd">
              <a:solidFill>
                <a:schemeClr val="accent1">
                  <a:alpha val="60000"/>
                </a:schemeClr>
              </a:solidFill>
              <a:round/>
            </a:ln>
            <a:effectLst/>
          </c:spPr>
          <c:marker>
            <c:symbol val="circle"/>
            <c:size val="6"/>
            <c:spPr>
              <a:solidFill>
                <a:schemeClr val="lt1"/>
              </a:solidFill>
              <a:ln w="38100">
                <a:solidFill>
                  <a:schemeClr val="accent1">
                    <a:alpha val="60000"/>
                  </a:schemeClr>
                </a:solidFill>
              </a:ln>
              <a:effectLst/>
            </c:spPr>
          </c:marker>
          <c:dLbls>
            <c:dLbl>
              <c:idx val="0"/>
              <c:layout>
                <c:manualLayout>
                  <c:x val="7.4049132016392686E-3"/>
                  <c:y val="-0.16720948950269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3F-4FC1-B2E3-B516A9592BC3}"/>
                </c:ext>
              </c:extLst>
            </c:dLbl>
            <c:dLbl>
              <c:idx val="1"/>
              <c:layout>
                <c:manualLayout>
                  <c:x val="-9.6396256389004009E-2"/>
                  <c:y val="7.89856147224014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3F-4FC1-B2E3-B516A9592BC3}"/>
                </c:ext>
              </c:extLst>
            </c:dLbl>
            <c:dLbl>
              <c:idx val="2"/>
              <c:layout>
                <c:manualLayout>
                  <c:x val="3.2258714371229805E-2"/>
                  <c:y val="1.7373744541215184E-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3F-4FC1-B2E3-B516A9592BC3}"/>
                </c:ext>
              </c:extLst>
            </c:dLbl>
            <c:dLbl>
              <c:idx val="3"/>
              <c:layout>
                <c:manualLayout>
                  <c:x val="-9.4834461481788465E-2"/>
                  <c:y val="-2.228957132760082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3F-4FC1-B2E3-B516A9592BC3}"/>
                </c:ext>
              </c:extLst>
            </c:dLbl>
            <c:spPr>
              <a:noFill/>
              <a:ln>
                <a:solidFill>
                  <a:schemeClr val="accent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torrefacciones'!$AF$88:$AF$91</c:f>
              <c:numCache>
                <c:formatCode>General</c:formatCode>
                <c:ptCount val="4"/>
                <c:pt idx="0">
                  <c:v>200</c:v>
                </c:pt>
                <c:pt idx="1">
                  <c:v>250</c:v>
                </c:pt>
                <c:pt idx="2">
                  <c:v>275</c:v>
                </c:pt>
                <c:pt idx="3">
                  <c:v>300</c:v>
                </c:pt>
              </c:numCache>
            </c:numRef>
          </c:xVal>
          <c:yVal>
            <c:numRef>
              <c:f>'Analisis de torrefacciones'!$AH$88:$AH$91</c:f>
              <c:numCache>
                <c:formatCode>General</c:formatCode>
                <c:ptCount val="4"/>
                <c:pt idx="0">
                  <c:v>13.130216285605565</c:v>
                </c:pt>
                <c:pt idx="1">
                  <c:v>26.7588007757229</c:v>
                </c:pt>
                <c:pt idx="2">
                  <c:v>33.825100445260489</c:v>
                </c:pt>
                <c:pt idx="3">
                  <c:v>46.639627113417603</c:v>
                </c:pt>
              </c:numCache>
            </c:numRef>
          </c:yVal>
          <c:smooth val="1"/>
          <c:extLst>
            <c:ext xmlns:c16="http://schemas.microsoft.com/office/drawing/2014/chart" uri="{C3380CC4-5D6E-409C-BE32-E72D297353CC}">
              <c16:uniqueId val="{00000004-D03F-4FC1-B2E3-B516A9592BC3}"/>
            </c:ext>
          </c:extLst>
        </c:ser>
        <c:ser>
          <c:idx val="1"/>
          <c:order val="1"/>
          <c:tx>
            <c:strRef>
              <c:f>'Analisis de torrefacciones'!$AJ$86:$AK$86</c:f>
              <c:strCache>
                <c:ptCount val="1"/>
                <c:pt idx="0">
                  <c:v>Patchouli</c:v>
                </c:pt>
              </c:strCache>
            </c:strRef>
          </c:tx>
          <c:spPr>
            <a:ln w="19050" cap="rnd">
              <a:solidFill>
                <a:schemeClr val="accent2">
                  <a:alpha val="60000"/>
                </a:schemeClr>
              </a:solidFill>
              <a:round/>
            </a:ln>
            <a:effectLst/>
          </c:spPr>
          <c:marker>
            <c:symbol val="circle"/>
            <c:size val="6"/>
            <c:spPr>
              <a:solidFill>
                <a:schemeClr val="lt1"/>
              </a:solidFill>
              <a:ln w="38100">
                <a:solidFill>
                  <a:schemeClr val="accent2">
                    <a:alpha val="60000"/>
                  </a:schemeClr>
                </a:solidFill>
              </a:ln>
              <a:effectLst/>
            </c:spPr>
          </c:marker>
          <c:dLbls>
            <c:dLbl>
              <c:idx val="0"/>
              <c:layout>
                <c:manualLayout>
                  <c:x val="1.179087811391997E-2"/>
                  <c:y val="-0.132370559659518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3F-4FC1-B2E3-B516A9592BC3}"/>
                </c:ext>
              </c:extLst>
            </c:dLbl>
            <c:dLbl>
              <c:idx val="1"/>
              <c:layout>
                <c:manualLayout>
                  <c:x val="-0.10078222130128471"/>
                  <c:y val="-2.08859841613629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03F-4FC1-B2E3-B516A9592BC3}"/>
                </c:ext>
              </c:extLst>
            </c:dLbl>
            <c:dLbl>
              <c:idx val="2"/>
              <c:layout>
                <c:manualLayout>
                  <c:x val="-9.639625638900412E-2"/>
                  <c:y val="-3.01763654528759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03F-4FC1-B2E3-B516A9592BC3}"/>
                </c:ext>
              </c:extLst>
            </c:dLbl>
            <c:dLbl>
              <c:idx val="3"/>
              <c:layout>
                <c:manualLayout>
                  <c:x val="-7.4366625224478525E-2"/>
                  <c:y val="-4.26525668550095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3F-4FC1-B2E3-B516A9592BC3}"/>
                </c:ext>
              </c:extLst>
            </c:dLbl>
            <c:spPr>
              <a:no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torrefacciones'!$AF$88:$AF$91</c:f>
              <c:numCache>
                <c:formatCode>General</c:formatCode>
                <c:ptCount val="4"/>
                <c:pt idx="0">
                  <c:v>200</c:v>
                </c:pt>
                <c:pt idx="1">
                  <c:v>250</c:v>
                </c:pt>
                <c:pt idx="2">
                  <c:v>275</c:v>
                </c:pt>
                <c:pt idx="3">
                  <c:v>300</c:v>
                </c:pt>
              </c:numCache>
            </c:numRef>
          </c:xVal>
          <c:yVal>
            <c:numRef>
              <c:f>'Analisis de torrefacciones'!$AJ$88:$AJ$91</c:f>
              <c:numCache>
                <c:formatCode>General</c:formatCode>
                <c:ptCount val="4"/>
                <c:pt idx="0">
                  <c:v>12.191717285328137</c:v>
                </c:pt>
                <c:pt idx="1">
                  <c:v>27.227829469572765</c:v>
                </c:pt>
                <c:pt idx="2">
                  <c:v>35.114588827230754</c:v>
                </c:pt>
                <c:pt idx="3">
                  <c:v>46.830219487455565</c:v>
                </c:pt>
              </c:numCache>
            </c:numRef>
          </c:yVal>
          <c:smooth val="1"/>
          <c:extLst>
            <c:ext xmlns:c16="http://schemas.microsoft.com/office/drawing/2014/chart" uri="{C3380CC4-5D6E-409C-BE32-E72D297353CC}">
              <c16:uniqueId val="{00000009-D03F-4FC1-B2E3-B516A9592BC3}"/>
            </c:ext>
          </c:extLst>
        </c:ser>
        <c:ser>
          <c:idx val="2"/>
          <c:order val="2"/>
          <c:tx>
            <c:strRef>
              <c:f>'Analisis de torrefacciones'!$AL$86:$AM$86</c:f>
              <c:strCache>
                <c:ptCount val="1"/>
                <c:pt idx="0">
                  <c:v>Palmarosa</c:v>
                </c:pt>
              </c:strCache>
            </c:strRef>
          </c:tx>
          <c:spPr>
            <a:ln w="19050" cap="rnd">
              <a:solidFill>
                <a:schemeClr val="accent3">
                  <a:alpha val="60000"/>
                </a:schemeClr>
              </a:solidFill>
              <a:round/>
            </a:ln>
            <a:effectLst/>
          </c:spPr>
          <c:marker>
            <c:symbol val="circle"/>
            <c:size val="6"/>
            <c:spPr>
              <a:solidFill>
                <a:schemeClr val="lt1"/>
              </a:solidFill>
              <a:ln w="38100">
                <a:solidFill>
                  <a:schemeClr val="accent3">
                    <a:alpha val="60000"/>
                  </a:schemeClr>
                </a:solidFill>
              </a:ln>
              <a:effectLst/>
            </c:spPr>
          </c:marker>
          <c:dLbls>
            <c:dLbl>
              <c:idx val="0"/>
              <c:layout>
                <c:manualLayout>
                  <c:x val="6.73464336694755E-2"/>
                  <c:y val="-1.39181981927283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03F-4FC1-B2E3-B516A9592BC3}"/>
                </c:ext>
              </c:extLst>
            </c:dLbl>
            <c:dLbl>
              <c:idx val="1"/>
              <c:layout>
                <c:manualLayout>
                  <c:x val="7.8142699267854682E-3"/>
                  <c:y val="6.98515971317585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03F-4FC1-B2E3-B516A9592BC3}"/>
                </c:ext>
              </c:extLst>
            </c:dLbl>
            <c:dLbl>
              <c:idx val="2"/>
              <c:layout>
                <c:manualLayout>
                  <c:x val="1.325286641801343E-2"/>
                  <c:y val="5.11144708478624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03F-4FC1-B2E3-B516A9592BC3}"/>
                </c:ext>
              </c:extLst>
            </c:dLbl>
            <c:dLbl>
              <c:idx val="3"/>
              <c:layout>
                <c:manualLayout>
                  <c:x val="-6.4132707095823555E-2"/>
                  <c:y val="9.4338554981502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03F-4FC1-B2E3-B516A9592BC3}"/>
                </c:ext>
              </c:extLst>
            </c:dLbl>
            <c:spPr>
              <a:noFill/>
              <a:ln>
                <a:solidFill>
                  <a:schemeClr val="bg1">
                    <a:lumMod val="75000"/>
                  </a:schemeClr>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xVal>
            <c:numRef>
              <c:f>'Analisis de torrefacciones'!$AF$88:$AF$91</c:f>
              <c:numCache>
                <c:formatCode>General</c:formatCode>
                <c:ptCount val="4"/>
                <c:pt idx="0">
                  <c:v>200</c:v>
                </c:pt>
                <c:pt idx="1">
                  <c:v>250</c:v>
                </c:pt>
                <c:pt idx="2">
                  <c:v>275</c:v>
                </c:pt>
                <c:pt idx="3">
                  <c:v>300</c:v>
                </c:pt>
              </c:numCache>
            </c:numRef>
          </c:xVal>
          <c:yVal>
            <c:numRef>
              <c:f>'Analisis de torrefacciones'!$AL$88:$AL$91</c:f>
              <c:numCache>
                <c:formatCode>General</c:formatCode>
                <c:ptCount val="4"/>
                <c:pt idx="0">
                  <c:v>10.555963789093047</c:v>
                </c:pt>
                <c:pt idx="1">
                  <c:v>21.748967099086034</c:v>
                </c:pt>
                <c:pt idx="2">
                  <c:v>33.731382136837269</c:v>
                </c:pt>
                <c:pt idx="3">
                  <c:v>45.384170733127881</c:v>
                </c:pt>
              </c:numCache>
            </c:numRef>
          </c:yVal>
          <c:smooth val="1"/>
          <c:extLst>
            <c:ext xmlns:c16="http://schemas.microsoft.com/office/drawing/2014/chart" uri="{C3380CC4-5D6E-409C-BE32-E72D297353CC}">
              <c16:uniqueId val="{0000000E-D03F-4FC1-B2E3-B516A9592BC3}"/>
            </c:ext>
          </c:extLst>
        </c:ser>
        <c:dLbls>
          <c:dLblPos val="t"/>
          <c:showLegendKey val="0"/>
          <c:showVal val="1"/>
          <c:showCatName val="0"/>
          <c:showSerName val="0"/>
          <c:showPercent val="0"/>
          <c:showBubbleSize val="0"/>
        </c:dLbls>
        <c:axId val="1955835167"/>
        <c:axId val="1955835999"/>
      </c:scatterChart>
      <c:valAx>
        <c:axId val="1955835167"/>
        <c:scaling>
          <c:orientation val="minMax"/>
          <c:max val="300"/>
          <c:min val="2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r>
                  <a:rPr lang="en-US" sz="1400"/>
                  <a:t>temperatura</a:t>
                </a:r>
              </a:p>
            </c:rich>
          </c:tx>
          <c:layout>
            <c:manualLayout>
              <c:xMode val="edge"/>
              <c:yMode val="edge"/>
              <c:x val="0.70559708544022681"/>
              <c:y val="0.86989491848725298"/>
            </c:manualLayout>
          </c:layout>
          <c:overlay val="0"/>
          <c:spPr>
            <a:noFill/>
            <a:ln>
              <a:noFill/>
            </a:ln>
            <a:effectLst/>
          </c:spPr>
          <c:txPr>
            <a:bodyPr rot="0" spcFirstLastPara="1" vertOverflow="ellipsis" vert="horz" wrap="square" anchor="ctr" anchorCtr="1"/>
            <a:lstStyle/>
            <a:p>
              <a:pPr>
                <a:defRPr sz="1400" b="0"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solidFill>
              <a:schemeClr val="tx1">
                <a:lumMod val="25000"/>
                <a:lumOff val="75000"/>
              </a:schemeClr>
            </a:solidFill>
          </a:ln>
          <a:effectLst/>
        </c:spPr>
        <c:txPr>
          <a:bodyPr rot="-60000000" spcFirstLastPara="1" vertOverflow="ellipsis" vert="horz" wrap="square" anchor="ctr"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999"/>
        <c:crosses val="autoZero"/>
        <c:crossBetween val="midCat"/>
        <c:majorUnit val="25"/>
        <c:minorUnit val="10"/>
      </c:valAx>
      <c:valAx>
        <c:axId val="1955835999"/>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r>
                  <a:rPr lang="en-US" sz="1400" b="0" i="0" u="none" strike="noStrike" kern="1200" cap="all" baseline="0">
                    <a:solidFill>
                      <a:sysClr val="windowText" lastClr="000000">
                        <a:lumMod val="65000"/>
                        <a:lumOff val="35000"/>
                      </a:sysClr>
                    </a:solidFill>
                    <a:latin typeface="+mn-lt"/>
                    <a:ea typeface="+mn-ea"/>
                    <a:cs typeface="+mn-cs"/>
                  </a:rPr>
                  <a:t>% masa perdida</a:t>
                </a:r>
              </a:p>
            </c:rich>
          </c:tx>
          <c:layout>
            <c:manualLayout>
              <c:xMode val="edge"/>
              <c:yMode val="edge"/>
              <c:x val="0.70126015899928251"/>
              <c:y val="3.1214946755340242E-2"/>
            </c:manualLayout>
          </c:layout>
          <c:overlay val="0"/>
          <c:spPr>
            <a:noFill/>
            <a:ln>
              <a:noFill/>
            </a:ln>
            <a:effectLst/>
          </c:spPr>
          <c:txPr>
            <a:bodyPr rot="0" spcFirstLastPara="1" vertOverflow="ellipsis" wrap="square" anchor="ctr" anchorCtr="1"/>
            <a:lstStyle/>
            <a:p>
              <a:pPr>
                <a:defRPr lang="en-US" sz="1400" b="0" i="0" u="none" strike="noStrike" kern="1200" cap="all" baseline="0">
                  <a:solidFill>
                    <a:sysClr val="windowText" lastClr="000000">
                      <a:lumMod val="65000"/>
                      <a:lumOff val="35000"/>
                    </a:sysClr>
                  </a:solidFill>
                  <a:latin typeface="+mn-lt"/>
                  <a:ea typeface="+mn-ea"/>
                  <a:cs typeface="+mn-cs"/>
                </a:defRPr>
              </a:pPr>
              <a:endParaRPr lang="es-CO"/>
            </a:p>
          </c:txPr>
        </c:title>
        <c:numFmt formatCode="General" sourceLinked="1"/>
        <c:majorTickMark val="none"/>
        <c:minorTickMark val="none"/>
        <c:tickLblPos val="high"/>
        <c:spPr>
          <a:noFill/>
          <a:ln w="12700">
            <a:solidFill>
              <a:schemeClr val="tx1">
                <a:lumMod val="25000"/>
                <a:lumOff val="75000"/>
              </a:schemeClr>
            </a:solidFill>
          </a:ln>
          <a:effectLst/>
        </c:spPr>
        <c:txPr>
          <a:bodyPr rot="-60000000" spcFirstLastPara="1" vertOverflow="ellipsis" vert="horz" wrap="square" anchor="t" anchorCtr="0"/>
          <a:lstStyle/>
          <a:p>
            <a:pPr>
              <a:defRPr sz="900" b="0" i="0" u="none" strike="noStrike" kern="1200" spc="20" baseline="0">
                <a:solidFill>
                  <a:schemeClr val="tx1">
                    <a:lumMod val="65000"/>
                    <a:lumOff val="35000"/>
                  </a:schemeClr>
                </a:solidFill>
                <a:latin typeface="+mn-lt"/>
                <a:ea typeface="+mn-ea"/>
                <a:cs typeface="+mn-cs"/>
              </a:defRPr>
            </a:pPr>
            <a:endParaRPr lang="es-CO"/>
          </a:p>
        </c:txPr>
        <c:crossAx val="1955835167"/>
        <c:crosses val="autoZero"/>
        <c:crossBetween val="midCat"/>
        <c:majorUnit val="5"/>
        <c:minorUnit val="0.5"/>
      </c:valAx>
      <c:spPr>
        <a:noFill/>
        <a:ln>
          <a:noFill/>
        </a:ln>
        <a:effectLst/>
      </c:spPr>
    </c:plotArea>
    <c:legend>
      <c:legendPos val="b"/>
      <c:layout>
        <c:manualLayout>
          <c:xMode val="edge"/>
          <c:yMode val="edge"/>
          <c:x val="6.7483408213468196E-2"/>
          <c:y val="8.6143990454500025E-2"/>
          <c:w val="0.37755329925864528"/>
          <c:h val="0.1034705054222532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Humedad de biomasas</a:t>
            </a:r>
            <a:r>
              <a:rPr lang="en-US" baseline="0"/>
              <a:t> tratadas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v>Citronela</c:v>
          </c:tx>
          <c:spPr>
            <a:solidFill>
              <a:schemeClr val="accent1"/>
            </a:solidFill>
            <a:ln>
              <a:noFill/>
            </a:ln>
            <a:effectLst/>
          </c:spPr>
          <c:invertIfNegative val="0"/>
          <c:cat>
            <c:numRef>
              <c:f>'Pruebas de poder calorifico'!$M$86:$T$86</c:f>
              <c:numCache>
                <c:formatCode>General</c:formatCode>
                <c:ptCount val="8"/>
                <c:pt idx="0">
                  <c:v>1</c:v>
                </c:pt>
                <c:pt idx="1">
                  <c:v>2</c:v>
                </c:pt>
                <c:pt idx="2">
                  <c:v>3</c:v>
                </c:pt>
                <c:pt idx="3">
                  <c:v>4</c:v>
                </c:pt>
                <c:pt idx="4">
                  <c:v>7</c:v>
                </c:pt>
                <c:pt idx="5">
                  <c:v>8</c:v>
                </c:pt>
                <c:pt idx="6">
                  <c:v>5</c:v>
                </c:pt>
                <c:pt idx="7">
                  <c:v>6</c:v>
                </c:pt>
              </c:numCache>
            </c:numRef>
          </c:cat>
          <c:val>
            <c:numRef>
              <c:f>'Pruebas de poder calorifico'!$M$87:$T$87</c:f>
              <c:numCache>
                <c:formatCode>General</c:formatCode>
                <c:ptCount val="8"/>
                <c:pt idx="0">
                  <c:v>2.3824148684371949</c:v>
                </c:pt>
                <c:pt idx="1">
                  <c:v>2.2019243389062888</c:v>
                </c:pt>
                <c:pt idx="2">
                  <c:v>2.1472653977451919</c:v>
                </c:pt>
                <c:pt idx="3">
                  <c:v>2.1979944340526347</c:v>
                </c:pt>
                <c:pt idx="4">
                  <c:v>2.6501709082776341</c:v>
                </c:pt>
                <c:pt idx="5">
                  <c:v>2.8883758175282144</c:v>
                </c:pt>
                <c:pt idx="6">
                  <c:v>3.6089138242347261</c:v>
                </c:pt>
                <c:pt idx="7">
                  <c:v>4.0891344163296841</c:v>
                </c:pt>
              </c:numCache>
            </c:numRef>
          </c:val>
          <c:extLst>
            <c:ext xmlns:c16="http://schemas.microsoft.com/office/drawing/2014/chart" uri="{C3380CC4-5D6E-409C-BE32-E72D297353CC}">
              <c16:uniqueId val="{00000008-5ABD-4644-9D41-91025E7A1358}"/>
            </c:ext>
          </c:extLst>
        </c:ser>
        <c:ser>
          <c:idx val="1"/>
          <c:order val="1"/>
          <c:tx>
            <c:v>Patchouli</c:v>
          </c:tx>
          <c:spPr>
            <a:solidFill>
              <a:schemeClr val="accent2"/>
            </a:solidFill>
            <a:ln>
              <a:noFill/>
            </a:ln>
            <a:effectLst/>
          </c:spPr>
          <c:invertIfNegative val="0"/>
          <c:val>
            <c:numRef>
              <c:f>'Pruebas de poder calorifico'!$M$88:$T$88</c:f>
              <c:numCache>
                <c:formatCode>General</c:formatCode>
                <c:ptCount val="8"/>
                <c:pt idx="0">
                  <c:v>5.5957198009424225</c:v>
                </c:pt>
                <c:pt idx="1">
                  <c:v>5.0413295529085778</c:v>
                </c:pt>
                <c:pt idx="2">
                  <c:v>3.2268701070068033</c:v>
                </c:pt>
                <c:pt idx="3">
                  <c:v>2.9906121695392378</c:v>
                </c:pt>
                <c:pt idx="4">
                  <c:v>2.6124350309507949</c:v>
                </c:pt>
                <c:pt idx="5">
                  <c:v>3.3210140953198142</c:v>
                </c:pt>
                <c:pt idx="6">
                  <c:v>3.9067575028621109</c:v>
                </c:pt>
                <c:pt idx="7">
                  <c:v>4.0641782138831495</c:v>
                </c:pt>
              </c:numCache>
            </c:numRef>
          </c:val>
          <c:extLst>
            <c:ext xmlns:c16="http://schemas.microsoft.com/office/drawing/2014/chart" uri="{C3380CC4-5D6E-409C-BE32-E72D297353CC}">
              <c16:uniqueId val="{00000013-5ABD-4644-9D41-91025E7A1358}"/>
            </c:ext>
          </c:extLst>
        </c:ser>
        <c:ser>
          <c:idx val="2"/>
          <c:order val="2"/>
          <c:tx>
            <c:v>Palma rosa</c:v>
          </c:tx>
          <c:spPr>
            <a:solidFill>
              <a:srgbClr val="FFC000"/>
            </a:solidFill>
            <a:ln>
              <a:noFill/>
            </a:ln>
            <a:effectLst/>
          </c:spPr>
          <c:invertIfNegative val="0"/>
          <c:val>
            <c:numRef>
              <c:f>'Pruebas de poder calorifico'!$M$89:$T$89</c:f>
              <c:numCache>
                <c:formatCode>General</c:formatCode>
                <c:ptCount val="8"/>
                <c:pt idx="0">
                  <c:v>4.2276647398895673</c:v>
                </c:pt>
                <c:pt idx="1">
                  <c:v>3.8355397668961011</c:v>
                </c:pt>
                <c:pt idx="2">
                  <c:v>3.6645387389891808</c:v>
                </c:pt>
                <c:pt idx="3">
                  <c:v>3.095202123470381</c:v>
                </c:pt>
                <c:pt idx="4">
                  <c:v>2.4948380281884734</c:v>
                </c:pt>
                <c:pt idx="5">
                  <c:v>2.705312070736019</c:v>
                </c:pt>
                <c:pt idx="6">
                  <c:v>2.5503476384559178</c:v>
                </c:pt>
                <c:pt idx="7">
                  <c:v>2.302</c:v>
                </c:pt>
              </c:numCache>
            </c:numRef>
          </c:val>
          <c:extLst>
            <c:ext xmlns:c16="http://schemas.microsoft.com/office/drawing/2014/chart" uri="{C3380CC4-5D6E-409C-BE32-E72D297353CC}">
              <c16:uniqueId val="{00000014-5ABD-4644-9D41-91025E7A1358}"/>
            </c:ext>
          </c:extLst>
        </c:ser>
        <c:dLbls>
          <c:showLegendKey val="0"/>
          <c:showVal val="0"/>
          <c:showCatName val="0"/>
          <c:showSerName val="0"/>
          <c:showPercent val="0"/>
          <c:showBubbleSize val="0"/>
        </c:dLbls>
        <c:gapWidth val="150"/>
        <c:axId val="1456179103"/>
        <c:axId val="1456193663"/>
      </c:barChart>
      <c:catAx>
        <c:axId val="1456179103"/>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6193663"/>
        <c:crosses val="autoZero"/>
        <c:auto val="1"/>
        <c:lblAlgn val="ctr"/>
        <c:lblOffset val="100"/>
        <c:noMultiLvlLbl val="0"/>
      </c:catAx>
      <c:valAx>
        <c:axId val="1456193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61791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Citronela</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190C-4D85-AE0A-55E8DE5DE1A2}"/>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190C-4D85-AE0A-55E8DE5DE1A2}"/>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190C-4D85-AE0A-55E8DE5DE1A2}"/>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190C-4D85-AE0A-55E8DE5DE1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elemental'!$B$3:$E$3</c:f>
              <c:strCache>
                <c:ptCount val="4"/>
                <c:pt idx="0">
                  <c:v>Humedad%</c:v>
                </c:pt>
                <c:pt idx="1">
                  <c:v>Volátiles%</c:v>
                </c:pt>
                <c:pt idx="2">
                  <c:v>Cenizas%</c:v>
                </c:pt>
                <c:pt idx="3">
                  <c:v>Carbón Fijo%</c:v>
                </c:pt>
              </c:strCache>
            </c:strRef>
          </c:cat>
          <c:val>
            <c:numRef>
              <c:f>'Analisis elemental'!$B$4:$E$4</c:f>
              <c:numCache>
                <c:formatCode>General</c:formatCode>
                <c:ptCount val="4"/>
                <c:pt idx="0">
                  <c:v>8.48</c:v>
                </c:pt>
                <c:pt idx="1">
                  <c:v>74.150000000000006</c:v>
                </c:pt>
                <c:pt idx="2">
                  <c:v>5.6550000000000002</c:v>
                </c:pt>
                <c:pt idx="3">
                  <c:v>20.2</c:v>
                </c:pt>
              </c:numCache>
            </c:numRef>
          </c:val>
          <c:extLst>
            <c:ext xmlns:c16="http://schemas.microsoft.com/office/drawing/2014/chart" uri="{C3380CC4-5D6E-409C-BE32-E72D297353CC}">
              <c16:uniqueId val="{00000000-0647-4459-898B-C6B2CFB482E5}"/>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Patchouli</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4381-48D4-90D7-D93AB7C81740}"/>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4381-48D4-90D7-D93AB7C81740}"/>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4381-48D4-90D7-D93AB7C81740}"/>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4381-48D4-90D7-D93AB7C817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elemental'!$J$10:$M$10</c:f>
              <c:strCache>
                <c:ptCount val="4"/>
                <c:pt idx="0">
                  <c:v>Humedad%</c:v>
                </c:pt>
                <c:pt idx="1">
                  <c:v>Volátiles%</c:v>
                </c:pt>
                <c:pt idx="2">
                  <c:v>Cenizas%</c:v>
                </c:pt>
                <c:pt idx="3">
                  <c:v>Carbón Fijo%</c:v>
                </c:pt>
              </c:strCache>
            </c:strRef>
          </c:cat>
          <c:val>
            <c:numRef>
              <c:f>'Analisis elemental'!$J$11:$M$11</c:f>
              <c:numCache>
                <c:formatCode>General</c:formatCode>
                <c:ptCount val="4"/>
                <c:pt idx="0">
                  <c:v>9.2680000000000007</c:v>
                </c:pt>
                <c:pt idx="1">
                  <c:v>70.91</c:v>
                </c:pt>
                <c:pt idx="2">
                  <c:v>10.41</c:v>
                </c:pt>
                <c:pt idx="3">
                  <c:v>18.68</c:v>
                </c:pt>
              </c:numCache>
            </c:numRef>
          </c:val>
          <c:extLst>
            <c:ext xmlns:c16="http://schemas.microsoft.com/office/drawing/2014/chart" uri="{C3380CC4-5D6E-409C-BE32-E72D297353CC}">
              <c16:uniqueId val="{00000000-DDEC-4924-B9C6-22DD1FB011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Palma rosa</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pattFill prst="ltUpDiag">
                <a:fgClr>
                  <a:schemeClr val="accent1"/>
                </a:fgClr>
                <a:bgClr>
                  <a:schemeClr val="accent1">
                    <a:lumMod val="20000"/>
                    <a:lumOff val="80000"/>
                  </a:schemeClr>
                </a:bgClr>
              </a:pattFill>
              <a:ln w="19050">
                <a:solidFill>
                  <a:schemeClr val="lt1"/>
                </a:solidFill>
              </a:ln>
              <a:effectLst>
                <a:innerShdw blurRad="114300">
                  <a:schemeClr val="accent1"/>
                </a:innerShdw>
              </a:effectLst>
            </c:spPr>
            <c:extLst>
              <c:ext xmlns:c16="http://schemas.microsoft.com/office/drawing/2014/chart" uri="{C3380CC4-5D6E-409C-BE32-E72D297353CC}">
                <c16:uniqueId val="{00000001-1501-4C26-B826-0B5D7D3A415C}"/>
              </c:ext>
            </c:extLst>
          </c:dPt>
          <c:dPt>
            <c:idx val="1"/>
            <c:bubble3D val="0"/>
            <c:spPr>
              <a:pattFill prst="ltUpDiag">
                <a:fgClr>
                  <a:schemeClr val="accent2"/>
                </a:fgClr>
                <a:bgClr>
                  <a:schemeClr val="accent2">
                    <a:lumMod val="20000"/>
                    <a:lumOff val="80000"/>
                  </a:schemeClr>
                </a:bgClr>
              </a:pattFill>
              <a:ln w="19050">
                <a:solidFill>
                  <a:schemeClr val="lt1"/>
                </a:solidFill>
              </a:ln>
              <a:effectLst>
                <a:innerShdw blurRad="114300">
                  <a:schemeClr val="accent2"/>
                </a:innerShdw>
              </a:effectLst>
            </c:spPr>
            <c:extLst>
              <c:ext xmlns:c16="http://schemas.microsoft.com/office/drawing/2014/chart" uri="{C3380CC4-5D6E-409C-BE32-E72D297353CC}">
                <c16:uniqueId val="{00000003-1501-4C26-B826-0B5D7D3A415C}"/>
              </c:ext>
            </c:extLst>
          </c:dPt>
          <c:dPt>
            <c:idx val="2"/>
            <c:bubble3D val="0"/>
            <c:spPr>
              <a:pattFill prst="ltUpDiag">
                <a:fgClr>
                  <a:schemeClr val="accent3"/>
                </a:fgClr>
                <a:bgClr>
                  <a:schemeClr val="accent3">
                    <a:lumMod val="20000"/>
                    <a:lumOff val="80000"/>
                  </a:schemeClr>
                </a:bgClr>
              </a:pattFill>
              <a:ln w="19050">
                <a:solidFill>
                  <a:schemeClr val="lt1"/>
                </a:solidFill>
              </a:ln>
              <a:effectLst>
                <a:innerShdw blurRad="114300">
                  <a:schemeClr val="accent3"/>
                </a:innerShdw>
              </a:effectLst>
            </c:spPr>
            <c:extLst>
              <c:ext xmlns:c16="http://schemas.microsoft.com/office/drawing/2014/chart" uri="{C3380CC4-5D6E-409C-BE32-E72D297353CC}">
                <c16:uniqueId val="{00000005-1501-4C26-B826-0B5D7D3A415C}"/>
              </c:ext>
            </c:extLst>
          </c:dPt>
          <c:dPt>
            <c:idx val="3"/>
            <c:bubble3D val="0"/>
            <c:spPr>
              <a:pattFill prst="ltUpDiag">
                <a:fgClr>
                  <a:schemeClr val="accent4"/>
                </a:fgClr>
                <a:bgClr>
                  <a:schemeClr val="accent4">
                    <a:lumMod val="20000"/>
                    <a:lumOff val="80000"/>
                  </a:schemeClr>
                </a:bgClr>
              </a:pattFill>
              <a:ln w="19050">
                <a:solidFill>
                  <a:schemeClr val="lt1"/>
                </a:solidFill>
              </a:ln>
              <a:effectLst>
                <a:innerShdw blurRad="114300">
                  <a:schemeClr val="accent4"/>
                </a:innerShdw>
              </a:effectLst>
            </c:spPr>
            <c:extLst>
              <c:ext xmlns:c16="http://schemas.microsoft.com/office/drawing/2014/chart" uri="{C3380CC4-5D6E-409C-BE32-E72D297353CC}">
                <c16:uniqueId val="{00000007-1501-4C26-B826-0B5D7D3A415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'Analisis elemental'!$P$10:$S$10</c:f>
              <c:strCache>
                <c:ptCount val="4"/>
                <c:pt idx="0">
                  <c:v>Humedad%</c:v>
                </c:pt>
                <c:pt idx="1">
                  <c:v>Volátiles%</c:v>
                </c:pt>
                <c:pt idx="2">
                  <c:v>Cenizas%</c:v>
                </c:pt>
                <c:pt idx="3">
                  <c:v>Carbón Fijo%</c:v>
                </c:pt>
              </c:strCache>
            </c:strRef>
          </c:cat>
          <c:val>
            <c:numRef>
              <c:f>'Analisis elemental'!$P$11:$S$11</c:f>
              <c:numCache>
                <c:formatCode>General</c:formatCode>
                <c:ptCount val="4"/>
                <c:pt idx="0">
                  <c:v>9.0429999999999993</c:v>
                </c:pt>
                <c:pt idx="1">
                  <c:v>72.52</c:v>
                </c:pt>
                <c:pt idx="2">
                  <c:v>9.2870000000000008</c:v>
                </c:pt>
                <c:pt idx="3">
                  <c:v>18.190000000000001</c:v>
                </c:pt>
              </c:numCache>
            </c:numRef>
          </c:val>
          <c:extLst>
            <c:ext xmlns:c16="http://schemas.microsoft.com/office/drawing/2014/chart" uri="{C3380CC4-5D6E-409C-BE32-E72D297353CC}">
              <c16:uniqueId val="{00000000-7C18-457A-82FA-48C4941ADFE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a:solidFill>
          <a:schemeClr val="tx1">
            <a:lumMod val="15000"/>
            <a:lumOff val="85000"/>
          </a:schemeClr>
        </a:solidFill>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19050" cap="rnd">
        <a:solidFill>
          <a:schemeClr val="phClr">
            <a:alpha val="60000"/>
          </a:schemeClr>
        </a:solidFill>
        <a:round/>
      </a:ln>
    </cs:spPr>
  </cs:dataPointLine>
  <cs:dataPointMarker>
    <cs:lnRef idx="0">
      <cs:styleClr val="auto"/>
    </cs:lnRef>
    <cs:fillRef idx="0">
      <cs:styleClr val="auto"/>
    </cs:fillRef>
    <cs:effectRef idx="0"/>
    <cs:fontRef idx="minor">
      <a:schemeClr val="dk1"/>
    </cs:fontRef>
    <cs:spPr>
      <a:solidFill>
        <a:schemeClr val="lt1"/>
      </a:solidFill>
      <a:ln w="38100">
        <a:solidFill>
          <a:schemeClr val="phClr">
            <a:alpha val="60000"/>
          </a:schemeClr>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a:solidFill>
          <a:schemeClr val="tx1">
            <a:lumMod val="15000"/>
            <a:lumOff val="85000"/>
          </a:schemeClr>
        </a:solidFill>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a:solidFill>
          <a:schemeClr val="tx1">
            <a:lumMod val="25000"/>
            <a:lumOff val="75000"/>
          </a:schemeClr>
        </a:solidFill>
      </a:ln>
    </cs:spPr>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a:solidFill>
          <a:schemeClr val="tx1">
            <a:lumMod val="15000"/>
            <a:lumOff val="85000"/>
          </a:schemeClr>
        </a:solidFill>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19050" cap="rnd">
        <a:solidFill>
          <a:schemeClr val="phClr">
            <a:alpha val="60000"/>
          </a:schemeClr>
        </a:solidFill>
        <a:round/>
      </a:ln>
    </cs:spPr>
  </cs:dataPointLine>
  <cs:dataPointMarker>
    <cs:lnRef idx="0">
      <cs:styleClr val="auto"/>
    </cs:lnRef>
    <cs:fillRef idx="0">
      <cs:styleClr val="auto"/>
    </cs:fillRef>
    <cs:effectRef idx="0"/>
    <cs:fontRef idx="minor">
      <a:schemeClr val="dk1"/>
    </cs:fontRef>
    <cs:spPr>
      <a:solidFill>
        <a:schemeClr val="lt1"/>
      </a:solidFill>
      <a:ln w="38100">
        <a:solidFill>
          <a:schemeClr val="phClr">
            <a:alpha val="60000"/>
          </a:schemeClr>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a:solidFill>
          <a:schemeClr val="tx1">
            <a:lumMod val="15000"/>
            <a:lumOff val="85000"/>
          </a:schemeClr>
        </a:solidFill>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a:solidFill>
          <a:schemeClr val="tx1">
            <a:lumMod val="25000"/>
            <a:lumOff val="75000"/>
          </a:schemeClr>
        </a:solidFill>
      </a:ln>
    </cs:spPr>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a:solidFill>
          <a:schemeClr val="tx1">
            <a:lumMod val="15000"/>
            <a:lumOff val="85000"/>
          </a:schemeClr>
        </a:solidFill>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19050" cap="rnd">
        <a:solidFill>
          <a:schemeClr val="phClr">
            <a:alpha val="60000"/>
          </a:schemeClr>
        </a:solidFill>
        <a:round/>
      </a:ln>
    </cs:spPr>
  </cs:dataPointLine>
  <cs:dataPointMarker>
    <cs:lnRef idx="0">
      <cs:styleClr val="auto"/>
    </cs:lnRef>
    <cs:fillRef idx="0">
      <cs:styleClr val="auto"/>
    </cs:fillRef>
    <cs:effectRef idx="0"/>
    <cs:fontRef idx="minor">
      <a:schemeClr val="dk1"/>
    </cs:fontRef>
    <cs:spPr>
      <a:solidFill>
        <a:schemeClr val="lt1"/>
      </a:solidFill>
      <a:ln w="38100">
        <a:solidFill>
          <a:schemeClr val="phClr">
            <a:alpha val="60000"/>
          </a:schemeClr>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a:solidFill>
          <a:schemeClr val="tx1">
            <a:lumMod val="15000"/>
            <a:lumOff val="85000"/>
          </a:schemeClr>
        </a:solidFill>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a:solidFill>
          <a:schemeClr val="tx1">
            <a:lumMod val="25000"/>
            <a:lumOff val="75000"/>
          </a:schemeClr>
        </a:solidFill>
      </a:ln>
    </cs:spPr>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a:solidFill>
          <a:schemeClr val="tx1">
            <a:lumMod val="15000"/>
            <a:lumOff val="85000"/>
          </a:schemeClr>
        </a:solidFill>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19050" cap="rnd">
        <a:solidFill>
          <a:schemeClr val="phClr">
            <a:alpha val="60000"/>
          </a:schemeClr>
        </a:solidFill>
        <a:round/>
      </a:ln>
    </cs:spPr>
  </cs:dataPointLine>
  <cs:dataPointMarker>
    <cs:lnRef idx="0">
      <cs:styleClr val="auto"/>
    </cs:lnRef>
    <cs:fillRef idx="0">
      <cs:styleClr val="auto"/>
    </cs:fillRef>
    <cs:effectRef idx="0"/>
    <cs:fontRef idx="minor">
      <a:schemeClr val="dk1"/>
    </cs:fontRef>
    <cs:spPr>
      <a:solidFill>
        <a:schemeClr val="lt1"/>
      </a:solidFill>
      <a:ln w="38100">
        <a:solidFill>
          <a:schemeClr val="phClr">
            <a:alpha val="60000"/>
          </a:schemeClr>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a:solidFill>
          <a:schemeClr val="tx1">
            <a:lumMod val="15000"/>
            <a:lumOff val="85000"/>
          </a:schemeClr>
        </a:solidFill>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a:solidFill>
          <a:schemeClr val="tx1">
            <a:lumMod val="25000"/>
            <a:lumOff val="75000"/>
          </a:schemeClr>
        </a:solidFill>
      </a:ln>
    </cs:spPr>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4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a:solidFill>
          <a:schemeClr val="tx1">
            <a:lumMod val="15000"/>
            <a:lumOff val="85000"/>
          </a:schemeClr>
        </a:solidFill>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19050" cap="rnd">
        <a:solidFill>
          <a:schemeClr val="phClr">
            <a:alpha val="60000"/>
          </a:schemeClr>
        </a:solidFill>
        <a:round/>
      </a:ln>
    </cs:spPr>
  </cs:dataPointLine>
  <cs:dataPointMarker>
    <cs:lnRef idx="0">
      <cs:styleClr val="auto"/>
    </cs:lnRef>
    <cs:fillRef idx="0">
      <cs:styleClr val="auto"/>
    </cs:fillRef>
    <cs:effectRef idx="0"/>
    <cs:fontRef idx="minor">
      <a:schemeClr val="dk1"/>
    </cs:fontRef>
    <cs:spPr>
      <a:solidFill>
        <a:schemeClr val="lt1"/>
      </a:solidFill>
      <a:ln w="38100">
        <a:solidFill>
          <a:schemeClr val="phClr">
            <a:alpha val="60000"/>
          </a:schemeClr>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15000"/>
            <a:lumOff val="8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a:solidFill>
          <a:schemeClr val="tx1">
            <a:lumMod val="15000"/>
            <a:lumOff val="85000"/>
          </a:schemeClr>
        </a:solidFill>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a:solidFill>
          <a:schemeClr val="tx1">
            <a:lumMod val="25000"/>
            <a:lumOff val="75000"/>
          </a:schemeClr>
        </a:solidFill>
      </a:ln>
    </cs:spPr>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18</xdr:col>
      <xdr:colOff>223728</xdr:colOff>
      <xdr:row>9</xdr:row>
      <xdr:rowOff>224118</xdr:rowOff>
    </xdr:from>
    <xdr:to>
      <xdr:col>30</xdr:col>
      <xdr:colOff>401392</xdr:colOff>
      <xdr:row>38</xdr:row>
      <xdr:rowOff>53788</xdr:rowOff>
    </xdr:to>
    <xdr:graphicFrame macro="">
      <xdr:nvGraphicFramePr>
        <xdr:cNvPr id="6" name="Chart 5">
          <a:extLst>
            <a:ext uri="{FF2B5EF4-FFF2-40B4-BE49-F238E27FC236}">
              <a16:creationId xmlns:a16="http://schemas.microsoft.com/office/drawing/2014/main" id="{C8053978-41E3-4DFC-9AD2-CE5FB530BB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13855</xdr:colOff>
      <xdr:row>51</xdr:row>
      <xdr:rowOff>41563</xdr:rowOff>
    </xdr:from>
    <xdr:to>
      <xdr:col>30</xdr:col>
      <xdr:colOff>191519</xdr:colOff>
      <xdr:row>80</xdr:row>
      <xdr:rowOff>106760</xdr:rowOff>
    </xdr:to>
    <xdr:graphicFrame macro="">
      <xdr:nvGraphicFramePr>
        <xdr:cNvPr id="3" name="Chart 2">
          <a:extLst>
            <a:ext uri="{FF2B5EF4-FFF2-40B4-BE49-F238E27FC236}">
              <a16:creationId xmlns:a16="http://schemas.microsoft.com/office/drawing/2014/main" id="{7E89AF37-5A2A-4D26-9071-D2E6D87271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365760</xdr:colOff>
      <xdr:row>92</xdr:row>
      <xdr:rowOff>7620</xdr:rowOff>
    </xdr:from>
    <xdr:to>
      <xdr:col>29</xdr:col>
      <xdr:colOff>543424</xdr:colOff>
      <xdr:row>121</xdr:row>
      <xdr:rowOff>126157</xdr:rowOff>
    </xdr:to>
    <xdr:graphicFrame macro="">
      <xdr:nvGraphicFramePr>
        <xdr:cNvPr id="4" name="Chart 3">
          <a:extLst>
            <a:ext uri="{FF2B5EF4-FFF2-40B4-BE49-F238E27FC236}">
              <a16:creationId xmlns:a16="http://schemas.microsoft.com/office/drawing/2014/main" id="{DD8BF8BD-C8DA-4B9C-96BB-5629D4A02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272143</xdr:colOff>
      <xdr:row>51</xdr:row>
      <xdr:rowOff>0</xdr:rowOff>
    </xdr:from>
    <xdr:to>
      <xdr:col>45</xdr:col>
      <xdr:colOff>424543</xdr:colOff>
      <xdr:row>81</xdr:row>
      <xdr:rowOff>35858</xdr:rowOff>
    </xdr:to>
    <xdr:graphicFrame macro="">
      <xdr:nvGraphicFramePr>
        <xdr:cNvPr id="5" name="Chart 4">
          <a:extLst>
            <a:ext uri="{FF2B5EF4-FFF2-40B4-BE49-F238E27FC236}">
              <a16:creationId xmlns:a16="http://schemas.microsoft.com/office/drawing/2014/main" id="{7B8DAA27-F99D-437C-8D41-600F7E219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342900</xdr:colOff>
      <xdr:row>93</xdr:row>
      <xdr:rowOff>0</xdr:rowOff>
    </xdr:from>
    <xdr:to>
      <xdr:col>45</xdr:col>
      <xdr:colOff>495300</xdr:colOff>
      <xdr:row>123</xdr:row>
      <xdr:rowOff>89198</xdr:rowOff>
    </xdr:to>
    <xdr:graphicFrame macro="">
      <xdr:nvGraphicFramePr>
        <xdr:cNvPr id="7" name="Chart 6">
          <a:extLst>
            <a:ext uri="{FF2B5EF4-FFF2-40B4-BE49-F238E27FC236}">
              <a16:creationId xmlns:a16="http://schemas.microsoft.com/office/drawing/2014/main" id="{B0AB8086-AC5F-4F20-AA8E-4C8944BEC4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206828</xdr:colOff>
      <xdr:row>61</xdr:row>
      <xdr:rowOff>130628</xdr:rowOff>
    </xdr:from>
    <xdr:to>
      <xdr:col>20</xdr:col>
      <xdr:colOff>21772</xdr:colOff>
      <xdr:row>82</xdr:row>
      <xdr:rowOff>174172</xdr:rowOff>
    </xdr:to>
    <xdr:graphicFrame macro="">
      <xdr:nvGraphicFramePr>
        <xdr:cNvPr id="2" name="Chart 1">
          <a:extLst>
            <a:ext uri="{FF2B5EF4-FFF2-40B4-BE49-F238E27FC236}">
              <a16:creationId xmlns:a16="http://schemas.microsoft.com/office/drawing/2014/main" id="{E5DE0DE2-5C87-8E31-D644-A1F50DD4E0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xdr:colOff>
      <xdr:row>13</xdr:row>
      <xdr:rowOff>19050</xdr:rowOff>
    </xdr:from>
    <xdr:to>
      <xdr:col>6</xdr:col>
      <xdr:colOff>632460</xdr:colOff>
      <xdr:row>27</xdr:row>
      <xdr:rowOff>11430</xdr:rowOff>
    </xdr:to>
    <xdr:graphicFrame macro="">
      <xdr:nvGraphicFramePr>
        <xdr:cNvPr id="2" name="Gráfico 1">
          <a:extLst>
            <a:ext uri="{FF2B5EF4-FFF2-40B4-BE49-F238E27FC236}">
              <a16:creationId xmlns:a16="http://schemas.microsoft.com/office/drawing/2014/main" id="{210BA397-0017-BEE7-295E-4E43EAA804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297180</xdr:colOff>
      <xdr:row>12</xdr:row>
      <xdr:rowOff>179070</xdr:rowOff>
    </xdr:from>
    <xdr:to>
      <xdr:col>12</xdr:col>
      <xdr:colOff>541020</xdr:colOff>
      <xdr:row>27</xdr:row>
      <xdr:rowOff>179070</xdr:rowOff>
    </xdr:to>
    <xdr:graphicFrame macro="">
      <xdr:nvGraphicFramePr>
        <xdr:cNvPr id="5" name="Gráfico 4">
          <a:extLst>
            <a:ext uri="{FF2B5EF4-FFF2-40B4-BE49-F238E27FC236}">
              <a16:creationId xmlns:a16="http://schemas.microsoft.com/office/drawing/2014/main" id="{90E02287-DC11-0490-A70A-FB8FE43C49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198120</xdr:colOff>
      <xdr:row>13</xdr:row>
      <xdr:rowOff>57150</xdr:rowOff>
    </xdr:from>
    <xdr:to>
      <xdr:col>18</xdr:col>
      <xdr:colOff>441960</xdr:colOff>
      <xdr:row>28</xdr:row>
      <xdr:rowOff>57150</xdr:rowOff>
    </xdr:to>
    <xdr:graphicFrame macro="">
      <xdr:nvGraphicFramePr>
        <xdr:cNvPr id="6" name="Gráfico 5">
          <a:extLst>
            <a:ext uri="{FF2B5EF4-FFF2-40B4-BE49-F238E27FC236}">
              <a16:creationId xmlns:a16="http://schemas.microsoft.com/office/drawing/2014/main" id="{135A47EE-1DD7-275E-692D-30DFE2E630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457200</xdr:colOff>
      <xdr:row>33</xdr:row>
      <xdr:rowOff>118110</xdr:rowOff>
    </xdr:from>
    <xdr:to>
      <xdr:col>6</xdr:col>
      <xdr:colOff>327660</xdr:colOff>
      <xdr:row>48</xdr:row>
      <xdr:rowOff>118110</xdr:rowOff>
    </xdr:to>
    <xdr:graphicFrame macro="">
      <xdr:nvGraphicFramePr>
        <xdr:cNvPr id="3" name="Gráfico 2">
          <a:extLst>
            <a:ext uri="{FF2B5EF4-FFF2-40B4-BE49-F238E27FC236}">
              <a16:creationId xmlns:a16="http://schemas.microsoft.com/office/drawing/2014/main" id="{D6CFCBAB-286F-E964-A2E2-FF7B90D734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373380</xdr:colOff>
      <xdr:row>33</xdr:row>
      <xdr:rowOff>110490</xdr:rowOff>
    </xdr:from>
    <xdr:to>
      <xdr:col>12</xdr:col>
      <xdr:colOff>617220</xdr:colOff>
      <xdr:row>48</xdr:row>
      <xdr:rowOff>110490</xdr:rowOff>
    </xdr:to>
    <xdr:graphicFrame macro="">
      <xdr:nvGraphicFramePr>
        <xdr:cNvPr id="4" name="Gráfico 3">
          <a:extLst>
            <a:ext uri="{FF2B5EF4-FFF2-40B4-BE49-F238E27FC236}">
              <a16:creationId xmlns:a16="http://schemas.microsoft.com/office/drawing/2014/main" id="{C33DE2C3-17FA-CE73-4EA5-BBC2382E7B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739140</xdr:colOff>
      <xdr:row>34</xdr:row>
      <xdr:rowOff>3810</xdr:rowOff>
    </xdr:from>
    <xdr:to>
      <xdr:col>18</xdr:col>
      <xdr:colOff>982980</xdr:colOff>
      <xdr:row>49</xdr:row>
      <xdr:rowOff>3810</xdr:rowOff>
    </xdr:to>
    <xdr:graphicFrame macro="">
      <xdr:nvGraphicFramePr>
        <xdr:cNvPr id="7" name="Gráfico 6">
          <a:extLst>
            <a:ext uri="{FF2B5EF4-FFF2-40B4-BE49-F238E27FC236}">
              <a16:creationId xmlns:a16="http://schemas.microsoft.com/office/drawing/2014/main" id="{B28182D2-0542-C248-4C9A-2571EB5C8B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51"/>
  <sheetViews>
    <sheetView tabSelected="1" zoomScale="55" zoomScaleNormal="55" workbookViewId="0">
      <selection activeCell="M34" sqref="M34"/>
    </sheetView>
  </sheetViews>
  <sheetFormatPr baseColWidth="10" defaultColWidth="11.5546875" defaultRowHeight="14.4"/>
  <cols>
    <col min="1" max="8" width="19.6640625" customWidth="1"/>
    <col min="9" max="9" width="20.88671875" customWidth="1"/>
    <col min="10" max="12" width="19.6640625" customWidth="1"/>
    <col min="13" max="13" width="23.33203125" customWidth="1"/>
    <col min="14" max="19" width="19.6640625" customWidth="1"/>
    <col min="20" max="20" width="15.6640625" customWidth="1"/>
    <col min="21" max="21" width="18.88671875" customWidth="1"/>
    <col min="22" max="22" width="20.109375" customWidth="1"/>
    <col min="23" max="23" width="17.6640625" customWidth="1"/>
    <col min="24" max="24" width="20.109375" customWidth="1"/>
    <col min="25" max="25" width="19.33203125" customWidth="1"/>
    <col min="26" max="26" width="20.109375" customWidth="1"/>
    <col min="28" max="28" width="17.77734375" customWidth="1"/>
    <col min="29" max="29" width="16.21875" customWidth="1"/>
    <col min="30" max="30" width="14.109375" customWidth="1"/>
    <col min="31" max="31" width="13.44140625" customWidth="1"/>
    <col min="32" max="32" width="20" customWidth="1"/>
    <col min="33" max="33" width="18.88671875" customWidth="1"/>
    <col min="34" max="34" width="23.109375" customWidth="1"/>
    <col min="37" max="37" width="24.33203125" customWidth="1"/>
    <col min="38" max="38" width="21.21875" customWidth="1"/>
    <col min="39" max="39" width="19.77734375" customWidth="1"/>
    <col min="40" max="40" width="17" customWidth="1"/>
    <col min="41" max="41" width="15.88671875" customWidth="1"/>
  </cols>
  <sheetData>
    <row r="1" spans="1:31" ht="15" customHeight="1">
      <c r="A1" s="689" t="s">
        <v>0</v>
      </c>
      <c r="B1" s="690"/>
      <c r="C1" s="690"/>
      <c r="D1" s="690"/>
      <c r="E1" s="690"/>
      <c r="F1" s="690"/>
      <c r="G1" s="690"/>
      <c r="H1" s="690"/>
      <c r="I1" s="691"/>
    </row>
    <row r="2" spans="1:31">
      <c r="A2" s="692"/>
      <c r="B2" s="693"/>
      <c r="C2" s="693"/>
      <c r="D2" s="693"/>
      <c r="E2" s="693"/>
      <c r="F2" s="693"/>
      <c r="G2" s="693"/>
      <c r="H2" s="693"/>
      <c r="I2" s="694"/>
    </row>
    <row r="3" spans="1:31">
      <c r="A3" s="692"/>
      <c r="B3" s="693"/>
      <c r="C3" s="693"/>
      <c r="D3" s="693"/>
      <c r="E3" s="693"/>
      <c r="F3" s="693"/>
      <c r="G3" s="693"/>
      <c r="H3" s="693"/>
      <c r="I3" s="694"/>
    </row>
    <row r="4" spans="1:31">
      <c r="A4" s="695"/>
      <c r="B4" s="696"/>
      <c r="C4" s="696"/>
      <c r="D4" s="696"/>
      <c r="E4" s="696"/>
      <c r="F4" s="696"/>
      <c r="G4" s="696"/>
      <c r="H4" s="696"/>
      <c r="I4" s="697"/>
    </row>
    <row r="6" spans="1:31">
      <c r="T6" s="660" t="s">
        <v>251</v>
      </c>
      <c r="U6" s="661"/>
      <c r="V6" s="661"/>
      <c r="W6" s="661"/>
      <c r="X6" s="661"/>
      <c r="Y6" s="662"/>
    </row>
    <row r="7" spans="1:31" ht="18.600000000000001" thickBot="1">
      <c r="A7" s="730" t="s">
        <v>1</v>
      </c>
      <c r="B7" s="731"/>
      <c r="C7" s="731"/>
      <c r="D7" s="731"/>
      <c r="E7" s="731"/>
      <c r="F7" s="731"/>
      <c r="G7" s="731"/>
      <c r="H7" s="731"/>
      <c r="I7" s="731"/>
      <c r="J7" s="732"/>
      <c r="K7" s="638" t="s">
        <v>2</v>
      </c>
      <c r="L7" s="639"/>
      <c r="M7" s="640"/>
      <c r="T7" s="3" t="s">
        <v>6</v>
      </c>
      <c r="U7" s="3" t="s">
        <v>8</v>
      </c>
      <c r="V7" s="27" t="s">
        <v>9</v>
      </c>
      <c r="W7" s="27" t="s">
        <v>11</v>
      </c>
      <c r="X7" s="27" t="s">
        <v>70</v>
      </c>
      <c r="Y7" s="430" t="s">
        <v>111</v>
      </c>
      <c r="Z7" s="643" t="s">
        <v>15</v>
      </c>
      <c r="AA7" s="644"/>
      <c r="AB7" s="638" t="s">
        <v>2</v>
      </c>
      <c r="AC7" s="639"/>
      <c r="AD7" s="639"/>
      <c r="AE7" s="640"/>
    </row>
    <row r="8" spans="1:31">
      <c r="A8" s="686" t="s">
        <v>3</v>
      </c>
      <c r="B8" s="661"/>
      <c r="C8" s="661"/>
      <c r="D8" s="661"/>
      <c r="E8" s="661"/>
      <c r="F8" s="661"/>
      <c r="G8" s="661"/>
      <c r="H8" s="661"/>
      <c r="I8" s="661"/>
      <c r="J8" s="662"/>
      <c r="K8" s="1" t="s">
        <v>4</v>
      </c>
      <c r="L8" s="1" t="s">
        <v>116</v>
      </c>
      <c r="M8" s="159" t="s">
        <v>117</v>
      </c>
      <c r="N8" s="160"/>
      <c r="O8" s="161" t="s">
        <v>114</v>
      </c>
      <c r="P8" s="161" t="s">
        <v>113</v>
      </c>
      <c r="Q8" s="162" t="s">
        <v>112</v>
      </c>
      <c r="T8" s="23" t="s">
        <v>23</v>
      </c>
      <c r="U8" s="8">
        <v>0.50570000000000004</v>
      </c>
      <c r="V8" s="9">
        <v>0.46399999999999864</v>
      </c>
      <c r="W8" s="14">
        <v>8.2459956495948976</v>
      </c>
      <c r="X8" s="676">
        <v>1</v>
      </c>
      <c r="Y8" s="649">
        <v>8.1709443761830745</v>
      </c>
      <c r="Z8" s="674">
        <f>(W8+W9)/2</f>
        <v>8.1709443761830745</v>
      </c>
      <c r="AA8" s="675"/>
      <c r="AB8" s="481" t="s">
        <v>4</v>
      </c>
      <c r="AC8" s="159" t="s">
        <v>116</v>
      </c>
      <c r="AD8" s="671" t="s">
        <v>117</v>
      </c>
      <c r="AE8" s="670"/>
    </row>
    <row r="9" spans="1:31">
      <c r="A9" s="3" t="s">
        <v>6</v>
      </c>
      <c r="B9" s="3" t="s">
        <v>92</v>
      </c>
      <c r="C9" s="3" t="s">
        <v>8</v>
      </c>
      <c r="D9" s="3" t="s">
        <v>9</v>
      </c>
      <c r="E9" s="27" t="s">
        <v>10</v>
      </c>
      <c r="F9" s="5" t="s">
        <v>11</v>
      </c>
      <c r="G9" s="5" t="s">
        <v>12</v>
      </c>
      <c r="H9" s="3" t="s">
        <v>13</v>
      </c>
      <c r="I9" s="3" t="s">
        <v>111</v>
      </c>
      <c r="J9" s="4" t="s">
        <v>15</v>
      </c>
      <c r="K9" s="24">
        <f>AVERAGE(F10:F19)</f>
        <v>8.4810172071576631</v>
      </c>
      <c r="L9" s="26">
        <f>_xlfn.STDEV.S(F10:F19)</f>
        <v>0.26063761772883198</v>
      </c>
      <c r="M9" s="158">
        <f>L9/F13*100</f>
        <v>2.9112291051676111</v>
      </c>
      <c r="N9" s="91"/>
      <c r="O9">
        <f>(F10-$K$9)^2</f>
        <v>5.5235132519228271E-2</v>
      </c>
      <c r="P9">
        <f>(SUM(O9:O18))/10</f>
        <v>6.1138770997824679E-2</v>
      </c>
      <c r="Q9" s="81">
        <f>SQRT(P9)</f>
        <v>0.2472625547830174</v>
      </c>
      <c r="T9" s="24" t="s">
        <v>22</v>
      </c>
      <c r="U9" s="9">
        <v>0.50890000000000002</v>
      </c>
      <c r="V9" s="9">
        <v>0.46769999999999712</v>
      </c>
      <c r="W9" s="14">
        <v>8.0958931027712513</v>
      </c>
      <c r="X9" s="677"/>
      <c r="Y9" s="650"/>
      <c r="Z9" s="674"/>
      <c r="AA9" s="675"/>
      <c r="AB9" s="24">
        <v>8.4810172071576631</v>
      </c>
      <c r="AC9" s="26">
        <v>0.26063761772883198</v>
      </c>
      <c r="AD9" s="672">
        <v>2.9112291051676111</v>
      </c>
      <c r="AE9" s="673"/>
    </row>
    <row r="10" spans="1:31">
      <c r="A10" s="40" t="s">
        <v>23</v>
      </c>
      <c r="B10" s="7">
        <v>17.4772</v>
      </c>
      <c r="C10" s="8">
        <v>0.50570000000000004</v>
      </c>
      <c r="D10" s="82">
        <v>17.941199999999998</v>
      </c>
      <c r="E10" s="9">
        <f>D10-B10</f>
        <v>0.46399999999999864</v>
      </c>
      <c r="F10" s="10">
        <f>(C10-E10)/C10*100</f>
        <v>8.2459956495948976</v>
      </c>
      <c r="G10" s="11">
        <f>E10/C10*100</f>
        <v>91.754004350405111</v>
      </c>
      <c r="H10" s="9">
        <v>1</v>
      </c>
      <c r="I10" s="649">
        <f>(F10+F11)/2</f>
        <v>8.1709443761830745</v>
      </c>
      <c r="J10" s="676">
        <f>(G10+G11)/2</f>
        <v>91.829055623816927</v>
      </c>
      <c r="N10" s="91"/>
      <c r="O10">
        <f t="shared" ref="O10:O18" si="0">(F11-$K$9)^2</f>
        <v>0.14832057577943578</v>
      </c>
      <c r="Q10" s="81"/>
      <c r="T10" s="23" t="s">
        <v>21</v>
      </c>
      <c r="U10" s="9">
        <v>0.50639999999999996</v>
      </c>
      <c r="V10" s="9">
        <v>0.46209999999999951</v>
      </c>
      <c r="W10" s="14">
        <v>8.7480252764613855</v>
      </c>
      <c r="X10" s="676">
        <v>2</v>
      </c>
      <c r="Y10" s="649">
        <v>8.8504315031387168</v>
      </c>
      <c r="Z10" s="674">
        <f>(W10+W11)/2</f>
        <v>8.8504315031387168</v>
      </c>
      <c r="AA10" s="675"/>
    </row>
    <row r="11" spans="1:31">
      <c r="A11" s="46" t="s">
        <v>22</v>
      </c>
      <c r="B11" s="13">
        <v>18.907900000000001</v>
      </c>
      <c r="C11" s="9">
        <v>0.50890000000000002</v>
      </c>
      <c r="D11" s="83">
        <v>19.375599999999999</v>
      </c>
      <c r="E11" s="9">
        <f t="shared" ref="E11:E17" si="1">D11-B11</f>
        <v>0.46769999999999712</v>
      </c>
      <c r="F11" s="14">
        <f t="shared" ref="F11:F17" si="2">(C11-E11)/C11*100</f>
        <v>8.0958931027712513</v>
      </c>
      <c r="G11" s="15">
        <f t="shared" ref="G11:G17" si="3">E11/C11*100</f>
        <v>91.904106897228743</v>
      </c>
      <c r="H11" s="16">
        <v>1</v>
      </c>
      <c r="I11" s="650"/>
      <c r="J11" s="677"/>
      <c r="K11" s="638" t="s">
        <v>61</v>
      </c>
      <c r="L11" s="639"/>
      <c r="M11" s="639"/>
      <c r="N11" s="91"/>
      <c r="O11">
        <f t="shared" si="0"/>
        <v>7.1293309073301447E-2</v>
      </c>
      <c r="Q11" s="81"/>
      <c r="T11" s="24" t="s">
        <v>20</v>
      </c>
      <c r="U11" s="9">
        <v>0.50039999999999996</v>
      </c>
      <c r="V11" s="9">
        <v>0.45560000000000045</v>
      </c>
      <c r="W11" s="14">
        <v>8.9528377298160482</v>
      </c>
      <c r="X11" s="677"/>
      <c r="Y11" s="650"/>
      <c r="Z11" s="674"/>
      <c r="AA11" s="675"/>
      <c r="AB11" s="638" t="s">
        <v>61</v>
      </c>
      <c r="AC11" s="639"/>
      <c r="AD11" s="639"/>
      <c r="AE11" s="639"/>
    </row>
    <row r="12" spans="1:31" ht="15" thickBot="1">
      <c r="A12" s="46" t="s">
        <v>21</v>
      </c>
      <c r="B12" s="13">
        <v>17.268699999999999</v>
      </c>
      <c r="C12" s="9">
        <v>0.50639999999999996</v>
      </c>
      <c r="D12" s="83">
        <v>17.730799999999999</v>
      </c>
      <c r="E12" s="9">
        <f t="shared" si="1"/>
        <v>0.46209999999999951</v>
      </c>
      <c r="F12" s="14">
        <f t="shared" si="2"/>
        <v>8.7480252764613855</v>
      </c>
      <c r="G12" s="15">
        <f t="shared" si="3"/>
        <v>91.251974723538623</v>
      </c>
      <c r="H12" s="8">
        <v>2</v>
      </c>
      <c r="I12" s="649">
        <f>(F12+F13)/2</f>
        <v>8.8504315031387168</v>
      </c>
      <c r="J12" s="676">
        <f>(G12+G13)/2</f>
        <v>91.149568496861292</v>
      </c>
      <c r="K12" s="1" t="s">
        <v>4</v>
      </c>
      <c r="L12" s="1" t="s">
        <v>116</v>
      </c>
      <c r="M12" s="159" t="s">
        <v>117</v>
      </c>
      <c r="N12" s="91"/>
      <c r="O12">
        <f t="shared" si="0"/>
        <v>0.22261460560163174</v>
      </c>
      <c r="Q12" s="81"/>
      <c r="T12" s="23" t="s">
        <v>19</v>
      </c>
      <c r="U12" s="9">
        <v>0.50039999999999996</v>
      </c>
      <c r="V12" s="9">
        <v>0.45840000000000103</v>
      </c>
      <c r="W12" s="14">
        <v>8.3932853717024241</v>
      </c>
      <c r="X12" s="676">
        <v>3</v>
      </c>
      <c r="Y12" s="649">
        <v>8.5084978542374081</v>
      </c>
      <c r="Z12" s="674">
        <f>(W12+W13)/2</f>
        <v>8.5084978542374081</v>
      </c>
      <c r="AA12" s="675"/>
      <c r="AB12" s="159" t="s">
        <v>4</v>
      </c>
      <c r="AC12" s="159" t="s">
        <v>116</v>
      </c>
      <c r="AD12" s="671" t="s">
        <v>117</v>
      </c>
      <c r="AE12" s="671"/>
    </row>
    <row r="13" spans="1:31" ht="15" customHeight="1">
      <c r="A13" s="46" t="s">
        <v>20</v>
      </c>
      <c r="B13" s="13">
        <v>17.751200000000001</v>
      </c>
      <c r="C13" s="9">
        <v>0.50039999999999996</v>
      </c>
      <c r="D13" s="83">
        <v>18.206800000000001</v>
      </c>
      <c r="E13" s="9">
        <f t="shared" si="1"/>
        <v>0.45560000000000045</v>
      </c>
      <c r="F13" s="14">
        <f t="shared" si="2"/>
        <v>8.9528377298160482</v>
      </c>
      <c r="G13" s="15">
        <f t="shared" si="3"/>
        <v>91.047162270183946</v>
      </c>
      <c r="H13" s="16">
        <v>2</v>
      </c>
      <c r="I13" s="650"/>
      <c r="J13" s="677"/>
      <c r="K13" s="89">
        <f>AVERAGE(G10:G19)</f>
        <v>91.518982792842337</v>
      </c>
      <c r="L13" s="99">
        <f>_xlfn.STDEV.S(G10:G19)</f>
        <v>0.26063761772883209</v>
      </c>
      <c r="M13" s="158">
        <f>L13/G11*100</f>
        <v>0.28359735655805751</v>
      </c>
      <c r="N13" s="91"/>
      <c r="O13">
        <f t="shared" si="0"/>
        <v>7.6968749523451301E-3</v>
      </c>
      <c r="P13" s="735" t="s">
        <v>115</v>
      </c>
      <c r="Q13" s="736"/>
      <c r="T13" s="24" t="s">
        <v>18</v>
      </c>
      <c r="U13" s="9">
        <v>0.51370000000000005</v>
      </c>
      <c r="V13" s="9">
        <v>0.46940000000000026</v>
      </c>
      <c r="W13" s="14">
        <v>8.6237103367723922</v>
      </c>
      <c r="X13" s="677"/>
      <c r="Y13" s="650"/>
      <c r="Z13" s="674"/>
      <c r="AA13" s="675"/>
      <c r="AB13" s="24">
        <v>91.518982792842337</v>
      </c>
      <c r="AC13" s="26">
        <v>0.26063761772883209</v>
      </c>
      <c r="AD13" s="672">
        <v>0.28359735655805751</v>
      </c>
      <c r="AE13" s="673"/>
    </row>
    <row r="14" spans="1:31">
      <c r="A14" s="46" t="s">
        <v>19</v>
      </c>
      <c r="B14" s="13">
        <v>18.892199999999999</v>
      </c>
      <c r="C14" s="9">
        <v>0.50039999999999996</v>
      </c>
      <c r="D14" s="83">
        <v>19.3506</v>
      </c>
      <c r="E14" s="9">
        <f t="shared" si="1"/>
        <v>0.45840000000000103</v>
      </c>
      <c r="F14" s="14">
        <f t="shared" si="2"/>
        <v>8.3932853717024241</v>
      </c>
      <c r="G14" s="15">
        <f t="shared" si="3"/>
        <v>91.606714628297581</v>
      </c>
      <c r="H14" s="8">
        <v>3</v>
      </c>
      <c r="I14" s="649">
        <f>(F14+F15)/2</f>
        <v>8.5084978542374081</v>
      </c>
      <c r="J14" s="676">
        <f>(G14+G15)/2</f>
        <v>91.491502145762595</v>
      </c>
      <c r="N14" s="91"/>
      <c r="O14">
        <f t="shared" si="0"/>
        <v>2.0361329239245888E-2</v>
      </c>
      <c r="P14" s="737"/>
      <c r="Q14" s="738"/>
      <c r="T14" s="23" t="s">
        <v>17</v>
      </c>
      <c r="U14" s="9">
        <v>0.50309999999999999</v>
      </c>
      <c r="V14" s="9">
        <v>0.459699999999998</v>
      </c>
      <c r="W14" s="14">
        <v>8.6265156032601862</v>
      </c>
      <c r="X14" s="676">
        <v>4</v>
      </c>
      <c r="Y14" s="649">
        <v>8.5694154370982716</v>
      </c>
      <c r="Z14" s="674">
        <f>(W14+W15)/2</f>
        <v>8.5694154370982716</v>
      </c>
      <c r="AA14" s="675"/>
    </row>
    <row r="15" spans="1:31">
      <c r="A15" s="46" t="s">
        <v>18</v>
      </c>
      <c r="B15" s="13">
        <v>19.03</v>
      </c>
      <c r="C15" s="9">
        <v>0.51370000000000005</v>
      </c>
      <c r="D15" s="83">
        <v>19.499400000000001</v>
      </c>
      <c r="E15" s="9">
        <f t="shared" si="1"/>
        <v>0.46940000000000026</v>
      </c>
      <c r="F15" s="14">
        <f t="shared" si="2"/>
        <v>8.6237103367723922</v>
      </c>
      <c r="G15" s="15">
        <f t="shared" si="3"/>
        <v>91.37628966322761</v>
      </c>
      <c r="H15" s="16">
        <v>3</v>
      </c>
      <c r="I15" s="650"/>
      <c r="J15" s="677"/>
      <c r="N15" s="91"/>
      <c r="O15">
        <f t="shared" si="0"/>
        <v>2.1169783268406718E-2</v>
      </c>
      <c r="P15" s="737"/>
      <c r="Q15" s="738"/>
      <c r="T15" s="24" t="s">
        <v>16</v>
      </c>
      <c r="U15" s="9">
        <v>0.50749999999999995</v>
      </c>
      <c r="V15" s="9">
        <v>0.46429999999999794</v>
      </c>
      <c r="W15" s="14">
        <v>8.5123152709363588</v>
      </c>
      <c r="X15" s="677"/>
      <c r="Y15" s="650"/>
      <c r="Z15" s="674"/>
      <c r="AA15" s="675"/>
    </row>
    <row r="16" spans="1:31">
      <c r="A16" s="46" t="s">
        <v>17</v>
      </c>
      <c r="B16" s="13">
        <v>19.441600000000001</v>
      </c>
      <c r="C16" s="9">
        <v>0.50309999999999999</v>
      </c>
      <c r="D16" s="83">
        <v>19.901299999999999</v>
      </c>
      <c r="E16" s="9">
        <f t="shared" si="1"/>
        <v>0.459699999999998</v>
      </c>
      <c r="F16" s="14">
        <f t="shared" si="2"/>
        <v>8.6265156032601862</v>
      </c>
      <c r="G16" s="15">
        <f t="shared" si="3"/>
        <v>91.373484396739812</v>
      </c>
      <c r="H16" s="8">
        <v>4</v>
      </c>
      <c r="I16" s="649">
        <f>(F16+F17)/2</f>
        <v>8.5694154370982716</v>
      </c>
      <c r="J16" s="676">
        <f>(G16+G17)/2</f>
        <v>91.430584562901728</v>
      </c>
      <c r="N16" s="91"/>
      <c r="O16">
        <f t="shared" si="0"/>
        <v>9.7956879629530411E-4</v>
      </c>
      <c r="P16" s="737"/>
      <c r="Q16" s="738"/>
      <c r="T16" s="87" t="s">
        <v>24</v>
      </c>
      <c r="U16" s="9">
        <v>1.8046</v>
      </c>
      <c r="V16" s="9">
        <v>1.6540999999999997</v>
      </c>
      <c r="W16" s="14">
        <v>8.339798293250599</v>
      </c>
      <c r="X16" s="676">
        <v>24</v>
      </c>
      <c r="Y16" s="649">
        <v>8.3057968651308443</v>
      </c>
      <c r="Z16" s="674">
        <f>(W16+W17)/2</f>
        <v>8.3057968651308443</v>
      </c>
      <c r="AA16" s="675"/>
    </row>
    <row r="17" spans="1:28" ht="14.4" customHeight="1">
      <c r="A17" s="46" t="s">
        <v>16</v>
      </c>
      <c r="B17" s="13">
        <v>18.105</v>
      </c>
      <c r="C17" s="9">
        <v>0.50749999999999995</v>
      </c>
      <c r="D17" s="83">
        <v>18.569299999999998</v>
      </c>
      <c r="E17" s="9">
        <f t="shared" si="1"/>
        <v>0.46429999999999794</v>
      </c>
      <c r="F17" s="14">
        <f t="shared" si="2"/>
        <v>8.5123152709363588</v>
      </c>
      <c r="G17" s="15">
        <f t="shared" si="3"/>
        <v>91.487684729063645</v>
      </c>
      <c r="H17" s="9">
        <v>4</v>
      </c>
      <c r="I17" s="733"/>
      <c r="J17" s="734"/>
      <c r="N17" s="91"/>
      <c r="O17">
        <f t="shared" si="0"/>
        <v>1.9942781645090779E-2</v>
      </c>
      <c r="P17" s="737"/>
      <c r="Q17" s="738"/>
      <c r="T17" s="24" t="s">
        <v>25</v>
      </c>
      <c r="U17" s="16">
        <v>1.8146</v>
      </c>
      <c r="V17" s="16">
        <v>1.6644999999999968</v>
      </c>
      <c r="W17" s="21">
        <v>8.2717954370110895</v>
      </c>
      <c r="X17" s="677"/>
      <c r="Y17" s="650"/>
      <c r="Z17" s="674"/>
      <c r="AA17" s="675"/>
    </row>
    <row r="18" spans="1:28" ht="15" thickBot="1">
      <c r="A18" s="40" t="s">
        <v>24</v>
      </c>
      <c r="B18" s="41">
        <v>39.498100000000001</v>
      </c>
      <c r="C18" s="42">
        <v>1.8046</v>
      </c>
      <c r="D18" s="43">
        <v>41.152200000000001</v>
      </c>
      <c r="E18" s="8">
        <f>D18-B18</f>
        <v>1.6540999999999997</v>
      </c>
      <c r="F18" s="10">
        <f>(C18-E18)/C18*100</f>
        <v>8.339798293250599</v>
      </c>
      <c r="G18" s="11">
        <f>E18/C18*100</f>
        <v>91.660201706749405</v>
      </c>
      <c r="H18" s="8">
        <v>24</v>
      </c>
      <c r="I18" s="649">
        <f>(F18+F19)/2</f>
        <v>8.3057968651308443</v>
      </c>
      <c r="J18" s="676">
        <f>(G18+G19)/2</f>
        <v>91.694203134869156</v>
      </c>
      <c r="N18" s="91"/>
      <c r="O18">
        <f t="shared" si="0"/>
        <v>4.3773749103265633E-2</v>
      </c>
      <c r="P18" s="739"/>
      <c r="Q18" s="740"/>
    </row>
    <row r="19" spans="1:28" ht="15" thickBot="1">
      <c r="A19" s="47" t="s">
        <v>25</v>
      </c>
      <c r="B19" s="33">
        <v>40.576500000000003</v>
      </c>
      <c r="C19" s="34">
        <v>1.8146</v>
      </c>
      <c r="D19" s="35">
        <v>42.241</v>
      </c>
      <c r="E19" s="16">
        <f>D19-B19</f>
        <v>1.6644999999999968</v>
      </c>
      <c r="F19" s="21">
        <f>(C19-E19)/C19*100</f>
        <v>8.2717954370110895</v>
      </c>
      <c r="G19" s="22">
        <f>E19/C19*100</f>
        <v>91.728204562988907</v>
      </c>
      <c r="H19" s="16">
        <v>24</v>
      </c>
      <c r="I19" s="650"/>
      <c r="J19" s="677"/>
      <c r="N19" s="163"/>
      <c r="O19" s="115"/>
      <c r="P19" s="115">
        <f>_xlfn.STDEV.S(F10:F19)</f>
        <v>0.26063761772883198</v>
      </c>
      <c r="Q19" s="116">
        <f>STDEV(F10:F19)</f>
        <v>0.26063761772883198</v>
      </c>
    </row>
    <row r="22" spans="1:28">
      <c r="A22" s="716" t="s">
        <v>26</v>
      </c>
      <c r="B22" s="717"/>
      <c r="C22" s="717"/>
      <c r="D22" s="717"/>
      <c r="E22" s="717"/>
      <c r="F22" s="717"/>
      <c r="G22" s="717"/>
      <c r="J22" s="689" t="s">
        <v>289</v>
      </c>
      <c r="K22" s="690"/>
      <c r="L22" s="690"/>
      <c r="M22" s="691"/>
      <c r="T22" s="660" t="s">
        <v>252</v>
      </c>
      <c r="U22" s="661"/>
      <c r="V22" s="661"/>
      <c r="W22" s="661"/>
      <c r="X22" s="662"/>
    </row>
    <row r="23" spans="1:28">
      <c r="A23" s="2" t="s">
        <v>40</v>
      </c>
      <c r="B23" s="3" t="s">
        <v>28</v>
      </c>
      <c r="C23" s="3" t="s">
        <v>29</v>
      </c>
      <c r="D23" s="3" t="s">
        <v>30</v>
      </c>
      <c r="E23" s="3" t="s">
        <v>31</v>
      </c>
      <c r="F23" s="3" t="s">
        <v>32</v>
      </c>
      <c r="G23" s="3" t="s">
        <v>33</v>
      </c>
      <c r="J23" s="692"/>
      <c r="K23" s="693"/>
      <c r="L23" s="693"/>
      <c r="M23" s="694"/>
      <c r="T23" s="3" t="s">
        <v>79</v>
      </c>
      <c r="U23" s="3" t="s">
        <v>8</v>
      </c>
      <c r="V23" s="3" t="s">
        <v>80</v>
      </c>
      <c r="W23" s="4" t="s">
        <v>81</v>
      </c>
      <c r="X23" s="3" t="s">
        <v>82</v>
      </c>
      <c r="Y23" s="3" t="s">
        <v>65</v>
      </c>
      <c r="Z23" s="3" t="s">
        <v>256</v>
      </c>
      <c r="AA23" s="669" t="s">
        <v>257</v>
      </c>
      <c r="AB23" s="670"/>
    </row>
    <row r="24" spans="1:28">
      <c r="A24" s="40" t="s">
        <v>16</v>
      </c>
      <c r="B24" s="41">
        <v>39.498100000000001</v>
      </c>
      <c r="C24" s="42">
        <v>1.8046</v>
      </c>
      <c r="D24" s="43">
        <v>41.152200000000001</v>
      </c>
      <c r="E24" s="10">
        <v>1.6540999999999997</v>
      </c>
      <c r="F24" s="44">
        <f>C24-E24</f>
        <v>0.1505000000000003</v>
      </c>
      <c r="G24" s="98">
        <v>8.339798293250599</v>
      </c>
      <c r="J24" s="692"/>
      <c r="K24" s="693"/>
      <c r="L24" s="693"/>
      <c r="M24" s="694"/>
      <c r="T24" s="87" t="s">
        <v>16</v>
      </c>
      <c r="U24" s="42">
        <v>1.8046</v>
      </c>
      <c r="V24" s="10">
        <v>1.6540999999999997</v>
      </c>
      <c r="W24" s="13">
        <f>U24-V24</f>
        <v>0.1505000000000003</v>
      </c>
      <c r="X24" s="87">
        <v>8.339798293250599</v>
      </c>
      <c r="Y24" s="84">
        <f>AVERAGE(X24:X26)</f>
        <v>8.3096627077994114</v>
      </c>
      <c r="Z24" s="84">
        <f>_xlfn.VAR.S(X24:X26)</f>
        <v>1.2009313327971892E-3</v>
      </c>
      <c r="AA24" s="678">
        <f>Z24/X24*100</f>
        <v>1.4400004539307662E-2</v>
      </c>
      <c r="AB24" s="679"/>
    </row>
    <row r="25" spans="1:28">
      <c r="A25" s="46" t="s">
        <v>17</v>
      </c>
      <c r="B25" s="28">
        <v>40.576500000000003</v>
      </c>
      <c r="C25" s="29">
        <v>1.8146</v>
      </c>
      <c r="D25" s="30">
        <v>42.241</v>
      </c>
      <c r="E25" s="14">
        <v>1.6644999999999968</v>
      </c>
      <c r="F25" s="31">
        <f t="shared" ref="F25:F26" si="4">C25-E25</f>
        <v>0.15010000000000323</v>
      </c>
      <c r="G25" s="98">
        <v>8.2717954370110895</v>
      </c>
      <c r="J25" s="692"/>
      <c r="K25" s="693"/>
      <c r="L25" s="693"/>
      <c r="M25" s="694"/>
      <c r="T25" s="87" t="s">
        <v>17</v>
      </c>
      <c r="U25" s="29">
        <v>1.8146</v>
      </c>
      <c r="V25" s="14">
        <v>1.6644999999999968</v>
      </c>
      <c r="W25" s="13">
        <f>U25-V25</f>
        <v>0.15010000000000323</v>
      </c>
      <c r="X25" s="87">
        <v>8.2717954370110895</v>
      </c>
    </row>
    <row r="26" spans="1:28">
      <c r="A26" s="47" t="s">
        <v>18</v>
      </c>
      <c r="B26" s="33">
        <v>39.092100000000002</v>
      </c>
      <c r="C26" s="34">
        <v>1.8299000000000001</v>
      </c>
      <c r="D26" s="35">
        <v>40.769799999999996</v>
      </c>
      <c r="E26" s="21">
        <v>1.6776999999999944</v>
      </c>
      <c r="F26" s="36">
        <f t="shared" si="4"/>
        <v>0.15220000000000566</v>
      </c>
      <c r="G26" s="101">
        <v>8.3173943931365457</v>
      </c>
      <c r="J26" s="692"/>
      <c r="K26" s="693"/>
      <c r="L26" s="693"/>
      <c r="M26" s="694"/>
      <c r="T26" s="24" t="s">
        <v>18</v>
      </c>
      <c r="U26" s="34">
        <v>1.8299000000000001</v>
      </c>
      <c r="V26" s="21">
        <v>1.6776999999999944</v>
      </c>
      <c r="W26" s="20">
        <f>U26-V26</f>
        <v>0.15220000000000566</v>
      </c>
      <c r="X26" s="24">
        <v>8.3173943931365457</v>
      </c>
    </row>
    <row r="27" spans="1:28">
      <c r="J27" s="692"/>
      <c r="K27" s="693"/>
      <c r="L27" s="693"/>
      <c r="M27" s="694"/>
    </row>
    <row r="28" spans="1:28">
      <c r="J28" s="692"/>
      <c r="K28" s="693"/>
      <c r="L28" s="693"/>
      <c r="M28" s="694"/>
    </row>
    <row r="29" spans="1:28">
      <c r="A29" s="686" t="s">
        <v>42</v>
      </c>
      <c r="B29" s="661"/>
      <c r="C29" s="661"/>
      <c r="D29" s="661"/>
      <c r="E29" s="661"/>
      <c r="F29" s="661"/>
      <c r="J29" s="692"/>
      <c r="K29" s="693"/>
      <c r="L29" s="693"/>
      <c r="M29" s="694"/>
      <c r="T29" s="660" t="s">
        <v>253</v>
      </c>
      <c r="U29" s="661"/>
      <c r="V29" s="661"/>
      <c r="W29" s="661"/>
      <c r="X29" s="661"/>
    </row>
    <row r="30" spans="1:28">
      <c r="A30" s="2" t="s">
        <v>40</v>
      </c>
      <c r="B30" s="3" t="s">
        <v>41</v>
      </c>
      <c r="C30" s="3" t="s">
        <v>29</v>
      </c>
      <c r="D30" s="3" t="s">
        <v>30</v>
      </c>
      <c r="E30" s="3" t="s">
        <v>10</v>
      </c>
      <c r="F30" s="3" t="s">
        <v>33</v>
      </c>
      <c r="J30" s="692"/>
      <c r="K30" s="693"/>
      <c r="L30" s="693"/>
      <c r="M30" s="694"/>
      <c r="T30" s="3" t="s">
        <v>79</v>
      </c>
      <c r="U30" s="94" t="s">
        <v>254</v>
      </c>
      <c r="V30" s="4" t="s">
        <v>80</v>
      </c>
      <c r="W30" s="94" t="s">
        <v>255</v>
      </c>
      <c r="X30" s="95" t="s">
        <v>49</v>
      </c>
      <c r="Y30" s="3" t="s">
        <v>65</v>
      </c>
      <c r="Z30" s="3" t="s">
        <v>256</v>
      </c>
      <c r="AA30" s="669" t="s">
        <v>257</v>
      </c>
      <c r="AB30" s="670"/>
    </row>
    <row r="31" spans="1:28">
      <c r="A31" s="12" t="s">
        <v>16</v>
      </c>
      <c r="B31" s="41">
        <v>39.498100000000001</v>
      </c>
      <c r="C31" s="42">
        <v>1.6540999999999997</v>
      </c>
      <c r="D31" s="43">
        <v>39.926900000000003</v>
      </c>
      <c r="E31" s="48">
        <v>0.42880000000000251</v>
      </c>
      <c r="F31" s="48">
        <v>74.076537089655844</v>
      </c>
      <c r="J31" s="695"/>
      <c r="K31" s="696"/>
      <c r="L31" s="696"/>
      <c r="M31" s="697"/>
      <c r="T31" s="96" t="s">
        <v>16</v>
      </c>
      <c r="U31" s="97">
        <v>1.6540999999999997</v>
      </c>
      <c r="V31" s="98">
        <v>0.42880000000000251</v>
      </c>
      <c r="W31" s="97">
        <f>U31-V31</f>
        <v>1.2252999999999972</v>
      </c>
      <c r="X31" s="50">
        <v>74.076537089655844</v>
      </c>
      <c r="Y31" s="158">
        <f>AVERAGE(X31,X33)</f>
        <v>74.157538974583062</v>
      </c>
      <c r="Z31" s="84">
        <f>_xlfn.VAR.S(X31,X33)</f>
        <v>1.312261072352462E-2</v>
      </c>
      <c r="AA31" s="672">
        <f>Z31/X33*100</f>
        <v>1.7676277808797419E-2</v>
      </c>
      <c r="AB31" s="673"/>
    </row>
    <row r="32" spans="1:28">
      <c r="A32" s="118" t="s">
        <v>17</v>
      </c>
      <c r="B32" s="119">
        <v>0</v>
      </c>
      <c r="C32" s="120">
        <v>0</v>
      </c>
      <c r="D32" s="121">
        <v>0</v>
      </c>
      <c r="E32" s="120">
        <v>0</v>
      </c>
      <c r="F32" s="120">
        <v>0</v>
      </c>
      <c r="G32" s="122" t="s">
        <v>93</v>
      </c>
      <c r="T32" s="432" t="s">
        <v>17</v>
      </c>
      <c r="U32" s="433">
        <v>0</v>
      </c>
      <c r="V32" s="433">
        <v>0</v>
      </c>
      <c r="W32" s="433">
        <f t="shared" ref="W32:W33" si="5">U32-V32</f>
        <v>0</v>
      </c>
      <c r="X32" s="422">
        <v>0</v>
      </c>
    </row>
    <row r="33" spans="1:42">
      <c r="A33" s="12" t="s">
        <v>18</v>
      </c>
      <c r="B33" s="28">
        <v>39.092100000000002</v>
      </c>
      <c r="C33" s="29">
        <v>1.6776999999999944</v>
      </c>
      <c r="D33" s="30">
        <v>39.524299999999997</v>
      </c>
      <c r="E33" s="48">
        <v>0.43219999999999459</v>
      </c>
      <c r="F33" s="48">
        <v>74.23854085951028</v>
      </c>
      <c r="T33" s="99" t="s">
        <v>18</v>
      </c>
      <c r="U33" s="100">
        <v>1.6776999999999944</v>
      </c>
      <c r="V33" s="101">
        <v>0.43219999999999459</v>
      </c>
      <c r="W33" s="100">
        <f t="shared" si="5"/>
        <v>1.2454999999999998</v>
      </c>
      <c r="X33" s="67">
        <v>74.23854085951028</v>
      </c>
    </row>
    <row r="35" spans="1:42" ht="15" thickBot="1"/>
    <row r="36" spans="1:42">
      <c r="A36" s="700" t="s">
        <v>50</v>
      </c>
      <c r="B36" s="701"/>
      <c r="C36" s="701"/>
      <c r="D36" s="701"/>
      <c r="E36" s="701"/>
      <c r="F36" s="701"/>
      <c r="G36" s="718"/>
      <c r="H36" s="718"/>
      <c r="I36" s="718"/>
      <c r="J36" s="718"/>
      <c r="K36" s="718"/>
      <c r="L36" s="718"/>
      <c r="M36" s="718"/>
      <c r="N36" s="718"/>
      <c r="O36" s="701"/>
      <c r="P36" s="701"/>
      <c r="Q36" s="701"/>
      <c r="R36" s="701"/>
      <c r="AB36" s="660" t="s">
        <v>261</v>
      </c>
      <c r="AC36" s="661"/>
      <c r="AD36" s="661"/>
      <c r="AE36" s="661"/>
      <c r="AF36" s="661"/>
      <c r="AG36" s="662"/>
      <c r="AJ36" s="749" t="s">
        <v>290</v>
      </c>
      <c r="AK36" s="750"/>
      <c r="AL36" s="750"/>
      <c r="AM36" s="750"/>
      <c r="AN36" s="750"/>
      <c r="AO36" s="750"/>
      <c r="AP36" s="751"/>
    </row>
    <row r="37" spans="1:42">
      <c r="A37" s="49" t="s">
        <v>40</v>
      </c>
      <c r="B37" s="5" t="s">
        <v>41</v>
      </c>
      <c r="C37" s="5" t="s">
        <v>59</v>
      </c>
      <c r="D37" s="5" t="s">
        <v>53</v>
      </c>
      <c r="E37" s="5" t="s">
        <v>60</v>
      </c>
      <c r="F37" s="440" t="s">
        <v>61</v>
      </c>
      <c r="G37" s="440" t="s">
        <v>62</v>
      </c>
      <c r="H37" s="441" t="s">
        <v>63</v>
      </c>
      <c r="I37" s="441" t="s">
        <v>61</v>
      </c>
      <c r="J37" s="440" t="s">
        <v>62</v>
      </c>
      <c r="K37" s="441" t="s">
        <v>63</v>
      </c>
      <c r="L37" s="441" t="s">
        <v>61</v>
      </c>
      <c r="M37" s="4" t="s">
        <v>62</v>
      </c>
      <c r="N37" s="430" t="s">
        <v>63</v>
      </c>
      <c r="O37" s="430" t="s">
        <v>61</v>
      </c>
      <c r="P37" s="3" t="s">
        <v>64</v>
      </c>
      <c r="Q37" s="3" t="s">
        <v>65</v>
      </c>
      <c r="R37" s="3" t="s">
        <v>5</v>
      </c>
      <c r="AB37" s="49" t="s">
        <v>40</v>
      </c>
      <c r="AC37" s="5" t="s">
        <v>41</v>
      </c>
      <c r="AD37" s="5" t="s">
        <v>59</v>
      </c>
      <c r="AE37" s="5" t="s">
        <v>53</v>
      </c>
      <c r="AF37" s="5" t="s">
        <v>60</v>
      </c>
      <c r="AG37" s="5" t="s">
        <v>272</v>
      </c>
      <c r="AJ37" s="752"/>
      <c r="AK37" s="753"/>
      <c r="AL37" s="753"/>
      <c r="AM37" s="753"/>
      <c r="AN37" s="753"/>
      <c r="AO37" s="753"/>
      <c r="AP37" s="754"/>
    </row>
    <row r="38" spans="1:42">
      <c r="A38" s="40" t="s">
        <v>16</v>
      </c>
      <c r="B38" s="41">
        <v>39.477400000000003</v>
      </c>
      <c r="C38" s="42">
        <v>0.42880000000000251</v>
      </c>
      <c r="D38" s="45">
        <v>39.144199999999998</v>
      </c>
      <c r="E38" s="56">
        <v>0.33320000000000505</v>
      </c>
      <c r="F38" s="56">
        <v>9.5599999999997465E-2</v>
      </c>
      <c r="G38" s="55">
        <v>39.142800000000001</v>
      </c>
      <c r="H38" s="45">
        <v>0.33460000000000178</v>
      </c>
      <c r="I38" s="45">
        <v>9.4200000000000728E-2</v>
      </c>
      <c r="J38" s="53">
        <v>39.143500000000003</v>
      </c>
      <c r="K38" s="56">
        <v>0.33389999999999986</v>
      </c>
      <c r="L38" s="56">
        <v>9.4900000000002649E-2</v>
      </c>
      <c r="M38" s="51">
        <v>39.143500000000003</v>
      </c>
      <c r="N38" s="59">
        <v>0.33389999999999986</v>
      </c>
      <c r="O38" s="438">
        <v>9.4900000000002649E-2</v>
      </c>
      <c r="P38" s="439">
        <v>22.131529850746755</v>
      </c>
      <c r="Q38" s="60">
        <v>21.882516429305916</v>
      </c>
      <c r="R38" s="62">
        <v>0.12401536811534428</v>
      </c>
      <c r="AB38" s="40" t="s">
        <v>16</v>
      </c>
      <c r="AC38" s="41">
        <v>39.477400000000003</v>
      </c>
      <c r="AD38" s="43">
        <v>0.42880000000000251</v>
      </c>
      <c r="AE38" s="41">
        <v>39.144199999999998</v>
      </c>
      <c r="AF38" s="130">
        <v>0.33320000000000505</v>
      </c>
      <c r="AG38" s="11">
        <v>9.5599999999997465E-2</v>
      </c>
      <c r="AJ38" s="752"/>
      <c r="AK38" s="753"/>
      <c r="AL38" s="753"/>
      <c r="AM38" s="753"/>
      <c r="AN38" s="753"/>
      <c r="AO38" s="753"/>
      <c r="AP38" s="754"/>
    </row>
    <row r="39" spans="1:42">
      <c r="A39" s="47" t="s">
        <v>18</v>
      </c>
      <c r="B39" s="33">
        <v>39.529400000000003</v>
      </c>
      <c r="C39" s="34">
        <v>0.43219999999999459</v>
      </c>
      <c r="D39" s="37">
        <v>39.190300000000001</v>
      </c>
      <c r="E39" s="69">
        <v>0.33910000000000196</v>
      </c>
      <c r="F39" s="69">
        <v>9.3099999999992633E-2</v>
      </c>
      <c r="G39" s="68">
        <v>39.190300000000001</v>
      </c>
      <c r="H39" s="37">
        <v>0.33910000000000196</v>
      </c>
      <c r="I39" s="37">
        <v>9.3099999999992633E-2</v>
      </c>
      <c r="J39" s="70">
        <v>39.190800000000003</v>
      </c>
      <c r="K39" s="69">
        <v>0.33859999999999957</v>
      </c>
      <c r="L39" s="69">
        <v>9.3599999999995021E-2</v>
      </c>
      <c r="M39" s="68">
        <v>39.1907</v>
      </c>
      <c r="N39" s="76">
        <v>0.33870000000000289</v>
      </c>
      <c r="O39" s="312">
        <v>9.3499999999991701E-2</v>
      </c>
      <c r="P39" s="76">
        <v>21.63350300786508</v>
      </c>
      <c r="Q39" s="72"/>
      <c r="R39" s="74"/>
      <c r="AB39" s="47" t="s">
        <v>18</v>
      </c>
      <c r="AC39" s="33">
        <v>39.529400000000003</v>
      </c>
      <c r="AD39" s="35">
        <v>0.43219999999999459</v>
      </c>
      <c r="AE39" s="33">
        <v>39.190300000000001</v>
      </c>
      <c r="AF39" s="89">
        <v>0.33910000000000196</v>
      </c>
      <c r="AG39" s="22">
        <v>9.3099999999992633E-2</v>
      </c>
      <c r="AJ39" s="752"/>
      <c r="AK39" s="753"/>
      <c r="AL39" s="753"/>
      <c r="AM39" s="753"/>
      <c r="AN39" s="753"/>
      <c r="AO39" s="753"/>
      <c r="AP39" s="754"/>
    </row>
    <row r="40" spans="1:42">
      <c r="AB40" s="49" t="s">
        <v>40</v>
      </c>
      <c r="AC40" s="440" t="s">
        <v>263</v>
      </c>
      <c r="AD40" s="638" t="s">
        <v>264</v>
      </c>
      <c r="AE40" s="640"/>
      <c r="AF40" s="5" t="s">
        <v>265</v>
      </c>
      <c r="AG40" s="443"/>
      <c r="AJ40" s="752"/>
      <c r="AK40" s="753"/>
      <c r="AL40" s="753"/>
      <c r="AM40" s="753"/>
      <c r="AN40" s="753"/>
      <c r="AO40" s="753"/>
      <c r="AP40" s="754"/>
    </row>
    <row r="41" spans="1:42">
      <c r="AB41" s="40" t="s">
        <v>16</v>
      </c>
      <c r="AC41" s="10">
        <v>39.142800000000001</v>
      </c>
      <c r="AD41" s="680">
        <v>0.33460000000000178</v>
      </c>
      <c r="AE41" s="681"/>
      <c r="AF41" s="442">
        <v>9.4200000000000728E-2</v>
      </c>
      <c r="AG41" s="443"/>
      <c r="AJ41" s="752"/>
      <c r="AK41" s="753"/>
      <c r="AL41" s="753"/>
      <c r="AM41" s="753"/>
      <c r="AN41" s="753"/>
      <c r="AO41" s="753"/>
      <c r="AP41" s="754"/>
    </row>
    <row r="42" spans="1:42">
      <c r="AB42" s="47" t="s">
        <v>18</v>
      </c>
      <c r="AC42" s="21">
        <v>39.190300000000001</v>
      </c>
      <c r="AD42" s="680">
        <v>0.33910000000000196</v>
      </c>
      <c r="AE42" s="681"/>
      <c r="AF42" s="99">
        <v>9.3099999999992633E-2</v>
      </c>
      <c r="AG42" s="443"/>
      <c r="AJ42" s="752"/>
      <c r="AK42" s="753"/>
      <c r="AL42" s="753"/>
      <c r="AM42" s="753"/>
      <c r="AN42" s="753"/>
      <c r="AO42" s="753"/>
      <c r="AP42" s="754"/>
    </row>
    <row r="43" spans="1:42" ht="15" thickBot="1">
      <c r="AB43" s="49" t="s">
        <v>40</v>
      </c>
      <c r="AC43" s="440" t="s">
        <v>266</v>
      </c>
      <c r="AD43" s="638" t="s">
        <v>267</v>
      </c>
      <c r="AE43" s="640"/>
      <c r="AF43" s="5" t="s">
        <v>268</v>
      </c>
      <c r="AG43" s="443"/>
      <c r="AJ43" s="752"/>
      <c r="AK43" s="753"/>
      <c r="AL43" s="753"/>
      <c r="AM43" s="753"/>
      <c r="AN43" s="753"/>
      <c r="AO43" s="753"/>
      <c r="AP43" s="754"/>
    </row>
    <row r="44" spans="1:42" ht="18">
      <c r="A44" s="728" t="s">
        <v>66</v>
      </c>
      <c r="B44" s="729"/>
      <c r="C44" s="729"/>
      <c r="D44" s="729"/>
      <c r="E44" s="729"/>
      <c r="F44" s="729"/>
      <c r="G44" s="729"/>
      <c r="H44" s="729"/>
      <c r="I44" s="729"/>
      <c r="J44" s="729"/>
      <c r="K44" s="77"/>
      <c r="L44" s="744" t="s">
        <v>67</v>
      </c>
      <c r="M44" s="745"/>
      <c r="N44" s="745"/>
      <c r="O44" s="746"/>
      <c r="P44" s="78"/>
      <c r="Q44" s="78"/>
      <c r="R44" s="78"/>
      <c r="S44" s="78"/>
      <c r="T44" s="78"/>
      <c r="U44" s="78"/>
      <c r="V44" s="78"/>
      <c r="W44" s="79"/>
      <c r="AB44" s="40" t="s">
        <v>16</v>
      </c>
      <c r="AC44" s="41">
        <v>39.143500000000003</v>
      </c>
      <c r="AD44" s="682">
        <v>0.33389999999999986</v>
      </c>
      <c r="AE44" s="683"/>
      <c r="AF44" s="23">
        <v>9.4900000000002649E-2</v>
      </c>
      <c r="AG44" s="443"/>
      <c r="AJ44" s="752"/>
      <c r="AK44" s="753"/>
      <c r="AL44" s="753"/>
      <c r="AM44" s="753"/>
      <c r="AN44" s="753"/>
      <c r="AO44" s="753"/>
      <c r="AP44" s="754"/>
    </row>
    <row r="45" spans="1:42">
      <c r="A45" s="686" t="s">
        <v>3</v>
      </c>
      <c r="B45" s="661"/>
      <c r="C45" s="661"/>
      <c r="D45" s="661"/>
      <c r="E45" s="661"/>
      <c r="F45" s="661"/>
      <c r="G45" s="661"/>
      <c r="H45" s="661"/>
      <c r="I45" s="661"/>
      <c r="J45" s="662"/>
      <c r="K45" s="80"/>
      <c r="L45" s="722"/>
      <c r="M45" s="723"/>
      <c r="N45" s="723"/>
      <c r="O45" s="724"/>
      <c r="P45" s="660" t="s">
        <v>68</v>
      </c>
      <c r="Q45" s="661"/>
      <c r="R45" s="661"/>
      <c r="S45" s="661"/>
      <c r="T45" s="661"/>
      <c r="U45" s="662"/>
      <c r="W45" s="81"/>
      <c r="AB45" s="47" t="s">
        <v>18</v>
      </c>
      <c r="AC45" s="33">
        <v>39.190800000000003</v>
      </c>
      <c r="AD45" s="682">
        <v>0.33859999999999957</v>
      </c>
      <c r="AE45" s="683"/>
      <c r="AF45" s="24">
        <v>9.3599999999995021E-2</v>
      </c>
      <c r="AG45" s="443"/>
      <c r="AH45" s="747" t="s">
        <v>291</v>
      </c>
      <c r="AJ45" s="752"/>
      <c r="AK45" s="753"/>
      <c r="AL45" s="753"/>
      <c r="AM45" s="753"/>
      <c r="AN45" s="753"/>
      <c r="AO45" s="753"/>
      <c r="AP45" s="754"/>
    </row>
    <row r="46" spans="1:42">
      <c r="A46" s="2" t="s">
        <v>69</v>
      </c>
      <c r="B46" s="3" t="s">
        <v>7</v>
      </c>
      <c r="C46" s="3" t="s">
        <v>8</v>
      </c>
      <c r="D46" s="3" t="s">
        <v>9</v>
      </c>
      <c r="E46" s="3" t="s">
        <v>10</v>
      </c>
      <c r="F46" s="3" t="s">
        <v>11</v>
      </c>
      <c r="G46" s="3" t="s">
        <v>12</v>
      </c>
      <c r="H46" s="3" t="s">
        <v>13</v>
      </c>
      <c r="I46" s="3" t="s">
        <v>14</v>
      </c>
      <c r="J46" s="3" t="s">
        <v>15</v>
      </c>
      <c r="K46" s="80"/>
      <c r="L46" s="722"/>
      <c r="M46" s="723"/>
      <c r="N46" s="723"/>
      <c r="O46" s="724"/>
      <c r="P46" s="3" t="s">
        <v>6</v>
      </c>
      <c r="Q46" s="3" t="s">
        <v>8</v>
      </c>
      <c r="R46" s="3" t="s">
        <v>9</v>
      </c>
      <c r="S46" s="3" t="s">
        <v>11</v>
      </c>
      <c r="T46" s="4" t="s">
        <v>70</v>
      </c>
      <c r="U46" s="3" t="s">
        <v>14</v>
      </c>
      <c r="V46" s="430" t="s">
        <v>15</v>
      </c>
      <c r="W46" s="638" t="s">
        <v>2</v>
      </c>
      <c r="X46" s="639"/>
      <c r="Y46" s="640"/>
      <c r="AB46" s="49" t="s">
        <v>40</v>
      </c>
      <c r="AC46" s="4" t="s">
        <v>269</v>
      </c>
      <c r="AD46" s="638" t="s">
        <v>270</v>
      </c>
      <c r="AE46" s="640"/>
      <c r="AF46" s="3" t="s">
        <v>271</v>
      </c>
      <c r="AG46" s="27" t="s">
        <v>64</v>
      </c>
      <c r="AH46" s="748"/>
      <c r="AJ46" s="752"/>
      <c r="AK46" s="753"/>
      <c r="AL46" s="753"/>
      <c r="AM46" s="753"/>
      <c r="AN46" s="753"/>
      <c r="AO46" s="753"/>
      <c r="AP46" s="754"/>
    </row>
    <row r="47" spans="1:42">
      <c r="A47" s="6" t="s">
        <v>37</v>
      </c>
      <c r="B47" s="7">
        <v>37.514600000000002</v>
      </c>
      <c r="C47" s="8">
        <v>0.505</v>
      </c>
      <c r="D47" s="8">
        <v>37.972700000000003</v>
      </c>
      <c r="E47" s="82">
        <f>D47-B47</f>
        <v>0.45810000000000173</v>
      </c>
      <c r="F47" s="48">
        <f>(C47-E47)/C47*100</f>
        <v>9.2871287128709454</v>
      </c>
      <c r="G47" s="48">
        <f>E47/C47*100</f>
        <v>90.712871287129047</v>
      </c>
      <c r="H47" s="13">
        <v>1</v>
      </c>
      <c r="I47" s="665">
        <f>(F47+F48)/2</f>
        <v>9.2336336405003259</v>
      </c>
      <c r="J47" s="676">
        <f>(G47+G48)/2</f>
        <v>90.766366359499671</v>
      </c>
      <c r="K47" s="80"/>
      <c r="L47" s="722"/>
      <c r="M47" s="723"/>
      <c r="N47" s="723"/>
      <c r="O47" s="724"/>
      <c r="P47" s="23" t="s">
        <v>37</v>
      </c>
      <c r="Q47" s="8">
        <v>0.505</v>
      </c>
      <c r="R47" s="82">
        <v>0.45810000000000173</v>
      </c>
      <c r="S47" s="48">
        <v>9.2871287128709454</v>
      </c>
      <c r="T47" s="676">
        <v>1</v>
      </c>
      <c r="U47" s="649">
        <v>9.2336336405003259</v>
      </c>
      <c r="V47" s="676">
        <v>90.766366359499671</v>
      </c>
      <c r="W47" s="1" t="s">
        <v>4</v>
      </c>
      <c r="X47" s="1" t="s">
        <v>5</v>
      </c>
      <c r="Y47" s="157" t="s">
        <v>110</v>
      </c>
      <c r="AB47" s="40" t="s">
        <v>16</v>
      </c>
      <c r="AC47" s="14">
        <v>39.143500000000003</v>
      </c>
      <c r="AD47" s="680">
        <v>0.33389999999999986</v>
      </c>
      <c r="AE47" s="681"/>
      <c r="AF47" s="444">
        <v>9.4900000000002649E-2</v>
      </c>
      <c r="AG47" s="42">
        <v>22.131529850746755</v>
      </c>
      <c r="AH47" s="23">
        <f>AF47/U31*100</f>
        <v>5.7372589323500796</v>
      </c>
      <c r="AJ47" s="752"/>
      <c r="AK47" s="753"/>
      <c r="AL47" s="753"/>
      <c r="AM47" s="753"/>
      <c r="AN47" s="753"/>
      <c r="AO47" s="753"/>
      <c r="AP47" s="754"/>
    </row>
    <row r="48" spans="1:42">
      <c r="A48" s="12" t="s">
        <v>39</v>
      </c>
      <c r="B48" s="13">
        <v>35.080300000000001</v>
      </c>
      <c r="C48" s="9">
        <v>0.51959999999999995</v>
      </c>
      <c r="D48" s="9">
        <v>35.552199999999999</v>
      </c>
      <c r="E48" s="83">
        <f t="shared" ref="E48:E56" si="6">D48-B48</f>
        <v>0.47189999999999799</v>
      </c>
      <c r="F48" s="48">
        <f t="shared" ref="F48:F56" si="7">(C48-E48)/C48*100</f>
        <v>9.1801385681297081</v>
      </c>
      <c r="G48" s="48">
        <f t="shared" ref="G48:G56" si="8">E48/C48*100</f>
        <v>90.819861431870279</v>
      </c>
      <c r="H48" s="20">
        <v>1</v>
      </c>
      <c r="I48" s="667"/>
      <c r="J48" s="677"/>
      <c r="K48" s="80"/>
      <c r="L48" s="722"/>
      <c r="M48" s="723"/>
      <c r="N48" s="723"/>
      <c r="O48" s="724"/>
      <c r="P48" s="24" t="s">
        <v>39</v>
      </c>
      <c r="Q48" s="9">
        <v>0.51959999999999995</v>
      </c>
      <c r="R48" s="83">
        <v>0.47189999999999799</v>
      </c>
      <c r="S48" s="48">
        <v>9.1801385681297081</v>
      </c>
      <c r="T48" s="677"/>
      <c r="U48" s="650"/>
      <c r="V48" s="677"/>
      <c r="W48" s="84">
        <f>AVERAGE(U47:U56)</f>
        <v>9.2686084960351938</v>
      </c>
      <c r="X48" s="85">
        <f>_xlfn.VAR.S(U47:U56)</f>
        <v>8.167846304320164E-3</v>
      </c>
      <c r="Y48" s="84">
        <f>X48/U49*100</f>
        <v>8.6866478175721532E-2</v>
      </c>
      <c r="AB48" s="47" t="s">
        <v>18</v>
      </c>
      <c r="AC48" s="21">
        <v>39.1907</v>
      </c>
      <c r="AD48" s="760">
        <v>0.33870000000000289</v>
      </c>
      <c r="AE48" s="761"/>
      <c r="AF48" s="445">
        <v>9.3499999999991701E-2</v>
      </c>
      <c r="AG48" s="34">
        <v>21.63350300786508</v>
      </c>
      <c r="AH48" s="24">
        <f>AF48/U33*100</f>
        <v>5.5731060380277766</v>
      </c>
      <c r="AJ48" s="752"/>
      <c r="AK48" s="753"/>
      <c r="AL48" s="753"/>
      <c r="AM48" s="753"/>
      <c r="AN48" s="753"/>
      <c r="AO48" s="753"/>
      <c r="AP48" s="754"/>
    </row>
    <row r="49" spans="1:42">
      <c r="A49" s="12" t="s">
        <v>71</v>
      </c>
      <c r="B49" s="13">
        <v>37.691800000000001</v>
      </c>
      <c r="C49" s="9">
        <v>0.50560000000000005</v>
      </c>
      <c r="D49" s="9">
        <v>38.149799999999999</v>
      </c>
      <c r="E49" s="83">
        <f t="shared" si="6"/>
        <v>0.45799999999999841</v>
      </c>
      <c r="F49" s="48">
        <f t="shared" si="7"/>
        <v>9.4145569620256406</v>
      </c>
      <c r="G49" s="48">
        <f t="shared" si="8"/>
        <v>90.585443037974358</v>
      </c>
      <c r="H49" s="7">
        <v>2</v>
      </c>
      <c r="I49" s="665">
        <f>(F49+F50)/2</f>
        <v>9.4027598169658617</v>
      </c>
      <c r="J49" s="676">
        <f>(G49+G50)/2</f>
        <v>90.597240183034131</v>
      </c>
      <c r="K49" s="80"/>
      <c r="L49" s="722"/>
      <c r="M49" s="723"/>
      <c r="N49" s="723"/>
      <c r="O49" s="724"/>
      <c r="P49" s="23" t="s">
        <v>71</v>
      </c>
      <c r="Q49" s="9">
        <v>0.50560000000000005</v>
      </c>
      <c r="R49" s="83">
        <v>0.45799999999999841</v>
      </c>
      <c r="S49" s="48">
        <v>9.4145569620256406</v>
      </c>
      <c r="T49" s="676">
        <v>2</v>
      </c>
      <c r="U49" s="649">
        <v>9.4027598169658617</v>
      </c>
      <c r="V49" s="676">
        <v>90.597240183034131</v>
      </c>
      <c r="AB49" s="443"/>
      <c r="AC49" s="443"/>
      <c r="AD49" s="638" t="s">
        <v>65</v>
      </c>
      <c r="AE49" s="640"/>
      <c r="AF49" s="430" t="s">
        <v>5</v>
      </c>
      <c r="AG49" s="430" t="s">
        <v>110</v>
      </c>
      <c r="AJ49" s="752"/>
      <c r="AK49" s="753"/>
      <c r="AL49" s="753"/>
      <c r="AM49" s="753"/>
      <c r="AN49" s="753"/>
      <c r="AO49" s="753"/>
      <c r="AP49" s="754"/>
    </row>
    <row r="50" spans="1:42" ht="15" thickBot="1">
      <c r="A50" s="12" t="s">
        <v>72</v>
      </c>
      <c r="B50" s="13">
        <v>39.727800000000002</v>
      </c>
      <c r="C50" s="9">
        <v>0.50900000000000001</v>
      </c>
      <c r="D50" s="9">
        <v>40.189</v>
      </c>
      <c r="E50" s="83">
        <f t="shared" si="6"/>
        <v>0.46119999999999806</v>
      </c>
      <c r="F50" s="48">
        <f t="shared" si="7"/>
        <v>9.390962671906081</v>
      </c>
      <c r="G50" s="48">
        <f t="shared" si="8"/>
        <v>90.609037328093919</v>
      </c>
      <c r="H50" s="20">
        <v>2</v>
      </c>
      <c r="I50" s="667"/>
      <c r="J50" s="677"/>
      <c r="K50" s="80"/>
      <c r="L50" s="722"/>
      <c r="M50" s="723"/>
      <c r="N50" s="723"/>
      <c r="O50" s="724"/>
      <c r="P50" s="24" t="s">
        <v>72</v>
      </c>
      <c r="Q50" s="9">
        <v>0.50900000000000001</v>
      </c>
      <c r="R50" s="83">
        <v>0.46119999999999806</v>
      </c>
      <c r="S50" s="48">
        <v>9.390962671906081</v>
      </c>
      <c r="T50" s="677"/>
      <c r="U50" s="650"/>
      <c r="V50" s="677"/>
      <c r="W50" s="641" t="s">
        <v>61</v>
      </c>
      <c r="X50" s="642"/>
      <c r="Y50" s="642"/>
      <c r="AB50" s="443"/>
      <c r="AC50" s="443"/>
      <c r="AD50" s="665">
        <f>AVERAGE(AH47:AH48)</f>
        <v>5.6551824851889281</v>
      </c>
      <c r="AE50" s="666"/>
      <c r="AF50" s="666">
        <v>0.12401536811534428</v>
      </c>
      <c r="AG50" s="666">
        <f>AF50/AG47*100</f>
        <v>0.56035605740630612</v>
      </c>
      <c r="AJ50" s="755"/>
      <c r="AK50" s="756"/>
      <c r="AL50" s="756"/>
      <c r="AM50" s="756"/>
      <c r="AN50" s="756"/>
      <c r="AO50" s="756"/>
      <c r="AP50" s="757"/>
    </row>
    <row r="51" spans="1:42">
      <c r="A51" s="12" t="s">
        <v>73</v>
      </c>
      <c r="B51" s="13">
        <v>38.309699999999999</v>
      </c>
      <c r="C51" s="9">
        <v>0.50209999999999999</v>
      </c>
      <c r="D51" s="9">
        <v>38.764800000000001</v>
      </c>
      <c r="E51" s="83">
        <f t="shared" si="6"/>
        <v>0.45510000000000161</v>
      </c>
      <c r="F51" s="48">
        <f t="shared" si="7"/>
        <v>9.3606851224852381</v>
      </c>
      <c r="G51" s="48">
        <f t="shared" si="8"/>
        <v>90.639314877514764</v>
      </c>
      <c r="H51" s="7">
        <v>3</v>
      </c>
      <c r="I51" s="665">
        <f>(F51+F52)/2</f>
        <v>9.1977170786175169</v>
      </c>
      <c r="J51" s="676">
        <f>(G51+G52)/2</f>
        <v>90.802282921382485</v>
      </c>
      <c r="K51" s="80"/>
      <c r="L51" s="722"/>
      <c r="M51" s="723"/>
      <c r="N51" s="723"/>
      <c r="O51" s="724"/>
      <c r="P51" s="23" t="s">
        <v>73</v>
      </c>
      <c r="Q51" s="9">
        <v>0.50209999999999999</v>
      </c>
      <c r="R51" s="83">
        <v>0.45510000000000161</v>
      </c>
      <c r="S51" s="48">
        <v>9.3606851224852381</v>
      </c>
      <c r="T51" s="676">
        <v>3</v>
      </c>
      <c r="U51" s="649">
        <v>9.1977170786175169</v>
      </c>
      <c r="V51" s="676">
        <v>90.802282921382485</v>
      </c>
      <c r="W51" s="1" t="s">
        <v>4</v>
      </c>
      <c r="X51" s="1" t="s">
        <v>5</v>
      </c>
      <c r="Y51" s="157" t="s">
        <v>110</v>
      </c>
      <c r="AB51" s="443"/>
      <c r="AC51" s="443"/>
      <c r="AD51" s="667"/>
      <c r="AE51" s="668"/>
      <c r="AF51" s="668"/>
      <c r="AG51" s="668"/>
    </row>
    <row r="52" spans="1:42">
      <c r="A52" s="12" t="s">
        <v>36</v>
      </c>
      <c r="B52" s="13">
        <v>35.723300000000002</v>
      </c>
      <c r="C52" s="9">
        <v>0.51800000000000002</v>
      </c>
      <c r="D52" s="9">
        <v>36.194499999999998</v>
      </c>
      <c r="E52" s="83">
        <f t="shared" si="6"/>
        <v>0.47119999999999607</v>
      </c>
      <c r="F52" s="48">
        <f t="shared" si="7"/>
        <v>9.0347490347497956</v>
      </c>
      <c r="G52" s="48">
        <f t="shared" si="8"/>
        <v>90.965250965250206</v>
      </c>
      <c r="H52" s="20">
        <v>3</v>
      </c>
      <c r="I52" s="667"/>
      <c r="J52" s="677"/>
      <c r="K52" s="80"/>
      <c r="L52" s="722"/>
      <c r="M52" s="723"/>
      <c r="N52" s="723"/>
      <c r="O52" s="724"/>
      <c r="P52" s="24" t="s">
        <v>36</v>
      </c>
      <c r="Q52" s="9">
        <v>0.51800000000000002</v>
      </c>
      <c r="R52" s="83">
        <v>0.47119999999999607</v>
      </c>
      <c r="S52" s="48">
        <v>9.0347490347497956</v>
      </c>
      <c r="T52" s="677"/>
      <c r="U52" s="650"/>
      <c r="V52" s="677"/>
      <c r="W52" s="84">
        <f>AVERAGE(V47:V56)</f>
        <v>90.731391503964815</v>
      </c>
      <c r="X52" s="86">
        <f>_xlfn.VAR.S(V47:V56)</f>
        <v>8.167846304320367E-3</v>
      </c>
      <c r="Y52" s="84">
        <f>X52/V53*100</f>
        <v>8.9945455959270747E-3</v>
      </c>
    </row>
    <row r="53" spans="1:42">
      <c r="A53" s="12" t="s">
        <v>74</v>
      </c>
      <c r="B53" s="13">
        <v>37.992100000000001</v>
      </c>
      <c r="C53" s="9">
        <v>0.50529999999999997</v>
      </c>
      <c r="D53" s="9">
        <v>38.450699999999998</v>
      </c>
      <c r="E53" s="83">
        <f t="shared" si="6"/>
        <v>0.45859999999999701</v>
      </c>
      <c r="F53" s="48">
        <f t="shared" si="7"/>
        <v>9.2420344349897015</v>
      </c>
      <c r="G53" s="48">
        <f t="shared" si="8"/>
        <v>90.757965565010295</v>
      </c>
      <c r="H53" s="7">
        <v>4</v>
      </c>
      <c r="I53" s="665">
        <f>(F53+F54)/2</f>
        <v>9.1911179146287836</v>
      </c>
      <c r="J53" s="676">
        <f>(G53+G54)/2</f>
        <v>90.808882085371209</v>
      </c>
      <c r="K53" s="80"/>
      <c r="L53" s="722"/>
      <c r="M53" s="723"/>
      <c r="N53" s="723"/>
      <c r="O53" s="724"/>
      <c r="P53" s="23" t="s">
        <v>74</v>
      </c>
      <c r="Q53" s="9">
        <v>0.50529999999999997</v>
      </c>
      <c r="R53" s="83">
        <v>0.45859999999999701</v>
      </c>
      <c r="S53" s="48">
        <v>9.2420344349897015</v>
      </c>
      <c r="T53" s="676">
        <v>4</v>
      </c>
      <c r="U53" s="649">
        <v>9.1911179146287836</v>
      </c>
      <c r="V53" s="676">
        <v>90.808882085371209</v>
      </c>
    </row>
    <row r="54" spans="1:42">
      <c r="A54" s="12" t="s">
        <v>38</v>
      </c>
      <c r="B54" s="13">
        <v>36.647300000000001</v>
      </c>
      <c r="C54" s="9">
        <v>0.51639999999999997</v>
      </c>
      <c r="D54" s="9">
        <v>37.116500000000002</v>
      </c>
      <c r="E54" s="83">
        <f t="shared" si="6"/>
        <v>0.46920000000000073</v>
      </c>
      <c r="F54" s="48">
        <f t="shared" si="7"/>
        <v>9.1402013942678639</v>
      </c>
      <c r="G54" s="48">
        <f t="shared" si="8"/>
        <v>90.859798605732138</v>
      </c>
      <c r="H54" s="20">
        <v>4</v>
      </c>
      <c r="I54" s="667"/>
      <c r="J54" s="677"/>
      <c r="K54" s="80"/>
      <c r="L54" s="722"/>
      <c r="M54" s="723"/>
      <c r="N54" s="723"/>
      <c r="O54" s="724"/>
      <c r="P54" s="24" t="s">
        <v>38</v>
      </c>
      <c r="Q54" s="9">
        <v>0.51639999999999997</v>
      </c>
      <c r="R54" s="83">
        <v>0.46920000000000073</v>
      </c>
      <c r="S54" s="48">
        <v>9.1402013942678639</v>
      </c>
      <c r="T54" s="677"/>
      <c r="U54" s="650"/>
      <c r="V54" s="677"/>
    </row>
    <row r="55" spans="1:42">
      <c r="A55" s="12" t="s">
        <v>75</v>
      </c>
      <c r="B55" s="13">
        <v>36.8703</v>
      </c>
      <c r="C55" s="9">
        <v>0.52280000000000004</v>
      </c>
      <c r="D55" s="9">
        <v>37.343699999999998</v>
      </c>
      <c r="E55" s="83">
        <f t="shared" si="6"/>
        <v>0.47339999999999804</v>
      </c>
      <c r="F55" s="48">
        <f t="shared" si="7"/>
        <v>9.4491201224181331</v>
      </c>
      <c r="G55" s="48">
        <f t="shared" si="8"/>
        <v>90.550879877581863</v>
      </c>
      <c r="H55" s="7">
        <v>24</v>
      </c>
      <c r="I55" s="665">
        <f>(F55+F56)/2</f>
        <v>9.3178140294634773</v>
      </c>
      <c r="J55" s="676">
        <f>(G55+G56)/2</f>
        <v>90.682185970536523</v>
      </c>
      <c r="K55" s="80"/>
      <c r="L55" s="722"/>
      <c r="M55" s="723"/>
      <c r="N55" s="723"/>
      <c r="O55" s="724"/>
      <c r="P55" s="87" t="s">
        <v>75</v>
      </c>
      <c r="Q55" s="9">
        <v>0.52280000000000004</v>
      </c>
      <c r="R55" s="83">
        <v>0.47339999999999804</v>
      </c>
      <c r="S55" s="48">
        <v>9.4491201224181331</v>
      </c>
      <c r="T55" s="676">
        <v>24</v>
      </c>
      <c r="U55" s="649">
        <v>9.3178140294634773</v>
      </c>
      <c r="V55" s="676">
        <v>90.682185970536523</v>
      </c>
    </row>
    <row r="56" spans="1:42">
      <c r="A56" s="19" t="s">
        <v>76</v>
      </c>
      <c r="B56" s="20">
        <v>36.371400000000001</v>
      </c>
      <c r="C56" s="16">
        <v>0.504</v>
      </c>
      <c r="D56" s="16">
        <v>36.829099999999997</v>
      </c>
      <c r="E56" s="88">
        <f t="shared" si="6"/>
        <v>0.45769999999999555</v>
      </c>
      <c r="F56" s="89">
        <f t="shared" si="7"/>
        <v>9.1865079365088196</v>
      </c>
      <c r="G56" s="89">
        <f t="shared" si="8"/>
        <v>90.813492063491182</v>
      </c>
      <c r="H56" s="20">
        <v>24</v>
      </c>
      <c r="I56" s="667"/>
      <c r="J56" s="677"/>
      <c r="K56" s="90"/>
      <c r="L56" s="725"/>
      <c r="M56" s="726"/>
      <c r="N56" s="726"/>
      <c r="O56" s="727"/>
      <c r="P56" s="24" t="s">
        <v>76</v>
      </c>
      <c r="Q56" s="16">
        <v>0.504</v>
      </c>
      <c r="R56" s="88">
        <v>0.45769999999999555</v>
      </c>
      <c r="S56" s="89">
        <v>9.1865079365088196</v>
      </c>
      <c r="T56" s="677"/>
      <c r="U56" s="650"/>
      <c r="V56" s="677"/>
    </row>
    <row r="57" spans="1:42">
      <c r="A57" s="91"/>
      <c r="W57" s="81"/>
    </row>
    <row r="58" spans="1:42">
      <c r="A58" s="91"/>
      <c r="P58" s="660" t="s">
        <v>77</v>
      </c>
      <c r="Q58" s="661"/>
      <c r="R58" s="661"/>
      <c r="S58" s="661"/>
      <c r="T58" s="661"/>
      <c r="W58" s="81"/>
    </row>
    <row r="59" spans="1:42">
      <c r="A59" s="686" t="s">
        <v>26</v>
      </c>
      <c r="B59" s="661"/>
      <c r="C59" s="661"/>
      <c r="D59" s="661"/>
      <c r="E59" s="661"/>
      <c r="F59" s="661"/>
      <c r="G59" s="661"/>
      <c r="H59" s="661"/>
      <c r="I59" s="662"/>
      <c r="J59" s="92"/>
      <c r="K59" s="689" t="s">
        <v>78</v>
      </c>
      <c r="L59" s="690"/>
      <c r="M59" s="690"/>
      <c r="N59" s="690"/>
      <c r="O59" s="691"/>
      <c r="P59" s="3" t="s">
        <v>79</v>
      </c>
      <c r="Q59" s="3" t="s">
        <v>8</v>
      </c>
      <c r="R59" s="3" t="s">
        <v>80</v>
      </c>
      <c r="S59" s="27" t="s">
        <v>81</v>
      </c>
      <c r="T59" s="3" t="s">
        <v>82</v>
      </c>
      <c r="U59" s="3" t="s">
        <v>65</v>
      </c>
      <c r="V59" s="3" t="s">
        <v>256</v>
      </c>
      <c r="W59" s="669" t="s">
        <v>257</v>
      </c>
      <c r="X59" s="670"/>
    </row>
    <row r="60" spans="1:42">
      <c r="A60" s="2" t="s">
        <v>27</v>
      </c>
      <c r="B60" s="3" t="s">
        <v>28</v>
      </c>
      <c r="C60" s="3" t="s">
        <v>29</v>
      </c>
      <c r="D60" s="3" t="s">
        <v>30</v>
      </c>
      <c r="E60" s="3" t="s">
        <v>31</v>
      </c>
      <c r="F60" s="3" t="s">
        <v>32</v>
      </c>
      <c r="G60" s="27" t="s">
        <v>33</v>
      </c>
      <c r="H60" s="3" t="s">
        <v>34</v>
      </c>
      <c r="I60" s="3" t="s">
        <v>35</v>
      </c>
      <c r="J60" s="80"/>
      <c r="K60" s="692"/>
      <c r="L60" s="693"/>
      <c r="M60" s="693"/>
      <c r="N60" s="693"/>
      <c r="O60" s="694"/>
      <c r="P60" s="87" t="s">
        <v>36</v>
      </c>
      <c r="Q60" s="41">
        <v>1.8278000000000001</v>
      </c>
      <c r="R60" s="23">
        <v>1.6495000000000033</v>
      </c>
      <c r="S60" s="25">
        <v>0.17829999999999679</v>
      </c>
      <c r="T60" s="10">
        <v>9.7548965970016841</v>
      </c>
      <c r="U60" s="84">
        <f>AVERAGE(T60:T63)</f>
        <v>9.801111884344035</v>
      </c>
      <c r="V60" s="84">
        <f>_xlfn.VAR.S(T60:T63)</f>
        <v>3.0558352871916761E-3</v>
      </c>
      <c r="W60" s="672">
        <f>V60/T62*100</f>
        <v>3.0987302238450681E-2</v>
      </c>
      <c r="X60" s="673"/>
    </row>
    <row r="61" spans="1:42">
      <c r="A61" s="12" t="s">
        <v>36</v>
      </c>
      <c r="B61" s="28">
        <v>38.558399999999999</v>
      </c>
      <c r="C61" s="29">
        <v>1.8278000000000001</v>
      </c>
      <c r="D61" s="30">
        <v>40.207900000000002</v>
      </c>
      <c r="E61" s="14">
        <f>D61-B61</f>
        <v>1.6495000000000033</v>
      </c>
      <c r="F61" s="31">
        <f>C61-E61</f>
        <v>0.17829999999999679</v>
      </c>
      <c r="G61" s="32">
        <f>(F61/C61)*100</f>
        <v>9.7548965970016841</v>
      </c>
      <c r="H61" s="14">
        <v>40.231000000000002</v>
      </c>
      <c r="I61" s="15">
        <f>H61-D61</f>
        <v>2.3099999999999454E-2</v>
      </c>
      <c r="J61" s="80"/>
      <c r="K61" s="692"/>
      <c r="L61" s="693"/>
      <c r="M61" s="693"/>
      <c r="N61" s="693"/>
      <c r="O61" s="694"/>
      <c r="P61" s="87" t="s">
        <v>37</v>
      </c>
      <c r="Q61" s="28">
        <v>1.8013999999999999</v>
      </c>
      <c r="R61" s="87">
        <v>1.6257000000000019</v>
      </c>
      <c r="S61" s="93">
        <v>0.17569999999999797</v>
      </c>
      <c r="T61" s="87">
        <v>9.7535250360829338</v>
      </c>
      <c r="W61" s="81"/>
    </row>
    <row r="62" spans="1:42">
      <c r="A62" s="12" t="s">
        <v>37</v>
      </c>
      <c r="B62" s="28">
        <v>40.826099999999997</v>
      </c>
      <c r="C62" s="29">
        <v>1.8013999999999999</v>
      </c>
      <c r="D62" s="30">
        <v>42.451799999999999</v>
      </c>
      <c r="E62" s="14">
        <f t="shared" ref="E62:E64" si="9">D62-B62</f>
        <v>1.6257000000000019</v>
      </c>
      <c r="F62" s="31">
        <f>C62-E62</f>
        <v>0.17569999999999797</v>
      </c>
      <c r="G62" s="32">
        <f>(F62/C62)*100</f>
        <v>9.7535250360829338</v>
      </c>
      <c r="H62" s="14">
        <v>42.474499999999999</v>
      </c>
      <c r="I62" s="15">
        <f>H62-D62</f>
        <v>2.2700000000000387E-2</v>
      </c>
      <c r="J62" s="80"/>
      <c r="K62" s="692"/>
      <c r="L62" s="693"/>
      <c r="M62" s="693"/>
      <c r="N62" s="693"/>
      <c r="O62" s="694"/>
      <c r="P62" s="87" t="s">
        <v>38</v>
      </c>
      <c r="Q62" s="28">
        <v>1.806</v>
      </c>
      <c r="R62" s="87">
        <v>1.6278999999999968</v>
      </c>
      <c r="S62" s="93">
        <v>0.17810000000000326</v>
      </c>
      <c r="T62" s="87">
        <v>9.8615725359913213</v>
      </c>
      <c r="W62" s="81"/>
    </row>
    <row r="63" spans="1:42">
      <c r="A63" s="12" t="s">
        <v>38</v>
      </c>
      <c r="B63" s="28">
        <v>32.418100000000003</v>
      </c>
      <c r="C63" s="29">
        <v>1.806</v>
      </c>
      <c r="D63" s="30">
        <v>34.045999999999999</v>
      </c>
      <c r="E63" s="14">
        <f t="shared" si="9"/>
        <v>1.6278999999999968</v>
      </c>
      <c r="F63" s="31">
        <f>C63-E63</f>
        <v>0.17810000000000326</v>
      </c>
      <c r="G63" s="32">
        <f>(F63/C63)*100</f>
        <v>9.8615725359913213</v>
      </c>
      <c r="H63" s="14">
        <v>34.071300000000001</v>
      </c>
      <c r="I63" s="15">
        <f>H63-D63</f>
        <v>2.5300000000001432E-2</v>
      </c>
      <c r="J63" s="80"/>
      <c r="K63" s="692"/>
      <c r="L63" s="693"/>
      <c r="M63" s="693"/>
      <c r="N63" s="693"/>
      <c r="O63" s="694"/>
      <c r="P63" s="24" t="s">
        <v>39</v>
      </c>
      <c r="Q63" s="33">
        <v>1.8303</v>
      </c>
      <c r="R63" s="24">
        <v>1.6503000000000014</v>
      </c>
      <c r="S63" s="26">
        <v>0.17999999999999861</v>
      </c>
      <c r="T63" s="24">
        <v>9.8344533683002027</v>
      </c>
      <c r="W63" s="81"/>
    </row>
    <row r="64" spans="1:42">
      <c r="A64" s="19" t="s">
        <v>39</v>
      </c>
      <c r="B64" s="33">
        <v>36.428100000000001</v>
      </c>
      <c r="C64" s="34">
        <v>1.8303</v>
      </c>
      <c r="D64" s="35">
        <v>38.078400000000002</v>
      </c>
      <c r="E64" s="21">
        <f t="shared" si="9"/>
        <v>1.6503000000000014</v>
      </c>
      <c r="F64" s="36">
        <f>C64-E64</f>
        <v>0.17999999999999861</v>
      </c>
      <c r="G64" s="37">
        <f>(F64/C64)*100</f>
        <v>9.8344533683002027</v>
      </c>
      <c r="H64" s="21">
        <v>38.1038</v>
      </c>
      <c r="I64" s="22">
        <f>H64-D64</f>
        <v>2.5399999999997647E-2</v>
      </c>
      <c r="J64" s="90"/>
      <c r="K64" s="695"/>
      <c r="L64" s="696"/>
      <c r="M64" s="696"/>
      <c r="N64" s="696"/>
      <c r="O64" s="697"/>
      <c r="W64" s="81"/>
    </row>
    <row r="65" spans="1:41">
      <c r="A65" s="91"/>
      <c r="W65" s="81"/>
    </row>
    <row r="66" spans="1:41">
      <c r="A66" s="705" t="s">
        <v>42</v>
      </c>
      <c r="B66" s="706"/>
      <c r="C66" s="706"/>
      <c r="D66" s="706"/>
      <c r="E66" s="706"/>
      <c r="F66" s="706"/>
      <c r="G66" s="706"/>
      <c r="H66" s="706"/>
      <c r="I66" s="706"/>
      <c r="J66" s="706"/>
      <c r="K66" s="706"/>
      <c r="L66" s="92"/>
      <c r="M66" s="707" t="s">
        <v>84</v>
      </c>
      <c r="N66" s="708"/>
      <c r="O66" s="708"/>
      <c r="P66" s="708"/>
      <c r="Q66" s="709"/>
      <c r="R66" s="741" t="s">
        <v>85</v>
      </c>
      <c r="S66" s="742"/>
      <c r="T66" s="742"/>
      <c r="U66" s="742"/>
      <c r="V66" s="743"/>
      <c r="W66" s="81"/>
    </row>
    <row r="67" spans="1:41">
      <c r="A67" s="2" t="s">
        <v>27</v>
      </c>
      <c r="B67" s="3" t="s">
        <v>28</v>
      </c>
      <c r="C67" s="3" t="s">
        <v>43</v>
      </c>
      <c r="D67" s="3" t="s">
        <v>44</v>
      </c>
      <c r="E67" s="3" t="s">
        <v>45</v>
      </c>
      <c r="F67" s="3" t="s">
        <v>46</v>
      </c>
      <c r="G67" s="3" t="s">
        <v>35</v>
      </c>
      <c r="H67" s="3" t="s">
        <v>47</v>
      </c>
      <c r="I67" s="3" t="s">
        <v>31</v>
      </c>
      <c r="J67" s="3" t="s">
        <v>48</v>
      </c>
      <c r="K67" s="3" t="s">
        <v>49</v>
      </c>
      <c r="L67" s="80"/>
      <c r="M67" s="710"/>
      <c r="N67" s="711"/>
      <c r="O67" s="711"/>
      <c r="P67" s="711"/>
      <c r="Q67" s="712"/>
      <c r="R67" s="3" t="s">
        <v>79</v>
      </c>
      <c r="S67" s="94" t="s">
        <v>254</v>
      </c>
      <c r="T67" s="94" t="s">
        <v>80</v>
      </c>
      <c r="U67" s="94" t="s">
        <v>255</v>
      </c>
      <c r="V67" s="95" t="s">
        <v>49</v>
      </c>
      <c r="W67" s="3" t="s">
        <v>65</v>
      </c>
      <c r="X67" s="3" t="s">
        <v>256</v>
      </c>
      <c r="Y67" s="669" t="s">
        <v>257</v>
      </c>
      <c r="Z67" s="670"/>
    </row>
    <row r="68" spans="1:41">
      <c r="A68" s="12" t="s">
        <v>36</v>
      </c>
      <c r="B68" s="41">
        <v>38.558399999999999</v>
      </c>
      <c r="C68" s="42">
        <v>40.207900000000002</v>
      </c>
      <c r="D68" s="43">
        <v>40.231000000000002</v>
      </c>
      <c r="E68" s="48">
        <f>D68-B68</f>
        <v>1.6726000000000028</v>
      </c>
      <c r="F68" s="48">
        <f>C68-B68</f>
        <v>1.6495000000000033</v>
      </c>
      <c r="G68" s="48">
        <f>E68-F68</f>
        <v>2.3099999999999454E-2</v>
      </c>
      <c r="H68" s="28">
        <v>39.04</v>
      </c>
      <c r="I68" s="29">
        <f>H68-B68</f>
        <v>0.48160000000000025</v>
      </c>
      <c r="J68" s="30">
        <f>F68-I68</f>
        <v>1.167900000000003</v>
      </c>
      <c r="K68" s="15">
        <f>(J68/F68)*100</f>
        <v>70.803273719308919</v>
      </c>
      <c r="L68" s="80"/>
      <c r="M68" s="710"/>
      <c r="N68" s="711"/>
      <c r="O68" s="711"/>
      <c r="P68" s="711"/>
      <c r="Q68" s="712"/>
      <c r="R68" s="96" t="s">
        <v>36</v>
      </c>
      <c r="S68" s="97">
        <v>1.6495000000000033</v>
      </c>
      <c r="T68" s="98">
        <v>0.48160000000000025</v>
      </c>
      <c r="U68" s="97">
        <v>1.167900000000003</v>
      </c>
      <c r="V68" s="50">
        <v>70.803273719308919</v>
      </c>
      <c r="W68" s="158">
        <f>AVERAGE(V68:V71)</f>
        <v>70.918573277431548</v>
      </c>
      <c r="X68" s="84">
        <f>_xlfn.VAR.S(V68:V71)</f>
        <v>5.4185653229612218E-2</v>
      </c>
      <c r="Y68" s="672">
        <f>X68/V70*100</f>
        <v>7.6186582218418925E-2</v>
      </c>
      <c r="Z68" s="673"/>
    </row>
    <row r="69" spans="1:41">
      <c r="A69" s="12" t="s">
        <v>37</v>
      </c>
      <c r="B69" s="28">
        <v>40.826099999999997</v>
      </c>
      <c r="C69" s="29">
        <v>42.451799999999999</v>
      </c>
      <c r="D69" s="30">
        <v>42.474499999999999</v>
      </c>
      <c r="E69" s="48">
        <f t="shared" ref="E69:E71" si="10">D69-B69</f>
        <v>1.6484000000000023</v>
      </c>
      <c r="F69" s="48">
        <f t="shared" ref="F69:F71" si="11">C69-B69</f>
        <v>1.6257000000000019</v>
      </c>
      <c r="G69" s="48">
        <f t="shared" ref="G69:G71" si="12">E69-F69</f>
        <v>2.2700000000000387E-2</v>
      </c>
      <c r="H69" s="28">
        <v>41.3033</v>
      </c>
      <c r="I69" s="29">
        <f t="shared" ref="I69:I71" si="13">H69-B69</f>
        <v>0.4772000000000034</v>
      </c>
      <c r="J69" s="30">
        <f t="shared" ref="J69:J71" si="14">F69-I69</f>
        <v>1.1484999999999985</v>
      </c>
      <c r="K69" s="15">
        <f t="shared" ref="K69:K71" si="15">(J69/F69)*100</f>
        <v>70.646490742449231</v>
      </c>
      <c r="L69" s="80"/>
      <c r="M69" s="710"/>
      <c r="N69" s="711"/>
      <c r="O69" s="711"/>
      <c r="P69" s="711"/>
      <c r="Q69" s="712"/>
      <c r="R69" s="96" t="s">
        <v>37</v>
      </c>
      <c r="S69" s="97">
        <v>1.6257000000000019</v>
      </c>
      <c r="T69" s="98">
        <v>0.4772000000000034</v>
      </c>
      <c r="U69" s="97">
        <v>1.1484999999999985</v>
      </c>
      <c r="V69" s="50">
        <v>70.646490742449231</v>
      </c>
      <c r="W69" s="81"/>
    </row>
    <row r="70" spans="1:41" ht="15" thickBot="1">
      <c r="A70" s="12" t="s">
        <v>38</v>
      </c>
      <c r="B70" s="28">
        <v>32.418100000000003</v>
      </c>
      <c r="C70" s="29">
        <v>34.045999999999999</v>
      </c>
      <c r="D70" s="30">
        <v>34.071300000000001</v>
      </c>
      <c r="E70" s="48">
        <f t="shared" si="10"/>
        <v>1.6531999999999982</v>
      </c>
      <c r="F70" s="48">
        <f t="shared" si="11"/>
        <v>1.6278999999999968</v>
      </c>
      <c r="G70" s="48">
        <f t="shared" si="12"/>
        <v>2.5300000000001432E-2</v>
      </c>
      <c r="H70" s="28">
        <v>32.888199999999998</v>
      </c>
      <c r="I70" s="29">
        <f t="shared" si="13"/>
        <v>0.47009999999999508</v>
      </c>
      <c r="J70" s="30">
        <f t="shared" si="14"/>
        <v>1.1578000000000017</v>
      </c>
      <c r="K70" s="15">
        <f t="shared" si="15"/>
        <v>71.122304809878003</v>
      </c>
      <c r="L70" s="80"/>
      <c r="M70" s="710"/>
      <c r="N70" s="711"/>
      <c r="O70" s="711"/>
      <c r="P70" s="711"/>
      <c r="Q70" s="712"/>
      <c r="R70" s="96" t="s">
        <v>38</v>
      </c>
      <c r="S70" s="97">
        <v>1.6278999999999968</v>
      </c>
      <c r="T70" s="98">
        <v>0.47009999999999508</v>
      </c>
      <c r="U70" s="97">
        <v>1.1578000000000017</v>
      </c>
      <c r="V70" s="50">
        <v>71.122304809878003</v>
      </c>
      <c r="W70" s="81"/>
    </row>
    <row r="71" spans="1:41">
      <c r="A71" s="19" t="s">
        <v>39</v>
      </c>
      <c r="B71" s="33">
        <v>36.428100000000001</v>
      </c>
      <c r="C71" s="34">
        <v>38.078400000000002</v>
      </c>
      <c r="D71" s="35">
        <v>38.1038</v>
      </c>
      <c r="E71" s="89">
        <f t="shared" si="10"/>
        <v>1.6756999999999991</v>
      </c>
      <c r="F71" s="89">
        <f t="shared" si="11"/>
        <v>1.6503000000000014</v>
      </c>
      <c r="G71" s="89">
        <f t="shared" si="12"/>
        <v>2.5399999999997647E-2</v>
      </c>
      <c r="H71" s="33">
        <v>36.905000000000001</v>
      </c>
      <c r="I71" s="34">
        <f t="shared" si="13"/>
        <v>0.47690000000000055</v>
      </c>
      <c r="J71" s="35">
        <f t="shared" si="14"/>
        <v>1.1734000000000009</v>
      </c>
      <c r="K71" s="22">
        <f t="shared" si="15"/>
        <v>71.10222383809004</v>
      </c>
      <c r="L71" s="90"/>
      <c r="M71" s="713"/>
      <c r="N71" s="714"/>
      <c r="O71" s="714"/>
      <c r="P71" s="714"/>
      <c r="Q71" s="715"/>
      <c r="R71" s="99" t="s">
        <v>39</v>
      </c>
      <c r="S71" s="100">
        <v>1.6503000000000014</v>
      </c>
      <c r="T71" s="101">
        <v>0.47690000000000055</v>
      </c>
      <c r="U71" s="100">
        <v>1.1734000000000009</v>
      </c>
      <c r="V71" s="67">
        <v>71.10222383809004</v>
      </c>
      <c r="W71" s="81"/>
      <c r="AB71" s="660" t="s">
        <v>262</v>
      </c>
      <c r="AC71" s="661"/>
      <c r="AD71" s="661"/>
      <c r="AE71" s="661"/>
      <c r="AF71" s="661"/>
      <c r="AG71" s="662"/>
      <c r="AI71" s="49" t="s">
        <v>27</v>
      </c>
      <c r="AJ71" s="446" t="s">
        <v>28</v>
      </c>
      <c r="AK71" s="27" t="s">
        <v>51</v>
      </c>
      <c r="AL71" s="446" t="s">
        <v>52</v>
      </c>
      <c r="AM71" s="27" t="s">
        <v>45</v>
      </c>
      <c r="AN71" s="446" t="s">
        <v>46</v>
      </c>
      <c r="AO71" s="430" t="s">
        <v>35</v>
      </c>
    </row>
    <row r="72" spans="1:41">
      <c r="A72" s="91"/>
      <c r="W72" s="81"/>
      <c r="AB72" s="456" t="s">
        <v>40</v>
      </c>
      <c r="AC72" s="455" t="s">
        <v>41</v>
      </c>
      <c r="AD72" s="455" t="s">
        <v>59</v>
      </c>
      <c r="AE72" s="440" t="s">
        <v>53</v>
      </c>
      <c r="AF72" s="3" t="s">
        <v>60</v>
      </c>
      <c r="AG72" s="3" t="s">
        <v>61</v>
      </c>
      <c r="AI72" s="38" t="s">
        <v>36</v>
      </c>
      <c r="AJ72" s="451">
        <v>38.558399999999999</v>
      </c>
      <c r="AK72" s="29">
        <v>39.04</v>
      </c>
      <c r="AL72" s="449">
        <v>39.063600000000001</v>
      </c>
      <c r="AM72" s="52">
        <f>AL72-AJ72</f>
        <v>0.50520000000000209</v>
      </c>
      <c r="AN72" s="447">
        <f>AK72-AJ72</f>
        <v>0.48160000000000025</v>
      </c>
      <c r="AO72" s="31">
        <f>AM72-AN72</f>
        <v>2.3600000000001842E-2</v>
      </c>
    </row>
    <row r="73" spans="1:41">
      <c r="A73" s="91"/>
      <c r="W73" s="81"/>
      <c r="AB73" s="38" t="s">
        <v>36</v>
      </c>
      <c r="AC73" s="41">
        <v>38.558399999999999</v>
      </c>
      <c r="AD73" s="43">
        <v>0.48160000000000025</v>
      </c>
      <c r="AE73" s="41">
        <v>38.731299999999997</v>
      </c>
      <c r="AF73" s="32">
        <v>0.30870000000000175</v>
      </c>
      <c r="AG73" s="50">
        <v>0.1728999999999985</v>
      </c>
      <c r="AI73" s="38" t="s">
        <v>37</v>
      </c>
      <c r="AJ73" s="451">
        <v>40.826099999999997</v>
      </c>
      <c r="AK73" s="29">
        <v>41.3033</v>
      </c>
      <c r="AL73" s="449">
        <v>41.326700000000002</v>
      </c>
      <c r="AM73" s="52">
        <f t="shared" ref="AM73:AM75" si="16">AL73-AJ73</f>
        <v>0.50060000000000571</v>
      </c>
      <c r="AN73" s="447">
        <f t="shared" ref="AN73:AN75" si="17">AK73-AJ73</f>
        <v>0.4772000000000034</v>
      </c>
      <c r="AO73" s="31">
        <f t="shared" ref="AO73:AO75" si="18">AM73-AN73</f>
        <v>2.3400000000002308E-2</v>
      </c>
    </row>
    <row r="74" spans="1:41">
      <c r="A74" s="91"/>
      <c r="W74" s="81"/>
      <c r="AB74" s="38" t="s">
        <v>37</v>
      </c>
      <c r="AC74" s="28">
        <v>40.826099999999997</v>
      </c>
      <c r="AD74" s="30">
        <v>0.4772000000000034</v>
      </c>
      <c r="AE74" s="28">
        <v>41.02</v>
      </c>
      <c r="AF74" s="32">
        <v>0.283299999999997</v>
      </c>
      <c r="AG74" s="50">
        <v>0.1939000000000064</v>
      </c>
      <c r="AI74" s="38" t="s">
        <v>38</v>
      </c>
      <c r="AJ74" s="451">
        <v>32.418100000000003</v>
      </c>
      <c r="AK74" s="29">
        <v>32.888199999999998</v>
      </c>
      <c r="AL74" s="449">
        <v>32.912100000000002</v>
      </c>
      <c r="AM74" s="52">
        <f t="shared" si="16"/>
        <v>0.49399999999999977</v>
      </c>
      <c r="AN74" s="447">
        <f t="shared" si="17"/>
        <v>0.47009999999999508</v>
      </c>
      <c r="AO74" s="31">
        <f t="shared" si="18"/>
        <v>2.3900000000004695E-2</v>
      </c>
    </row>
    <row r="75" spans="1:41" ht="15" thickBot="1">
      <c r="A75" s="700" t="s">
        <v>50</v>
      </c>
      <c r="B75" s="718"/>
      <c r="C75" s="701"/>
      <c r="D75" s="718"/>
      <c r="E75" s="701"/>
      <c r="F75" s="718"/>
      <c r="G75" s="701"/>
      <c r="H75" s="701"/>
      <c r="I75" s="701"/>
      <c r="J75" s="701"/>
      <c r="K75" s="701"/>
      <c r="L75" s="701"/>
      <c r="M75" s="701"/>
      <c r="N75" s="701"/>
      <c r="O75" s="701"/>
      <c r="P75" s="701"/>
      <c r="Q75" s="701"/>
      <c r="R75" s="701"/>
      <c r="S75" s="701"/>
      <c r="T75" s="701"/>
      <c r="U75" s="701"/>
      <c r="V75" s="702"/>
      <c r="W75" s="81"/>
      <c r="AB75" s="38" t="s">
        <v>38</v>
      </c>
      <c r="AC75" s="28">
        <v>32.418100000000003</v>
      </c>
      <c r="AD75" s="30">
        <v>0.47009999999999508</v>
      </c>
      <c r="AE75" s="28">
        <v>32.590200000000003</v>
      </c>
      <c r="AF75" s="32">
        <v>0.29799999999999471</v>
      </c>
      <c r="AG75" s="50">
        <v>0.17210000000000036</v>
      </c>
      <c r="AI75" s="39" t="s">
        <v>39</v>
      </c>
      <c r="AJ75" s="452">
        <v>36.428100000000001</v>
      </c>
      <c r="AK75" s="29">
        <v>36.905000000000001</v>
      </c>
      <c r="AL75" s="450">
        <v>36.929000000000002</v>
      </c>
      <c r="AM75" s="69">
        <f t="shared" si="16"/>
        <v>0.50090000000000146</v>
      </c>
      <c r="AN75" s="448">
        <f t="shared" si="17"/>
        <v>0.47690000000000055</v>
      </c>
      <c r="AO75" s="36">
        <f t="shared" si="18"/>
        <v>2.4000000000000909E-2</v>
      </c>
    </row>
    <row r="76" spans="1:41">
      <c r="A76" s="49" t="s">
        <v>27</v>
      </c>
      <c r="B76" s="446" t="s">
        <v>28</v>
      </c>
      <c r="C76" s="27" t="s">
        <v>51</v>
      </c>
      <c r="D76" s="446" t="s">
        <v>52</v>
      </c>
      <c r="E76" s="27" t="s">
        <v>45</v>
      </c>
      <c r="F76" s="446" t="s">
        <v>46</v>
      </c>
      <c r="G76" s="430" t="s">
        <v>35</v>
      </c>
      <c r="H76" s="3" t="s">
        <v>53</v>
      </c>
      <c r="I76" s="3" t="s">
        <v>54</v>
      </c>
      <c r="J76" s="3" t="s">
        <v>55</v>
      </c>
      <c r="K76" s="3" t="s">
        <v>56</v>
      </c>
      <c r="L76" s="3" t="s">
        <v>57</v>
      </c>
      <c r="M76" s="3" t="s">
        <v>58</v>
      </c>
      <c r="N76" s="3" t="s">
        <v>56</v>
      </c>
      <c r="O76" s="3" t="s">
        <v>57</v>
      </c>
      <c r="P76" s="3" t="s">
        <v>58</v>
      </c>
      <c r="Q76" s="3" t="s">
        <v>56</v>
      </c>
      <c r="R76" s="3" t="s">
        <v>57</v>
      </c>
      <c r="S76" s="3" t="s">
        <v>58</v>
      </c>
      <c r="T76" s="3" t="s">
        <v>56</v>
      </c>
      <c r="U76" s="3" t="s">
        <v>57</v>
      </c>
      <c r="V76" s="3" t="s">
        <v>58</v>
      </c>
      <c r="W76" s="81"/>
      <c r="AB76" s="39" t="s">
        <v>39</v>
      </c>
      <c r="AC76" s="33">
        <v>36.428100000000001</v>
      </c>
      <c r="AD76" s="35">
        <v>0.47690000000000055</v>
      </c>
      <c r="AE76" s="33">
        <v>36.6</v>
      </c>
      <c r="AF76" s="37">
        <v>0.30499999999999972</v>
      </c>
      <c r="AG76" s="67">
        <v>0.17190000000000083</v>
      </c>
      <c r="AJ76" s="446" t="s">
        <v>53</v>
      </c>
      <c r="AK76" s="446" t="s">
        <v>54</v>
      </c>
      <c r="AL76" s="446" t="s">
        <v>55</v>
      </c>
      <c r="AM76" s="430" t="s">
        <v>56</v>
      </c>
      <c r="AN76" s="453" t="s">
        <v>57</v>
      </c>
      <c r="AO76" s="3" t="s">
        <v>58</v>
      </c>
    </row>
    <row r="77" spans="1:41">
      <c r="A77" s="38" t="s">
        <v>36</v>
      </c>
      <c r="B77" s="451">
        <v>38.558399999999999</v>
      </c>
      <c r="C77" s="29">
        <v>39.04</v>
      </c>
      <c r="D77" s="449">
        <v>39.063600000000001</v>
      </c>
      <c r="E77" s="52">
        <f>D77-B77</f>
        <v>0.50520000000000209</v>
      </c>
      <c r="F77" s="447">
        <f>C77-B77</f>
        <v>0.48160000000000025</v>
      </c>
      <c r="G77" s="31">
        <f>E77-F77</f>
        <v>2.3600000000001842E-2</v>
      </c>
      <c r="H77" s="53">
        <v>38.731299999999997</v>
      </c>
      <c r="I77" s="45">
        <f>H77-B77</f>
        <v>0.1728999999999985</v>
      </c>
      <c r="J77" s="54">
        <f>F77-I77</f>
        <v>0.30870000000000175</v>
      </c>
      <c r="K77" s="55">
        <v>38.730899999999998</v>
      </c>
      <c r="L77" s="56">
        <f>K77-B77</f>
        <v>0.17249999999999943</v>
      </c>
      <c r="M77" s="44">
        <f>F77-L77</f>
        <v>0.30910000000000082</v>
      </c>
      <c r="N77" s="57">
        <v>38.729100000000003</v>
      </c>
      <c r="O77" s="58">
        <f>N77-B77</f>
        <v>0.17070000000000363</v>
      </c>
      <c r="P77" s="59">
        <f>F77-O77</f>
        <v>0.31089999999999662</v>
      </c>
      <c r="Q77" s="60">
        <v>38.729900000000001</v>
      </c>
      <c r="R77" s="61">
        <f>Q77-B77</f>
        <v>0.17150000000000176</v>
      </c>
      <c r="S77" s="62">
        <f>F77-R77</f>
        <v>0.31009999999999849</v>
      </c>
      <c r="T77" s="57"/>
      <c r="U77" s="58"/>
      <c r="V77" s="59"/>
      <c r="W77" s="81"/>
      <c r="AB77" s="49" t="s">
        <v>40</v>
      </c>
      <c r="AC77" s="102" t="s">
        <v>263</v>
      </c>
      <c r="AD77" s="641" t="s">
        <v>264</v>
      </c>
      <c r="AE77" s="642"/>
      <c r="AF77" s="5" t="s">
        <v>265</v>
      </c>
      <c r="AG77" s="443"/>
      <c r="AJ77" s="454">
        <v>38.731299999999997</v>
      </c>
      <c r="AK77" s="454">
        <v>0.1728999999999985</v>
      </c>
      <c r="AL77" s="454">
        <v>0.30870000000000175</v>
      </c>
      <c r="AM77" s="56">
        <v>38.730899999999998</v>
      </c>
      <c r="AN77" s="56">
        <v>0.17249999999999943</v>
      </c>
      <c r="AO77" s="44">
        <v>0.30910000000000082</v>
      </c>
    </row>
    <row r="78" spans="1:41">
      <c r="A78" s="38" t="s">
        <v>37</v>
      </c>
      <c r="B78" s="451">
        <v>40.826099999999997</v>
      </c>
      <c r="C78" s="29">
        <v>41.3033</v>
      </c>
      <c r="D78" s="449">
        <v>41.326700000000002</v>
      </c>
      <c r="E78" s="52">
        <f t="shared" ref="E78:E80" si="19">D78-B78</f>
        <v>0.50060000000000571</v>
      </c>
      <c r="F78" s="447">
        <f t="shared" ref="F78:F80" si="20">C78-B78</f>
        <v>0.4772000000000034</v>
      </c>
      <c r="G78" s="31">
        <f t="shared" ref="G78:G80" si="21">E78-F78</f>
        <v>2.3400000000002308E-2</v>
      </c>
      <c r="H78" s="63">
        <v>41.02</v>
      </c>
      <c r="I78" s="32">
        <f t="shared" ref="I78:I80" si="22">H78-B78</f>
        <v>0.1939000000000064</v>
      </c>
      <c r="J78" s="50">
        <f t="shared" ref="J78:J80" si="23">F78-I78</f>
        <v>0.283299999999997</v>
      </c>
      <c r="K78" s="51">
        <v>40.997500000000002</v>
      </c>
      <c r="L78" s="52">
        <f t="shared" ref="L78:L80" si="24">K78-B78</f>
        <v>0.17140000000000555</v>
      </c>
      <c r="M78" s="31">
        <f t="shared" ref="M78:M80" si="25">F78-L78</f>
        <v>0.30579999999999785</v>
      </c>
      <c r="N78" s="57">
        <v>40.995899999999999</v>
      </c>
      <c r="O78" s="58">
        <f t="shared" ref="O78:O80" si="26">N78-B78</f>
        <v>0.16980000000000217</v>
      </c>
      <c r="P78" s="59">
        <f t="shared" ref="P78:P80" si="27">F78-O78</f>
        <v>0.30740000000000123</v>
      </c>
      <c r="Q78" s="64">
        <v>40.996000000000002</v>
      </c>
      <c r="R78" s="65">
        <f t="shared" ref="R78:R80" si="28">Q78-B78</f>
        <v>0.16990000000000549</v>
      </c>
      <c r="S78" s="66">
        <f t="shared" ref="S78:S80" si="29">F78-R78</f>
        <v>0.30729999999999791</v>
      </c>
      <c r="T78" s="57"/>
      <c r="U78" s="58"/>
      <c r="V78" s="59"/>
      <c r="W78" s="81"/>
      <c r="AB78" s="38" t="s">
        <v>36</v>
      </c>
      <c r="AC78" s="55">
        <v>38.730899999999998</v>
      </c>
      <c r="AD78" s="758">
        <v>0.30910000000000082</v>
      </c>
      <c r="AE78" s="759">
        <v>0.30910000000000082</v>
      </c>
      <c r="AF78" s="346">
        <v>0.17249999999999943</v>
      </c>
      <c r="AG78" s="443"/>
      <c r="AJ78" s="449">
        <v>41.02</v>
      </c>
      <c r="AK78" s="449">
        <v>0.1939000000000064</v>
      </c>
      <c r="AL78" s="449">
        <v>0.283299999999997</v>
      </c>
      <c r="AM78" s="52">
        <v>40.997500000000002</v>
      </c>
      <c r="AN78" s="52">
        <v>0.17140000000000555</v>
      </c>
      <c r="AO78" s="31">
        <v>0.30579999999999785</v>
      </c>
    </row>
    <row r="79" spans="1:41">
      <c r="A79" s="38" t="s">
        <v>38</v>
      </c>
      <c r="B79" s="451">
        <v>32.418100000000003</v>
      </c>
      <c r="C79" s="29">
        <v>32.888199999999998</v>
      </c>
      <c r="D79" s="449">
        <v>32.912100000000002</v>
      </c>
      <c r="E79" s="52">
        <f t="shared" si="19"/>
        <v>0.49399999999999977</v>
      </c>
      <c r="F79" s="447">
        <f t="shared" si="20"/>
        <v>0.47009999999999508</v>
      </c>
      <c r="G79" s="31">
        <f t="shared" si="21"/>
        <v>2.3900000000004695E-2</v>
      </c>
      <c r="H79" s="63">
        <v>32.590200000000003</v>
      </c>
      <c r="I79" s="32">
        <f t="shared" si="22"/>
        <v>0.17210000000000036</v>
      </c>
      <c r="J79" s="50">
        <f t="shared" si="23"/>
        <v>0.29799999999999471</v>
      </c>
      <c r="K79" s="51">
        <v>32.589700000000001</v>
      </c>
      <c r="L79" s="52">
        <f t="shared" si="24"/>
        <v>0.17159999999999798</v>
      </c>
      <c r="M79" s="31">
        <f t="shared" si="25"/>
        <v>0.2984999999999971</v>
      </c>
      <c r="N79" s="57">
        <v>32.588200000000001</v>
      </c>
      <c r="O79" s="58">
        <f t="shared" si="26"/>
        <v>0.17009999999999792</v>
      </c>
      <c r="P79" s="59">
        <f t="shared" si="27"/>
        <v>0.29999999999999716</v>
      </c>
      <c r="Q79" s="64">
        <v>32.588500000000003</v>
      </c>
      <c r="R79" s="65">
        <f t="shared" si="28"/>
        <v>0.17040000000000077</v>
      </c>
      <c r="S79" s="66">
        <f t="shared" si="29"/>
        <v>0.2996999999999943</v>
      </c>
      <c r="T79" s="57"/>
      <c r="U79" s="58"/>
      <c r="V79" s="59"/>
      <c r="W79" s="81"/>
      <c r="AB79" s="38" t="s">
        <v>37</v>
      </c>
      <c r="AC79" s="51">
        <v>40.997500000000002</v>
      </c>
      <c r="AD79" s="680">
        <v>0.30579999999999785</v>
      </c>
      <c r="AE79" s="681">
        <v>0.30579999999999785</v>
      </c>
      <c r="AF79" s="97">
        <v>0.17140000000000555</v>
      </c>
      <c r="AG79" s="443"/>
      <c r="AJ79" s="449">
        <v>32.590200000000003</v>
      </c>
      <c r="AK79" s="449">
        <v>0.17210000000000036</v>
      </c>
      <c r="AL79" s="449">
        <v>0.29799999999999471</v>
      </c>
      <c r="AM79" s="52">
        <v>32.589700000000001</v>
      </c>
      <c r="AN79" s="52">
        <v>0.17159999999999798</v>
      </c>
      <c r="AO79" s="31">
        <v>0.2984999999999971</v>
      </c>
    </row>
    <row r="80" spans="1:41" ht="15" thickBot="1">
      <c r="A80" s="39" t="s">
        <v>39</v>
      </c>
      <c r="B80" s="452">
        <v>36.428100000000001</v>
      </c>
      <c r="C80" s="34">
        <v>36.905000000000001</v>
      </c>
      <c r="D80" s="450">
        <v>36.929000000000002</v>
      </c>
      <c r="E80" s="69">
        <f t="shared" si="19"/>
        <v>0.50090000000000146</v>
      </c>
      <c r="F80" s="448">
        <f t="shared" si="20"/>
        <v>0.47690000000000055</v>
      </c>
      <c r="G80" s="36">
        <f t="shared" si="21"/>
        <v>2.4000000000000909E-2</v>
      </c>
      <c r="H80" s="70">
        <v>36.6</v>
      </c>
      <c r="I80" s="37">
        <f t="shared" si="22"/>
        <v>0.17190000000000083</v>
      </c>
      <c r="J80" s="67">
        <f t="shared" si="23"/>
        <v>0.30499999999999972</v>
      </c>
      <c r="K80" s="68">
        <v>36.599899999999998</v>
      </c>
      <c r="L80" s="69">
        <f t="shared" si="24"/>
        <v>0.17179999999999751</v>
      </c>
      <c r="M80" s="36">
        <f t="shared" si="25"/>
        <v>0.30510000000000304</v>
      </c>
      <c r="N80" s="71">
        <v>36.598199999999999</v>
      </c>
      <c r="O80" s="58">
        <f t="shared" si="26"/>
        <v>0.17009999999999792</v>
      </c>
      <c r="P80" s="59">
        <f t="shared" si="27"/>
        <v>0.30680000000000263</v>
      </c>
      <c r="Q80" s="72">
        <v>36.598500000000001</v>
      </c>
      <c r="R80" s="73">
        <f t="shared" si="28"/>
        <v>0.17040000000000077</v>
      </c>
      <c r="S80" s="74">
        <f t="shared" si="29"/>
        <v>0.30649999999999977</v>
      </c>
      <c r="T80" s="71"/>
      <c r="U80" s="75"/>
      <c r="V80" s="76"/>
      <c r="W80" s="81"/>
      <c r="AB80" s="38" t="s">
        <v>38</v>
      </c>
      <c r="AC80" s="51">
        <v>32.589700000000001</v>
      </c>
      <c r="AD80" s="680">
        <v>0.2984999999999971</v>
      </c>
      <c r="AE80" s="681">
        <v>0.2984999999999971</v>
      </c>
      <c r="AF80" s="97">
        <v>0.17159999999999798</v>
      </c>
      <c r="AJ80" s="450">
        <v>36.6</v>
      </c>
      <c r="AK80" s="450">
        <v>0.17190000000000083</v>
      </c>
      <c r="AL80" s="450">
        <v>0.30499999999999972</v>
      </c>
      <c r="AM80" s="69">
        <v>36.599899999999998</v>
      </c>
      <c r="AN80" s="69">
        <v>0.17179999999999751</v>
      </c>
      <c r="AO80" s="36">
        <v>0.30510000000000304</v>
      </c>
    </row>
    <row r="81" spans="1:41">
      <c r="A81" s="91"/>
      <c r="H81" s="698" t="s">
        <v>88</v>
      </c>
      <c r="I81" s="699"/>
      <c r="J81" s="94" t="s">
        <v>89</v>
      </c>
      <c r="K81" s="698" t="s">
        <v>88</v>
      </c>
      <c r="L81" s="699"/>
      <c r="M81" s="95" t="s">
        <v>89</v>
      </c>
      <c r="N81" s="698" t="s">
        <v>88</v>
      </c>
      <c r="O81" s="699"/>
      <c r="P81" s="95" t="s">
        <v>89</v>
      </c>
      <c r="Q81" s="698" t="s">
        <v>88</v>
      </c>
      <c r="R81" s="699"/>
      <c r="S81" s="95" t="s">
        <v>89</v>
      </c>
      <c r="W81" s="81"/>
      <c r="AB81" s="39" t="s">
        <v>39</v>
      </c>
      <c r="AC81" s="68">
        <v>36.599899999999998</v>
      </c>
      <c r="AD81" s="680">
        <v>0.30510000000000304</v>
      </c>
      <c r="AE81" s="681">
        <v>0.30510000000000304</v>
      </c>
      <c r="AF81" s="100">
        <v>0.17179999999999751</v>
      </c>
      <c r="AJ81" s="453" t="s">
        <v>56</v>
      </c>
      <c r="AK81" s="453" t="s">
        <v>57</v>
      </c>
      <c r="AL81" s="453" t="s">
        <v>58</v>
      </c>
      <c r="AM81" s="3" t="s">
        <v>56</v>
      </c>
      <c r="AN81" s="3" t="s">
        <v>57</v>
      </c>
      <c r="AO81" s="3" t="s">
        <v>58</v>
      </c>
    </row>
    <row r="82" spans="1:41">
      <c r="A82" s="91"/>
      <c r="H82" s="103">
        <f>(J77/F77)*100</f>
        <v>64.098837209302644</v>
      </c>
      <c r="I82" s="104"/>
      <c r="J82" s="105">
        <f>SUM(H82:H85)/4</f>
        <v>62.702863569136831</v>
      </c>
      <c r="K82" s="103">
        <f>(M77/F77)*100</f>
        <v>64.181893687707785</v>
      </c>
      <c r="L82" s="104"/>
      <c r="M82" s="105">
        <f>SUM(K82:K85)/4</f>
        <v>63.934211012870847</v>
      </c>
      <c r="N82" s="103">
        <f>(P77/F77)*100</f>
        <v>64.555647840530824</v>
      </c>
      <c r="O82" s="104"/>
      <c r="P82" s="105">
        <f>SUM(N82:N85)/4</f>
        <v>64.280359324803271</v>
      </c>
      <c r="Q82" s="103">
        <f>(S77/F77)*100</f>
        <v>64.389534883720572</v>
      </c>
      <c r="R82" s="104"/>
      <c r="S82" s="105">
        <f>SUM(Q82:Q85)/4</f>
        <v>64.201911572310706</v>
      </c>
      <c r="W82" s="81"/>
      <c r="AB82" s="49" t="s">
        <v>40</v>
      </c>
      <c r="AC82" s="4" t="s">
        <v>266</v>
      </c>
      <c r="AD82" s="638" t="s">
        <v>267</v>
      </c>
      <c r="AE82" s="640"/>
      <c r="AF82" s="3" t="s">
        <v>268</v>
      </c>
      <c r="AG82" s="443"/>
      <c r="AJ82" s="57">
        <v>38.729100000000003</v>
      </c>
      <c r="AK82" s="127">
        <v>0.17070000000000363</v>
      </c>
      <c r="AL82" s="127">
        <v>0.31089999999999662</v>
      </c>
      <c r="AM82" s="60">
        <v>38.729900000000001</v>
      </c>
      <c r="AN82" s="61">
        <v>0.17150000000000176</v>
      </c>
      <c r="AO82" s="62">
        <v>0.31009999999999849</v>
      </c>
    </row>
    <row r="83" spans="1:41">
      <c r="A83" s="91"/>
      <c r="H83" s="103">
        <f t="shared" ref="H83:H85" si="30">(J78/F78)*100</f>
        <v>59.367141659680421</v>
      </c>
      <c r="I83" s="104"/>
      <c r="J83" s="106"/>
      <c r="K83" s="103">
        <f t="shared" ref="K83:K85" si="31">(M78/F78)*100</f>
        <v>64.082145850795399</v>
      </c>
      <c r="L83" s="104"/>
      <c r="M83" s="106"/>
      <c r="N83" s="103">
        <f t="shared" ref="N83:N85" si="32">(P78/F78)*100</f>
        <v>64.417435037719827</v>
      </c>
      <c r="O83" s="104"/>
      <c r="P83" s="106"/>
      <c r="Q83" s="103">
        <f t="shared" ref="Q83:Q85" si="33">(S78/F78)*100</f>
        <v>64.396479463536409</v>
      </c>
      <c r="R83" s="104"/>
      <c r="S83" s="106"/>
      <c r="W83" s="81"/>
      <c r="AB83" s="38" t="s">
        <v>36</v>
      </c>
      <c r="AC83" s="63">
        <v>38.729100000000003</v>
      </c>
      <c r="AD83" s="651">
        <v>0.31089999999999662</v>
      </c>
      <c r="AE83" s="652"/>
      <c r="AF83" s="98">
        <v>0.17070000000000363</v>
      </c>
      <c r="AG83" s="443"/>
      <c r="AJ83" s="57">
        <v>40.995899999999999</v>
      </c>
      <c r="AK83" s="98">
        <v>0.16980000000000217</v>
      </c>
      <c r="AL83" s="98">
        <v>0.30740000000000123</v>
      </c>
      <c r="AM83" s="64">
        <v>40.996000000000002</v>
      </c>
      <c r="AN83" s="65">
        <v>0.16990000000000549</v>
      </c>
      <c r="AO83" s="66">
        <v>0.30729999999999791</v>
      </c>
    </row>
    <row r="84" spans="1:41">
      <c r="A84" s="91"/>
      <c r="H84" s="103">
        <f t="shared" si="30"/>
        <v>63.390767921718329</v>
      </c>
      <c r="I84" s="104"/>
      <c r="J84" s="106"/>
      <c r="K84" s="103">
        <f t="shared" si="31"/>
        <v>63.497128270580774</v>
      </c>
      <c r="L84" s="104"/>
      <c r="M84" s="106"/>
      <c r="N84" s="103">
        <f t="shared" si="32"/>
        <v>63.816209317166624</v>
      </c>
      <c r="O84" s="104"/>
      <c r="P84" s="106"/>
      <c r="Q84" s="103">
        <f t="shared" si="33"/>
        <v>63.752393107848846</v>
      </c>
      <c r="R84" s="104"/>
      <c r="S84" s="106"/>
      <c r="W84" s="81"/>
      <c r="AB84" s="38" t="s">
        <v>37</v>
      </c>
      <c r="AC84" s="63">
        <v>40.995899999999999</v>
      </c>
      <c r="AD84" s="651">
        <v>0.30740000000000123</v>
      </c>
      <c r="AE84" s="652"/>
      <c r="AF84" s="98">
        <v>0.16980000000000217</v>
      </c>
      <c r="AG84" s="443"/>
      <c r="AJ84" s="57">
        <v>32.588200000000001</v>
      </c>
      <c r="AK84" s="98">
        <v>0.17009999999999792</v>
      </c>
      <c r="AL84" s="98">
        <v>0.29999999999999716</v>
      </c>
      <c r="AM84" s="64">
        <v>32.588500000000003</v>
      </c>
      <c r="AN84" s="65">
        <v>0.17040000000000077</v>
      </c>
      <c r="AO84" s="66">
        <v>0.2996999999999943</v>
      </c>
    </row>
    <row r="85" spans="1:41">
      <c r="A85" s="91"/>
      <c r="H85" s="107">
        <f t="shared" si="30"/>
        <v>63.954707485845951</v>
      </c>
      <c r="I85" s="108"/>
      <c r="J85" s="109"/>
      <c r="K85" s="107">
        <f t="shared" si="31"/>
        <v>63.975676242399395</v>
      </c>
      <c r="L85" s="108"/>
      <c r="M85" s="109"/>
      <c r="N85" s="103">
        <f t="shared" si="32"/>
        <v>64.332145103795824</v>
      </c>
      <c r="O85" s="108"/>
      <c r="P85" s="109"/>
      <c r="Q85" s="103">
        <f t="shared" si="33"/>
        <v>64.269238834137013</v>
      </c>
      <c r="R85" s="108"/>
      <c r="S85" s="109"/>
      <c r="W85" s="81"/>
      <c r="AB85" s="38" t="s">
        <v>38</v>
      </c>
      <c r="AC85" s="63">
        <v>32.588200000000001</v>
      </c>
      <c r="AD85" s="653">
        <v>0.29999999999999716</v>
      </c>
      <c r="AE85" s="652"/>
      <c r="AF85" s="98">
        <v>0.17009999999999792</v>
      </c>
      <c r="AJ85" s="71">
        <v>36.598199999999999</v>
      </c>
      <c r="AK85" s="101">
        <v>0.17009999999999792</v>
      </c>
      <c r="AL85" s="101">
        <v>0.30680000000000263</v>
      </c>
      <c r="AM85" s="72">
        <v>36.598500000000001</v>
      </c>
      <c r="AN85" s="73">
        <v>0.17040000000000077</v>
      </c>
      <c r="AO85" s="74">
        <v>0.30649999999999977</v>
      </c>
    </row>
    <row r="86" spans="1:41">
      <c r="A86" s="91"/>
      <c r="H86" s="104"/>
      <c r="I86" s="104"/>
      <c r="J86" s="104"/>
      <c r="K86" s="698" t="s">
        <v>90</v>
      </c>
      <c r="L86" s="699"/>
      <c r="M86" s="104"/>
      <c r="N86" s="698" t="s">
        <v>90</v>
      </c>
      <c r="O86" s="699"/>
      <c r="P86" s="104"/>
      <c r="Q86" s="698" t="s">
        <v>90</v>
      </c>
      <c r="R86" s="699"/>
      <c r="S86" s="104"/>
      <c r="W86" s="81"/>
      <c r="AB86" s="39" t="s">
        <v>39</v>
      </c>
      <c r="AC86" s="70">
        <v>36.598199999999999</v>
      </c>
      <c r="AD86" s="654">
        <v>0.30680000000000263</v>
      </c>
      <c r="AE86" s="655"/>
      <c r="AF86" s="101">
        <v>0.17009999999999792</v>
      </c>
      <c r="AH86" s="747" t="s">
        <v>291</v>
      </c>
    </row>
    <row r="87" spans="1:41" ht="14.4" customHeight="1">
      <c r="A87" s="91"/>
      <c r="H87" s="104"/>
      <c r="I87" s="104"/>
      <c r="J87" s="104"/>
      <c r="K87" s="103">
        <f>(M77-J77)/M77*100</f>
        <v>0.1294079585891513</v>
      </c>
      <c r="L87" s="106"/>
      <c r="M87" s="104"/>
      <c r="N87" s="103">
        <f>(P77-M77)/P77*100</f>
        <v>0.57896429720032949</v>
      </c>
      <c r="O87" s="106"/>
      <c r="P87" s="104"/>
      <c r="Q87" s="103">
        <f>(S77-P77)/S77*100</f>
        <v>-0.25798129635541422</v>
      </c>
      <c r="R87" s="106"/>
      <c r="S87" s="104"/>
      <c r="W87" s="81"/>
      <c r="AB87" s="49" t="s">
        <v>40</v>
      </c>
      <c r="AC87" s="4" t="s">
        <v>269</v>
      </c>
      <c r="AD87" s="638" t="s">
        <v>270</v>
      </c>
      <c r="AE87" s="640"/>
      <c r="AF87" s="3" t="s">
        <v>271</v>
      </c>
      <c r="AG87" s="457" t="s">
        <v>64</v>
      </c>
      <c r="AH87" s="748"/>
    </row>
    <row r="88" spans="1:41">
      <c r="A88" s="91"/>
      <c r="H88" s="104"/>
      <c r="I88" s="104"/>
      <c r="J88" s="104"/>
      <c r="K88" s="103">
        <f t="shared" ref="K88:K90" si="34">(M78-J78)/M78*100</f>
        <v>7.35775016350589</v>
      </c>
      <c r="L88" s="106"/>
      <c r="M88" s="104"/>
      <c r="N88" s="103">
        <f t="shared" ref="N88:N90" si="35">(P78-M78)/P78*100</f>
        <v>0.52049446974735525</v>
      </c>
      <c r="O88" s="106"/>
      <c r="P88" s="104"/>
      <c r="Q88" s="103">
        <f t="shared" ref="Q88:Q90" si="36">(S78-P78)/S78*100</f>
        <v>-3.2541490401340821E-2</v>
      </c>
      <c r="R88" s="106"/>
      <c r="S88" s="104"/>
      <c r="W88" s="81"/>
      <c r="AB88" s="38" t="s">
        <v>36</v>
      </c>
      <c r="AC88" s="55">
        <v>38.729900000000001</v>
      </c>
      <c r="AD88" s="656">
        <v>0.31009999999999849</v>
      </c>
      <c r="AE88" s="657"/>
      <c r="AF88" s="458">
        <v>0.17150000000000176</v>
      </c>
      <c r="AG88" s="41">
        <f>AF88/AD73*100</f>
        <v>35.610465116279414</v>
      </c>
      <c r="AH88" s="23">
        <f>AF88/S68*100</f>
        <v>10.397090027281081</v>
      </c>
    </row>
    <row r="89" spans="1:41">
      <c r="A89" s="91"/>
      <c r="H89" s="104"/>
      <c r="I89" s="104"/>
      <c r="J89" s="104"/>
      <c r="K89" s="103">
        <f t="shared" si="34"/>
        <v>0.16750418760549154</v>
      </c>
      <c r="L89" s="106"/>
      <c r="M89" s="104"/>
      <c r="N89" s="103">
        <f t="shared" si="35"/>
        <v>0.50000000000002365</v>
      </c>
      <c r="O89" s="106"/>
      <c r="P89" s="104"/>
      <c r="Q89" s="103">
        <f t="shared" si="36"/>
        <v>-0.10010010010105413</v>
      </c>
      <c r="R89" s="106"/>
      <c r="S89" s="104"/>
      <c r="W89" s="81"/>
      <c r="AB89" s="38" t="s">
        <v>37</v>
      </c>
      <c r="AC89" s="51">
        <v>40.996000000000002</v>
      </c>
      <c r="AD89" s="658">
        <v>0.30729999999999791</v>
      </c>
      <c r="AE89" s="659"/>
      <c r="AF89" s="459">
        <v>0.16990000000000549</v>
      </c>
      <c r="AG89" s="28">
        <f t="shared" ref="AG89:AG91" si="37">AF89/AD74*100</f>
        <v>35.603520536463598</v>
      </c>
      <c r="AH89" s="87">
        <f t="shared" ref="AH89:AH91" si="38">AF89/S69*100</f>
        <v>10.450882696684831</v>
      </c>
    </row>
    <row r="90" spans="1:41">
      <c r="A90" s="91"/>
      <c r="H90" s="104"/>
      <c r="I90" s="104"/>
      <c r="J90" s="104"/>
      <c r="K90" s="107">
        <f t="shared" si="34"/>
        <v>3.2776138971916967E-2</v>
      </c>
      <c r="L90" s="109"/>
      <c r="M90" s="104"/>
      <c r="N90" s="107">
        <f t="shared" si="35"/>
        <v>0.55410691003897528</v>
      </c>
      <c r="O90" s="109"/>
      <c r="P90" s="104"/>
      <c r="Q90" s="107">
        <f t="shared" si="36"/>
        <v>-9.7879282219528158E-2</v>
      </c>
      <c r="R90" s="109"/>
      <c r="S90" s="104"/>
      <c r="W90" s="81"/>
      <c r="AB90" s="38" t="s">
        <v>38</v>
      </c>
      <c r="AC90" s="51">
        <v>32.588500000000003</v>
      </c>
      <c r="AD90" s="762">
        <v>0.2996999999999943</v>
      </c>
      <c r="AE90" s="659"/>
      <c r="AF90" s="459">
        <v>0.17040000000000077</v>
      </c>
      <c r="AG90" s="28">
        <f t="shared" si="37"/>
        <v>36.247606892151154</v>
      </c>
      <c r="AH90" s="87">
        <f t="shared" si="38"/>
        <v>10.467473432029061</v>
      </c>
    </row>
    <row r="91" spans="1:41">
      <c r="A91" s="91"/>
      <c r="H91" s="104"/>
      <c r="I91" s="104"/>
      <c r="J91" s="104"/>
      <c r="K91" s="698" t="s">
        <v>86</v>
      </c>
      <c r="L91" s="699"/>
      <c r="M91" s="104"/>
      <c r="N91" s="698" t="s">
        <v>86</v>
      </c>
      <c r="O91" s="699"/>
      <c r="P91" s="104"/>
      <c r="Q91" s="698" t="s">
        <v>86</v>
      </c>
      <c r="R91" s="699"/>
      <c r="S91" s="104"/>
      <c r="W91" s="81"/>
      <c r="AB91" s="39" t="s">
        <v>39</v>
      </c>
      <c r="AC91" s="68">
        <v>36.598500000000001</v>
      </c>
      <c r="AD91" s="678">
        <v>0.30649999999999977</v>
      </c>
      <c r="AE91" s="679"/>
      <c r="AF91" s="460">
        <v>0.17040000000000077</v>
      </c>
      <c r="AG91" s="33">
        <f t="shared" si="37"/>
        <v>35.730761165862987</v>
      </c>
      <c r="AH91" s="24">
        <f t="shared" si="38"/>
        <v>10.325395382657737</v>
      </c>
    </row>
    <row r="92" spans="1:41" ht="18">
      <c r="A92" s="684" t="s">
        <v>66</v>
      </c>
      <c r="B92" s="685"/>
      <c r="C92" s="685"/>
      <c r="D92" s="685"/>
      <c r="E92" s="685"/>
      <c r="F92" s="685"/>
      <c r="G92" s="685"/>
      <c r="H92" s="685"/>
      <c r="I92" s="685"/>
      <c r="J92" s="685"/>
      <c r="K92" s="103">
        <f>M77-J77</f>
        <v>3.9999999999906777E-4</v>
      </c>
      <c r="L92" s="106"/>
      <c r="M92" s="104"/>
      <c r="N92" s="103">
        <f>P77-M77</f>
        <v>1.799999999995805E-3</v>
      </c>
      <c r="O92" s="106"/>
      <c r="P92" s="104"/>
      <c r="Q92" s="103">
        <f>S77-P77</f>
        <v>-7.9999999999813554E-4</v>
      </c>
      <c r="R92" s="106"/>
      <c r="S92" s="104"/>
      <c r="W92" s="81"/>
      <c r="AD92" s="638" t="s">
        <v>65</v>
      </c>
      <c r="AE92" s="640"/>
      <c r="AF92" s="430" t="s">
        <v>5</v>
      </c>
      <c r="AG92" s="430" t="s">
        <v>110</v>
      </c>
    </row>
    <row r="93" spans="1:41">
      <c r="A93" s="686" t="s">
        <v>3</v>
      </c>
      <c r="B93" s="661"/>
      <c r="C93" s="661"/>
      <c r="D93" s="661"/>
      <c r="E93" s="661"/>
      <c r="F93" s="661"/>
      <c r="G93" s="661"/>
      <c r="H93" s="661"/>
      <c r="I93" s="661"/>
      <c r="J93" s="662"/>
      <c r="K93" s="103">
        <f t="shared" ref="K93:K95" si="39">M78-J78</f>
        <v>2.2500000000000853E-2</v>
      </c>
      <c r="L93" s="106"/>
      <c r="M93" s="104"/>
      <c r="N93" s="103">
        <f t="shared" ref="N93:N95" si="40">P78-M78</f>
        <v>1.6000000000033765E-3</v>
      </c>
      <c r="O93" s="106"/>
      <c r="P93" s="104"/>
      <c r="Q93" s="103">
        <f t="shared" ref="Q93:Q95" si="41">S78-P78</f>
        <v>-1.0000000000331966E-4</v>
      </c>
      <c r="R93" s="106"/>
      <c r="S93" s="104"/>
      <c r="W93" s="81"/>
      <c r="AD93" s="665">
        <f>AVERAGE(AH88:AH91)</f>
        <v>10.410210384663177</v>
      </c>
      <c r="AE93" s="666"/>
      <c r="AF93" s="666">
        <f>_xlfn.VAR.S(AH88:AH91)</f>
        <v>4.0996739672770031E-3</v>
      </c>
      <c r="AG93" s="666">
        <f>AF93/AH90*100</f>
        <v>3.9165840676820364E-2</v>
      </c>
      <c r="AK93" t="s">
        <v>273</v>
      </c>
    </row>
    <row r="94" spans="1:41">
      <c r="A94" s="12" t="s">
        <v>36</v>
      </c>
      <c r="B94" s="13">
        <v>37.221400000000003</v>
      </c>
      <c r="C94" s="9">
        <v>0.50680000000000003</v>
      </c>
      <c r="D94" s="9">
        <v>37.6828</v>
      </c>
      <c r="E94" s="83">
        <f t="shared" ref="E94:E96" si="42">D94-B94</f>
        <v>0.46139999999999759</v>
      </c>
      <c r="F94" s="48">
        <f t="shared" ref="F94:F96" si="43">(C94-E94)/C94*100</f>
        <v>8.9581689029207645</v>
      </c>
      <c r="G94" s="48">
        <f t="shared" ref="G94:G96" si="44">E94/C94*100</f>
        <v>91.041831097079239</v>
      </c>
      <c r="H94" s="7">
        <v>24</v>
      </c>
      <c r="I94" s="665">
        <f>(F94+F95+F96)/3</f>
        <v>9.0357825362797435</v>
      </c>
      <c r="J94" s="676">
        <f>(G94+G95+G96)/3</f>
        <v>90.96421746372026</v>
      </c>
      <c r="K94" s="103">
        <f t="shared" si="39"/>
        <v>5.0000000000238742E-4</v>
      </c>
      <c r="L94" s="106"/>
      <c r="M94" s="104"/>
      <c r="N94" s="103">
        <f t="shared" si="40"/>
        <v>1.5000000000000568E-3</v>
      </c>
      <c r="O94" s="106"/>
      <c r="P94" s="104"/>
      <c r="Q94" s="103">
        <f t="shared" si="41"/>
        <v>-3.0000000000285354E-4</v>
      </c>
      <c r="R94" s="106"/>
      <c r="S94" s="104"/>
      <c r="W94" s="81"/>
      <c r="AD94" s="667"/>
      <c r="AE94" s="668"/>
      <c r="AF94" s="668"/>
      <c r="AG94" s="668"/>
    </row>
    <row r="95" spans="1:41">
      <c r="A95" s="19" t="s">
        <v>37</v>
      </c>
      <c r="B95" s="20">
        <v>36.973100000000002</v>
      </c>
      <c r="C95" s="16">
        <v>0.50419999999999998</v>
      </c>
      <c r="D95" s="16">
        <v>37.4313</v>
      </c>
      <c r="E95" s="88">
        <f t="shared" si="42"/>
        <v>0.45819999999999794</v>
      </c>
      <c r="F95" s="89">
        <f t="shared" si="43"/>
        <v>9.1233637445462197</v>
      </c>
      <c r="G95" s="89">
        <f t="shared" si="44"/>
        <v>90.876636255453775</v>
      </c>
      <c r="H95" s="20">
        <v>24</v>
      </c>
      <c r="I95" s="667"/>
      <c r="J95" s="677"/>
      <c r="K95" s="107">
        <f t="shared" si="39"/>
        <v>1.0000000000331966E-4</v>
      </c>
      <c r="L95" s="109" t="s">
        <v>91</v>
      </c>
      <c r="M95" s="104"/>
      <c r="N95" s="107">
        <f t="shared" si="40"/>
        <v>1.6999999999995907E-3</v>
      </c>
      <c r="O95" s="109" t="s">
        <v>91</v>
      </c>
      <c r="P95" s="104"/>
      <c r="Q95" s="107">
        <f t="shared" si="41"/>
        <v>-3.0000000000285354E-4</v>
      </c>
      <c r="R95" s="109"/>
      <c r="S95" s="104"/>
      <c r="W95" s="81"/>
    </row>
    <row r="96" spans="1:41" ht="15" thickBot="1">
      <c r="A96" s="110" t="s">
        <v>38</v>
      </c>
      <c r="B96" s="111">
        <v>37.8611</v>
      </c>
      <c r="C96" s="112">
        <v>0.53069999999999995</v>
      </c>
      <c r="D96" s="112">
        <v>38.343899999999998</v>
      </c>
      <c r="E96" s="113">
        <f t="shared" si="42"/>
        <v>0.48279999999999745</v>
      </c>
      <c r="F96" s="114">
        <f t="shared" si="43"/>
        <v>9.0258149613722445</v>
      </c>
      <c r="G96" s="114">
        <f t="shared" si="44"/>
        <v>90.974185038627752</v>
      </c>
      <c r="H96" s="111">
        <v>24</v>
      </c>
      <c r="I96" s="115"/>
      <c r="J96" s="115"/>
      <c r="K96" s="115"/>
      <c r="L96" s="115"/>
      <c r="M96" s="115"/>
      <c r="N96" s="115"/>
      <c r="O96" s="115"/>
      <c r="P96" s="115"/>
      <c r="Q96" s="115"/>
      <c r="R96" s="115"/>
      <c r="S96" s="115"/>
      <c r="T96" s="115"/>
      <c r="U96" s="115"/>
      <c r="V96" s="115"/>
      <c r="W96" s="116"/>
    </row>
    <row r="100" spans="1:34" ht="18">
      <c r="A100" s="684" t="s">
        <v>94</v>
      </c>
      <c r="B100" s="685"/>
      <c r="C100" s="685"/>
      <c r="D100" s="685"/>
      <c r="E100" s="685"/>
      <c r="F100" s="685"/>
      <c r="G100" s="685"/>
      <c r="H100" s="685"/>
      <c r="I100" s="685"/>
      <c r="J100" s="685"/>
      <c r="K100" s="123"/>
      <c r="L100" s="719" t="s">
        <v>67</v>
      </c>
      <c r="M100" s="720"/>
      <c r="N100" s="720"/>
      <c r="O100" s="721"/>
      <c r="Q100" s="660" t="s">
        <v>292</v>
      </c>
      <c r="R100" s="661"/>
      <c r="S100" s="661"/>
      <c r="T100" s="661"/>
      <c r="U100" s="661"/>
      <c r="V100" s="662"/>
    </row>
    <row r="101" spans="1:34">
      <c r="A101" s="686" t="s">
        <v>3</v>
      </c>
      <c r="B101" s="661"/>
      <c r="C101" s="661"/>
      <c r="D101" s="661"/>
      <c r="E101" s="661"/>
      <c r="F101" s="661"/>
      <c r="G101" s="661"/>
      <c r="H101" s="661"/>
      <c r="I101" s="661"/>
      <c r="J101" s="661"/>
      <c r="K101" s="124"/>
      <c r="L101" s="722"/>
      <c r="M101" s="723"/>
      <c r="N101" s="723"/>
      <c r="O101" s="724"/>
      <c r="Q101" s="3" t="s">
        <v>6</v>
      </c>
      <c r="R101" s="3" t="s">
        <v>8</v>
      </c>
      <c r="S101" s="4" t="s">
        <v>9</v>
      </c>
      <c r="T101" s="5" t="s">
        <v>11</v>
      </c>
      <c r="U101" s="3" t="s">
        <v>70</v>
      </c>
      <c r="V101" s="94" t="s">
        <v>14</v>
      </c>
      <c r="W101" s="125" t="s">
        <v>15</v>
      </c>
      <c r="X101" s="643" t="s">
        <v>2</v>
      </c>
      <c r="Y101" s="644"/>
      <c r="Z101" s="644"/>
    </row>
    <row r="102" spans="1:34">
      <c r="A102" s="2" t="s">
        <v>69</v>
      </c>
      <c r="B102" s="3" t="s">
        <v>7</v>
      </c>
      <c r="C102" s="3" t="s">
        <v>8</v>
      </c>
      <c r="D102" s="3" t="s">
        <v>9</v>
      </c>
      <c r="E102" s="4" t="s">
        <v>10</v>
      </c>
      <c r="F102" s="5" t="s">
        <v>11</v>
      </c>
      <c r="G102" s="5" t="s">
        <v>12</v>
      </c>
      <c r="H102" s="3" t="s">
        <v>13</v>
      </c>
      <c r="I102" s="3" t="s">
        <v>14</v>
      </c>
      <c r="J102" s="4" t="s">
        <v>15</v>
      </c>
      <c r="K102" s="124"/>
      <c r="L102" s="722"/>
      <c r="M102" s="723"/>
      <c r="N102" s="723"/>
      <c r="O102" s="724"/>
      <c r="Q102" s="23" t="s">
        <v>95</v>
      </c>
      <c r="R102" s="8">
        <v>0.50170000000000003</v>
      </c>
      <c r="S102" s="9">
        <v>0.45859999999999701</v>
      </c>
      <c r="T102" s="23">
        <v>8.5907913095481412</v>
      </c>
      <c r="U102" s="676">
        <v>1</v>
      </c>
      <c r="V102" s="649">
        <v>8.6036723440979337</v>
      </c>
      <c r="W102" s="676">
        <v>91.39632765590207</v>
      </c>
      <c r="X102" s="1" t="s">
        <v>4</v>
      </c>
      <c r="Y102" s="1" t="s">
        <v>5</v>
      </c>
      <c r="Z102" s="157" t="s">
        <v>110</v>
      </c>
    </row>
    <row r="103" spans="1:34">
      <c r="A103" s="6" t="s">
        <v>95</v>
      </c>
      <c r="B103" s="7">
        <v>36.061900000000001</v>
      </c>
      <c r="C103" s="8">
        <v>0.50170000000000003</v>
      </c>
      <c r="D103" s="8">
        <v>36.520499999999998</v>
      </c>
      <c r="E103" s="9">
        <f>D103-B103</f>
        <v>0.45859999999999701</v>
      </c>
      <c r="F103" s="10">
        <f>(C103-E103)/C103*100</f>
        <v>8.5907913095481412</v>
      </c>
      <c r="G103" s="11">
        <f>E103/C103*100</f>
        <v>91.409208690451862</v>
      </c>
      <c r="H103" s="9">
        <v>1</v>
      </c>
      <c r="I103" s="665">
        <f>(F103+F104)/2</f>
        <v>8.6036723440979337</v>
      </c>
      <c r="J103" s="687">
        <f>(G103+G104)/2</f>
        <v>91.39632765590207</v>
      </c>
      <c r="K103" s="124"/>
      <c r="L103" s="722"/>
      <c r="M103" s="723"/>
      <c r="N103" s="723"/>
      <c r="O103" s="724"/>
      <c r="Q103" s="24" t="s">
        <v>96</v>
      </c>
      <c r="R103" s="9">
        <v>0.50019999999999998</v>
      </c>
      <c r="S103" s="9">
        <v>0.45710000000000406</v>
      </c>
      <c r="T103" s="87">
        <v>8.6165533786477244</v>
      </c>
      <c r="U103" s="677"/>
      <c r="V103" s="650"/>
      <c r="W103" s="677"/>
      <c r="X103" s="293">
        <f>AVERAGE(V102:V111)</f>
        <v>9.0432813752716292</v>
      </c>
      <c r="Y103" s="431">
        <f>_xlfn.VAR.S(V102:V111)</f>
        <v>7.3479590116124149E-2</v>
      </c>
      <c r="Z103" s="84">
        <f>Y103/V104*100</f>
        <v>0.79203532698781509</v>
      </c>
      <c r="AB103" s="660" t="s">
        <v>274</v>
      </c>
      <c r="AC103" s="661"/>
      <c r="AD103" s="661"/>
      <c r="AE103" s="661"/>
      <c r="AF103" s="661"/>
      <c r="AG103" s="662"/>
    </row>
    <row r="104" spans="1:34">
      <c r="A104" s="12" t="s">
        <v>96</v>
      </c>
      <c r="B104" s="13">
        <v>36.510199999999998</v>
      </c>
      <c r="C104" s="9">
        <v>0.50019999999999998</v>
      </c>
      <c r="D104" s="9">
        <v>36.967300000000002</v>
      </c>
      <c r="E104" s="9">
        <f t="shared" ref="E104:E110" si="45">D104-B104</f>
        <v>0.45710000000000406</v>
      </c>
      <c r="F104" s="14">
        <f t="shared" ref="F104:F110" si="46">(C104-E104)/C104*100</f>
        <v>8.6165533786477244</v>
      </c>
      <c r="G104" s="15">
        <f t="shared" ref="G104:G110" si="47">E104/C104*100</f>
        <v>91.383446621352277</v>
      </c>
      <c r="H104" s="16">
        <v>1</v>
      </c>
      <c r="I104" s="667"/>
      <c r="J104" s="688"/>
      <c r="K104" s="124"/>
      <c r="L104" s="722"/>
      <c r="M104" s="723"/>
      <c r="N104" s="723"/>
      <c r="O104" s="724"/>
      <c r="Q104" s="23" t="s">
        <v>97</v>
      </c>
      <c r="R104" s="9">
        <v>0.50390000000000001</v>
      </c>
      <c r="S104" s="9">
        <v>0.45770000000000266</v>
      </c>
      <c r="T104" s="87">
        <v>9.1684858106761968</v>
      </c>
      <c r="U104" s="676">
        <v>2</v>
      </c>
      <c r="V104" s="649">
        <v>9.2773122122688569</v>
      </c>
      <c r="W104" s="676">
        <v>90.722687787731132</v>
      </c>
      <c r="AB104" s="456" t="s">
        <v>40</v>
      </c>
      <c r="AC104" s="455" t="s">
        <v>41</v>
      </c>
      <c r="AD104" s="455" t="s">
        <v>59</v>
      </c>
      <c r="AE104" s="440" t="s">
        <v>53</v>
      </c>
      <c r="AF104" s="3" t="s">
        <v>60</v>
      </c>
      <c r="AG104" s="3" t="s">
        <v>61</v>
      </c>
    </row>
    <row r="105" spans="1:34">
      <c r="A105" s="12" t="s">
        <v>97</v>
      </c>
      <c r="B105" s="13">
        <v>36.702599999999997</v>
      </c>
      <c r="C105" s="9">
        <v>0.50390000000000001</v>
      </c>
      <c r="D105" s="9">
        <v>37.160299999999999</v>
      </c>
      <c r="E105" s="9">
        <f t="shared" si="45"/>
        <v>0.45770000000000266</v>
      </c>
      <c r="F105" s="14">
        <f t="shared" si="46"/>
        <v>9.1684858106761968</v>
      </c>
      <c r="G105" s="15">
        <f t="shared" si="47"/>
        <v>90.831514189323798</v>
      </c>
      <c r="H105" s="8">
        <v>2</v>
      </c>
      <c r="I105" s="665">
        <f>(F105+F106)/2</f>
        <v>9.2773122122688569</v>
      </c>
      <c r="J105" s="687">
        <f>(G105+G106)/2</f>
        <v>90.722687787731132</v>
      </c>
      <c r="K105" s="124"/>
      <c r="L105" s="722"/>
      <c r="M105" s="723"/>
      <c r="N105" s="723"/>
      <c r="O105" s="724"/>
      <c r="Q105" s="24" t="s">
        <v>98</v>
      </c>
      <c r="R105" s="9">
        <v>0.505</v>
      </c>
      <c r="S105" s="9">
        <v>0.45759999999999934</v>
      </c>
      <c r="T105" s="87">
        <v>9.3861386138615188</v>
      </c>
      <c r="U105" s="677"/>
      <c r="V105" s="650"/>
      <c r="W105" s="677"/>
      <c r="AB105" s="6" t="s">
        <v>95</v>
      </c>
      <c r="AC105" s="41">
        <v>41.714700000000001</v>
      </c>
      <c r="AD105" s="43">
        <v>0.46490000000000009</v>
      </c>
      <c r="AE105" s="53">
        <v>41.403500000000001</v>
      </c>
      <c r="AF105" s="32">
        <v>0.31119999999999948</v>
      </c>
      <c r="AG105" s="50">
        <v>0.15370000000000061</v>
      </c>
    </row>
    <row r="106" spans="1:34">
      <c r="A106" s="12" t="s">
        <v>98</v>
      </c>
      <c r="B106" s="13">
        <v>36.307200000000002</v>
      </c>
      <c r="C106" s="9">
        <v>0.505</v>
      </c>
      <c r="D106" s="9">
        <v>36.764800000000001</v>
      </c>
      <c r="E106" s="9">
        <f t="shared" si="45"/>
        <v>0.45759999999999934</v>
      </c>
      <c r="F106" s="14">
        <f t="shared" si="46"/>
        <v>9.3861386138615188</v>
      </c>
      <c r="G106" s="15">
        <f t="shared" si="47"/>
        <v>90.613861386138481</v>
      </c>
      <c r="H106" s="16">
        <v>2</v>
      </c>
      <c r="I106" s="667"/>
      <c r="J106" s="688"/>
      <c r="K106" s="124"/>
      <c r="L106" s="722"/>
      <c r="M106" s="723"/>
      <c r="N106" s="723"/>
      <c r="O106" s="724"/>
      <c r="Q106" s="23" t="s">
        <v>99</v>
      </c>
      <c r="R106" s="9">
        <v>0.51290000000000002</v>
      </c>
      <c r="S106" s="9">
        <v>0.46640000000000015</v>
      </c>
      <c r="T106" s="87">
        <v>9.0660947553129017</v>
      </c>
      <c r="U106" s="676">
        <v>3</v>
      </c>
      <c r="V106" s="649">
        <v>9.0252348776563451</v>
      </c>
      <c r="W106" s="676">
        <v>90.974765122343655</v>
      </c>
      <c r="X106" s="1" t="s">
        <v>4</v>
      </c>
      <c r="Y106" s="1" t="s">
        <v>5</v>
      </c>
      <c r="Z106" s="157" t="s">
        <v>110</v>
      </c>
      <c r="AB106" s="12" t="s">
        <v>96</v>
      </c>
      <c r="AC106" s="28">
        <v>32.876199999999997</v>
      </c>
      <c r="AD106" s="30">
        <v>0.45700000000000074</v>
      </c>
      <c r="AE106" s="63">
        <v>32.574399999999997</v>
      </c>
      <c r="AF106" s="32">
        <v>0.30180000000000007</v>
      </c>
      <c r="AG106" s="50">
        <v>0.15520000000000067</v>
      </c>
    </row>
    <row r="107" spans="1:34">
      <c r="A107" s="12" t="s">
        <v>99</v>
      </c>
      <c r="B107" s="13">
        <v>37.759500000000003</v>
      </c>
      <c r="C107" s="9">
        <v>0.51290000000000002</v>
      </c>
      <c r="D107" s="9">
        <v>38.225900000000003</v>
      </c>
      <c r="E107" s="9">
        <f t="shared" si="45"/>
        <v>0.46640000000000015</v>
      </c>
      <c r="F107" s="14">
        <f t="shared" si="46"/>
        <v>9.0660947553129017</v>
      </c>
      <c r="G107" s="15">
        <f t="shared" si="47"/>
        <v>90.933905244687097</v>
      </c>
      <c r="H107" s="8">
        <v>3</v>
      </c>
      <c r="I107" s="665">
        <f>(F107+F108)/2</f>
        <v>9.0252348776563451</v>
      </c>
      <c r="J107" s="687">
        <f>(G107+G108)/2</f>
        <v>90.974765122343655</v>
      </c>
      <c r="K107" s="124"/>
      <c r="L107" s="722"/>
      <c r="M107" s="723"/>
      <c r="N107" s="723"/>
      <c r="O107" s="724"/>
      <c r="Q107" s="24" t="s">
        <v>100</v>
      </c>
      <c r="R107" s="9">
        <v>0.51200000000000001</v>
      </c>
      <c r="S107" s="9">
        <v>0.46600000000000108</v>
      </c>
      <c r="T107" s="87">
        <v>8.9843749999997904</v>
      </c>
      <c r="U107" s="677"/>
      <c r="V107" s="650"/>
      <c r="W107" s="677"/>
      <c r="X107" s="17">
        <f>AVERAGE(W102:W111)</f>
        <v>90.956718624728381</v>
      </c>
      <c r="Y107" s="18">
        <f>_xlfn.VAR.S(W102:W111)</f>
        <v>7.3479590116124829E-2</v>
      </c>
      <c r="Z107" s="84">
        <f>Y107/W102*100</f>
        <v>8.0396654877390755E-2</v>
      </c>
      <c r="AB107" s="12" t="s">
        <v>97</v>
      </c>
      <c r="AC107" s="28">
        <v>36.8827</v>
      </c>
      <c r="AD107" s="30">
        <v>0.4562000000000026</v>
      </c>
      <c r="AE107" s="63">
        <v>36.579700000000003</v>
      </c>
      <c r="AF107" s="32">
        <v>0.30299999999999727</v>
      </c>
      <c r="AG107" s="50">
        <v>0.15320000000000533</v>
      </c>
    </row>
    <row r="108" spans="1:34">
      <c r="A108" s="12" t="s">
        <v>100</v>
      </c>
      <c r="B108" s="13">
        <v>37.3371</v>
      </c>
      <c r="C108" s="9">
        <v>0.51200000000000001</v>
      </c>
      <c r="D108" s="9">
        <v>37.803100000000001</v>
      </c>
      <c r="E108" s="9">
        <f t="shared" si="45"/>
        <v>0.46600000000000108</v>
      </c>
      <c r="F108" s="14">
        <f t="shared" si="46"/>
        <v>8.9843749999997904</v>
      </c>
      <c r="G108" s="15">
        <f t="shared" si="47"/>
        <v>91.015625000000213</v>
      </c>
      <c r="H108" s="16">
        <v>3</v>
      </c>
      <c r="I108" s="667"/>
      <c r="J108" s="688"/>
      <c r="K108" s="124"/>
      <c r="L108" s="722"/>
      <c r="M108" s="723"/>
      <c r="N108" s="723"/>
      <c r="O108" s="724"/>
      <c r="Q108" s="23" t="s">
        <v>101</v>
      </c>
      <c r="R108" s="9">
        <v>0.50219999999999998</v>
      </c>
      <c r="S108" s="9">
        <v>0.45579999999999643</v>
      </c>
      <c r="T108" s="87">
        <v>9.2393468737561832</v>
      </c>
      <c r="U108" s="676">
        <v>4</v>
      </c>
      <c r="V108" s="649">
        <v>9.2564893572761218</v>
      </c>
      <c r="W108" s="676">
        <v>90.743510642723891</v>
      </c>
      <c r="AB108" s="19" t="s">
        <v>98</v>
      </c>
      <c r="AC108" s="33">
        <v>32.461599999999997</v>
      </c>
      <c r="AD108" s="35">
        <v>0.44529999999999603</v>
      </c>
      <c r="AE108" s="70">
        <v>32.170900000000003</v>
      </c>
      <c r="AF108" s="37">
        <v>0.29069999999999396</v>
      </c>
      <c r="AG108" s="67">
        <v>0.15460000000000207</v>
      </c>
      <c r="AH108" s="747" t="s">
        <v>291</v>
      </c>
    </row>
    <row r="109" spans="1:34">
      <c r="A109" s="12" t="s">
        <v>101</v>
      </c>
      <c r="B109" s="13">
        <v>35.320700000000002</v>
      </c>
      <c r="C109" s="9">
        <v>0.50219999999999998</v>
      </c>
      <c r="D109" s="9">
        <v>35.776499999999999</v>
      </c>
      <c r="E109" s="9">
        <f t="shared" si="45"/>
        <v>0.45579999999999643</v>
      </c>
      <c r="F109" s="14">
        <f t="shared" si="46"/>
        <v>9.2393468737561832</v>
      </c>
      <c r="G109" s="15">
        <f t="shared" si="47"/>
        <v>90.760653126243824</v>
      </c>
      <c r="H109" s="8">
        <v>4</v>
      </c>
      <c r="I109" s="665">
        <f>(F109+F110)/2</f>
        <v>9.2564893572761218</v>
      </c>
      <c r="J109" s="687">
        <f>(G109+G110)/2</f>
        <v>90.743510642723891</v>
      </c>
      <c r="K109" s="124"/>
      <c r="L109" s="722"/>
      <c r="M109" s="723"/>
      <c r="N109" s="723"/>
      <c r="O109" s="724"/>
      <c r="Q109" s="24" t="s">
        <v>102</v>
      </c>
      <c r="R109" s="9">
        <v>0.50249999999999995</v>
      </c>
      <c r="S109" s="9">
        <v>0.45589999999999975</v>
      </c>
      <c r="T109" s="87">
        <v>9.2736318407960603</v>
      </c>
      <c r="U109" s="677"/>
      <c r="V109" s="650"/>
      <c r="W109" s="677"/>
      <c r="AB109" s="49" t="s">
        <v>40</v>
      </c>
      <c r="AC109" s="3" t="s">
        <v>263</v>
      </c>
      <c r="AD109" s="641" t="s">
        <v>264</v>
      </c>
      <c r="AE109" s="642"/>
      <c r="AF109" s="3" t="s">
        <v>265</v>
      </c>
      <c r="AG109" s="3" t="s">
        <v>87</v>
      </c>
      <c r="AH109" s="748"/>
    </row>
    <row r="110" spans="1:34">
      <c r="A110" s="12" t="s">
        <v>102</v>
      </c>
      <c r="B110" s="13">
        <v>37.087499999999999</v>
      </c>
      <c r="C110" s="9">
        <v>0.50249999999999995</v>
      </c>
      <c r="D110" s="9">
        <v>37.543399999999998</v>
      </c>
      <c r="E110" s="9">
        <f t="shared" si="45"/>
        <v>0.45589999999999975</v>
      </c>
      <c r="F110" s="14">
        <f t="shared" si="46"/>
        <v>9.2736318407960603</v>
      </c>
      <c r="G110" s="15">
        <f t="shared" si="47"/>
        <v>90.726368159203943</v>
      </c>
      <c r="H110" s="16">
        <v>4</v>
      </c>
      <c r="I110" s="667"/>
      <c r="J110" s="688"/>
      <c r="K110" s="124"/>
      <c r="L110" s="722"/>
      <c r="M110" s="723"/>
      <c r="N110" s="723"/>
      <c r="O110" s="724"/>
      <c r="Q110" s="87" t="s">
        <v>103</v>
      </c>
      <c r="R110" s="9">
        <v>0.51470000000000005</v>
      </c>
      <c r="S110" s="9">
        <v>0.46809999999999974</v>
      </c>
      <c r="T110" s="87">
        <v>9.0538177579172938</v>
      </c>
      <c r="U110" s="676">
        <v>24</v>
      </c>
      <c r="V110" s="649">
        <v>9.0536980850588851</v>
      </c>
      <c r="W110" s="676">
        <v>90.946301914941117</v>
      </c>
      <c r="AB110" s="6" t="s">
        <v>95</v>
      </c>
      <c r="AC110" s="148">
        <v>41.403399999999998</v>
      </c>
      <c r="AD110" s="663">
        <v>0.3113000000000028</v>
      </c>
      <c r="AE110" s="664"/>
      <c r="AF110" s="461">
        <v>0.15359999999999729</v>
      </c>
      <c r="AG110" s="28">
        <f>AF110/AD105*100</f>
        <v>33.039363303935744</v>
      </c>
      <c r="AH110" s="23">
        <f>AF110/S124*100</f>
        <v>9.2647324929125698</v>
      </c>
    </row>
    <row r="111" spans="1:34">
      <c r="A111" s="12" t="s">
        <v>103</v>
      </c>
      <c r="B111" s="13">
        <v>36.368099999999998</v>
      </c>
      <c r="C111" s="9">
        <v>0.51470000000000005</v>
      </c>
      <c r="D111" s="9">
        <v>36.836199999999998</v>
      </c>
      <c r="E111" s="9">
        <f>D111-B111</f>
        <v>0.46809999999999974</v>
      </c>
      <c r="F111" s="14">
        <f>(C111-E111)/C111*100</f>
        <v>9.0538177579172938</v>
      </c>
      <c r="G111" s="15">
        <f>E111/C111*100</f>
        <v>90.946182242082713</v>
      </c>
      <c r="H111" s="8">
        <v>24</v>
      </c>
      <c r="I111" s="665">
        <f>(F111+F112)/2</f>
        <v>9.0536980850588851</v>
      </c>
      <c r="J111" s="687">
        <f>(G111+G112)/2</f>
        <v>90.946301914941117</v>
      </c>
      <c r="K111" s="124"/>
      <c r="L111" s="722"/>
      <c r="M111" s="723"/>
      <c r="N111" s="723"/>
      <c r="O111" s="724"/>
      <c r="Q111" s="24" t="s">
        <v>104</v>
      </c>
      <c r="R111" s="16">
        <v>0.51139999999999997</v>
      </c>
      <c r="S111" s="16">
        <v>0.46510000000000673</v>
      </c>
      <c r="T111" s="24">
        <v>9.0535784122004763</v>
      </c>
      <c r="U111" s="677"/>
      <c r="V111" s="650"/>
      <c r="W111" s="677"/>
      <c r="AB111" s="12" t="s">
        <v>96</v>
      </c>
      <c r="AC111" s="148">
        <v>32.574300000000001</v>
      </c>
      <c r="AD111" s="645">
        <v>0.30189999999999628</v>
      </c>
      <c r="AE111" s="646"/>
      <c r="AF111" s="462">
        <v>0.15510000000000446</v>
      </c>
      <c r="AG111" s="28">
        <f t="shared" ref="AG111:AG113" si="48">AF111/AD106*100</f>
        <v>33.938730853392606</v>
      </c>
      <c r="AH111" s="87">
        <f t="shared" ref="AH111:AH113" si="49">AF111/S125*100</f>
        <v>9.3007915567284982</v>
      </c>
    </row>
    <row r="112" spans="1:34">
      <c r="A112" s="19" t="s">
        <v>104</v>
      </c>
      <c r="B112" s="20">
        <v>37.897799999999997</v>
      </c>
      <c r="C112" s="16">
        <v>0.51139999999999997</v>
      </c>
      <c r="D112" s="16">
        <v>38.362900000000003</v>
      </c>
      <c r="E112" s="16">
        <f>D112-B112</f>
        <v>0.46510000000000673</v>
      </c>
      <c r="F112" s="21">
        <f>(C112-E112)/C112*100</f>
        <v>9.0535784122004763</v>
      </c>
      <c r="G112" s="22">
        <f>E112/C112*100</f>
        <v>90.94642158779952</v>
      </c>
      <c r="H112" s="16">
        <v>24</v>
      </c>
      <c r="I112" s="667"/>
      <c r="J112" s="688"/>
      <c r="K112" s="126"/>
      <c r="L112" s="725"/>
      <c r="M112" s="726"/>
      <c r="N112" s="726"/>
      <c r="O112" s="727"/>
      <c r="W112" s="81"/>
      <c r="AB112" s="12" t="s">
        <v>97</v>
      </c>
      <c r="AC112" s="148">
        <v>36.579799999999999</v>
      </c>
      <c r="AD112" s="645">
        <v>0.30290000000000106</v>
      </c>
      <c r="AE112" s="646"/>
      <c r="AF112" s="462">
        <v>0.15330000000000155</v>
      </c>
      <c r="AG112" s="28">
        <f>AF112/AD107*100</f>
        <v>33.603682595353064</v>
      </c>
      <c r="AH112" s="87">
        <f t="shared" si="49"/>
        <v>9.2466373122625658</v>
      </c>
    </row>
    <row r="113" spans="1:34">
      <c r="A113" s="91"/>
      <c r="W113" s="81"/>
      <c r="AB113" s="19" t="s">
        <v>98</v>
      </c>
      <c r="AC113" s="154">
        <v>32.170699999999997</v>
      </c>
      <c r="AD113" s="647">
        <v>0.2909000000000006</v>
      </c>
      <c r="AE113" s="648"/>
      <c r="AF113" s="463">
        <v>0.15439999999999543</v>
      </c>
      <c r="AG113" s="28">
        <f t="shared" si="48"/>
        <v>34.673253986076084</v>
      </c>
      <c r="AH113" s="24">
        <f t="shared" si="49"/>
        <v>9.338897961652167</v>
      </c>
    </row>
    <row r="114" spans="1:34">
      <c r="A114" s="91"/>
      <c r="W114" s="81"/>
      <c r="AD114" s="638" t="s">
        <v>65</v>
      </c>
      <c r="AE114" s="640"/>
      <c r="AF114" s="3" t="s">
        <v>5</v>
      </c>
      <c r="AG114" s="430" t="s">
        <v>110</v>
      </c>
    </row>
    <row r="115" spans="1:34">
      <c r="A115" s="686" t="s">
        <v>26</v>
      </c>
      <c r="B115" s="661"/>
      <c r="C115" s="661"/>
      <c r="D115" s="661"/>
      <c r="E115" s="661"/>
      <c r="F115" s="661"/>
      <c r="G115" s="661"/>
      <c r="H115" s="661"/>
      <c r="I115" s="662"/>
      <c r="J115" s="92"/>
      <c r="K115" s="689" t="s">
        <v>105</v>
      </c>
      <c r="L115" s="690"/>
      <c r="M115" s="690"/>
      <c r="N115" s="690"/>
      <c r="O115" s="691"/>
      <c r="P115" s="660" t="s">
        <v>106</v>
      </c>
      <c r="Q115" s="661"/>
      <c r="R115" s="661"/>
      <c r="S115" s="661"/>
      <c r="T115" s="661"/>
      <c r="W115" s="81"/>
      <c r="AD115" s="665">
        <f>AVERAGE(AH110:AH113)</f>
        <v>9.2877648308889498</v>
      </c>
      <c r="AE115" s="666"/>
      <c r="AF115" s="649">
        <f>_xlfn.VAR.S(AH110:AH113)</f>
        <v>1.6687513429229286E-3</v>
      </c>
      <c r="AG115" s="649">
        <f>AF115/AH113*100</f>
        <v>1.7868825098798977E-2</v>
      </c>
    </row>
    <row r="116" spans="1:34">
      <c r="A116" s="2" t="s">
        <v>27</v>
      </c>
      <c r="B116" s="3" t="s">
        <v>28</v>
      </c>
      <c r="C116" s="3" t="s">
        <v>29</v>
      </c>
      <c r="D116" s="3" t="s">
        <v>30</v>
      </c>
      <c r="E116" s="5" t="s">
        <v>31</v>
      </c>
      <c r="F116" s="5" t="s">
        <v>32</v>
      </c>
      <c r="G116" s="27" t="s">
        <v>33</v>
      </c>
      <c r="H116" s="3" t="s">
        <v>34</v>
      </c>
      <c r="I116" s="3" t="s">
        <v>35</v>
      </c>
      <c r="J116" s="80"/>
      <c r="K116" s="692"/>
      <c r="L116" s="693"/>
      <c r="M116" s="693"/>
      <c r="N116" s="693"/>
      <c r="O116" s="694"/>
      <c r="P116" s="3" t="s">
        <v>79</v>
      </c>
      <c r="Q116" s="4" t="s">
        <v>8</v>
      </c>
      <c r="R116" s="94" t="s">
        <v>80</v>
      </c>
      <c r="S116" s="94" t="s">
        <v>81</v>
      </c>
      <c r="T116" s="95" t="s">
        <v>82</v>
      </c>
      <c r="U116" s="3" t="s">
        <v>65</v>
      </c>
      <c r="V116" s="3" t="s">
        <v>256</v>
      </c>
      <c r="W116" s="669" t="s">
        <v>257</v>
      </c>
      <c r="X116" s="670"/>
      <c r="AD116" s="667"/>
      <c r="AE116" s="668"/>
      <c r="AF116" s="650"/>
      <c r="AG116" s="650"/>
    </row>
    <row r="117" spans="1:34">
      <c r="A117" s="6" t="s">
        <v>95</v>
      </c>
      <c r="B117" s="28">
        <v>41.2498</v>
      </c>
      <c r="C117" s="29">
        <v>1.8046</v>
      </c>
      <c r="D117" s="29">
        <v>42.907699999999998</v>
      </c>
      <c r="E117" s="10">
        <f>D117-B117</f>
        <v>1.6578999999999979</v>
      </c>
      <c r="F117" s="44">
        <f>C117-E117</f>
        <v>0.14670000000000205</v>
      </c>
      <c r="G117" s="127">
        <f>F117/C117*100</f>
        <v>8.1292253130888863</v>
      </c>
      <c r="H117" s="14">
        <v>42.934199999999997</v>
      </c>
      <c r="I117" s="23">
        <f>H117-D117</f>
        <v>2.6499999999998636E-2</v>
      </c>
      <c r="J117" s="80"/>
      <c r="K117" s="692"/>
      <c r="L117" s="693"/>
      <c r="M117" s="693"/>
      <c r="N117" s="693"/>
      <c r="O117" s="694"/>
      <c r="P117" s="87" t="s">
        <v>95</v>
      </c>
      <c r="Q117" s="29">
        <v>1.8046</v>
      </c>
      <c r="R117" s="97">
        <v>1.6578999999999979</v>
      </c>
      <c r="S117" s="128">
        <v>0.14670000000000205</v>
      </c>
      <c r="T117" s="31">
        <v>8.1292253130888863</v>
      </c>
      <c r="U117" s="84">
        <f>AVERAGE(T117:T120)</f>
        <v>8.1427410200042054</v>
      </c>
      <c r="V117" s="84">
        <f>_xlfn.VAR.S(T117:T120)</f>
        <v>1.6970147475357304E-2</v>
      </c>
      <c r="W117" s="672">
        <f>V117/T119*100</f>
        <v>0.20566771621711399</v>
      </c>
      <c r="X117" s="673"/>
    </row>
    <row r="118" spans="1:34">
      <c r="A118" s="12" t="s">
        <v>96</v>
      </c>
      <c r="B118" s="28">
        <v>32.419199999999996</v>
      </c>
      <c r="C118" s="29">
        <v>1.8119000000000001</v>
      </c>
      <c r="D118" s="29">
        <v>34.086799999999997</v>
      </c>
      <c r="E118" s="14">
        <f t="shared" ref="E118:E120" si="50">D118-B118</f>
        <v>1.6676000000000002</v>
      </c>
      <c r="F118" s="31">
        <f t="shared" ref="F118:F120" si="51">C118-E118</f>
        <v>0.14429999999999987</v>
      </c>
      <c r="G118" s="98">
        <f t="shared" ref="G118:G120" si="52">F118/C118*100</f>
        <v>7.9640156741541954</v>
      </c>
      <c r="H118" s="14">
        <v>34.117100000000001</v>
      </c>
      <c r="I118" s="87">
        <f t="shared" ref="I118:I120" si="53">H118-D118</f>
        <v>3.030000000000399E-2</v>
      </c>
      <c r="J118" s="80"/>
      <c r="K118" s="692"/>
      <c r="L118" s="693"/>
      <c r="M118" s="693"/>
      <c r="N118" s="693"/>
      <c r="O118" s="694"/>
      <c r="P118" s="87" t="s">
        <v>96</v>
      </c>
      <c r="Q118" s="29">
        <v>1.8119000000000001</v>
      </c>
      <c r="R118" s="97">
        <v>1.6676000000000002</v>
      </c>
      <c r="S118" s="128">
        <v>0.14429999999999987</v>
      </c>
      <c r="T118" s="31">
        <v>7.9640156741541954</v>
      </c>
      <c r="W118" s="81"/>
    </row>
    <row r="119" spans="1:34">
      <c r="A119" s="12" t="s">
        <v>97</v>
      </c>
      <c r="B119" s="28">
        <v>36.426499999999997</v>
      </c>
      <c r="C119" s="29">
        <v>1.8069999999999999</v>
      </c>
      <c r="D119" s="29">
        <v>38.084400000000002</v>
      </c>
      <c r="E119" s="14">
        <f t="shared" si="50"/>
        <v>1.657900000000005</v>
      </c>
      <c r="F119" s="31">
        <f t="shared" si="51"/>
        <v>0.1490999999999949</v>
      </c>
      <c r="G119" s="98">
        <f t="shared" si="52"/>
        <v>8.2512451577196959</v>
      </c>
      <c r="H119" s="14">
        <v>38.116799999999998</v>
      </c>
      <c r="I119" s="87">
        <f t="shared" si="53"/>
        <v>3.2399999999995543E-2</v>
      </c>
      <c r="J119" s="80"/>
      <c r="K119" s="692"/>
      <c r="L119" s="693"/>
      <c r="M119" s="693"/>
      <c r="N119" s="693"/>
      <c r="O119" s="694"/>
      <c r="P119" s="87" t="s">
        <v>97</v>
      </c>
      <c r="Q119" s="29">
        <v>1.8069999999999999</v>
      </c>
      <c r="R119" s="97">
        <v>1.657900000000005</v>
      </c>
      <c r="S119" s="128">
        <v>0.1490999999999949</v>
      </c>
      <c r="T119" s="31">
        <v>8.2512451577196959</v>
      </c>
      <c r="W119" s="81"/>
    </row>
    <row r="120" spans="1:34">
      <c r="A120" s="19" t="s">
        <v>98</v>
      </c>
      <c r="B120" s="33">
        <v>32.016300000000001</v>
      </c>
      <c r="C120" s="34">
        <v>1.8015000000000001</v>
      </c>
      <c r="D120" s="34">
        <v>33.669600000000003</v>
      </c>
      <c r="E120" s="21">
        <f t="shared" si="50"/>
        <v>1.6533000000000015</v>
      </c>
      <c r="F120" s="36">
        <f t="shared" si="51"/>
        <v>0.14819999999999856</v>
      </c>
      <c r="G120" s="101">
        <f t="shared" si="52"/>
        <v>8.2264779350540405</v>
      </c>
      <c r="H120" s="21">
        <v>33.7059</v>
      </c>
      <c r="I120" s="24">
        <f t="shared" si="53"/>
        <v>3.6299999999997112E-2</v>
      </c>
      <c r="J120" s="90"/>
      <c r="K120" s="695"/>
      <c r="L120" s="696"/>
      <c r="M120" s="696"/>
      <c r="N120" s="696"/>
      <c r="O120" s="697"/>
      <c r="P120" s="24" t="s">
        <v>98</v>
      </c>
      <c r="Q120" s="34">
        <v>1.8015000000000001</v>
      </c>
      <c r="R120" s="100">
        <v>1.6533000000000015</v>
      </c>
      <c r="S120" s="129">
        <v>0.14819999999999856</v>
      </c>
      <c r="T120" s="36">
        <v>8.2264779350540405</v>
      </c>
      <c r="W120" s="81"/>
    </row>
    <row r="121" spans="1:34">
      <c r="A121" s="91"/>
      <c r="W121" s="81"/>
    </row>
    <row r="122" spans="1:34">
      <c r="A122" s="705" t="s">
        <v>42</v>
      </c>
      <c r="B122" s="706"/>
      <c r="C122" s="706"/>
      <c r="D122" s="706"/>
      <c r="E122" s="706"/>
      <c r="F122" s="706"/>
      <c r="G122" s="706"/>
      <c r="H122" s="706"/>
      <c r="I122" s="706"/>
      <c r="J122" s="706"/>
      <c r="K122" s="706"/>
      <c r="L122" s="92"/>
      <c r="M122" s="707" t="s">
        <v>84</v>
      </c>
      <c r="N122" s="708"/>
      <c r="O122" s="708"/>
      <c r="P122" s="708"/>
      <c r="Q122" s="709"/>
      <c r="R122" s="741" t="s">
        <v>107</v>
      </c>
      <c r="S122" s="742"/>
      <c r="T122" s="742"/>
      <c r="U122" s="742"/>
      <c r="V122" s="743"/>
      <c r="W122" s="81"/>
    </row>
    <row r="123" spans="1:34">
      <c r="A123" s="2" t="s">
        <v>27</v>
      </c>
      <c r="B123" s="5" t="s">
        <v>28</v>
      </c>
      <c r="C123" s="5" t="s">
        <v>43</v>
      </c>
      <c r="D123" s="5" t="s">
        <v>44</v>
      </c>
      <c r="E123" s="3" t="s">
        <v>45</v>
      </c>
      <c r="F123" s="3" t="s">
        <v>46</v>
      </c>
      <c r="G123" s="3" t="s">
        <v>35</v>
      </c>
      <c r="H123" s="3" t="s">
        <v>47</v>
      </c>
      <c r="I123" s="3" t="s">
        <v>31</v>
      </c>
      <c r="J123" s="3" t="s">
        <v>48</v>
      </c>
      <c r="K123" s="3" t="s">
        <v>49</v>
      </c>
      <c r="L123" s="80"/>
      <c r="M123" s="710"/>
      <c r="N123" s="711"/>
      <c r="O123" s="711"/>
      <c r="P123" s="711"/>
      <c r="Q123" s="712"/>
      <c r="R123" s="3" t="s">
        <v>79</v>
      </c>
      <c r="S123" s="94" t="s">
        <v>254</v>
      </c>
      <c r="T123" s="94" t="s">
        <v>80</v>
      </c>
      <c r="U123" s="94" t="s">
        <v>255</v>
      </c>
      <c r="V123" s="94" t="s">
        <v>49</v>
      </c>
      <c r="W123" s="3" t="s">
        <v>65</v>
      </c>
      <c r="X123" s="3" t="s">
        <v>256</v>
      </c>
      <c r="Y123" s="669" t="s">
        <v>257</v>
      </c>
      <c r="Z123" s="670"/>
    </row>
    <row r="124" spans="1:34">
      <c r="A124" s="6" t="s">
        <v>95</v>
      </c>
      <c r="B124" s="41">
        <v>41.2498</v>
      </c>
      <c r="C124" s="42">
        <v>42.907699999999998</v>
      </c>
      <c r="D124" s="11">
        <v>42.934199999999997</v>
      </c>
      <c r="E124" s="10">
        <f>D124-B124</f>
        <v>1.6843999999999966</v>
      </c>
      <c r="F124" s="130">
        <f>C124-B124</f>
        <v>1.6578999999999979</v>
      </c>
      <c r="G124" s="11">
        <f>E124-F124</f>
        <v>2.6499999999998636E-2</v>
      </c>
      <c r="H124" s="41">
        <v>41.714700000000001</v>
      </c>
      <c r="I124" s="42">
        <f>H124-B124</f>
        <v>0.46490000000000009</v>
      </c>
      <c r="J124" s="43">
        <f>F124-I124</f>
        <v>1.1929999999999978</v>
      </c>
      <c r="K124" s="87">
        <f>J124/F124*100</f>
        <v>71.958501719042118</v>
      </c>
      <c r="L124" s="80"/>
      <c r="M124" s="710"/>
      <c r="N124" s="711"/>
      <c r="O124" s="711"/>
      <c r="P124" s="711"/>
      <c r="Q124" s="712"/>
      <c r="R124" s="96" t="s">
        <v>95</v>
      </c>
      <c r="S124" s="97">
        <v>1.6578999999999979</v>
      </c>
      <c r="T124" s="98">
        <v>0.46490000000000009</v>
      </c>
      <c r="U124" s="97">
        <v>1.1929999999999978</v>
      </c>
      <c r="V124" s="50">
        <v>71.958501719042118</v>
      </c>
      <c r="W124" s="84">
        <f>AVERAGE(V124:V127)</f>
        <v>72.525774879123844</v>
      </c>
      <c r="X124" s="84">
        <f>_xlfn.VAR.S(V124:V127)</f>
        <v>0.20675932020918039</v>
      </c>
      <c r="Y124" s="672">
        <f>X124/V127*100</f>
        <v>0.28297614577966618</v>
      </c>
      <c r="Z124" s="673"/>
    </row>
    <row r="125" spans="1:34">
      <c r="A125" s="12" t="s">
        <v>96</v>
      </c>
      <c r="B125" s="28">
        <v>32.419199999999996</v>
      </c>
      <c r="C125" s="29">
        <v>34.086799999999997</v>
      </c>
      <c r="D125" s="15">
        <v>34.117100000000001</v>
      </c>
      <c r="E125" s="14">
        <f t="shared" ref="E125:E127" si="54">D125-B125</f>
        <v>1.6979000000000042</v>
      </c>
      <c r="F125" s="48">
        <f t="shared" ref="F125:F127" si="55">C125-B125</f>
        <v>1.6676000000000002</v>
      </c>
      <c r="G125" s="15">
        <f t="shared" ref="G125:G127" si="56">E125-F125</f>
        <v>3.030000000000399E-2</v>
      </c>
      <c r="H125" s="28">
        <v>32.876199999999997</v>
      </c>
      <c r="I125" s="29">
        <f t="shared" ref="I125:I127" si="57">H125-B125</f>
        <v>0.45700000000000074</v>
      </c>
      <c r="J125" s="30">
        <f t="shared" ref="J125:J127" si="58">F125-I125</f>
        <v>1.2105999999999995</v>
      </c>
      <c r="K125" s="87">
        <f t="shared" ref="K125:K127" si="59">J125/F125*100</f>
        <v>72.595346605900659</v>
      </c>
      <c r="L125" s="80"/>
      <c r="M125" s="710"/>
      <c r="N125" s="711"/>
      <c r="O125" s="711"/>
      <c r="P125" s="711"/>
      <c r="Q125" s="712"/>
      <c r="R125" s="96" t="s">
        <v>96</v>
      </c>
      <c r="S125" s="97">
        <v>1.6676000000000002</v>
      </c>
      <c r="T125" s="98">
        <v>0.45700000000000074</v>
      </c>
      <c r="U125" s="97">
        <v>1.2105999999999995</v>
      </c>
      <c r="V125" s="50">
        <v>72.595346605900659</v>
      </c>
      <c r="W125" s="81"/>
    </row>
    <row r="126" spans="1:34">
      <c r="A126" s="12" t="s">
        <v>97</v>
      </c>
      <c r="B126" s="28">
        <v>36.426499999999997</v>
      </c>
      <c r="C126" s="29">
        <v>38.084400000000002</v>
      </c>
      <c r="D126" s="15">
        <v>38.116799999999998</v>
      </c>
      <c r="E126" s="14">
        <f t="shared" si="54"/>
        <v>1.6903000000000006</v>
      </c>
      <c r="F126" s="48">
        <f t="shared" si="55"/>
        <v>1.657900000000005</v>
      </c>
      <c r="G126" s="15">
        <f t="shared" si="56"/>
        <v>3.2399999999995543E-2</v>
      </c>
      <c r="H126" s="28">
        <v>36.8827</v>
      </c>
      <c r="I126" s="29">
        <f t="shared" si="57"/>
        <v>0.4562000000000026</v>
      </c>
      <c r="J126" s="30">
        <f t="shared" si="58"/>
        <v>1.2017000000000024</v>
      </c>
      <c r="K126" s="87">
        <f t="shared" si="59"/>
        <v>72.483261957898463</v>
      </c>
      <c r="L126" s="80"/>
      <c r="M126" s="710"/>
      <c r="N126" s="711"/>
      <c r="O126" s="711"/>
      <c r="P126" s="711"/>
      <c r="Q126" s="712"/>
      <c r="R126" s="96" t="s">
        <v>97</v>
      </c>
      <c r="S126" s="97">
        <v>1.657900000000005</v>
      </c>
      <c r="T126" s="98">
        <v>0.4562000000000026</v>
      </c>
      <c r="U126" s="97">
        <v>1.2017000000000024</v>
      </c>
      <c r="V126" s="50">
        <v>72.483261957898463</v>
      </c>
      <c r="W126" s="81"/>
    </row>
    <row r="127" spans="1:34">
      <c r="A127" s="19" t="s">
        <v>98</v>
      </c>
      <c r="B127" s="33">
        <v>32.016300000000001</v>
      </c>
      <c r="C127" s="34">
        <v>33.669600000000003</v>
      </c>
      <c r="D127" s="22">
        <v>33.7059</v>
      </c>
      <c r="E127" s="21">
        <f t="shared" si="54"/>
        <v>1.6895999999999987</v>
      </c>
      <c r="F127" s="89">
        <f t="shared" si="55"/>
        <v>1.6533000000000015</v>
      </c>
      <c r="G127" s="22">
        <f t="shared" si="56"/>
        <v>3.6299999999997112E-2</v>
      </c>
      <c r="H127" s="33">
        <v>32.461599999999997</v>
      </c>
      <c r="I127" s="34">
        <f t="shared" si="57"/>
        <v>0.44529999999999603</v>
      </c>
      <c r="J127" s="35">
        <f t="shared" si="58"/>
        <v>1.2080000000000055</v>
      </c>
      <c r="K127" s="24">
        <f t="shared" si="59"/>
        <v>73.065989233654165</v>
      </c>
      <c r="L127" s="90"/>
      <c r="M127" s="713"/>
      <c r="N127" s="714"/>
      <c r="O127" s="714"/>
      <c r="P127" s="714"/>
      <c r="Q127" s="715"/>
      <c r="R127" s="99" t="s">
        <v>98</v>
      </c>
      <c r="S127" s="100">
        <v>1.6533000000000015</v>
      </c>
      <c r="T127" s="101">
        <v>0.44529999999999603</v>
      </c>
      <c r="U127" s="100">
        <v>1.2080000000000055</v>
      </c>
      <c r="V127" s="67">
        <v>73.065989233654165</v>
      </c>
      <c r="W127" s="81"/>
    </row>
    <row r="128" spans="1:34">
      <c r="A128" s="91"/>
      <c r="K128" s="87">
        <f>AVERAGE(K124:K127)</f>
        <v>72.525774879123844</v>
      </c>
      <c r="L128">
        <f>STDEVA(K124:K127)</f>
        <v>0.45470795045741214</v>
      </c>
      <c r="W128" s="81"/>
    </row>
    <row r="129" spans="1:35">
      <c r="A129" s="91"/>
      <c r="W129" s="81"/>
    </row>
    <row r="130" spans="1:35">
      <c r="A130" s="700" t="s">
        <v>50</v>
      </c>
      <c r="B130" s="701"/>
      <c r="C130" s="701"/>
      <c r="D130" s="701"/>
      <c r="E130" s="701"/>
      <c r="F130" s="701"/>
      <c r="G130" s="701"/>
      <c r="H130" s="701"/>
      <c r="I130" s="701"/>
      <c r="J130" s="701"/>
      <c r="K130" s="701"/>
      <c r="L130" s="701"/>
      <c r="M130" s="701"/>
      <c r="N130" s="701"/>
      <c r="O130" s="701"/>
      <c r="P130" s="701"/>
      <c r="Q130" s="701"/>
      <c r="R130" s="701"/>
      <c r="S130" s="701"/>
      <c r="T130" s="701"/>
      <c r="U130" s="701"/>
      <c r="V130" s="702"/>
      <c r="W130" s="81"/>
    </row>
    <row r="131" spans="1:35">
      <c r="A131" s="49" t="s">
        <v>27</v>
      </c>
      <c r="B131" s="3" t="s">
        <v>28</v>
      </c>
      <c r="C131" s="3" t="s">
        <v>51</v>
      </c>
      <c r="D131" s="3" t="s">
        <v>52</v>
      </c>
      <c r="E131" s="3" t="s">
        <v>45</v>
      </c>
      <c r="F131" s="3" t="s">
        <v>46</v>
      </c>
      <c r="G131" s="3" t="s">
        <v>35</v>
      </c>
      <c r="H131" s="5" t="s">
        <v>53</v>
      </c>
      <c r="I131" s="5" t="s">
        <v>54</v>
      </c>
      <c r="J131" s="5" t="s">
        <v>55</v>
      </c>
      <c r="K131" s="5" t="s">
        <v>56</v>
      </c>
      <c r="L131" s="5" t="s">
        <v>57</v>
      </c>
      <c r="M131" s="5" t="s">
        <v>58</v>
      </c>
      <c r="N131" s="3" t="s">
        <v>56</v>
      </c>
      <c r="O131" s="3" t="s">
        <v>57</v>
      </c>
      <c r="P131" s="3" t="s">
        <v>58</v>
      </c>
      <c r="Q131" s="3" t="s">
        <v>56</v>
      </c>
      <c r="R131" s="3" t="s">
        <v>57</v>
      </c>
      <c r="S131" s="3" t="s">
        <v>58</v>
      </c>
      <c r="T131" s="3" t="s">
        <v>56</v>
      </c>
      <c r="U131" s="3" t="s">
        <v>57</v>
      </c>
      <c r="V131" s="3" t="s">
        <v>58</v>
      </c>
      <c r="W131" s="81"/>
      <c r="X131" s="49" t="s">
        <v>27</v>
      </c>
      <c r="Y131" s="3" t="s">
        <v>28</v>
      </c>
      <c r="Z131" s="4" t="s">
        <v>45</v>
      </c>
      <c r="AA131" s="117" t="s">
        <v>53</v>
      </c>
      <c r="AB131" s="144" t="s">
        <v>54</v>
      </c>
      <c r="AC131" s="95" t="s">
        <v>55</v>
      </c>
      <c r="AD131" s="117" t="s">
        <v>56</v>
      </c>
      <c r="AE131" s="144" t="s">
        <v>57</v>
      </c>
      <c r="AF131" s="95" t="s">
        <v>58</v>
      </c>
      <c r="AG131" s="102" t="s">
        <v>87</v>
      </c>
      <c r="AH131" s="102" t="s">
        <v>83</v>
      </c>
      <c r="AI131" s="102" t="s">
        <v>5</v>
      </c>
    </row>
    <row r="132" spans="1:35">
      <c r="A132" s="6" t="s">
        <v>95</v>
      </c>
      <c r="B132" s="41">
        <v>41.2498</v>
      </c>
      <c r="C132" s="41">
        <v>41.714700000000001</v>
      </c>
      <c r="D132" s="50" t="s">
        <v>108</v>
      </c>
      <c r="E132" s="55">
        <f>C132-B132</f>
        <v>0.46490000000000009</v>
      </c>
      <c r="F132" s="56" t="s">
        <v>108</v>
      </c>
      <c r="G132" s="56" t="s">
        <v>108</v>
      </c>
      <c r="H132" s="53">
        <v>41.403500000000001</v>
      </c>
      <c r="I132" s="45">
        <f>H132-B132</f>
        <v>0.15370000000000061</v>
      </c>
      <c r="J132" s="54">
        <f>E132-I132</f>
        <v>0.31119999999999948</v>
      </c>
      <c r="K132" s="56">
        <v>41.403399999999998</v>
      </c>
      <c r="L132" s="56">
        <f>K132-B132</f>
        <v>0.15359999999999729</v>
      </c>
      <c r="M132" s="44">
        <f>E132-L132</f>
        <v>0.3113000000000028</v>
      </c>
      <c r="N132" s="58"/>
      <c r="O132" s="58"/>
      <c r="P132" s="59"/>
      <c r="Q132" s="60"/>
      <c r="R132" s="61"/>
      <c r="S132" s="62"/>
      <c r="T132" s="57"/>
      <c r="U132" s="58"/>
      <c r="V132" s="59"/>
      <c r="W132" s="81"/>
      <c r="X132" s="6" t="s">
        <v>95</v>
      </c>
      <c r="Y132" s="41">
        <v>41.2498</v>
      </c>
      <c r="Z132" s="55">
        <v>0.46490000000000009</v>
      </c>
      <c r="AA132" s="145">
        <v>41.403500000000001</v>
      </c>
      <c r="AB132" s="146">
        <v>0.15370000000000061</v>
      </c>
      <c r="AC132" s="147">
        <v>0.31119999999999948</v>
      </c>
      <c r="AD132" s="148">
        <v>41.403399999999998</v>
      </c>
      <c r="AE132" s="149">
        <v>0.15359999999999729</v>
      </c>
      <c r="AF132" s="150">
        <v>0.3113000000000028</v>
      </c>
      <c r="AG132">
        <f>AE132/Z132*100</f>
        <v>33.039363303935744</v>
      </c>
      <c r="AH132">
        <f>AVERAGE(AG132:AG135)</f>
        <v>33.813757684689371</v>
      </c>
      <c r="AI132">
        <f>_xlfn.VAR.S(AG132:AG135)</f>
        <v>0.46605679503187236</v>
      </c>
    </row>
    <row r="133" spans="1:35">
      <c r="A133" s="12" t="s">
        <v>96</v>
      </c>
      <c r="B133" s="28">
        <v>32.419199999999996</v>
      </c>
      <c r="C133" s="28">
        <v>32.876199999999997</v>
      </c>
      <c r="D133" s="50" t="s">
        <v>108</v>
      </c>
      <c r="E133" s="51">
        <f t="shared" ref="E133:E135" si="60">C133-B133</f>
        <v>0.45700000000000074</v>
      </c>
      <c r="F133" s="52" t="s">
        <v>108</v>
      </c>
      <c r="G133" s="52" t="s">
        <v>108</v>
      </c>
      <c r="H133" s="63">
        <v>32.574399999999997</v>
      </c>
      <c r="I133" s="32">
        <f t="shared" ref="I133:I135" si="61">H133-B133</f>
        <v>0.15520000000000067</v>
      </c>
      <c r="J133" s="50">
        <f t="shared" ref="J133:J135" si="62">E133-I133</f>
        <v>0.30180000000000007</v>
      </c>
      <c r="K133" s="52">
        <v>32.574300000000001</v>
      </c>
      <c r="L133" s="52">
        <f t="shared" ref="L133:L135" si="63">K133-B133</f>
        <v>0.15510000000000446</v>
      </c>
      <c r="M133" s="31">
        <f t="shared" ref="M133:M135" si="64">E133-L133</f>
        <v>0.30189999999999628</v>
      </c>
      <c r="N133" s="58"/>
      <c r="O133" s="58"/>
      <c r="P133" s="59"/>
      <c r="Q133" s="64"/>
      <c r="R133" s="65"/>
      <c r="S133" s="66"/>
      <c r="T133" s="57"/>
      <c r="U133" s="58"/>
      <c r="V133" s="59"/>
      <c r="W133" s="81"/>
      <c r="X133" s="12" t="s">
        <v>96</v>
      </c>
      <c r="Y133" s="28">
        <v>32.419199999999996</v>
      </c>
      <c r="Z133" s="51">
        <v>0.45700000000000074</v>
      </c>
      <c r="AA133" s="145">
        <v>32.574399999999997</v>
      </c>
      <c r="AB133" s="146">
        <v>0.15520000000000067</v>
      </c>
      <c r="AC133" s="147">
        <v>0.30180000000000007</v>
      </c>
      <c r="AD133" s="148">
        <v>32.574300000000001</v>
      </c>
      <c r="AE133" s="149">
        <v>0.15510000000000446</v>
      </c>
      <c r="AF133" s="150">
        <v>0.30189999999999628</v>
      </c>
      <c r="AG133">
        <f t="shared" ref="AG133:AG135" si="65">AE133/Z133*100</f>
        <v>33.938730853392606</v>
      </c>
    </row>
    <row r="134" spans="1:35">
      <c r="A134" s="12" t="s">
        <v>97</v>
      </c>
      <c r="B134" s="28">
        <v>36.426499999999997</v>
      </c>
      <c r="C134" s="28">
        <v>36.8827</v>
      </c>
      <c r="D134" s="50" t="s">
        <v>108</v>
      </c>
      <c r="E134" s="51">
        <f t="shared" si="60"/>
        <v>0.4562000000000026</v>
      </c>
      <c r="F134" s="52" t="s">
        <v>108</v>
      </c>
      <c r="G134" s="52" t="s">
        <v>108</v>
      </c>
      <c r="H134" s="63">
        <v>36.579700000000003</v>
      </c>
      <c r="I134" s="32">
        <f t="shared" si="61"/>
        <v>0.15320000000000533</v>
      </c>
      <c r="J134" s="50">
        <f t="shared" si="62"/>
        <v>0.30299999999999727</v>
      </c>
      <c r="K134" s="52">
        <v>36.579799999999999</v>
      </c>
      <c r="L134" s="52">
        <f t="shared" si="63"/>
        <v>0.15330000000000155</v>
      </c>
      <c r="M134" s="31">
        <f t="shared" si="64"/>
        <v>0.30290000000000106</v>
      </c>
      <c r="N134" s="58"/>
      <c r="O134" s="58"/>
      <c r="P134" s="59"/>
      <c r="Q134" s="64"/>
      <c r="R134" s="65"/>
      <c r="S134" s="66"/>
      <c r="T134" s="57"/>
      <c r="U134" s="58"/>
      <c r="V134" s="59"/>
      <c r="W134" s="81"/>
      <c r="X134" s="12" t="s">
        <v>97</v>
      </c>
      <c r="Y134" s="28">
        <v>36.426499999999997</v>
      </c>
      <c r="Z134" s="51">
        <v>0.4562000000000026</v>
      </c>
      <c r="AA134" s="145">
        <v>36.579700000000003</v>
      </c>
      <c r="AB134" s="146">
        <v>0.15320000000000533</v>
      </c>
      <c r="AC134" s="147">
        <v>0.30299999999999727</v>
      </c>
      <c r="AD134" s="148">
        <v>36.579799999999999</v>
      </c>
      <c r="AE134" s="149">
        <v>0.15330000000000155</v>
      </c>
      <c r="AF134" s="150">
        <v>0.30290000000000106</v>
      </c>
      <c r="AG134">
        <f t="shared" si="65"/>
        <v>33.603682595353064</v>
      </c>
    </row>
    <row r="135" spans="1:35">
      <c r="A135" s="19" t="s">
        <v>98</v>
      </c>
      <c r="B135" s="33">
        <v>32.016300000000001</v>
      </c>
      <c r="C135" s="33">
        <v>32.461599999999997</v>
      </c>
      <c r="D135" s="67" t="s">
        <v>108</v>
      </c>
      <c r="E135" s="68">
        <f t="shared" si="60"/>
        <v>0.44529999999999603</v>
      </c>
      <c r="F135" s="69" t="s">
        <v>108</v>
      </c>
      <c r="G135" s="69" t="s">
        <v>108</v>
      </c>
      <c r="H135" s="70">
        <v>32.170900000000003</v>
      </c>
      <c r="I135" s="37">
        <f t="shared" si="61"/>
        <v>0.15460000000000207</v>
      </c>
      <c r="J135" s="67">
        <f t="shared" si="62"/>
        <v>0.29069999999999396</v>
      </c>
      <c r="K135" s="69">
        <v>32.170699999999997</v>
      </c>
      <c r="L135" s="69">
        <f t="shared" si="63"/>
        <v>0.15439999999999543</v>
      </c>
      <c r="M135" s="36">
        <f t="shared" si="64"/>
        <v>0.2909000000000006</v>
      </c>
      <c r="N135" s="75"/>
      <c r="O135" s="58"/>
      <c r="P135" s="59"/>
      <c r="Q135" s="72"/>
      <c r="R135" s="73"/>
      <c r="S135" s="74"/>
      <c r="T135" s="71"/>
      <c r="U135" s="75"/>
      <c r="V135" s="76"/>
      <c r="W135" s="81"/>
      <c r="X135" s="19" t="s">
        <v>98</v>
      </c>
      <c r="Y135" s="33">
        <v>32.016300000000001</v>
      </c>
      <c r="Z135" s="68">
        <v>0.44529999999999603</v>
      </c>
      <c r="AA135" s="151">
        <v>32.170900000000003</v>
      </c>
      <c r="AB135" s="152">
        <v>0.15460000000000207</v>
      </c>
      <c r="AC135" s="153">
        <v>0.29069999999999396</v>
      </c>
      <c r="AD135" s="154">
        <v>32.170699999999997</v>
      </c>
      <c r="AE135" s="155">
        <v>0.15439999999999543</v>
      </c>
      <c r="AF135" s="156">
        <v>0.2909000000000006</v>
      </c>
      <c r="AG135">
        <f t="shared" si="65"/>
        <v>34.673253986076084</v>
      </c>
    </row>
    <row r="136" spans="1:35">
      <c r="A136" s="91"/>
      <c r="H136" s="703" t="s">
        <v>88</v>
      </c>
      <c r="I136" s="704"/>
      <c r="J136" s="133" t="s">
        <v>89</v>
      </c>
      <c r="K136" s="703" t="s">
        <v>88</v>
      </c>
      <c r="L136" s="704"/>
      <c r="M136" s="134" t="s">
        <v>89</v>
      </c>
      <c r="N136" s="698" t="s">
        <v>88</v>
      </c>
      <c r="O136" s="699"/>
      <c r="P136" s="95" t="s">
        <v>89</v>
      </c>
      <c r="Q136" s="698" t="s">
        <v>88</v>
      </c>
      <c r="R136" s="699"/>
      <c r="S136" s="95" t="s">
        <v>89</v>
      </c>
      <c r="W136" s="81"/>
    </row>
    <row r="137" spans="1:35">
      <c r="A137" s="91"/>
      <c r="H137" s="135">
        <f>J132/E132*100</f>
        <v>66.939126693912542</v>
      </c>
      <c r="I137" s="136"/>
      <c r="J137" s="137">
        <f>SUM(H137:H140)/4</f>
        <v>66.16964602250404</v>
      </c>
      <c r="K137" s="103">
        <f>M132/E132*100</f>
        <v>66.960636696064256</v>
      </c>
      <c r="L137" s="104"/>
      <c r="M137" s="105"/>
      <c r="N137" s="103"/>
      <c r="O137" s="104"/>
      <c r="P137" s="105"/>
      <c r="Q137" s="103"/>
      <c r="R137" s="104"/>
      <c r="S137" s="138"/>
      <c r="T137" s="689" t="s">
        <v>109</v>
      </c>
      <c r="U137" s="690"/>
      <c r="V137" s="691"/>
      <c r="W137" s="81"/>
    </row>
    <row r="138" spans="1:35">
      <c r="A138" s="91"/>
      <c r="H138" s="103">
        <f t="shared" ref="H138:H140" si="66">J133/E133*100</f>
        <v>66.039387308533833</v>
      </c>
      <c r="I138" s="104"/>
      <c r="J138" s="106"/>
      <c r="K138" s="103">
        <f t="shared" ref="K138:K140" si="67">M133/E133*100</f>
        <v>66.061269146607387</v>
      </c>
      <c r="L138" s="104"/>
      <c r="M138" s="106"/>
      <c r="N138" s="103"/>
      <c r="O138" s="104"/>
      <c r="P138" s="106"/>
      <c r="Q138" s="103"/>
      <c r="R138" s="104"/>
      <c r="S138" s="104"/>
      <c r="T138" s="692"/>
      <c r="U138" s="693"/>
      <c r="V138" s="694"/>
      <c r="W138" s="81"/>
    </row>
    <row r="139" spans="1:35">
      <c r="A139" s="91"/>
      <c r="H139" s="103">
        <f t="shared" si="66"/>
        <v>66.418237615080116</v>
      </c>
      <c r="I139" s="104"/>
      <c r="J139" s="106"/>
      <c r="K139" s="103">
        <f t="shared" si="67"/>
        <v>66.396317404646936</v>
      </c>
      <c r="L139" s="104"/>
      <c r="M139" s="106"/>
      <c r="N139" s="103"/>
      <c r="O139" s="104"/>
      <c r="P139" s="106"/>
      <c r="Q139" s="103"/>
      <c r="R139" s="104"/>
      <c r="S139" s="104"/>
      <c r="T139" s="692"/>
      <c r="U139" s="693"/>
      <c r="V139" s="694"/>
      <c r="W139" s="81"/>
    </row>
    <row r="140" spans="1:35">
      <c r="A140" s="91"/>
      <c r="H140" s="107">
        <f t="shared" si="66"/>
        <v>65.281832472489683</v>
      </c>
      <c r="I140" s="108"/>
      <c r="J140" s="109"/>
      <c r="K140" s="103">
        <f t="shared" si="67"/>
        <v>65.326746013923923</v>
      </c>
      <c r="L140" s="108"/>
      <c r="M140" s="109"/>
      <c r="N140" s="103"/>
      <c r="O140" s="108"/>
      <c r="P140" s="109"/>
      <c r="Q140" s="103"/>
      <c r="R140" s="108"/>
      <c r="S140" s="108"/>
      <c r="T140" s="692"/>
      <c r="U140" s="693"/>
      <c r="V140" s="694"/>
      <c r="W140" s="81"/>
    </row>
    <row r="141" spans="1:35">
      <c r="A141" s="91"/>
      <c r="H141" s="104"/>
      <c r="I141" s="104"/>
      <c r="J141" s="104"/>
      <c r="K141" s="698" t="s">
        <v>90</v>
      </c>
      <c r="L141" s="699"/>
      <c r="M141" s="104"/>
      <c r="N141" s="698" t="s">
        <v>90</v>
      </c>
      <c r="O141" s="699"/>
      <c r="P141" s="104"/>
      <c r="Q141" s="698" t="s">
        <v>90</v>
      </c>
      <c r="R141" s="699"/>
      <c r="S141" s="104"/>
      <c r="T141" s="692"/>
      <c r="U141" s="693"/>
      <c r="V141" s="694"/>
      <c r="W141" s="81"/>
    </row>
    <row r="142" spans="1:35">
      <c r="A142" s="91"/>
      <c r="H142" s="104"/>
      <c r="I142" s="104"/>
      <c r="J142" s="104"/>
      <c r="K142" s="103">
        <f>(M132-J132)/M132*100</f>
        <v>3.2123353679190093E-2</v>
      </c>
      <c r="L142" s="106"/>
      <c r="M142" s="104"/>
      <c r="N142" s="103"/>
      <c r="O142" s="106"/>
      <c r="P142" s="104"/>
      <c r="Q142" s="103"/>
      <c r="R142" s="106"/>
      <c r="S142" s="104"/>
      <c r="T142" s="692"/>
      <c r="U142" s="693"/>
      <c r="V142" s="694"/>
      <c r="W142" s="81"/>
    </row>
    <row r="143" spans="1:35">
      <c r="A143" s="91"/>
      <c r="H143" s="104"/>
      <c r="I143" s="104"/>
      <c r="J143" s="104"/>
      <c r="K143" s="103">
        <f t="shared" ref="K143:K145" si="68">(M133-J133)/M133*100</f>
        <v>3.3123550843396972E-2</v>
      </c>
      <c r="L143" s="106"/>
      <c r="M143" s="104"/>
      <c r="N143" s="103"/>
      <c r="O143" s="106"/>
      <c r="P143" s="104"/>
      <c r="Q143" s="103"/>
      <c r="R143" s="106"/>
      <c r="S143" s="104"/>
      <c r="T143" s="692"/>
      <c r="U143" s="693"/>
      <c r="V143" s="694"/>
      <c r="W143" s="81"/>
    </row>
    <row r="144" spans="1:35">
      <c r="A144" s="91"/>
      <c r="H144" s="104"/>
      <c r="I144" s="104"/>
      <c r="J144" s="104"/>
      <c r="K144" s="103">
        <f t="shared" si="68"/>
        <v>-3.3014196103074898E-2</v>
      </c>
      <c r="L144" s="106"/>
      <c r="M144" s="104"/>
      <c r="N144" s="103"/>
      <c r="O144" s="106"/>
      <c r="P144" s="104"/>
      <c r="Q144" s="103"/>
      <c r="R144" s="106"/>
      <c r="S144" s="104"/>
      <c r="T144" s="692"/>
      <c r="U144" s="693"/>
      <c r="V144" s="694"/>
      <c r="W144" s="81"/>
    </row>
    <row r="145" spans="1:23">
      <c r="A145" s="91"/>
      <c r="H145" s="104"/>
      <c r="I145" s="104"/>
      <c r="J145" s="104"/>
      <c r="K145" s="103">
        <f t="shared" si="68"/>
        <v>6.8752148506922961E-2</v>
      </c>
      <c r="L145" s="109"/>
      <c r="M145" s="104"/>
      <c r="N145" s="107"/>
      <c r="O145" s="109"/>
      <c r="P145" s="104"/>
      <c r="Q145" s="107"/>
      <c r="R145" s="109"/>
      <c r="S145" s="104"/>
      <c r="T145" s="692"/>
      <c r="U145" s="693"/>
      <c r="V145" s="694"/>
      <c r="W145" s="81"/>
    </row>
    <row r="146" spans="1:23">
      <c r="A146" s="91"/>
      <c r="H146" s="104"/>
      <c r="I146" s="104"/>
      <c r="J146" s="104"/>
      <c r="K146" s="698" t="s">
        <v>86</v>
      </c>
      <c r="L146" s="699"/>
      <c r="M146" s="104"/>
      <c r="N146" s="698" t="s">
        <v>86</v>
      </c>
      <c r="O146" s="699"/>
      <c r="P146" s="104"/>
      <c r="Q146" s="698" t="s">
        <v>86</v>
      </c>
      <c r="R146" s="699"/>
      <c r="S146" s="104"/>
      <c r="T146" s="692"/>
      <c r="U146" s="693"/>
      <c r="V146" s="694"/>
      <c r="W146" s="81"/>
    </row>
    <row r="147" spans="1:23" ht="18">
      <c r="A147" s="684" t="s">
        <v>94</v>
      </c>
      <c r="B147" s="685"/>
      <c r="C147" s="685"/>
      <c r="D147" s="685"/>
      <c r="E147" s="685"/>
      <c r="F147" s="685"/>
      <c r="G147" s="685"/>
      <c r="H147" s="685"/>
      <c r="I147" s="685"/>
      <c r="J147" s="685"/>
      <c r="K147" s="135">
        <f>M132-J132</f>
        <v>1.0000000000331966E-4</v>
      </c>
      <c r="L147" s="139"/>
      <c r="M147" s="104"/>
      <c r="N147" s="103"/>
      <c r="O147" s="106"/>
      <c r="P147" s="104"/>
      <c r="Q147" s="103"/>
      <c r="R147" s="106"/>
      <c r="S147" s="104"/>
      <c r="T147" s="692"/>
      <c r="U147" s="693"/>
      <c r="V147" s="694"/>
      <c r="W147" s="81"/>
    </row>
    <row r="148" spans="1:23">
      <c r="A148" s="686" t="s">
        <v>3</v>
      </c>
      <c r="B148" s="661"/>
      <c r="C148" s="661"/>
      <c r="D148" s="661"/>
      <c r="E148" s="661"/>
      <c r="F148" s="661"/>
      <c r="G148" s="661"/>
      <c r="H148" s="661"/>
      <c r="I148" s="661"/>
      <c r="J148" s="661"/>
      <c r="K148" s="103">
        <f t="shared" ref="K148:K150" si="69">M133-J133</f>
        <v>9.9999999996214228E-5</v>
      </c>
      <c r="L148" s="106"/>
      <c r="M148" s="104"/>
      <c r="N148" s="103"/>
      <c r="O148" s="106"/>
      <c r="P148" s="104"/>
      <c r="Q148" s="103"/>
      <c r="R148" s="106"/>
      <c r="S148" s="104"/>
      <c r="T148" s="692"/>
      <c r="U148" s="693"/>
      <c r="V148" s="694"/>
      <c r="W148" s="81"/>
    </row>
    <row r="149" spans="1:23">
      <c r="A149" s="12" t="s">
        <v>95</v>
      </c>
      <c r="B149" s="13">
        <v>36.154299999999999</v>
      </c>
      <c r="C149" s="9">
        <v>0.50219999999999998</v>
      </c>
      <c r="D149" s="9">
        <v>36.6098</v>
      </c>
      <c r="E149" s="9">
        <f>D149-B149</f>
        <v>0.45550000000000068</v>
      </c>
      <c r="F149" s="14">
        <f>(C149-E149)/C149*100</f>
        <v>9.2990840302666875</v>
      </c>
      <c r="G149" s="15">
        <f>E149/C149*100</f>
        <v>90.700915969733302</v>
      </c>
      <c r="H149" s="8">
        <v>24</v>
      </c>
      <c r="I149" s="665">
        <f>(F149+F150)/2</f>
        <v>9.0349835425796137</v>
      </c>
      <c r="J149" s="687">
        <f>(G149+G150)/2</f>
        <v>90.965016457420376</v>
      </c>
      <c r="K149" s="103">
        <f t="shared" si="69"/>
        <v>-9.9999999996214228E-5</v>
      </c>
      <c r="L149" s="106"/>
      <c r="M149" s="104"/>
      <c r="N149" s="103"/>
      <c r="O149" s="106"/>
      <c r="P149" s="104"/>
      <c r="Q149" s="103"/>
      <c r="R149" s="106"/>
      <c r="S149" s="104"/>
      <c r="T149" s="692"/>
      <c r="U149" s="693"/>
      <c r="V149" s="694"/>
      <c r="W149" s="81"/>
    </row>
    <row r="150" spans="1:23">
      <c r="A150" s="19" t="s">
        <v>96</v>
      </c>
      <c r="B150" s="20">
        <v>34.871099999999998</v>
      </c>
      <c r="C150" s="16">
        <v>0.50280000000000002</v>
      </c>
      <c r="D150" s="16">
        <v>35.329799999999999</v>
      </c>
      <c r="E150" s="16">
        <f>D150-B150</f>
        <v>0.45870000000000033</v>
      </c>
      <c r="F150" s="21">
        <f>(C150-E150)/C150*100</f>
        <v>8.7708830548925398</v>
      </c>
      <c r="G150" s="22">
        <f>E150/C150*100</f>
        <v>91.229116945107464</v>
      </c>
      <c r="H150" s="16">
        <v>24</v>
      </c>
      <c r="I150" s="667"/>
      <c r="J150" s="688"/>
      <c r="K150" s="107">
        <f t="shared" si="69"/>
        <v>2.0000000000663931E-4</v>
      </c>
      <c r="L150" s="109"/>
      <c r="M150" s="104"/>
      <c r="N150" s="107"/>
      <c r="O150" s="109"/>
      <c r="P150" s="104"/>
      <c r="Q150" s="107"/>
      <c r="R150" s="109"/>
      <c r="S150" s="104"/>
      <c r="T150" s="695"/>
      <c r="U150" s="696"/>
      <c r="V150" s="697"/>
      <c r="W150" s="81"/>
    </row>
    <row r="151" spans="1:23" ht="15" thickBot="1">
      <c r="A151" s="140" t="s">
        <v>97</v>
      </c>
      <c r="B151" s="141">
        <v>37.897799999999997</v>
      </c>
      <c r="C151" s="142">
        <v>0.51139999999999997</v>
      </c>
      <c r="D151" s="142">
        <v>38.093800000000002</v>
      </c>
      <c r="E151" s="142">
        <f>D151-B151</f>
        <v>0.19600000000000506</v>
      </c>
      <c r="F151" s="141">
        <f>(C151-E151)/C151*100</f>
        <v>61.67383652717929</v>
      </c>
      <c r="G151" s="143">
        <f>E151/C151*100</f>
        <v>38.326163472820703</v>
      </c>
      <c r="H151" s="112">
        <v>24</v>
      </c>
      <c r="I151" s="115"/>
      <c r="J151" s="115"/>
      <c r="K151" s="115"/>
      <c r="L151" s="115"/>
      <c r="M151" s="115"/>
      <c r="N151" s="115"/>
      <c r="O151" s="115"/>
      <c r="P151" s="115"/>
      <c r="Q151" s="115"/>
      <c r="R151" s="115"/>
      <c r="S151" s="115"/>
      <c r="T151" s="115"/>
      <c r="U151" s="115"/>
      <c r="V151" s="115"/>
      <c r="W151" s="116"/>
    </row>
  </sheetData>
  <mergeCells count="209">
    <mergeCell ref="AH45:AH46"/>
    <mergeCell ref="AH86:AH87"/>
    <mergeCell ref="AH108:AH109"/>
    <mergeCell ref="J22:M31"/>
    <mergeCell ref="AJ36:AP50"/>
    <mergeCell ref="AD82:AE82"/>
    <mergeCell ref="AD87:AE87"/>
    <mergeCell ref="AF93:AF94"/>
    <mergeCell ref="AD78:AE78"/>
    <mergeCell ref="AD45:AE45"/>
    <mergeCell ref="AD46:AE46"/>
    <mergeCell ref="AD47:AE47"/>
    <mergeCell ref="AD48:AE48"/>
    <mergeCell ref="AB71:AG71"/>
    <mergeCell ref="AD77:AE77"/>
    <mergeCell ref="AD49:AE49"/>
    <mergeCell ref="AD50:AE51"/>
    <mergeCell ref="AG50:AG51"/>
    <mergeCell ref="AD90:AE90"/>
    <mergeCell ref="AD91:AE91"/>
    <mergeCell ref="AD79:AE79"/>
    <mergeCell ref="AD80:AE80"/>
    <mergeCell ref="AD81:AE81"/>
    <mergeCell ref="T53:T54"/>
    <mergeCell ref="Y123:Z123"/>
    <mergeCell ref="Y68:Z68"/>
    <mergeCell ref="W117:X117"/>
    <mergeCell ref="J51:J52"/>
    <mergeCell ref="T51:T52"/>
    <mergeCell ref="I55:I56"/>
    <mergeCell ref="A59:I59"/>
    <mergeCell ref="N86:O86"/>
    <mergeCell ref="Q86:R86"/>
    <mergeCell ref="K91:L91"/>
    <mergeCell ref="N91:O91"/>
    <mergeCell ref="Q91:R91"/>
    <mergeCell ref="A92:J92"/>
    <mergeCell ref="A93:J93"/>
    <mergeCell ref="R122:V122"/>
    <mergeCell ref="J107:J108"/>
    <mergeCell ref="I53:I54"/>
    <mergeCell ref="J53:J54"/>
    <mergeCell ref="Y67:Z67"/>
    <mergeCell ref="U104:U105"/>
    <mergeCell ref="U106:U107"/>
    <mergeCell ref="U108:U109"/>
    <mergeCell ref="N81:O81"/>
    <mergeCell ref="Y124:Z124"/>
    <mergeCell ref="W102:W103"/>
    <mergeCell ref="W104:W105"/>
    <mergeCell ref="W106:W107"/>
    <mergeCell ref="W108:W109"/>
    <mergeCell ref="W110:W111"/>
    <mergeCell ref="J55:J56"/>
    <mergeCell ref="T55:T56"/>
    <mergeCell ref="U110:U111"/>
    <mergeCell ref="P58:T58"/>
    <mergeCell ref="K59:O64"/>
    <mergeCell ref="A66:K66"/>
    <mergeCell ref="M66:Q71"/>
    <mergeCell ref="R66:V66"/>
    <mergeCell ref="A75:V75"/>
    <mergeCell ref="W59:X59"/>
    <mergeCell ref="W60:X60"/>
    <mergeCell ref="I94:I95"/>
    <mergeCell ref="J94:J95"/>
    <mergeCell ref="H81:I81"/>
    <mergeCell ref="K81:L81"/>
    <mergeCell ref="L44:O56"/>
    <mergeCell ref="Q81:R81"/>
    <mergeCell ref="K86:L86"/>
    <mergeCell ref="T6:Y6"/>
    <mergeCell ref="A1:I4"/>
    <mergeCell ref="A7:J7"/>
    <mergeCell ref="A8:J8"/>
    <mergeCell ref="I10:I11"/>
    <mergeCell ref="J10:J11"/>
    <mergeCell ref="I18:I19"/>
    <mergeCell ref="J18:J19"/>
    <mergeCell ref="Y8:Y9"/>
    <mergeCell ref="Y10:Y11"/>
    <mergeCell ref="Y12:Y13"/>
    <mergeCell ref="Y14:Y15"/>
    <mergeCell ref="Y16:Y17"/>
    <mergeCell ref="X8:X9"/>
    <mergeCell ref="X10:X11"/>
    <mergeCell ref="X12:X13"/>
    <mergeCell ref="X14:X15"/>
    <mergeCell ref="X16:X17"/>
    <mergeCell ref="I14:I15"/>
    <mergeCell ref="J14:J15"/>
    <mergeCell ref="I16:I17"/>
    <mergeCell ref="J16:J17"/>
    <mergeCell ref="P13:Q18"/>
    <mergeCell ref="I12:I13"/>
    <mergeCell ref="P45:U45"/>
    <mergeCell ref="I47:I48"/>
    <mergeCell ref="J47:J48"/>
    <mergeCell ref="T47:T48"/>
    <mergeCell ref="I49:I50"/>
    <mergeCell ref="J49:J50"/>
    <mergeCell ref="T49:T50"/>
    <mergeCell ref="A44:J44"/>
    <mergeCell ref="A45:J45"/>
    <mergeCell ref="J12:J13"/>
    <mergeCell ref="A22:G22"/>
    <mergeCell ref="A29:F29"/>
    <mergeCell ref="A36:R36"/>
    <mergeCell ref="I51:I52"/>
    <mergeCell ref="I109:I110"/>
    <mergeCell ref="J109:J110"/>
    <mergeCell ref="I111:I112"/>
    <mergeCell ref="J111:J112"/>
    <mergeCell ref="A100:J100"/>
    <mergeCell ref="L100:O112"/>
    <mergeCell ref="Q100:V100"/>
    <mergeCell ref="A101:J101"/>
    <mergeCell ref="I103:I104"/>
    <mergeCell ref="J103:J104"/>
    <mergeCell ref="I105:I106"/>
    <mergeCell ref="J105:J106"/>
    <mergeCell ref="I107:I108"/>
    <mergeCell ref="V102:V103"/>
    <mergeCell ref="V104:V105"/>
    <mergeCell ref="V106:V107"/>
    <mergeCell ref="V108:V109"/>
    <mergeCell ref="V110:V111"/>
    <mergeCell ref="U102:U103"/>
    <mergeCell ref="A147:J147"/>
    <mergeCell ref="A148:J148"/>
    <mergeCell ref="I149:I150"/>
    <mergeCell ref="J149:J150"/>
    <mergeCell ref="K7:M7"/>
    <mergeCell ref="K11:M11"/>
    <mergeCell ref="T137:V150"/>
    <mergeCell ref="K141:L141"/>
    <mergeCell ref="N141:O141"/>
    <mergeCell ref="Q141:R141"/>
    <mergeCell ref="K146:L146"/>
    <mergeCell ref="N146:O146"/>
    <mergeCell ref="Q146:R146"/>
    <mergeCell ref="A130:V130"/>
    <mergeCell ref="H136:I136"/>
    <mergeCell ref="K136:L136"/>
    <mergeCell ref="N136:O136"/>
    <mergeCell ref="Q136:R136"/>
    <mergeCell ref="A115:I115"/>
    <mergeCell ref="K115:O120"/>
    <mergeCell ref="P115:T115"/>
    <mergeCell ref="A122:K122"/>
    <mergeCell ref="U47:U48"/>
    <mergeCell ref="M122:Q127"/>
    <mergeCell ref="Z14:AA15"/>
    <mergeCell ref="Z16:AA17"/>
    <mergeCell ref="U49:U50"/>
    <mergeCell ref="U51:U52"/>
    <mergeCell ref="U53:U54"/>
    <mergeCell ref="U55:U56"/>
    <mergeCell ref="V47:V48"/>
    <mergeCell ref="V49:V50"/>
    <mergeCell ref="V51:V52"/>
    <mergeCell ref="V53:V54"/>
    <mergeCell ref="V55:V56"/>
    <mergeCell ref="T29:X29"/>
    <mergeCell ref="AA23:AB23"/>
    <mergeCell ref="AA24:AB24"/>
    <mergeCell ref="AA30:AB30"/>
    <mergeCell ref="AA31:AB31"/>
    <mergeCell ref="T22:X22"/>
    <mergeCell ref="AB36:AG36"/>
    <mergeCell ref="AF50:AF51"/>
    <mergeCell ref="AD40:AE40"/>
    <mergeCell ref="AD41:AE41"/>
    <mergeCell ref="AD42:AE42"/>
    <mergeCell ref="AD43:AE43"/>
    <mergeCell ref="AD44:AE44"/>
    <mergeCell ref="AD8:AE8"/>
    <mergeCell ref="AD9:AE9"/>
    <mergeCell ref="AD13:AE13"/>
    <mergeCell ref="AD12:AE12"/>
    <mergeCell ref="AB7:AE7"/>
    <mergeCell ref="AB11:AE11"/>
    <mergeCell ref="Z7:AA7"/>
    <mergeCell ref="Z8:AA9"/>
    <mergeCell ref="Z10:AA11"/>
    <mergeCell ref="Z12:AA13"/>
    <mergeCell ref="W46:Y46"/>
    <mergeCell ref="W50:Y50"/>
    <mergeCell ref="X101:Z101"/>
    <mergeCell ref="AD111:AE111"/>
    <mergeCell ref="AD112:AE112"/>
    <mergeCell ref="AD113:AE113"/>
    <mergeCell ref="AD114:AE114"/>
    <mergeCell ref="AF115:AF116"/>
    <mergeCell ref="AD83:AE83"/>
    <mergeCell ref="AD84:AE84"/>
    <mergeCell ref="AD85:AE85"/>
    <mergeCell ref="AD86:AE86"/>
    <mergeCell ref="AD88:AE88"/>
    <mergeCell ref="AD89:AE89"/>
    <mergeCell ref="AB103:AG103"/>
    <mergeCell ref="AD109:AE109"/>
    <mergeCell ref="AD110:AE110"/>
    <mergeCell ref="AD92:AE92"/>
    <mergeCell ref="AD93:AE94"/>
    <mergeCell ref="AG93:AG94"/>
    <mergeCell ref="AD115:AE116"/>
    <mergeCell ref="AG115:AG116"/>
    <mergeCell ref="W116:X1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A0BD-60C7-4469-862C-B03E0184782F}">
  <dimension ref="B2:BU124"/>
  <sheetViews>
    <sheetView topLeftCell="M88" zoomScale="85" zoomScaleNormal="85" workbookViewId="0">
      <selection activeCell="BE21" sqref="BE21:BL27"/>
    </sheetView>
  </sheetViews>
  <sheetFormatPr baseColWidth="10" defaultColWidth="8.88671875" defaultRowHeight="14.4"/>
  <cols>
    <col min="57" max="58" width="6.77734375" customWidth="1"/>
    <col min="59" max="60" width="7.77734375" customWidth="1"/>
    <col min="61" max="62" width="6.77734375" customWidth="1"/>
    <col min="63" max="64" width="7.77734375" customWidth="1"/>
    <col min="66" max="67" width="5.77734375" customWidth="1"/>
    <col min="68" max="73" width="7.77734375" customWidth="1"/>
  </cols>
  <sheetData>
    <row r="2" spans="2:73" ht="18">
      <c r="T2" s="944" t="s">
        <v>280</v>
      </c>
      <c r="U2" s="944"/>
      <c r="V2" s="944"/>
      <c r="W2" s="944"/>
      <c r="X2" s="944"/>
    </row>
    <row r="3" spans="2:73" ht="18">
      <c r="B3" s="763" t="s">
        <v>258</v>
      </c>
      <c r="C3" s="764"/>
      <c r="D3" s="764"/>
      <c r="E3" s="764"/>
      <c r="F3" s="764"/>
      <c r="G3" s="764"/>
      <c r="H3" s="764"/>
      <c r="I3" s="764"/>
      <c r="J3" s="765"/>
      <c r="R3" s="906" t="s">
        <v>284</v>
      </c>
      <c r="S3" s="932"/>
      <c r="T3" s="933"/>
      <c r="U3" s="934"/>
      <c r="W3" s="935" t="s">
        <v>283</v>
      </c>
      <c r="X3" s="933"/>
      <c r="Y3" s="932"/>
      <c r="Z3" s="907"/>
      <c r="BE3" s="923" t="s">
        <v>280</v>
      </c>
      <c r="BF3" s="924"/>
      <c r="BG3" s="924"/>
      <c r="BH3" s="924"/>
      <c r="BI3" s="924"/>
      <c r="BJ3" s="924"/>
      <c r="BK3" s="924"/>
      <c r="BL3" s="925"/>
      <c r="BN3" s="923" t="s">
        <v>507</v>
      </c>
      <c r="BO3" s="924"/>
      <c r="BP3" s="924"/>
      <c r="BQ3" s="924"/>
      <c r="BR3" s="924"/>
      <c r="BS3" s="924"/>
      <c r="BT3" s="924"/>
      <c r="BU3" s="925"/>
    </row>
    <row r="4" spans="2:73">
      <c r="B4" s="314"/>
      <c r="C4" s="795" t="s">
        <v>221</v>
      </c>
      <c r="D4" s="796"/>
      <c r="E4" s="795" t="s">
        <v>222</v>
      </c>
      <c r="F4" s="796"/>
      <c r="G4" s="795" t="s">
        <v>223</v>
      </c>
      <c r="H4" s="796"/>
      <c r="I4" s="795" t="s">
        <v>224</v>
      </c>
      <c r="J4" s="796"/>
      <c r="R4" s="477" t="s">
        <v>281</v>
      </c>
      <c r="S4" s="478"/>
      <c r="T4" s="477" t="s">
        <v>282</v>
      </c>
      <c r="U4" s="478"/>
      <c r="W4" s="795" t="s">
        <v>281</v>
      </c>
      <c r="X4" s="796"/>
      <c r="Y4" s="795" t="s">
        <v>282</v>
      </c>
      <c r="Z4" s="796"/>
      <c r="BE4" s="906" t="s">
        <v>284</v>
      </c>
      <c r="BF4" s="932"/>
      <c r="BG4" s="933"/>
      <c r="BH4" s="934"/>
      <c r="BI4" s="935" t="s">
        <v>283</v>
      </c>
      <c r="BJ4" s="933"/>
      <c r="BK4" s="932"/>
      <c r="BL4" s="907"/>
      <c r="BN4" s="928" t="s">
        <v>284</v>
      </c>
      <c r="BO4" s="928"/>
      <c r="BP4" s="928"/>
      <c r="BQ4" s="928"/>
      <c r="BR4" s="928"/>
      <c r="BS4" s="928"/>
      <c r="BT4" s="928"/>
      <c r="BU4" s="928"/>
    </row>
    <row r="5" spans="2:73">
      <c r="B5" s="352" t="s">
        <v>225</v>
      </c>
      <c r="C5" s="797">
        <v>11.368697959546481</v>
      </c>
      <c r="D5" s="798"/>
      <c r="E5" s="797">
        <v>11.68042839208921</v>
      </c>
      <c r="F5" s="798"/>
      <c r="G5" s="799">
        <v>10.104896427177048</v>
      </c>
      <c r="H5" s="800"/>
      <c r="I5" s="772" t="s">
        <v>108</v>
      </c>
      <c r="J5" s="780"/>
      <c r="R5" s="471">
        <v>200</v>
      </c>
      <c r="S5" s="472"/>
      <c r="T5" s="473">
        <v>10.104896427177048</v>
      </c>
      <c r="U5" s="474"/>
      <c r="W5" s="471">
        <v>200</v>
      </c>
      <c r="X5" s="472"/>
      <c r="Y5" s="804">
        <v>13.130216285605565</v>
      </c>
      <c r="Z5" s="805"/>
      <c r="BE5" s="795" t="s">
        <v>281</v>
      </c>
      <c r="BF5" s="796"/>
      <c r="BG5" s="795" t="s">
        <v>282</v>
      </c>
      <c r="BH5" s="796"/>
      <c r="BI5" s="795" t="s">
        <v>281</v>
      </c>
      <c r="BJ5" s="796"/>
      <c r="BK5" s="795" t="s">
        <v>282</v>
      </c>
      <c r="BL5" s="796"/>
      <c r="BN5" s="929"/>
      <c r="BO5" s="929"/>
      <c r="BP5" s="857" t="s">
        <v>225</v>
      </c>
      <c r="BQ5" s="857"/>
      <c r="BR5" s="857" t="s">
        <v>170</v>
      </c>
      <c r="BS5" s="857"/>
      <c r="BT5" s="857" t="s">
        <v>171</v>
      </c>
      <c r="BU5" s="857"/>
    </row>
    <row r="6" spans="2:73">
      <c r="B6" s="352" t="s">
        <v>170</v>
      </c>
      <c r="C6" s="792">
        <v>12.03568388050469</v>
      </c>
      <c r="D6" s="793"/>
      <c r="E6" s="792">
        <v>11.065648050977396</v>
      </c>
      <c r="F6" s="793"/>
      <c r="G6" s="772" t="s">
        <v>108</v>
      </c>
      <c r="H6" s="780"/>
      <c r="I6" s="794">
        <v>11.550665965741041</v>
      </c>
      <c r="J6" s="794"/>
      <c r="R6" s="471">
        <v>250</v>
      </c>
      <c r="S6" s="472"/>
      <c r="T6" s="475">
        <v>19.7922618562807</v>
      </c>
      <c r="U6" s="475"/>
      <c r="W6" s="471">
        <v>250</v>
      </c>
      <c r="X6" s="472"/>
      <c r="Y6" s="799">
        <v>26.7588007757229</v>
      </c>
      <c r="Z6" s="800"/>
      <c r="BE6" s="919">
        <v>200</v>
      </c>
      <c r="BF6" s="920"/>
      <c r="BG6" s="930">
        <v>10.104896427177048</v>
      </c>
      <c r="BH6" s="931"/>
      <c r="BI6" s="919">
        <v>200</v>
      </c>
      <c r="BJ6" s="920"/>
      <c r="BK6" s="921">
        <v>13.130216285605565</v>
      </c>
      <c r="BL6" s="922"/>
      <c r="BN6" s="926" t="s">
        <v>281</v>
      </c>
      <c r="BO6" s="927"/>
      <c r="BP6" s="926" t="s">
        <v>282</v>
      </c>
      <c r="BQ6" s="927"/>
      <c r="BR6" s="926" t="s">
        <v>282</v>
      </c>
      <c r="BS6" s="927"/>
      <c r="BT6" s="926" t="s">
        <v>282</v>
      </c>
      <c r="BU6" s="927"/>
    </row>
    <row r="7" spans="2:73">
      <c r="B7" s="352" t="s">
        <v>171</v>
      </c>
      <c r="C7" s="792">
        <v>11.20336063937342</v>
      </c>
      <c r="D7" s="793"/>
      <c r="E7" s="792">
        <v>10.487309393843226</v>
      </c>
      <c r="F7" s="793"/>
      <c r="G7" s="772" t="s">
        <v>108</v>
      </c>
      <c r="H7" s="780"/>
      <c r="I7" s="794">
        <v>10.845335016608322</v>
      </c>
      <c r="J7" s="794"/>
      <c r="R7" s="471">
        <v>275</v>
      </c>
      <c r="S7" s="472"/>
      <c r="T7" s="476">
        <v>31.734412744513559</v>
      </c>
      <c r="U7" s="476"/>
      <c r="W7" s="471">
        <v>275</v>
      </c>
      <c r="X7" s="472"/>
      <c r="Y7" s="804">
        <v>33.825100445260489</v>
      </c>
      <c r="Z7" s="805"/>
      <c r="BE7" s="919">
        <v>250</v>
      </c>
      <c r="BF7" s="920"/>
      <c r="BG7" s="930">
        <v>19.7922618562807</v>
      </c>
      <c r="BH7" s="931"/>
      <c r="BI7" s="919">
        <v>250</v>
      </c>
      <c r="BJ7" s="920"/>
      <c r="BK7" s="930">
        <v>26.7588007757229</v>
      </c>
      <c r="BL7" s="931"/>
      <c r="BN7" s="919">
        <v>200</v>
      </c>
      <c r="BO7" s="920"/>
      <c r="BP7" s="921">
        <v>10.104896427177048</v>
      </c>
      <c r="BQ7" s="922"/>
      <c r="BR7" s="921">
        <v>11.550665965741041</v>
      </c>
      <c r="BS7" s="922"/>
      <c r="BT7" s="921">
        <v>10.845335016608322</v>
      </c>
      <c r="BU7" s="922"/>
    </row>
    <row r="8" spans="2:73" ht="18">
      <c r="R8" s="471">
        <v>300</v>
      </c>
      <c r="S8" s="472"/>
      <c r="T8" s="476">
        <v>43.090357961087719</v>
      </c>
      <c r="U8" s="476"/>
      <c r="W8" s="471">
        <v>300</v>
      </c>
      <c r="X8" s="472"/>
      <c r="Y8" s="794">
        <v>46.639627113417603</v>
      </c>
      <c r="Z8" s="794"/>
      <c r="AE8" s="185"/>
      <c r="AF8" s="949" t="s">
        <v>287</v>
      </c>
      <c r="AG8" s="950"/>
      <c r="AH8" s="950"/>
      <c r="AI8" s="950"/>
      <c r="AJ8" s="950"/>
      <c r="AK8" s="950"/>
      <c r="AL8" s="950"/>
      <c r="AM8" s="950"/>
      <c r="AN8" s="951"/>
      <c r="AO8" s="229"/>
      <c r="BE8" s="919">
        <v>275</v>
      </c>
      <c r="BF8" s="920"/>
      <c r="BG8" s="921">
        <v>31.734412744513559</v>
      </c>
      <c r="BH8" s="922"/>
      <c r="BI8" s="919">
        <v>275</v>
      </c>
      <c r="BJ8" s="920"/>
      <c r="BK8" s="921">
        <v>33.825100445260489</v>
      </c>
      <c r="BL8" s="922"/>
      <c r="BN8" s="919">
        <v>250</v>
      </c>
      <c r="BO8" s="920"/>
      <c r="BP8" s="921">
        <v>19.7922618562807</v>
      </c>
      <c r="BQ8" s="922"/>
      <c r="BR8" s="921">
        <v>19.15067227575398</v>
      </c>
      <c r="BS8" s="922"/>
      <c r="BT8" s="921">
        <v>16.956748226226896</v>
      </c>
      <c r="BU8" s="922"/>
    </row>
    <row r="9" spans="2:73">
      <c r="AE9" s="173"/>
      <c r="AO9" s="176"/>
      <c r="BE9" s="919">
        <v>300</v>
      </c>
      <c r="BF9" s="920"/>
      <c r="BG9" s="921">
        <v>43.090357961087719</v>
      </c>
      <c r="BH9" s="922"/>
      <c r="BI9" s="919">
        <v>300</v>
      </c>
      <c r="BJ9" s="920"/>
      <c r="BK9" s="937">
        <v>46.639627113417603</v>
      </c>
      <c r="BL9" s="937"/>
      <c r="BN9" s="919">
        <v>275</v>
      </c>
      <c r="BO9" s="920"/>
      <c r="BP9" s="921">
        <v>31.734412744513559</v>
      </c>
      <c r="BQ9" s="922"/>
      <c r="BR9" s="921">
        <v>29.938004293730586</v>
      </c>
      <c r="BS9" s="922"/>
      <c r="BT9" s="921">
        <v>27.841641075514048</v>
      </c>
      <c r="BU9" s="922"/>
    </row>
    <row r="10" spans="2:73" ht="18">
      <c r="B10" s="817" t="s">
        <v>259</v>
      </c>
      <c r="C10" s="818"/>
      <c r="D10" s="818"/>
      <c r="E10" s="818"/>
      <c r="F10" s="818"/>
      <c r="G10" s="818"/>
      <c r="H10" s="818"/>
      <c r="I10" s="818"/>
      <c r="J10" s="819"/>
      <c r="AE10" s="173"/>
      <c r="AO10" s="176"/>
      <c r="BN10" s="919">
        <v>300</v>
      </c>
      <c r="BO10" s="920"/>
      <c r="BP10" s="921">
        <v>43.090357961087719</v>
      </c>
      <c r="BQ10" s="922"/>
      <c r="BR10" s="921">
        <v>41.633134300421645</v>
      </c>
      <c r="BS10" s="922"/>
      <c r="BT10" s="921">
        <v>40.535370926800397</v>
      </c>
      <c r="BU10" s="922"/>
    </row>
    <row r="11" spans="2:73" ht="18">
      <c r="B11" s="374"/>
      <c r="C11" s="803" t="s">
        <v>221</v>
      </c>
      <c r="D11" s="802"/>
      <c r="E11" s="801" t="s">
        <v>222</v>
      </c>
      <c r="F11" s="802"/>
      <c r="G11" s="803" t="s">
        <v>230</v>
      </c>
      <c r="H11" s="802"/>
      <c r="I11" s="803" t="s">
        <v>223</v>
      </c>
      <c r="J11" s="802"/>
      <c r="AE11" s="173"/>
      <c r="AF11" s="923" t="s">
        <v>280</v>
      </c>
      <c r="AG11" s="924"/>
      <c r="AH11" s="924"/>
      <c r="AI11" s="924"/>
      <c r="AJ11" s="924"/>
      <c r="AK11" s="924"/>
      <c r="AL11" s="924"/>
      <c r="AM11" s="925"/>
      <c r="AO11" s="176"/>
    </row>
    <row r="12" spans="2:73" ht="18">
      <c r="B12" s="352" t="s">
        <v>225</v>
      </c>
      <c r="C12" s="797">
        <v>12.394074728606475</v>
      </c>
      <c r="D12" s="798"/>
      <c r="E12" s="797">
        <v>12.515594252966546</v>
      </c>
      <c r="F12" s="798"/>
      <c r="G12" s="785" t="s">
        <v>108</v>
      </c>
      <c r="H12" s="789"/>
      <c r="I12" s="804">
        <v>13.130216285605565</v>
      </c>
      <c r="J12" s="805"/>
      <c r="AE12" s="173"/>
      <c r="AF12" s="906" t="s">
        <v>284</v>
      </c>
      <c r="AG12" s="932"/>
      <c r="AH12" s="933"/>
      <c r="AI12" s="934"/>
      <c r="AJ12" s="935" t="s">
        <v>283</v>
      </c>
      <c r="AK12" s="933"/>
      <c r="AL12" s="932"/>
      <c r="AM12" s="907"/>
      <c r="AO12" s="176"/>
      <c r="BE12" s="923" t="s">
        <v>285</v>
      </c>
      <c r="BF12" s="924"/>
      <c r="BG12" s="924"/>
      <c r="BH12" s="924"/>
      <c r="BI12" s="924"/>
      <c r="BJ12" s="924"/>
      <c r="BK12" s="924"/>
      <c r="BL12" s="925"/>
      <c r="BN12" s="923" t="s">
        <v>507</v>
      </c>
      <c r="BO12" s="924"/>
      <c r="BP12" s="924"/>
      <c r="BQ12" s="924"/>
      <c r="BR12" s="924"/>
      <c r="BS12" s="924"/>
      <c r="BT12" s="924"/>
      <c r="BU12" s="925"/>
    </row>
    <row r="13" spans="2:73">
      <c r="B13" s="352" t="s">
        <v>170</v>
      </c>
      <c r="C13" s="792">
        <v>12.219783448248011</v>
      </c>
      <c r="D13" s="793"/>
      <c r="E13" s="799">
        <v>12.163651122408263</v>
      </c>
      <c r="F13" s="800"/>
      <c r="G13" s="804">
        <v>12.191717285328137</v>
      </c>
      <c r="H13" s="805"/>
      <c r="I13" s="772" t="s">
        <v>108</v>
      </c>
      <c r="J13" s="780"/>
      <c r="AE13" s="173"/>
      <c r="AF13" s="795" t="s">
        <v>281</v>
      </c>
      <c r="AG13" s="796"/>
      <c r="AH13" s="795" t="s">
        <v>282</v>
      </c>
      <c r="AI13" s="796"/>
      <c r="AJ13" s="795" t="s">
        <v>281</v>
      </c>
      <c r="AK13" s="796"/>
      <c r="AL13" s="795" t="s">
        <v>282</v>
      </c>
      <c r="AM13" s="796"/>
      <c r="AO13" s="176"/>
      <c r="BE13" s="906" t="s">
        <v>284</v>
      </c>
      <c r="BF13" s="932"/>
      <c r="BG13" s="933"/>
      <c r="BH13" s="934"/>
      <c r="BI13" s="935" t="s">
        <v>283</v>
      </c>
      <c r="BJ13" s="933"/>
      <c r="BK13" s="932"/>
      <c r="BL13" s="907"/>
      <c r="BN13" s="928" t="s">
        <v>283</v>
      </c>
      <c r="BO13" s="928"/>
      <c r="BP13" s="928"/>
      <c r="BQ13" s="928"/>
      <c r="BR13" s="928"/>
      <c r="BS13" s="928"/>
      <c r="BT13" s="928"/>
      <c r="BU13" s="928"/>
    </row>
    <row r="14" spans="2:73">
      <c r="B14" s="352" t="s">
        <v>171</v>
      </c>
      <c r="C14" s="797">
        <v>10.791647094517936</v>
      </c>
      <c r="D14" s="798"/>
      <c r="E14" s="797">
        <v>11.154392810294263</v>
      </c>
      <c r="F14" s="798"/>
      <c r="G14" s="772" t="s">
        <v>108</v>
      </c>
      <c r="H14" s="780"/>
      <c r="I14" s="804">
        <v>10.555963789093047</v>
      </c>
      <c r="J14" s="805"/>
      <c r="AE14" s="173"/>
      <c r="AF14" s="919">
        <v>200</v>
      </c>
      <c r="AG14" s="920"/>
      <c r="AH14" s="945">
        <v>10.104896427177048</v>
      </c>
      <c r="AI14" s="946"/>
      <c r="AJ14" s="919">
        <v>200</v>
      </c>
      <c r="AK14" s="920"/>
      <c r="AL14" s="947">
        <v>13.130216285605565</v>
      </c>
      <c r="AM14" s="948"/>
      <c r="AO14" s="176"/>
      <c r="BE14" s="795" t="s">
        <v>281</v>
      </c>
      <c r="BF14" s="796"/>
      <c r="BG14" s="795" t="s">
        <v>282</v>
      </c>
      <c r="BH14" s="796"/>
      <c r="BI14" s="795" t="s">
        <v>281</v>
      </c>
      <c r="BJ14" s="796"/>
      <c r="BK14" s="795" t="s">
        <v>282</v>
      </c>
      <c r="BL14" s="796"/>
      <c r="BN14" s="929"/>
      <c r="BO14" s="929"/>
      <c r="BP14" s="857" t="s">
        <v>225</v>
      </c>
      <c r="BQ14" s="857"/>
      <c r="BR14" s="857" t="s">
        <v>170</v>
      </c>
      <c r="BS14" s="857"/>
      <c r="BT14" s="857" t="s">
        <v>171</v>
      </c>
      <c r="BU14" s="857"/>
    </row>
    <row r="15" spans="2:73">
      <c r="AE15" s="173"/>
      <c r="AF15" s="919">
        <v>250</v>
      </c>
      <c r="AG15" s="920"/>
      <c r="AH15" s="945">
        <v>19.7922618562807</v>
      </c>
      <c r="AI15" s="946"/>
      <c r="AJ15" s="919">
        <v>250</v>
      </c>
      <c r="AK15" s="920"/>
      <c r="AL15" s="945">
        <v>26.7588007757229</v>
      </c>
      <c r="AM15" s="946"/>
      <c r="AO15" s="176"/>
      <c r="BE15" s="919">
        <v>200</v>
      </c>
      <c r="BF15" s="920"/>
      <c r="BG15" s="930">
        <v>11.550665965741041</v>
      </c>
      <c r="BH15" s="931"/>
      <c r="BI15" s="919">
        <v>200</v>
      </c>
      <c r="BJ15" s="920"/>
      <c r="BK15" s="921">
        <v>12.191717285328137</v>
      </c>
      <c r="BL15" s="922"/>
      <c r="BN15" s="926" t="s">
        <v>281</v>
      </c>
      <c r="BO15" s="927"/>
      <c r="BP15" s="926" t="s">
        <v>282</v>
      </c>
      <c r="BQ15" s="927"/>
      <c r="BR15" s="926" t="s">
        <v>282</v>
      </c>
      <c r="BS15" s="927"/>
      <c r="BT15" s="926" t="s">
        <v>282</v>
      </c>
      <c r="BU15" s="927"/>
    </row>
    <row r="16" spans="2:73">
      <c r="AE16" s="173"/>
      <c r="AF16" s="919">
        <v>275</v>
      </c>
      <c r="AG16" s="920"/>
      <c r="AH16" s="947">
        <v>31.734412744513559</v>
      </c>
      <c r="AI16" s="948"/>
      <c r="AJ16" s="919">
        <v>275</v>
      </c>
      <c r="AK16" s="920"/>
      <c r="AL16" s="947">
        <v>33.825100445260489</v>
      </c>
      <c r="AM16" s="948"/>
      <c r="AO16" s="176"/>
      <c r="BE16" s="919">
        <v>250</v>
      </c>
      <c r="BF16" s="920"/>
      <c r="BG16" s="930">
        <v>19.15067227575398</v>
      </c>
      <c r="BH16" s="931"/>
      <c r="BI16" s="919">
        <v>250</v>
      </c>
      <c r="BJ16" s="920"/>
      <c r="BK16" s="930">
        <v>27.227829469572765</v>
      </c>
      <c r="BL16" s="931"/>
      <c r="BN16" s="919">
        <v>200</v>
      </c>
      <c r="BO16" s="920"/>
      <c r="BP16" s="921">
        <v>13.130216285605565</v>
      </c>
      <c r="BQ16" s="922"/>
      <c r="BR16" s="921">
        <v>12.191717285328137</v>
      </c>
      <c r="BS16" s="922"/>
      <c r="BT16" s="921">
        <v>10.555963789093047</v>
      </c>
      <c r="BU16" s="922"/>
    </row>
    <row r="17" spans="2:73" ht="18">
      <c r="B17" s="817" t="s">
        <v>260</v>
      </c>
      <c r="C17" s="818"/>
      <c r="D17" s="818"/>
      <c r="E17" s="818"/>
      <c r="F17" s="818"/>
      <c r="G17" s="818"/>
      <c r="H17" s="818"/>
      <c r="I17" s="818"/>
      <c r="J17" s="819"/>
      <c r="AE17" s="173"/>
      <c r="AF17" s="919">
        <v>300</v>
      </c>
      <c r="AG17" s="920"/>
      <c r="AH17" s="947">
        <v>43.090357961087719</v>
      </c>
      <c r="AI17" s="948"/>
      <c r="AJ17" s="919">
        <v>300</v>
      </c>
      <c r="AK17" s="920"/>
      <c r="AL17" s="952">
        <v>46.639627113417603</v>
      </c>
      <c r="AM17" s="952"/>
      <c r="AO17" s="176"/>
      <c r="BE17" s="919">
        <v>275</v>
      </c>
      <c r="BF17" s="920"/>
      <c r="BG17" s="921">
        <v>29.938004293730586</v>
      </c>
      <c r="BH17" s="922"/>
      <c r="BI17" s="919">
        <v>275</v>
      </c>
      <c r="BJ17" s="920"/>
      <c r="BK17" s="930">
        <v>35.114588827230754</v>
      </c>
      <c r="BL17" s="931"/>
      <c r="BN17" s="919">
        <v>250</v>
      </c>
      <c r="BO17" s="920"/>
      <c r="BP17" s="921">
        <v>26.7588007757229</v>
      </c>
      <c r="BQ17" s="922"/>
      <c r="BR17" s="921">
        <v>27.227829469572765</v>
      </c>
      <c r="BS17" s="922"/>
      <c r="BT17" s="921">
        <v>21.748967099086034</v>
      </c>
      <c r="BU17" s="922"/>
    </row>
    <row r="18" spans="2:73">
      <c r="B18" s="314"/>
      <c r="C18" s="795" t="s">
        <v>221</v>
      </c>
      <c r="D18" s="796"/>
      <c r="E18" s="822" t="s">
        <v>222</v>
      </c>
      <c r="F18" s="796"/>
      <c r="G18" s="795" t="s">
        <v>223</v>
      </c>
      <c r="H18" s="796"/>
      <c r="I18" s="795" t="s">
        <v>226</v>
      </c>
      <c r="J18" s="796"/>
      <c r="AE18" s="173"/>
      <c r="AO18" s="176"/>
      <c r="BE18" s="919">
        <v>300</v>
      </c>
      <c r="BF18" s="920"/>
      <c r="BG18" s="921">
        <v>41.633134300421645</v>
      </c>
      <c r="BH18" s="936"/>
      <c r="BI18" s="919">
        <v>300</v>
      </c>
      <c r="BJ18" s="920"/>
      <c r="BK18" s="930">
        <v>46.830219487455565</v>
      </c>
      <c r="BL18" s="931"/>
      <c r="BN18" s="919">
        <v>275</v>
      </c>
      <c r="BO18" s="920"/>
      <c r="BP18" s="921">
        <v>33.825100445260489</v>
      </c>
      <c r="BQ18" s="922"/>
      <c r="BR18" s="921">
        <v>35.114588827230754</v>
      </c>
      <c r="BS18" s="922"/>
      <c r="BT18" s="921">
        <v>33.731382136837269</v>
      </c>
      <c r="BU18" s="922"/>
    </row>
    <row r="19" spans="2:73">
      <c r="B19" s="352" t="s">
        <v>225</v>
      </c>
      <c r="C19" s="797">
        <v>19.816045163014937</v>
      </c>
      <c r="D19" s="798"/>
      <c r="E19" s="797">
        <v>20.151634270635316</v>
      </c>
      <c r="F19" s="798"/>
      <c r="G19" s="797">
        <v>24.838279524919827</v>
      </c>
      <c r="H19" s="798"/>
      <c r="I19" s="794">
        <v>19.7922618562807</v>
      </c>
      <c r="J19" s="794"/>
      <c r="AE19" s="173"/>
      <c r="AO19" s="176"/>
      <c r="BN19" s="919">
        <v>300</v>
      </c>
      <c r="BO19" s="920"/>
      <c r="BP19" s="921">
        <v>46.639627113417603</v>
      </c>
      <c r="BQ19" s="922"/>
      <c r="BR19" s="921">
        <v>46.830219487455565</v>
      </c>
      <c r="BS19" s="922"/>
      <c r="BT19" s="921">
        <v>45.384170733127881</v>
      </c>
      <c r="BU19" s="922"/>
    </row>
    <row r="20" spans="2:73" ht="18">
      <c r="B20" s="352" t="s">
        <v>170</v>
      </c>
      <c r="C20" s="797">
        <v>20.357202914595064</v>
      </c>
      <c r="D20" s="798"/>
      <c r="E20" s="797">
        <v>18.45409385173447</v>
      </c>
      <c r="F20" s="798"/>
      <c r="G20" s="797">
        <v>20.948062034967663</v>
      </c>
      <c r="H20" s="798"/>
      <c r="I20" s="794">
        <v>19.15067227575398</v>
      </c>
      <c r="J20" s="794"/>
      <c r="AE20" s="173"/>
      <c r="AF20" s="923" t="s">
        <v>285</v>
      </c>
      <c r="AG20" s="924"/>
      <c r="AH20" s="924"/>
      <c r="AI20" s="924"/>
      <c r="AJ20" s="924"/>
      <c r="AK20" s="924"/>
      <c r="AL20" s="924"/>
      <c r="AM20" s="925"/>
      <c r="AO20" s="176"/>
    </row>
    <row r="21" spans="2:73" ht="18">
      <c r="B21" s="352" t="s">
        <v>171</v>
      </c>
      <c r="C21" s="797">
        <v>18.433270931124081</v>
      </c>
      <c r="D21" s="798"/>
      <c r="E21" s="797">
        <v>17.475614475728978</v>
      </c>
      <c r="F21" s="798"/>
      <c r="G21" s="820" t="s">
        <v>108</v>
      </c>
      <c r="H21" s="821"/>
      <c r="I21" s="794">
        <v>16.956748226226896</v>
      </c>
      <c r="J21" s="794"/>
      <c r="AE21" s="173"/>
      <c r="AF21" s="906" t="s">
        <v>284</v>
      </c>
      <c r="AG21" s="932"/>
      <c r="AH21" s="933"/>
      <c r="AI21" s="934"/>
      <c r="AJ21" s="935" t="s">
        <v>283</v>
      </c>
      <c r="AK21" s="933"/>
      <c r="AL21" s="932"/>
      <c r="AM21" s="907"/>
      <c r="AO21" s="176"/>
      <c r="BE21" s="923" t="s">
        <v>286</v>
      </c>
      <c r="BF21" s="924"/>
      <c r="BG21" s="924"/>
      <c r="BH21" s="924"/>
      <c r="BI21" s="924"/>
      <c r="BJ21" s="924"/>
      <c r="BK21" s="924"/>
      <c r="BL21" s="925"/>
    </row>
    <row r="22" spans="2:73">
      <c r="AE22" s="173"/>
      <c r="AF22" s="795" t="s">
        <v>281</v>
      </c>
      <c r="AG22" s="796"/>
      <c r="AH22" s="795" t="s">
        <v>282</v>
      </c>
      <c r="AI22" s="796"/>
      <c r="AJ22" s="795" t="s">
        <v>281</v>
      </c>
      <c r="AK22" s="796"/>
      <c r="AL22" s="795" t="s">
        <v>282</v>
      </c>
      <c r="AM22" s="796"/>
      <c r="AO22" s="176"/>
      <c r="BE22" s="906" t="s">
        <v>284</v>
      </c>
      <c r="BF22" s="932"/>
      <c r="BG22" s="933"/>
      <c r="BH22" s="934"/>
      <c r="BI22" s="935" t="s">
        <v>283</v>
      </c>
      <c r="BJ22" s="933"/>
      <c r="BK22" s="932"/>
      <c r="BL22" s="907"/>
    </row>
    <row r="23" spans="2:73">
      <c r="AE23" s="173"/>
      <c r="AF23" s="919">
        <v>200</v>
      </c>
      <c r="AG23" s="920"/>
      <c r="AH23" s="945">
        <v>11.550665965741041</v>
      </c>
      <c r="AI23" s="946"/>
      <c r="AJ23" s="919">
        <v>200</v>
      </c>
      <c r="AK23" s="920"/>
      <c r="AL23" s="947">
        <v>12.191717285328137</v>
      </c>
      <c r="AM23" s="948"/>
      <c r="AO23" s="176"/>
      <c r="BE23" s="795" t="s">
        <v>281</v>
      </c>
      <c r="BF23" s="796"/>
      <c r="BG23" s="795" t="s">
        <v>282</v>
      </c>
      <c r="BH23" s="796"/>
      <c r="BI23" s="795" t="s">
        <v>281</v>
      </c>
      <c r="BJ23" s="796"/>
      <c r="BK23" s="795" t="s">
        <v>282</v>
      </c>
      <c r="BL23" s="796"/>
    </row>
    <row r="24" spans="2:73" ht="18">
      <c r="B24" s="817" t="s">
        <v>275</v>
      </c>
      <c r="C24" s="818"/>
      <c r="D24" s="818"/>
      <c r="E24" s="818"/>
      <c r="F24" s="818"/>
      <c r="G24" s="818"/>
      <c r="H24" s="819"/>
      <c r="AE24" s="173"/>
      <c r="AF24" s="919">
        <v>250</v>
      </c>
      <c r="AG24" s="920"/>
      <c r="AH24" s="945">
        <v>19.15067227575398</v>
      </c>
      <c r="AI24" s="946"/>
      <c r="AJ24" s="919">
        <v>250</v>
      </c>
      <c r="AK24" s="920"/>
      <c r="AL24" s="945">
        <v>27.227829469572765</v>
      </c>
      <c r="AM24" s="946"/>
      <c r="AO24" s="176"/>
      <c r="BE24" s="919">
        <v>200</v>
      </c>
      <c r="BF24" s="920"/>
      <c r="BG24" s="930">
        <v>10.845335016608322</v>
      </c>
      <c r="BH24" s="931"/>
      <c r="BI24" s="919">
        <v>200</v>
      </c>
      <c r="BJ24" s="920"/>
      <c r="BK24" s="921">
        <v>10.555963789093047</v>
      </c>
      <c r="BL24" s="922"/>
    </row>
    <row r="25" spans="2:73">
      <c r="B25" s="314"/>
      <c r="C25" s="795" t="s">
        <v>221</v>
      </c>
      <c r="D25" s="796"/>
      <c r="E25" s="822" t="s">
        <v>222</v>
      </c>
      <c r="F25" s="796"/>
      <c r="G25" s="795" t="s">
        <v>223</v>
      </c>
      <c r="H25" s="796"/>
      <c r="AE25" s="173"/>
      <c r="AF25" s="919">
        <v>275</v>
      </c>
      <c r="AG25" s="920"/>
      <c r="AH25" s="947">
        <v>29.938004293730586</v>
      </c>
      <c r="AI25" s="948"/>
      <c r="AJ25" s="919">
        <v>275</v>
      </c>
      <c r="AK25" s="920"/>
      <c r="AL25" s="945">
        <v>35.114588827230754</v>
      </c>
      <c r="AM25" s="946"/>
      <c r="AO25" s="176"/>
      <c r="BE25" s="919">
        <v>250</v>
      </c>
      <c r="BF25" s="920"/>
      <c r="BG25" s="930">
        <v>16.956748226226896</v>
      </c>
      <c r="BH25" s="931"/>
      <c r="BI25" s="919">
        <v>250</v>
      </c>
      <c r="BJ25" s="920"/>
      <c r="BK25" s="930">
        <v>21.748967099086034</v>
      </c>
      <c r="BL25" s="931"/>
    </row>
    <row r="26" spans="2:73">
      <c r="B26" s="352" t="s">
        <v>225</v>
      </c>
      <c r="C26" s="797">
        <v>22.412980858485966</v>
      </c>
      <c r="D26" s="798"/>
      <c r="E26" s="797">
        <v>22.836325663972733</v>
      </c>
      <c r="F26" s="798"/>
      <c r="G26" s="799">
        <v>26.7588007757229</v>
      </c>
      <c r="H26" s="800"/>
      <c r="AE26" s="173"/>
      <c r="AF26" s="919">
        <v>300</v>
      </c>
      <c r="AG26" s="920"/>
      <c r="AH26" s="947">
        <v>41.633134300421645</v>
      </c>
      <c r="AI26" s="953"/>
      <c r="AJ26" s="919">
        <v>300</v>
      </c>
      <c r="AK26" s="920"/>
      <c r="AL26" s="945">
        <v>46.830219487455565</v>
      </c>
      <c r="AM26" s="946"/>
      <c r="AO26" s="176"/>
      <c r="BE26" s="919">
        <v>275</v>
      </c>
      <c r="BF26" s="920"/>
      <c r="BG26" s="921">
        <v>27.841641075514048</v>
      </c>
      <c r="BH26" s="922"/>
      <c r="BI26" s="919">
        <v>275</v>
      </c>
      <c r="BJ26" s="920"/>
      <c r="BK26" s="930">
        <v>33.731382136837269</v>
      </c>
      <c r="BL26" s="931"/>
    </row>
    <row r="27" spans="2:73">
      <c r="B27" s="352" t="s">
        <v>170</v>
      </c>
      <c r="C27" s="797">
        <v>23.423458310573537</v>
      </c>
      <c r="D27" s="798"/>
      <c r="E27" s="797">
        <v>25.069830539497492</v>
      </c>
      <c r="F27" s="798"/>
      <c r="G27" s="799">
        <v>27.227829469572765</v>
      </c>
      <c r="H27" s="800"/>
      <c r="AE27" s="173"/>
      <c r="AO27" s="176"/>
      <c r="BE27" s="919">
        <v>300</v>
      </c>
      <c r="BF27" s="920"/>
      <c r="BG27" s="921">
        <v>40.535370926800397</v>
      </c>
      <c r="BH27" s="922"/>
      <c r="BI27" s="919">
        <v>300</v>
      </c>
      <c r="BJ27" s="920"/>
      <c r="BK27" s="930">
        <v>45.384170733127881</v>
      </c>
      <c r="BL27" s="931"/>
    </row>
    <row r="28" spans="2:73">
      <c r="B28" s="352" t="s">
        <v>171</v>
      </c>
      <c r="C28" s="797">
        <v>22.566294447378073</v>
      </c>
      <c r="D28" s="798"/>
      <c r="E28" s="797">
        <v>21.413635470079015</v>
      </c>
      <c r="F28" s="798"/>
      <c r="G28" s="799">
        <v>21.748967099086034</v>
      </c>
      <c r="H28" s="800"/>
      <c r="AE28" s="173"/>
      <c r="AO28" s="176"/>
    </row>
    <row r="29" spans="2:73" ht="18">
      <c r="AE29" s="173"/>
      <c r="AF29" s="923" t="s">
        <v>286</v>
      </c>
      <c r="AG29" s="924"/>
      <c r="AH29" s="924"/>
      <c r="AI29" s="924"/>
      <c r="AJ29" s="924"/>
      <c r="AK29" s="924"/>
      <c r="AL29" s="924"/>
      <c r="AM29" s="925"/>
      <c r="AO29" s="176"/>
    </row>
    <row r="30" spans="2:73">
      <c r="AE30" s="173"/>
      <c r="AF30" s="906" t="s">
        <v>284</v>
      </c>
      <c r="AG30" s="932"/>
      <c r="AH30" s="933"/>
      <c r="AI30" s="934"/>
      <c r="AJ30" s="935" t="s">
        <v>283</v>
      </c>
      <c r="AK30" s="933"/>
      <c r="AL30" s="932"/>
      <c r="AM30" s="907"/>
      <c r="AO30" s="176"/>
    </row>
    <row r="31" spans="2:73" ht="18">
      <c r="B31" s="938" t="s">
        <v>276</v>
      </c>
      <c r="C31" s="938"/>
      <c r="D31" s="938"/>
      <c r="E31" s="938"/>
      <c r="F31" s="938"/>
      <c r="G31" s="938"/>
      <c r="H31" s="938"/>
      <c r="I31" s="938"/>
      <c r="J31" s="938"/>
      <c r="K31" s="938"/>
      <c r="L31" s="938"/>
      <c r="M31" s="938"/>
      <c r="N31" s="938"/>
      <c r="O31" s="938"/>
      <c r="P31" s="938"/>
      <c r="Q31" s="938"/>
      <c r="R31" s="938"/>
      <c r="AE31" s="173"/>
      <c r="AF31" s="795" t="s">
        <v>281</v>
      </c>
      <c r="AG31" s="796"/>
      <c r="AH31" s="795" t="s">
        <v>282</v>
      </c>
      <c r="AI31" s="796"/>
      <c r="AJ31" s="795" t="s">
        <v>281</v>
      </c>
      <c r="AK31" s="796"/>
      <c r="AL31" s="795" t="s">
        <v>282</v>
      </c>
      <c r="AM31" s="796"/>
      <c r="AO31" s="176"/>
    </row>
    <row r="32" spans="2:73">
      <c r="B32" s="314"/>
      <c r="C32" s="840" t="s">
        <v>221</v>
      </c>
      <c r="D32" s="840"/>
      <c r="E32" s="840" t="s">
        <v>222</v>
      </c>
      <c r="F32" s="840"/>
      <c r="G32" s="840" t="s">
        <v>223</v>
      </c>
      <c r="H32" s="840"/>
      <c r="I32" s="840" t="s">
        <v>226</v>
      </c>
      <c r="J32" s="840"/>
      <c r="K32" s="840" t="s">
        <v>224</v>
      </c>
      <c r="L32" s="840"/>
      <c r="M32" s="840" t="s">
        <v>237</v>
      </c>
      <c r="N32" s="840"/>
      <c r="O32" s="795" t="s">
        <v>240</v>
      </c>
      <c r="P32" s="822"/>
      <c r="Q32" s="822"/>
      <c r="R32" s="796"/>
      <c r="AE32" s="173"/>
      <c r="AF32" s="919">
        <v>200</v>
      </c>
      <c r="AG32" s="920"/>
      <c r="AH32" s="945">
        <v>10.845335016608322</v>
      </c>
      <c r="AI32" s="946"/>
      <c r="AJ32" s="919">
        <v>200</v>
      </c>
      <c r="AK32" s="920"/>
      <c r="AL32" s="947">
        <v>10.555963789093047</v>
      </c>
      <c r="AM32" s="948"/>
      <c r="AO32" s="176"/>
    </row>
    <row r="33" spans="2:55">
      <c r="B33" s="352" t="s">
        <v>225</v>
      </c>
      <c r="C33" s="841">
        <v>28.944539814604401</v>
      </c>
      <c r="D33" s="841"/>
      <c r="E33" s="841">
        <v>26.119651267251996</v>
      </c>
      <c r="F33" s="841"/>
      <c r="G33" s="794">
        <v>31.321983601706702</v>
      </c>
      <c r="H33" s="794"/>
      <c r="I33" s="857" t="s">
        <v>108</v>
      </c>
      <c r="J33" s="857"/>
      <c r="K33" s="838" t="s">
        <v>108</v>
      </c>
      <c r="L33" s="838"/>
      <c r="M33" s="837">
        <v>32.146841887320413</v>
      </c>
      <c r="N33" s="837"/>
      <c r="O33" s="804">
        <v>31.734412744513559</v>
      </c>
      <c r="P33" s="862"/>
      <c r="Q33" s="862"/>
      <c r="R33" s="805"/>
      <c r="AE33" s="173"/>
      <c r="AF33" s="919">
        <v>250</v>
      </c>
      <c r="AG33" s="920"/>
      <c r="AH33" s="945">
        <v>16.956748226226896</v>
      </c>
      <c r="AI33" s="946"/>
      <c r="AJ33" s="919">
        <v>250</v>
      </c>
      <c r="AK33" s="920"/>
      <c r="AL33" s="945">
        <v>21.748967099086034</v>
      </c>
      <c r="AM33" s="946"/>
      <c r="AO33" s="176"/>
    </row>
    <row r="34" spans="2:55">
      <c r="B34" s="352" t="s">
        <v>170</v>
      </c>
      <c r="C34" s="841">
        <v>29.211645317600084</v>
      </c>
      <c r="D34" s="841"/>
      <c r="E34" s="841">
        <v>27.207051873052098</v>
      </c>
      <c r="F34" s="841"/>
      <c r="G34" s="842">
        <v>30.223270081528209</v>
      </c>
      <c r="H34" s="842"/>
      <c r="I34" s="843">
        <v>30.7765510805757</v>
      </c>
      <c r="J34" s="843"/>
      <c r="K34" s="794">
        <v>29.93401864344397</v>
      </c>
      <c r="L34" s="794"/>
      <c r="M34" s="837">
        <v>29.947968419447115</v>
      </c>
      <c r="N34" s="837"/>
      <c r="O34" s="804">
        <v>29.938004293730586</v>
      </c>
      <c r="P34" s="862"/>
      <c r="Q34" s="862"/>
      <c r="R34" s="805"/>
      <c r="AE34" s="173"/>
      <c r="AF34" s="919">
        <v>275</v>
      </c>
      <c r="AG34" s="920"/>
      <c r="AH34" s="947">
        <v>27.841641075514048</v>
      </c>
      <c r="AI34" s="948"/>
      <c r="AJ34" s="919">
        <v>275</v>
      </c>
      <c r="AK34" s="920"/>
      <c r="AL34" s="945">
        <v>33.731382136837269</v>
      </c>
      <c r="AM34" s="946"/>
      <c r="AO34" s="176"/>
    </row>
    <row r="35" spans="2:55">
      <c r="B35" s="352" t="s">
        <v>171</v>
      </c>
      <c r="C35" s="841">
        <v>27.779202077019619</v>
      </c>
      <c r="D35" s="841"/>
      <c r="E35" s="841">
        <v>26.036458415118172</v>
      </c>
      <c r="F35" s="841"/>
      <c r="G35" s="842">
        <v>27.606997701428195</v>
      </c>
      <c r="H35" s="842"/>
      <c r="I35" s="843">
        <v>24.784250122311267</v>
      </c>
      <c r="J35" s="843"/>
      <c r="K35" s="794">
        <v>27.343192717014109</v>
      </c>
      <c r="L35" s="794"/>
      <c r="M35" s="837">
        <v>28.672388339680609</v>
      </c>
      <c r="N35" s="837"/>
      <c r="O35" s="804">
        <v>27.841641075514048</v>
      </c>
      <c r="P35" s="862"/>
      <c r="Q35" s="862"/>
      <c r="R35" s="805"/>
      <c r="AE35" s="173"/>
      <c r="AF35" s="919">
        <v>300</v>
      </c>
      <c r="AG35" s="920"/>
      <c r="AH35" s="947">
        <v>40.535370926800397</v>
      </c>
      <c r="AI35" s="948"/>
      <c r="AJ35" s="919">
        <v>300</v>
      </c>
      <c r="AK35" s="920"/>
      <c r="AL35" s="945">
        <v>45.384170733127881</v>
      </c>
      <c r="AM35" s="946"/>
      <c r="AO35" s="176"/>
    </row>
    <row r="36" spans="2:55">
      <c r="AE36" s="173"/>
      <c r="AO36" s="176"/>
    </row>
    <row r="37" spans="2:55" ht="15" thickBot="1">
      <c r="AE37" s="188"/>
      <c r="AF37" s="187"/>
      <c r="AG37" s="187"/>
      <c r="AH37" s="187"/>
      <c r="AI37" s="187"/>
      <c r="AJ37" s="187"/>
      <c r="AK37" s="187"/>
      <c r="AL37" s="187"/>
      <c r="AM37" s="187"/>
      <c r="AN37" s="187"/>
      <c r="AO37" s="189"/>
    </row>
    <row r="38" spans="2:55" ht="18.600000000000001" thickBot="1">
      <c r="B38" s="867" t="s">
        <v>277</v>
      </c>
      <c r="C38" s="894"/>
      <c r="D38" s="894"/>
      <c r="E38" s="894"/>
      <c r="F38" s="894"/>
      <c r="G38" s="894"/>
      <c r="H38" s="894"/>
      <c r="I38" s="894"/>
      <c r="J38" s="894"/>
      <c r="K38" s="894"/>
      <c r="L38" s="894"/>
      <c r="M38" s="894"/>
      <c r="N38" s="894"/>
      <c r="O38" s="894"/>
      <c r="P38" s="895"/>
    </row>
    <row r="39" spans="2:55">
      <c r="B39" s="374"/>
      <c r="C39" s="803" t="s">
        <v>221</v>
      </c>
      <c r="D39" s="802"/>
      <c r="E39" s="801" t="s">
        <v>222</v>
      </c>
      <c r="F39" s="802"/>
      <c r="G39" s="803" t="s">
        <v>223</v>
      </c>
      <c r="H39" s="802"/>
      <c r="I39" s="803" t="s">
        <v>226</v>
      </c>
      <c r="J39" s="802"/>
      <c r="K39" s="803" t="s">
        <v>227</v>
      </c>
      <c r="L39" s="802"/>
      <c r="M39" s="803" t="s">
        <v>228</v>
      </c>
      <c r="N39" s="802"/>
      <c r="O39" s="803" t="s">
        <v>224</v>
      </c>
      <c r="P39" s="802"/>
    </row>
    <row r="40" spans="2:55">
      <c r="B40" s="352" t="s">
        <v>225</v>
      </c>
      <c r="C40" s="869">
        <v>31.088068345007958</v>
      </c>
      <c r="D40" s="870"/>
      <c r="E40" s="869">
        <v>33.202113625225735</v>
      </c>
      <c r="F40" s="870"/>
      <c r="G40" s="804">
        <v>33.825100445260489</v>
      </c>
      <c r="H40" s="805"/>
      <c r="I40" s="857" t="s">
        <v>108</v>
      </c>
      <c r="J40" s="857"/>
      <c r="K40" s="857" t="s">
        <v>108</v>
      </c>
      <c r="L40" s="857"/>
      <c r="M40" s="857" t="s">
        <v>108</v>
      </c>
      <c r="N40" s="857"/>
      <c r="O40" s="857" t="s">
        <v>108</v>
      </c>
      <c r="P40" s="857"/>
    </row>
    <row r="41" spans="2:55" ht="18">
      <c r="B41" s="352" t="s">
        <v>170</v>
      </c>
      <c r="C41" s="869">
        <v>33.022385165096743</v>
      </c>
      <c r="D41" s="870"/>
      <c r="E41" s="869">
        <v>34.503039508744166</v>
      </c>
      <c r="F41" s="870"/>
      <c r="G41" s="869">
        <v>35.40225328593116</v>
      </c>
      <c r="H41" s="870"/>
      <c r="I41" s="871">
        <v>38.250542463370401</v>
      </c>
      <c r="J41" s="871"/>
      <c r="K41" s="843">
        <v>34.303295569647247</v>
      </c>
      <c r="L41" s="843"/>
      <c r="M41" s="843">
        <v>38.125046432555614</v>
      </c>
      <c r="N41" s="843"/>
      <c r="O41" s="794">
        <v>35.114588827230754</v>
      </c>
      <c r="P41" s="794"/>
      <c r="AF41" s="949" t="s">
        <v>288</v>
      </c>
      <c r="AG41" s="950"/>
      <c r="AH41" s="950"/>
      <c r="AI41" s="950"/>
      <c r="AJ41" s="950"/>
      <c r="AK41" s="950"/>
      <c r="AL41" s="950"/>
      <c r="AM41" s="950"/>
      <c r="AN41" s="951"/>
      <c r="AO41" s="183"/>
      <c r="AP41" s="183"/>
      <c r="AQ41" s="183"/>
      <c r="AR41" s="183"/>
      <c r="AS41" s="183"/>
      <c r="AT41" s="229"/>
    </row>
    <row r="42" spans="2:55" ht="18">
      <c r="B42" s="352" t="s">
        <v>171</v>
      </c>
      <c r="C42" s="869">
        <v>35.219327231165998</v>
      </c>
      <c r="D42" s="870"/>
      <c r="E42" s="869">
        <v>33.003085307459877</v>
      </c>
      <c r="F42" s="870"/>
      <c r="G42" s="887">
        <v>33.682272257360971</v>
      </c>
      <c r="H42" s="888"/>
      <c r="I42" s="843">
        <v>34.635414128487362</v>
      </c>
      <c r="J42" s="843"/>
      <c r="K42" s="857" t="s">
        <v>108</v>
      </c>
      <c r="L42" s="857"/>
      <c r="M42" s="857" t="s">
        <v>108</v>
      </c>
      <c r="N42" s="857"/>
      <c r="O42" s="794">
        <v>33.731382136837269</v>
      </c>
      <c r="P42" s="794"/>
      <c r="V42" s="944" t="s">
        <v>285</v>
      </c>
      <c r="W42" s="944"/>
      <c r="X42" s="944"/>
      <c r="Y42" s="944"/>
      <c r="Z42" s="944"/>
      <c r="AF42" s="173"/>
      <c r="AT42" s="176"/>
    </row>
    <row r="43" spans="2:55">
      <c r="T43" s="906" t="s">
        <v>284</v>
      </c>
      <c r="U43" s="932"/>
      <c r="V43" s="933"/>
      <c r="W43" s="934"/>
      <c r="Y43" s="935" t="s">
        <v>283</v>
      </c>
      <c r="Z43" s="933"/>
      <c r="AA43" s="932"/>
      <c r="AB43" s="907"/>
      <c r="AF43" s="173"/>
      <c r="AT43" s="176"/>
    </row>
    <row r="44" spans="2:55" ht="15" thickBot="1">
      <c r="T44" s="795" t="s">
        <v>281</v>
      </c>
      <c r="U44" s="796"/>
      <c r="V44" s="795" t="s">
        <v>282</v>
      </c>
      <c r="W44" s="796"/>
      <c r="Y44" s="795" t="s">
        <v>281</v>
      </c>
      <c r="Z44" s="796"/>
      <c r="AA44" s="795" t="s">
        <v>282</v>
      </c>
      <c r="AB44" s="796"/>
      <c r="AF44" s="928" t="s">
        <v>284</v>
      </c>
      <c r="AG44" s="928"/>
      <c r="AH44" s="928"/>
      <c r="AI44" s="928"/>
      <c r="AJ44" s="928"/>
      <c r="AK44" s="928"/>
      <c r="AL44" s="928"/>
      <c r="AM44" s="928"/>
      <c r="AT44" s="176"/>
    </row>
    <row r="45" spans="2:55" ht="18.600000000000001" thickBot="1">
      <c r="B45" s="867" t="s">
        <v>278</v>
      </c>
      <c r="C45" s="839"/>
      <c r="D45" s="839"/>
      <c r="E45" s="839"/>
      <c r="F45" s="839"/>
      <c r="G45" s="839"/>
      <c r="H45" s="839"/>
      <c r="I45" s="839"/>
      <c r="J45" s="839"/>
      <c r="K45" s="839"/>
      <c r="L45" s="868"/>
      <c r="T45" s="471">
        <v>200</v>
      </c>
      <c r="U45" s="472"/>
      <c r="V45" s="475">
        <v>11.550665965741041</v>
      </c>
      <c r="W45" s="475"/>
      <c r="Y45" s="471">
        <v>200</v>
      </c>
      <c r="Z45" s="472"/>
      <c r="AA45" s="297">
        <v>12.191717285328137</v>
      </c>
      <c r="AB45" s="182"/>
      <c r="AF45" s="929"/>
      <c r="AG45" s="929"/>
      <c r="AH45" s="857" t="s">
        <v>225</v>
      </c>
      <c r="AI45" s="857"/>
      <c r="AJ45" s="857" t="s">
        <v>170</v>
      </c>
      <c r="AK45" s="857"/>
      <c r="AL45" s="857" t="s">
        <v>171</v>
      </c>
      <c r="AM45" s="857"/>
      <c r="AT45" s="176"/>
    </row>
    <row r="46" spans="2:55">
      <c r="B46" s="435"/>
      <c r="C46" s="939" t="s">
        <v>221</v>
      </c>
      <c r="D46" s="940"/>
      <c r="E46" s="939" t="s">
        <v>222</v>
      </c>
      <c r="F46" s="940"/>
      <c r="G46" s="939" t="s">
        <v>223</v>
      </c>
      <c r="H46" s="940"/>
      <c r="I46" s="939" t="s">
        <v>226</v>
      </c>
      <c r="J46" s="940"/>
      <c r="K46" s="939" t="s">
        <v>229</v>
      </c>
      <c r="L46" s="941"/>
      <c r="T46" s="471">
        <v>250</v>
      </c>
      <c r="U46" s="472"/>
      <c r="V46" s="475">
        <v>19.15067227575398</v>
      </c>
      <c r="W46" s="475"/>
      <c r="Y46" s="471">
        <v>250</v>
      </c>
      <c r="Z46" s="472"/>
      <c r="AA46" s="473">
        <v>27.227829469572765</v>
      </c>
      <c r="AB46" s="474"/>
      <c r="AF46" s="795" t="s">
        <v>281</v>
      </c>
      <c r="AG46" s="796"/>
      <c r="AH46" s="795" t="s">
        <v>282</v>
      </c>
      <c r="AI46" s="796"/>
      <c r="AJ46" s="795" t="s">
        <v>282</v>
      </c>
      <c r="AK46" s="796"/>
      <c r="AL46" s="795" t="s">
        <v>282</v>
      </c>
      <c r="AM46" s="796"/>
      <c r="AT46" s="176"/>
      <c r="AV46" s="928" t="s">
        <v>284</v>
      </c>
      <c r="AW46" s="928"/>
      <c r="AX46" s="928"/>
      <c r="AY46" s="928"/>
      <c r="AZ46" s="928"/>
      <c r="BA46" s="928"/>
      <c r="BB46" s="928"/>
      <c r="BC46" s="928"/>
    </row>
    <row r="47" spans="2:55">
      <c r="B47" s="436" t="s">
        <v>225</v>
      </c>
      <c r="C47" s="869">
        <v>39.146104324591221</v>
      </c>
      <c r="D47" s="870"/>
      <c r="E47" s="869">
        <v>37.952404826357423</v>
      </c>
      <c r="F47" s="870"/>
      <c r="G47" s="906">
        <v>42.643770249373461</v>
      </c>
      <c r="H47" s="907"/>
      <c r="I47" s="772">
        <v>43.377406980704222</v>
      </c>
      <c r="J47" s="780"/>
      <c r="K47" s="804">
        <v>43.090357961087719</v>
      </c>
      <c r="L47" s="943"/>
      <c r="T47" s="471">
        <v>275</v>
      </c>
      <c r="U47" s="472"/>
      <c r="V47" s="476">
        <v>29.938004293730586</v>
      </c>
      <c r="W47" s="476"/>
      <c r="Y47" s="471">
        <v>275</v>
      </c>
      <c r="Z47" s="472"/>
      <c r="AA47" s="475">
        <v>35.114588827230754</v>
      </c>
      <c r="AB47" s="475"/>
      <c r="AF47" s="464">
        <v>200</v>
      </c>
      <c r="AG47" s="465"/>
      <c r="AH47" s="466">
        <v>10.104896427177048</v>
      </c>
      <c r="AI47" s="467"/>
      <c r="AJ47" s="466">
        <v>11.550665965741041</v>
      </c>
      <c r="AK47" s="467"/>
      <c r="AL47" s="466">
        <v>10.845335016608322</v>
      </c>
      <c r="AM47" s="467"/>
      <c r="AT47" s="176"/>
      <c r="AV47" s="929"/>
      <c r="AW47" s="929"/>
      <c r="AX47" s="857" t="s">
        <v>225</v>
      </c>
      <c r="AY47" s="857"/>
      <c r="AZ47" s="857" t="s">
        <v>170</v>
      </c>
      <c r="BA47" s="857"/>
      <c r="BB47" s="857" t="s">
        <v>171</v>
      </c>
      <c r="BC47" s="857"/>
    </row>
    <row r="48" spans="2:55">
      <c r="B48" s="436" t="s">
        <v>170</v>
      </c>
      <c r="C48" s="869">
        <v>41.057290471475589</v>
      </c>
      <c r="D48" s="870"/>
      <c r="E48" s="869">
        <v>38.335302637501037</v>
      </c>
      <c r="F48" s="870"/>
      <c r="G48" s="906">
        <v>40.637296117791415</v>
      </c>
      <c r="H48" s="907"/>
      <c r="I48" s="772">
        <v>39.916475155653956</v>
      </c>
      <c r="J48" s="780"/>
      <c r="K48" s="804">
        <v>41.633134300421645</v>
      </c>
      <c r="L48" s="943"/>
      <c r="T48" s="471">
        <v>300</v>
      </c>
      <c r="U48" s="472"/>
      <c r="V48" s="297">
        <v>41.633134300421645</v>
      </c>
      <c r="W48" s="479"/>
      <c r="Y48" s="471">
        <v>300</v>
      </c>
      <c r="Z48" s="472"/>
      <c r="AA48" s="475">
        <v>46.830219487455565</v>
      </c>
      <c r="AB48" s="475"/>
      <c r="AF48" s="464">
        <v>250</v>
      </c>
      <c r="AG48" s="465"/>
      <c r="AH48" s="466">
        <v>19.7922618562807</v>
      </c>
      <c r="AI48" s="467"/>
      <c r="AJ48" s="466">
        <v>19.15067227575398</v>
      </c>
      <c r="AK48" s="467"/>
      <c r="AL48" s="466">
        <v>16.956748226226896</v>
      </c>
      <c r="AM48" s="467"/>
      <c r="AT48" s="176"/>
      <c r="AV48" s="795" t="s">
        <v>281</v>
      </c>
      <c r="AW48" s="796"/>
      <c r="AX48" s="795" t="s">
        <v>282</v>
      </c>
      <c r="AY48" s="796"/>
      <c r="AZ48" s="795" t="s">
        <v>282</v>
      </c>
      <c r="BA48" s="796"/>
      <c r="BB48" s="795" t="s">
        <v>282</v>
      </c>
      <c r="BC48" s="796"/>
    </row>
    <row r="49" spans="2:55" ht="15" thickBot="1">
      <c r="B49" s="437" t="s">
        <v>171</v>
      </c>
      <c r="C49" s="899">
        <v>40.849764590184407</v>
      </c>
      <c r="D49" s="900"/>
      <c r="E49" s="899">
        <v>37.569023693736149</v>
      </c>
      <c r="F49" s="900"/>
      <c r="G49" s="901">
        <v>40.535370926800397</v>
      </c>
      <c r="H49" s="902"/>
      <c r="I49" s="825" t="s">
        <v>108</v>
      </c>
      <c r="J49" s="827"/>
      <c r="K49" s="825" t="s">
        <v>108</v>
      </c>
      <c r="L49" s="942"/>
      <c r="AF49" s="464">
        <v>275</v>
      </c>
      <c r="AG49" s="465"/>
      <c r="AH49" s="468">
        <v>31.734412744513559</v>
      </c>
      <c r="AI49" s="469"/>
      <c r="AJ49" s="468">
        <v>29.938004293730586</v>
      </c>
      <c r="AK49" s="469"/>
      <c r="AL49" s="468">
        <v>27.841641075514048</v>
      </c>
      <c r="AM49" s="469"/>
      <c r="AT49" s="176"/>
      <c r="AV49" s="792">
        <v>200</v>
      </c>
      <c r="AW49" s="793"/>
      <c r="AX49" s="799">
        <v>10.104896427177048</v>
      </c>
      <c r="AY49" s="800"/>
      <c r="AZ49" s="799">
        <v>11.550665965741041</v>
      </c>
      <c r="BA49" s="800"/>
      <c r="BB49" s="799">
        <v>10.845335016608322</v>
      </c>
      <c r="BC49" s="800"/>
    </row>
    <row r="50" spans="2:55">
      <c r="AF50" s="464">
        <v>300</v>
      </c>
      <c r="AG50" s="465"/>
      <c r="AH50" s="468">
        <v>43.090357961087719</v>
      </c>
      <c r="AI50" s="469"/>
      <c r="AJ50" s="468">
        <v>41.633134300421645</v>
      </c>
      <c r="AK50" s="470"/>
      <c r="AL50" s="468">
        <v>40.535370926800397</v>
      </c>
      <c r="AM50" s="469"/>
      <c r="AT50" s="176"/>
      <c r="AV50" s="792">
        <v>250</v>
      </c>
      <c r="AW50" s="793"/>
      <c r="AX50" s="799">
        <v>19.7922618562807</v>
      </c>
      <c r="AY50" s="800"/>
      <c r="AZ50" s="799">
        <v>19.15067227575398</v>
      </c>
      <c r="BA50" s="800"/>
      <c r="BB50" s="799">
        <v>16.956748226226896</v>
      </c>
      <c r="BC50" s="800"/>
    </row>
    <row r="51" spans="2:55" ht="15" thickBot="1">
      <c r="AF51" s="173"/>
      <c r="AT51" s="176"/>
      <c r="AV51" s="792">
        <v>275</v>
      </c>
      <c r="AW51" s="793"/>
      <c r="AX51" s="804">
        <v>31.734412744513559</v>
      </c>
      <c r="AY51" s="805"/>
      <c r="AZ51" s="804">
        <v>29.938004293730586</v>
      </c>
      <c r="BA51" s="805"/>
      <c r="BB51" s="804">
        <v>27.841641075514048</v>
      </c>
      <c r="BC51" s="805"/>
    </row>
    <row r="52" spans="2:55" ht="18.600000000000001" thickBot="1">
      <c r="B52" s="867" t="s">
        <v>279</v>
      </c>
      <c r="C52" s="894"/>
      <c r="D52" s="894"/>
      <c r="E52" s="894"/>
      <c r="F52" s="894"/>
      <c r="G52" s="894"/>
      <c r="H52" s="894"/>
      <c r="I52" s="894"/>
      <c r="J52" s="894"/>
      <c r="K52" s="894"/>
      <c r="L52" s="895"/>
      <c r="AF52" s="173"/>
      <c r="AT52" s="176"/>
      <c r="AV52" s="792">
        <v>300</v>
      </c>
      <c r="AW52" s="793"/>
      <c r="AX52" s="804">
        <v>43.090357961087719</v>
      </c>
      <c r="AY52" s="805"/>
      <c r="AZ52" s="804">
        <v>41.633134300421645</v>
      </c>
      <c r="BA52" s="943"/>
      <c r="BB52" s="954">
        <v>40.535370926800397</v>
      </c>
      <c r="BC52" s="805"/>
    </row>
    <row r="53" spans="2:55">
      <c r="B53" s="314"/>
      <c r="C53" s="795" t="s">
        <v>221</v>
      </c>
      <c r="D53" s="796"/>
      <c r="E53" s="822" t="s">
        <v>222</v>
      </c>
      <c r="F53" s="796"/>
      <c r="G53" s="795" t="s">
        <v>223</v>
      </c>
      <c r="H53" s="796"/>
      <c r="I53" s="840" t="s">
        <v>226</v>
      </c>
      <c r="J53" s="840"/>
      <c r="K53" s="840" t="s">
        <v>230</v>
      </c>
      <c r="L53" s="840"/>
      <c r="AF53" s="173"/>
      <c r="AT53" s="176"/>
    </row>
    <row r="54" spans="2:55">
      <c r="B54" s="352" t="s">
        <v>225</v>
      </c>
      <c r="C54" s="869">
        <v>44.501503309798643</v>
      </c>
      <c r="D54" s="870"/>
      <c r="E54" s="869">
        <v>42.815349453241396</v>
      </c>
      <c r="F54" s="870"/>
      <c r="G54" s="906">
        <v>47.950528492226994</v>
      </c>
      <c r="H54" s="907"/>
      <c r="I54" s="772">
        <v>44.082594886102726</v>
      </c>
      <c r="J54" s="780"/>
      <c r="K54" s="794">
        <v>46.639627113417603</v>
      </c>
      <c r="L54" s="794"/>
      <c r="AF54" s="173"/>
      <c r="AT54" s="176"/>
    </row>
    <row r="55" spans="2:55">
      <c r="B55" s="352" t="s">
        <v>170</v>
      </c>
      <c r="C55" s="869">
        <v>46.18614119015848</v>
      </c>
      <c r="D55" s="870"/>
      <c r="E55" s="869">
        <v>42.746334786626164</v>
      </c>
      <c r="F55" s="870"/>
      <c r="G55" s="906">
        <v>46.687674111837104</v>
      </c>
      <c r="H55" s="907"/>
      <c r="I55" s="772">
        <v>46.97276486307404</v>
      </c>
      <c r="J55" s="780"/>
      <c r="K55" s="794">
        <v>46.830219487455565</v>
      </c>
      <c r="L55" s="794"/>
      <c r="AF55" s="173"/>
      <c r="AT55" s="176"/>
      <c r="AV55" s="928" t="s">
        <v>283</v>
      </c>
      <c r="AW55" s="928"/>
      <c r="AX55" s="928"/>
      <c r="AY55" s="928"/>
      <c r="AZ55" s="928"/>
      <c r="BA55" s="928"/>
      <c r="BB55" s="928"/>
      <c r="BC55" s="928"/>
    </row>
    <row r="56" spans="2:55">
      <c r="B56" s="352" t="s">
        <v>171</v>
      </c>
      <c r="C56" s="869">
        <v>47.394524401015104</v>
      </c>
      <c r="D56" s="870"/>
      <c r="E56" s="869">
        <v>48.371592851451993</v>
      </c>
      <c r="F56" s="870"/>
      <c r="G56" s="906">
        <v>46.677670384099912</v>
      </c>
      <c r="H56" s="907"/>
      <c r="I56" s="772">
        <v>44.090671082155836</v>
      </c>
      <c r="J56" s="780"/>
      <c r="K56" s="794">
        <v>45.384170733127881</v>
      </c>
      <c r="L56" s="794"/>
      <c r="AF56" s="173"/>
      <c r="AT56" s="176"/>
      <c r="AV56" s="929"/>
      <c r="AW56" s="929"/>
      <c r="AX56" s="857" t="s">
        <v>225</v>
      </c>
      <c r="AY56" s="857"/>
      <c r="AZ56" s="857" t="s">
        <v>170</v>
      </c>
      <c r="BA56" s="857"/>
      <c r="BB56" s="857" t="s">
        <v>171</v>
      </c>
      <c r="BC56" s="857"/>
    </row>
    <row r="57" spans="2:55">
      <c r="AF57" s="173"/>
      <c r="AT57" s="176"/>
      <c r="AV57" s="795" t="s">
        <v>281</v>
      </c>
      <c r="AW57" s="796"/>
      <c r="AX57" s="795" t="s">
        <v>282</v>
      </c>
      <c r="AY57" s="796"/>
      <c r="AZ57" s="795" t="s">
        <v>282</v>
      </c>
      <c r="BA57" s="796"/>
      <c r="BB57" s="795" t="s">
        <v>282</v>
      </c>
      <c r="BC57" s="796"/>
    </row>
    <row r="58" spans="2:55">
      <c r="AF58" s="173"/>
      <c r="AT58" s="176"/>
      <c r="AV58" s="792">
        <v>200</v>
      </c>
      <c r="AW58" s="793"/>
      <c r="AX58" s="799">
        <v>13.130216285605565</v>
      </c>
      <c r="AY58" s="800"/>
      <c r="AZ58" s="799">
        <v>12.191717285328137</v>
      </c>
      <c r="BA58" s="800"/>
      <c r="BB58" s="799">
        <v>10.555963789093047</v>
      </c>
      <c r="BC58" s="800"/>
    </row>
    <row r="59" spans="2:55">
      <c r="AF59" s="173"/>
      <c r="AT59" s="176"/>
      <c r="AV59" s="792">
        <v>250</v>
      </c>
      <c r="AW59" s="793"/>
      <c r="AX59" s="799">
        <v>26.7588007757229</v>
      </c>
      <c r="AY59" s="800"/>
      <c r="AZ59" s="799">
        <v>27.227829469572765</v>
      </c>
      <c r="BA59" s="800"/>
      <c r="BB59" s="799">
        <v>21.748967099086034</v>
      </c>
      <c r="BC59" s="800"/>
    </row>
    <row r="60" spans="2:55">
      <c r="AF60" s="173"/>
      <c r="AT60" s="176"/>
      <c r="AV60" s="792">
        <v>275</v>
      </c>
      <c r="AW60" s="793"/>
      <c r="AX60" s="804">
        <v>33.825100445260489</v>
      </c>
      <c r="AY60" s="805"/>
      <c r="AZ60" s="804">
        <v>35.114588827230754</v>
      </c>
      <c r="BA60" s="805"/>
      <c r="BB60" s="804">
        <v>33.731382136837269</v>
      </c>
      <c r="BC60" s="805"/>
    </row>
    <row r="61" spans="2:55">
      <c r="AF61" s="173"/>
      <c r="AT61" s="176"/>
      <c r="AV61" s="792">
        <v>300</v>
      </c>
      <c r="AW61" s="793"/>
      <c r="AX61" s="804">
        <v>46.639627113417603</v>
      </c>
      <c r="AY61" s="805"/>
      <c r="AZ61" s="804">
        <v>46.830219487455565</v>
      </c>
      <c r="BA61" s="943"/>
      <c r="BB61" s="954">
        <v>45.384170733127881</v>
      </c>
      <c r="BC61" s="805"/>
    </row>
    <row r="62" spans="2:55">
      <c r="AF62" s="173"/>
      <c r="AT62" s="176"/>
    </row>
    <row r="63" spans="2:55">
      <c r="AF63" s="173"/>
      <c r="AT63" s="176"/>
    </row>
    <row r="64" spans="2:55">
      <c r="AF64" s="173"/>
      <c r="AT64" s="176"/>
    </row>
    <row r="65" spans="32:46">
      <c r="AF65" s="173"/>
      <c r="AT65" s="176"/>
    </row>
    <row r="66" spans="32:46">
      <c r="AF66" s="173"/>
      <c r="AT66" s="176"/>
    </row>
    <row r="67" spans="32:46">
      <c r="AF67" s="173"/>
      <c r="AT67" s="176"/>
    </row>
    <row r="68" spans="32:46">
      <c r="AF68" s="173"/>
      <c r="AT68" s="176"/>
    </row>
    <row r="69" spans="32:46">
      <c r="AF69" s="173"/>
      <c r="AT69" s="176"/>
    </row>
    <row r="70" spans="32:46">
      <c r="AF70" s="173"/>
      <c r="AT70" s="176"/>
    </row>
    <row r="71" spans="32:46">
      <c r="AF71" s="173"/>
      <c r="AT71" s="176"/>
    </row>
    <row r="72" spans="32:46">
      <c r="AF72" s="173"/>
      <c r="AT72" s="176"/>
    </row>
    <row r="73" spans="32:46">
      <c r="AF73" s="173"/>
      <c r="AT73" s="176"/>
    </row>
    <row r="74" spans="32:46">
      <c r="AF74" s="173"/>
      <c r="AT74" s="176"/>
    </row>
    <row r="75" spans="32:46">
      <c r="AF75" s="173"/>
      <c r="AT75" s="176"/>
    </row>
    <row r="76" spans="32:46">
      <c r="AF76" s="173"/>
      <c r="AT76" s="176"/>
    </row>
    <row r="77" spans="32:46">
      <c r="AF77" s="173"/>
      <c r="AT77" s="176"/>
    </row>
    <row r="78" spans="32:46">
      <c r="AF78" s="173"/>
      <c r="AT78" s="176"/>
    </row>
    <row r="79" spans="32:46">
      <c r="AF79" s="173"/>
      <c r="AT79" s="176"/>
    </row>
    <row r="80" spans="32:46">
      <c r="AF80" s="173"/>
      <c r="AT80" s="176"/>
    </row>
    <row r="81" spans="20:46">
      <c r="AF81" s="173"/>
      <c r="AT81" s="176"/>
    </row>
    <row r="82" spans="20:46">
      <c r="AF82" s="173"/>
      <c r="AT82" s="176"/>
    </row>
    <row r="83" spans="20:46">
      <c r="AF83" s="173"/>
      <c r="AT83" s="176"/>
    </row>
    <row r="84" spans="20:46" ht="18">
      <c r="V84" s="944" t="s">
        <v>286</v>
      </c>
      <c r="W84" s="944"/>
      <c r="X84" s="944"/>
      <c r="Y84" s="944"/>
      <c r="Z84" s="944"/>
      <c r="AF84" s="173"/>
      <c r="AT84" s="176"/>
    </row>
    <row r="85" spans="20:46">
      <c r="T85" s="906" t="s">
        <v>284</v>
      </c>
      <c r="U85" s="932"/>
      <c r="V85" s="933"/>
      <c r="W85" s="934"/>
      <c r="Y85" s="935" t="s">
        <v>283</v>
      </c>
      <c r="Z85" s="933"/>
      <c r="AA85" s="932"/>
      <c r="AB85" s="907"/>
      <c r="AF85" s="928" t="s">
        <v>283</v>
      </c>
      <c r="AG85" s="928"/>
      <c r="AH85" s="928"/>
      <c r="AI85" s="928"/>
      <c r="AJ85" s="928"/>
      <c r="AK85" s="928"/>
      <c r="AL85" s="928"/>
      <c r="AM85" s="928"/>
      <c r="AT85" s="176"/>
    </row>
    <row r="86" spans="20:46">
      <c r="T86" s="795" t="s">
        <v>281</v>
      </c>
      <c r="U86" s="796"/>
      <c r="V86" s="795" t="s">
        <v>282</v>
      </c>
      <c r="W86" s="796"/>
      <c r="Y86" s="795" t="s">
        <v>281</v>
      </c>
      <c r="Z86" s="796"/>
      <c r="AA86" s="795" t="s">
        <v>282</v>
      </c>
      <c r="AB86" s="796"/>
      <c r="AF86" s="929"/>
      <c r="AG86" s="929"/>
      <c r="AH86" s="857" t="s">
        <v>225</v>
      </c>
      <c r="AI86" s="857"/>
      <c r="AJ86" s="857" t="s">
        <v>170</v>
      </c>
      <c r="AK86" s="857"/>
      <c r="AL86" s="857" t="s">
        <v>171</v>
      </c>
      <c r="AM86" s="857"/>
      <c r="AT86" s="176"/>
    </row>
    <row r="87" spans="20:46">
      <c r="T87" s="471">
        <v>200</v>
      </c>
      <c r="U87" s="472"/>
      <c r="V87" s="475">
        <v>10.845335016608322</v>
      </c>
      <c r="W87" s="475"/>
      <c r="Y87" s="471">
        <v>200</v>
      </c>
      <c r="Z87" s="472"/>
      <c r="AA87" s="297">
        <v>10.555963789093047</v>
      </c>
      <c r="AB87" s="182"/>
      <c r="AF87" s="795" t="s">
        <v>281</v>
      </c>
      <c r="AG87" s="796"/>
      <c r="AH87" s="795" t="s">
        <v>282</v>
      </c>
      <c r="AI87" s="796"/>
      <c r="AJ87" s="795" t="s">
        <v>282</v>
      </c>
      <c r="AK87" s="796"/>
      <c r="AL87" s="795" t="s">
        <v>282</v>
      </c>
      <c r="AM87" s="796"/>
      <c r="AT87" s="176"/>
    </row>
    <row r="88" spans="20:46">
      <c r="T88" s="471">
        <v>250</v>
      </c>
      <c r="U88" s="472"/>
      <c r="V88" s="475">
        <v>16.956748226226896</v>
      </c>
      <c r="W88" s="475"/>
      <c r="Y88" s="471">
        <v>250</v>
      </c>
      <c r="Z88" s="472"/>
      <c r="AA88" s="473">
        <v>21.748967099086034</v>
      </c>
      <c r="AB88" s="474"/>
      <c r="AF88" s="464">
        <v>200</v>
      </c>
      <c r="AG88" s="465"/>
      <c r="AH88" s="466">
        <v>13.130216285605565</v>
      </c>
      <c r="AI88" s="467"/>
      <c r="AJ88" s="466">
        <v>12.191717285328137</v>
      </c>
      <c r="AK88" s="467"/>
      <c r="AL88" s="466">
        <v>10.555963789093047</v>
      </c>
      <c r="AM88" s="467"/>
      <c r="AT88" s="176"/>
    </row>
    <row r="89" spans="20:46">
      <c r="T89" s="471">
        <v>275</v>
      </c>
      <c r="U89" s="472"/>
      <c r="V89" s="476">
        <v>27.841641075514048</v>
      </c>
      <c r="W89" s="476"/>
      <c r="Y89" s="471">
        <v>275</v>
      </c>
      <c r="Z89" s="472"/>
      <c r="AA89" s="475">
        <v>33.731382136837269</v>
      </c>
      <c r="AB89" s="475"/>
      <c r="AF89" s="464">
        <v>250</v>
      </c>
      <c r="AG89" s="465"/>
      <c r="AH89" s="466">
        <v>26.7588007757229</v>
      </c>
      <c r="AI89" s="467"/>
      <c r="AJ89" s="466">
        <v>27.227829469572765</v>
      </c>
      <c r="AK89" s="467"/>
      <c r="AL89" s="466">
        <v>21.748967099086034</v>
      </c>
      <c r="AM89" s="467"/>
      <c r="AT89" s="176"/>
    </row>
    <row r="90" spans="20:46">
      <c r="T90" s="471">
        <v>300</v>
      </c>
      <c r="U90" s="472"/>
      <c r="V90" s="476">
        <v>40.535370926800397</v>
      </c>
      <c r="W90" s="476"/>
      <c r="Y90" s="471">
        <v>300</v>
      </c>
      <c r="Z90" s="472"/>
      <c r="AA90" s="475">
        <v>45.384170733127881</v>
      </c>
      <c r="AB90" s="475"/>
      <c r="AF90" s="464">
        <v>275</v>
      </c>
      <c r="AG90" s="465"/>
      <c r="AH90" s="468">
        <v>33.825100445260489</v>
      </c>
      <c r="AI90" s="469"/>
      <c r="AJ90" s="468">
        <v>35.114588827230754</v>
      </c>
      <c r="AK90" s="469"/>
      <c r="AL90" s="468">
        <v>33.731382136837269</v>
      </c>
      <c r="AM90" s="469"/>
      <c r="AT90" s="176"/>
    </row>
    <row r="91" spans="20:46">
      <c r="AF91" s="464">
        <v>300</v>
      </c>
      <c r="AG91" s="465"/>
      <c r="AH91" s="468">
        <v>46.639627113417603</v>
      </c>
      <c r="AI91" s="469"/>
      <c r="AJ91" s="468">
        <v>46.830219487455565</v>
      </c>
      <c r="AK91" s="470"/>
      <c r="AL91" s="468">
        <v>45.384170733127881</v>
      </c>
      <c r="AM91" s="469"/>
      <c r="AT91" s="176"/>
    </row>
    <row r="92" spans="20:46">
      <c r="AF92" s="173"/>
      <c r="AT92" s="176"/>
    </row>
    <row r="93" spans="20:46">
      <c r="AF93" s="173"/>
      <c r="AT93" s="176"/>
    </row>
    <row r="94" spans="20:46">
      <c r="AF94" s="173"/>
      <c r="AT94" s="176"/>
    </row>
    <row r="95" spans="20:46">
      <c r="AF95" s="173"/>
      <c r="AT95" s="176"/>
    </row>
    <row r="96" spans="20:46">
      <c r="AF96" s="173"/>
      <c r="AT96" s="176"/>
    </row>
    <row r="97" spans="32:46">
      <c r="AF97" s="173"/>
      <c r="AT97" s="176"/>
    </row>
    <row r="98" spans="32:46">
      <c r="AF98" s="173"/>
      <c r="AT98" s="176"/>
    </row>
    <row r="99" spans="32:46">
      <c r="AF99" s="173"/>
      <c r="AT99" s="176"/>
    </row>
    <row r="100" spans="32:46">
      <c r="AF100" s="173"/>
      <c r="AT100" s="176"/>
    </row>
    <row r="101" spans="32:46">
      <c r="AF101" s="173"/>
      <c r="AT101" s="176"/>
    </row>
    <row r="102" spans="32:46">
      <c r="AF102" s="173"/>
      <c r="AT102" s="176"/>
    </row>
    <row r="103" spans="32:46">
      <c r="AF103" s="173"/>
      <c r="AT103" s="176"/>
    </row>
    <row r="104" spans="32:46">
      <c r="AF104" s="173"/>
      <c r="AT104" s="176"/>
    </row>
    <row r="105" spans="32:46">
      <c r="AF105" s="173"/>
      <c r="AT105" s="176"/>
    </row>
    <row r="106" spans="32:46">
      <c r="AF106" s="173"/>
      <c r="AT106" s="176"/>
    </row>
    <row r="107" spans="32:46">
      <c r="AF107" s="173"/>
      <c r="AT107" s="176"/>
    </row>
    <row r="108" spans="32:46">
      <c r="AF108" s="173"/>
      <c r="AT108" s="176"/>
    </row>
    <row r="109" spans="32:46">
      <c r="AF109" s="173"/>
      <c r="AT109" s="176"/>
    </row>
    <row r="110" spans="32:46">
      <c r="AF110" s="173"/>
      <c r="AT110" s="176"/>
    </row>
    <row r="111" spans="32:46">
      <c r="AF111" s="173"/>
      <c r="AT111" s="176"/>
    </row>
    <row r="112" spans="32:46">
      <c r="AF112" s="173"/>
      <c r="AT112" s="176"/>
    </row>
    <row r="113" spans="32:46">
      <c r="AF113" s="173"/>
      <c r="AT113" s="176"/>
    </row>
    <row r="114" spans="32:46">
      <c r="AF114" s="173"/>
      <c r="AT114" s="176"/>
    </row>
    <row r="115" spans="32:46">
      <c r="AF115" s="173"/>
      <c r="AT115" s="176"/>
    </row>
    <row r="116" spans="32:46">
      <c r="AF116" s="173"/>
      <c r="AT116" s="176"/>
    </row>
    <row r="117" spans="32:46">
      <c r="AF117" s="173"/>
      <c r="AT117" s="176"/>
    </row>
    <row r="118" spans="32:46">
      <c r="AF118" s="173"/>
      <c r="AT118" s="176"/>
    </row>
    <row r="119" spans="32:46">
      <c r="AF119" s="173"/>
      <c r="AT119" s="176"/>
    </row>
    <row r="120" spans="32:46">
      <c r="AF120" s="173"/>
      <c r="AT120" s="176"/>
    </row>
    <row r="121" spans="32:46">
      <c r="AF121" s="173"/>
      <c r="AT121" s="176"/>
    </row>
    <row r="122" spans="32:46">
      <c r="AF122" s="173"/>
      <c r="AT122" s="176"/>
    </row>
    <row r="123" spans="32:46">
      <c r="AF123" s="173"/>
      <c r="AT123" s="176"/>
    </row>
    <row r="124" spans="32:46">
      <c r="AF124" s="188"/>
      <c r="AG124" s="187"/>
      <c r="AH124" s="187"/>
      <c r="AI124" s="187"/>
      <c r="AJ124" s="187"/>
      <c r="AK124" s="187"/>
      <c r="AL124" s="187"/>
      <c r="AM124" s="187"/>
      <c r="AN124" s="187"/>
      <c r="AO124" s="187"/>
      <c r="AP124" s="187"/>
      <c r="AQ124" s="187"/>
      <c r="AR124" s="187"/>
      <c r="AS124" s="187"/>
      <c r="AT124" s="189"/>
    </row>
  </sheetData>
  <mergeCells count="447">
    <mergeCell ref="BB58:BC58"/>
    <mergeCell ref="BB59:BC59"/>
    <mergeCell ref="BB60:BC60"/>
    <mergeCell ref="BB61:BC61"/>
    <mergeCell ref="AV58:AW58"/>
    <mergeCell ref="AV59:AW59"/>
    <mergeCell ref="AV60:AW60"/>
    <mergeCell ref="AV61:AW61"/>
    <mergeCell ref="AX49:AY49"/>
    <mergeCell ref="AX50:AY50"/>
    <mergeCell ref="AX51:AY51"/>
    <mergeCell ref="AX52:AY52"/>
    <mergeCell ref="AZ49:BA49"/>
    <mergeCell ref="AZ50:BA50"/>
    <mergeCell ref="AZ51:BA51"/>
    <mergeCell ref="AZ52:BA52"/>
    <mergeCell ref="AX58:AY58"/>
    <mergeCell ref="AX59:AY59"/>
    <mergeCell ref="AX60:AY60"/>
    <mergeCell ref="AX61:AY61"/>
    <mergeCell ref="AZ58:BA58"/>
    <mergeCell ref="AZ59:BA59"/>
    <mergeCell ref="AZ60:BA60"/>
    <mergeCell ref="AZ61:BA61"/>
    <mergeCell ref="AV56:AW56"/>
    <mergeCell ref="AX56:AY56"/>
    <mergeCell ref="AZ56:BA56"/>
    <mergeCell ref="BB56:BC56"/>
    <mergeCell ref="AV57:AW57"/>
    <mergeCell ref="AX57:AY57"/>
    <mergeCell ref="AZ57:BA57"/>
    <mergeCell ref="BB57:BC57"/>
    <mergeCell ref="AV49:AW49"/>
    <mergeCell ref="AV50:AW50"/>
    <mergeCell ref="AV51:AW51"/>
    <mergeCell ref="AV52:AW52"/>
    <mergeCell ref="BB49:BC49"/>
    <mergeCell ref="BB50:BC50"/>
    <mergeCell ref="BB51:BC51"/>
    <mergeCell ref="BB52:BC52"/>
    <mergeCell ref="AV55:BC55"/>
    <mergeCell ref="AV46:BC46"/>
    <mergeCell ref="AV47:AW47"/>
    <mergeCell ref="AX47:AY47"/>
    <mergeCell ref="AZ47:BA47"/>
    <mergeCell ref="BB47:BC47"/>
    <mergeCell ref="AV48:AW48"/>
    <mergeCell ref="AX48:AY48"/>
    <mergeCell ref="AZ48:BA48"/>
    <mergeCell ref="BB48:BC48"/>
    <mergeCell ref="AF87:AG87"/>
    <mergeCell ref="AH87:AI87"/>
    <mergeCell ref="AJ87:AK87"/>
    <mergeCell ref="AL87:AM87"/>
    <mergeCell ref="AJ45:AK45"/>
    <mergeCell ref="AL45:AM45"/>
    <mergeCell ref="AF45:AG45"/>
    <mergeCell ref="AF44:AM44"/>
    <mergeCell ref="AF85:AM85"/>
    <mergeCell ref="AF86:AG86"/>
    <mergeCell ref="AH86:AI86"/>
    <mergeCell ref="AJ86:AK86"/>
    <mergeCell ref="AL86:AM86"/>
    <mergeCell ref="AH45:AI45"/>
    <mergeCell ref="AJ46:AK46"/>
    <mergeCell ref="AL33:AM33"/>
    <mergeCell ref="AL34:AM34"/>
    <mergeCell ref="AL35:AM35"/>
    <mergeCell ref="AF41:AN41"/>
    <mergeCell ref="AF46:AG46"/>
    <mergeCell ref="AH46:AI46"/>
    <mergeCell ref="AL46:AM46"/>
    <mergeCell ref="AF32:AG32"/>
    <mergeCell ref="AF33:AG33"/>
    <mergeCell ref="AF34:AG34"/>
    <mergeCell ref="AF35:AG35"/>
    <mergeCell ref="AH32:AI32"/>
    <mergeCell ref="AH33:AI33"/>
    <mergeCell ref="AH34:AI34"/>
    <mergeCell ref="AH35:AI35"/>
    <mergeCell ref="AJ32:AK32"/>
    <mergeCell ref="AJ33:AK33"/>
    <mergeCell ref="AJ34:AK34"/>
    <mergeCell ref="AJ35:AK35"/>
    <mergeCell ref="AF30:AI30"/>
    <mergeCell ref="AJ30:AM30"/>
    <mergeCell ref="AF31:AG31"/>
    <mergeCell ref="AH31:AI31"/>
    <mergeCell ref="AJ31:AK31"/>
    <mergeCell ref="AL31:AM31"/>
    <mergeCell ref="AF25:AG25"/>
    <mergeCell ref="AF26:AG26"/>
    <mergeCell ref="AL32:AM32"/>
    <mergeCell ref="AH23:AI23"/>
    <mergeCell ref="AH24:AI24"/>
    <mergeCell ref="AH25:AI25"/>
    <mergeCell ref="AH26:AI26"/>
    <mergeCell ref="AJ23:AK23"/>
    <mergeCell ref="AJ24:AK24"/>
    <mergeCell ref="AJ25:AK25"/>
    <mergeCell ref="AJ26:AK26"/>
    <mergeCell ref="AF21:AI21"/>
    <mergeCell ref="AJ21:AM21"/>
    <mergeCell ref="AF22:AG22"/>
    <mergeCell ref="AH22:AI22"/>
    <mergeCell ref="AJ22:AK22"/>
    <mergeCell ref="AL22:AM22"/>
    <mergeCell ref="AF23:AG23"/>
    <mergeCell ref="AF24:AG24"/>
    <mergeCell ref="AL23:AM23"/>
    <mergeCell ref="AL24:AM24"/>
    <mergeCell ref="AL25:AM25"/>
    <mergeCell ref="AL26:AM26"/>
    <mergeCell ref="AH15:AI15"/>
    <mergeCell ref="AH16:AI16"/>
    <mergeCell ref="AH17:AI17"/>
    <mergeCell ref="AJ14:AK14"/>
    <mergeCell ref="AJ15:AK15"/>
    <mergeCell ref="AJ16:AK16"/>
    <mergeCell ref="AJ17:AK17"/>
    <mergeCell ref="AF8:AN8"/>
    <mergeCell ref="AF12:AI12"/>
    <mergeCell ref="AJ12:AM12"/>
    <mergeCell ref="AJ13:AK13"/>
    <mergeCell ref="AL13:AM13"/>
    <mergeCell ref="AL14:AM14"/>
    <mergeCell ref="AL15:AM15"/>
    <mergeCell ref="AL16:AM16"/>
    <mergeCell ref="AL17:AM17"/>
    <mergeCell ref="AF13:AG13"/>
    <mergeCell ref="AH13:AI13"/>
    <mergeCell ref="AF14:AG14"/>
    <mergeCell ref="AF15:AG15"/>
    <mergeCell ref="AF16:AG16"/>
    <mergeCell ref="AF17:AG17"/>
    <mergeCell ref="AH14:AI14"/>
    <mergeCell ref="AF11:AM11"/>
    <mergeCell ref="V84:Z84"/>
    <mergeCell ref="T85:W85"/>
    <mergeCell ref="Y85:AB85"/>
    <mergeCell ref="T86:U86"/>
    <mergeCell ref="V86:W86"/>
    <mergeCell ref="Y86:Z86"/>
    <mergeCell ref="AA86:AB86"/>
    <mergeCell ref="V42:Z42"/>
    <mergeCell ref="T43:W43"/>
    <mergeCell ref="Y43:AB43"/>
    <mergeCell ref="T44:U44"/>
    <mergeCell ref="V44:W44"/>
    <mergeCell ref="Y44:Z44"/>
    <mergeCell ref="AA44:AB44"/>
    <mergeCell ref="Y8:Z8"/>
    <mergeCell ref="T2:X2"/>
    <mergeCell ref="W3:Z3"/>
    <mergeCell ref="W4:X4"/>
    <mergeCell ref="Y4:Z4"/>
    <mergeCell ref="Y5:Z5"/>
    <mergeCell ref="Y6:Z6"/>
    <mergeCell ref="Y7:Z7"/>
    <mergeCell ref="R3:U3"/>
    <mergeCell ref="C55:D55"/>
    <mergeCell ref="E55:F55"/>
    <mergeCell ref="G55:H55"/>
    <mergeCell ref="I55:J55"/>
    <mergeCell ref="K55:L55"/>
    <mergeCell ref="C56:D56"/>
    <mergeCell ref="E56:F56"/>
    <mergeCell ref="G56:H56"/>
    <mergeCell ref="I56:J56"/>
    <mergeCell ref="K56:L56"/>
    <mergeCell ref="C53:D53"/>
    <mergeCell ref="E53:F53"/>
    <mergeCell ref="G53:H53"/>
    <mergeCell ref="I53:J53"/>
    <mergeCell ref="K53:L53"/>
    <mergeCell ref="C54:D54"/>
    <mergeCell ref="E54:F54"/>
    <mergeCell ref="G54:H54"/>
    <mergeCell ref="I54:J54"/>
    <mergeCell ref="K54:L54"/>
    <mergeCell ref="C49:D49"/>
    <mergeCell ref="E49:F49"/>
    <mergeCell ref="G49:H49"/>
    <mergeCell ref="I49:J49"/>
    <mergeCell ref="K49:L49"/>
    <mergeCell ref="B52:L52"/>
    <mergeCell ref="C47:D47"/>
    <mergeCell ref="E47:F47"/>
    <mergeCell ref="G47:H47"/>
    <mergeCell ref="I47:J47"/>
    <mergeCell ref="K47:L47"/>
    <mergeCell ref="C48:D48"/>
    <mergeCell ref="E48:F48"/>
    <mergeCell ref="G48:H48"/>
    <mergeCell ref="I48:J48"/>
    <mergeCell ref="K48:L48"/>
    <mergeCell ref="O42:P42"/>
    <mergeCell ref="B45:L45"/>
    <mergeCell ref="C46:D46"/>
    <mergeCell ref="E46:F46"/>
    <mergeCell ref="G46:H46"/>
    <mergeCell ref="I46:J46"/>
    <mergeCell ref="K46:L46"/>
    <mergeCell ref="C42:D42"/>
    <mergeCell ref="E42:F42"/>
    <mergeCell ref="G42:H42"/>
    <mergeCell ref="I42:J42"/>
    <mergeCell ref="K42:L42"/>
    <mergeCell ref="M42:N42"/>
    <mergeCell ref="O40:P40"/>
    <mergeCell ref="C41:D41"/>
    <mergeCell ref="E41:F41"/>
    <mergeCell ref="G41:H41"/>
    <mergeCell ref="I41:J41"/>
    <mergeCell ref="K41:L41"/>
    <mergeCell ref="M41:N41"/>
    <mergeCell ref="O41:P41"/>
    <mergeCell ref="C40:D40"/>
    <mergeCell ref="E40:F40"/>
    <mergeCell ref="G40:H40"/>
    <mergeCell ref="I40:J40"/>
    <mergeCell ref="K40:L40"/>
    <mergeCell ref="M40:N40"/>
    <mergeCell ref="O35:R35"/>
    <mergeCell ref="B38:P38"/>
    <mergeCell ref="C39:D39"/>
    <mergeCell ref="E39:F39"/>
    <mergeCell ref="G39:H39"/>
    <mergeCell ref="I39:J39"/>
    <mergeCell ref="K39:L39"/>
    <mergeCell ref="M39:N39"/>
    <mergeCell ref="O39:P39"/>
    <mergeCell ref="C35:D35"/>
    <mergeCell ref="E35:F35"/>
    <mergeCell ref="G35:H35"/>
    <mergeCell ref="I35:J35"/>
    <mergeCell ref="K35:L35"/>
    <mergeCell ref="M35:N35"/>
    <mergeCell ref="O33:R33"/>
    <mergeCell ref="C34:D34"/>
    <mergeCell ref="E34:F34"/>
    <mergeCell ref="G34:H34"/>
    <mergeCell ref="I34:J34"/>
    <mergeCell ref="K34:L34"/>
    <mergeCell ref="M34:N34"/>
    <mergeCell ref="O34:R34"/>
    <mergeCell ref="C33:D33"/>
    <mergeCell ref="E33:F33"/>
    <mergeCell ref="G33:H33"/>
    <mergeCell ref="I33:J33"/>
    <mergeCell ref="K33:L33"/>
    <mergeCell ref="M33:N33"/>
    <mergeCell ref="B31:R31"/>
    <mergeCell ref="C32:D32"/>
    <mergeCell ref="E32:F32"/>
    <mergeCell ref="G32:H32"/>
    <mergeCell ref="I32:J32"/>
    <mergeCell ref="K32:L32"/>
    <mergeCell ref="M32:N32"/>
    <mergeCell ref="O32:R32"/>
    <mergeCell ref="C27:D27"/>
    <mergeCell ref="E27:F27"/>
    <mergeCell ref="G27:H27"/>
    <mergeCell ref="C28:D28"/>
    <mergeCell ref="E28:F28"/>
    <mergeCell ref="G28:H28"/>
    <mergeCell ref="B24:H24"/>
    <mergeCell ref="C25:D25"/>
    <mergeCell ref="E25:F25"/>
    <mergeCell ref="G25:H25"/>
    <mergeCell ref="C26:D26"/>
    <mergeCell ref="E26:F26"/>
    <mergeCell ref="G26:H26"/>
    <mergeCell ref="C20:D20"/>
    <mergeCell ref="E20:F20"/>
    <mergeCell ref="G20:H20"/>
    <mergeCell ref="E12:F12"/>
    <mergeCell ref="G12:H12"/>
    <mergeCell ref="I12:J12"/>
    <mergeCell ref="I20:J20"/>
    <mergeCell ref="C21:D21"/>
    <mergeCell ref="E21:F21"/>
    <mergeCell ref="G21:H21"/>
    <mergeCell ref="I21:J21"/>
    <mergeCell ref="B17:J17"/>
    <mergeCell ref="C18:D18"/>
    <mergeCell ref="E18:F18"/>
    <mergeCell ref="G18:H18"/>
    <mergeCell ref="I18:J18"/>
    <mergeCell ref="C19:D19"/>
    <mergeCell ref="E19:F19"/>
    <mergeCell ref="G19:H19"/>
    <mergeCell ref="I19:J19"/>
    <mergeCell ref="B3:J3"/>
    <mergeCell ref="C4:D4"/>
    <mergeCell ref="E4:F4"/>
    <mergeCell ref="G4:H4"/>
    <mergeCell ref="I4:J4"/>
    <mergeCell ref="C5:D5"/>
    <mergeCell ref="E5:F5"/>
    <mergeCell ref="G5:H5"/>
    <mergeCell ref="I5:J5"/>
    <mergeCell ref="AF20:AM20"/>
    <mergeCell ref="AF29:AM29"/>
    <mergeCell ref="C6:D6"/>
    <mergeCell ref="E6:F6"/>
    <mergeCell ref="G6:H6"/>
    <mergeCell ref="I6:J6"/>
    <mergeCell ref="C7:D7"/>
    <mergeCell ref="E7:F7"/>
    <mergeCell ref="G7:H7"/>
    <mergeCell ref="I7:J7"/>
    <mergeCell ref="C13:D13"/>
    <mergeCell ref="E13:F13"/>
    <mergeCell ref="G13:H13"/>
    <mergeCell ref="I13:J13"/>
    <mergeCell ref="C14:D14"/>
    <mergeCell ref="E14:F14"/>
    <mergeCell ref="G14:H14"/>
    <mergeCell ref="I14:J14"/>
    <mergeCell ref="B10:J10"/>
    <mergeCell ref="C11:D11"/>
    <mergeCell ref="E11:F11"/>
    <mergeCell ref="G11:H11"/>
    <mergeCell ref="I11:J11"/>
    <mergeCell ref="C12:D12"/>
    <mergeCell ref="BE3:BL3"/>
    <mergeCell ref="BE4:BH4"/>
    <mergeCell ref="BI4:BL4"/>
    <mergeCell ref="BE5:BF5"/>
    <mergeCell ref="BG5:BH5"/>
    <mergeCell ref="BI5:BJ5"/>
    <mergeCell ref="BK5:BL5"/>
    <mergeCell ref="BE6:BF6"/>
    <mergeCell ref="BG6:BH6"/>
    <mergeCell ref="BI6:BJ6"/>
    <mergeCell ref="BK6:BL6"/>
    <mergeCell ref="BE7:BF7"/>
    <mergeCell ref="BG7:BH7"/>
    <mergeCell ref="BI7:BJ7"/>
    <mergeCell ref="BK7:BL7"/>
    <mergeCell ref="BE8:BF8"/>
    <mergeCell ref="BG8:BH8"/>
    <mergeCell ref="BI8:BJ8"/>
    <mergeCell ref="BK8:BL8"/>
    <mergeCell ref="BE9:BF9"/>
    <mergeCell ref="BG9:BH9"/>
    <mergeCell ref="BI9:BJ9"/>
    <mergeCell ref="BK9:BL9"/>
    <mergeCell ref="BE12:BL12"/>
    <mergeCell ref="BE13:BH13"/>
    <mergeCell ref="BI13:BL13"/>
    <mergeCell ref="BE14:BF14"/>
    <mergeCell ref="BG14:BH14"/>
    <mergeCell ref="BI14:BJ14"/>
    <mergeCell ref="BK14:BL14"/>
    <mergeCell ref="BE15:BF15"/>
    <mergeCell ref="BG15:BH15"/>
    <mergeCell ref="BI15:BJ15"/>
    <mergeCell ref="BK15:BL15"/>
    <mergeCell ref="BE16:BF16"/>
    <mergeCell ref="BG16:BH16"/>
    <mergeCell ref="BI16:BJ16"/>
    <mergeCell ref="BK16:BL16"/>
    <mergeCell ref="BE17:BF17"/>
    <mergeCell ref="BG17:BH17"/>
    <mergeCell ref="BI17:BJ17"/>
    <mergeCell ref="BK17:BL17"/>
    <mergeCell ref="BE18:BF18"/>
    <mergeCell ref="BG18:BH18"/>
    <mergeCell ref="BI18:BJ18"/>
    <mergeCell ref="BK18:BL18"/>
    <mergeCell ref="BE21:BL21"/>
    <mergeCell ref="BE22:BH22"/>
    <mergeCell ref="BI22:BL22"/>
    <mergeCell ref="BE23:BF23"/>
    <mergeCell ref="BG23:BH23"/>
    <mergeCell ref="BI23:BJ23"/>
    <mergeCell ref="BK23:BL23"/>
    <mergeCell ref="BE24:BF24"/>
    <mergeCell ref="BG24:BH24"/>
    <mergeCell ref="BI24:BJ24"/>
    <mergeCell ref="BK24:BL24"/>
    <mergeCell ref="BE25:BF25"/>
    <mergeCell ref="BG25:BH25"/>
    <mergeCell ref="BI25:BJ25"/>
    <mergeCell ref="BK25:BL25"/>
    <mergeCell ref="BE26:BF26"/>
    <mergeCell ref="BG26:BH26"/>
    <mergeCell ref="BI26:BJ26"/>
    <mergeCell ref="BK26:BL26"/>
    <mergeCell ref="BE27:BF27"/>
    <mergeCell ref="BG27:BH27"/>
    <mergeCell ref="BI27:BJ27"/>
    <mergeCell ref="BK27:BL27"/>
    <mergeCell ref="BN4:BU4"/>
    <mergeCell ref="BN5:BO5"/>
    <mergeCell ref="BP5:BQ5"/>
    <mergeCell ref="BR5:BS5"/>
    <mergeCell ref="BT5:BU5"/>
    <mergeCell ref="BN6:BO6"/>
    <mergeCell ref="BP6:BQ6"/>
    <mergeCell ref="BR6:BS6"/>
    <mergeCell ref="BT6:BU6"/>
    <mergeCell ref="BR10:BS10"/>
    <mergeCell ref="BT10:BU10"/>
    <mergeCell ref="BN13:BU13"/>
    <mergeCell ref="BN14:BO14"/>
    <mergeCell ref="BP14:BQ14"/>
    <mergeCell ref="BR14:BS14"/>
    <mergeCell ref="BT14:BU14"/>
    <mergeCell ref="BN7:BO7"/>
    <mergeCell ref="BP7:BQ7"/>
    <mergeCell ref="BR7:BS7"/>
    <mergeCell ref="BT7:BU7"/>
    <mergeCell ref="BN8:BO8"/>
    <mergeCell ref="BP8:BQ8"/>
    <mergeCell ref="BR8:BS8"/>
    <mergeCell ref="BT8:BU8"/>
    <mergeCell ref="BN9:BO9"/>
    <mergeCell ref="BP9:BQ9"/>
    <mergeCell ref="BR9:BS9"/>
    <mergeCell ref="BT9:BU9"/>
    <mergeCell ref="BN18:BO18"/>
    <mergeCell ref="BP18:BQ18"/>
    <mergeCell ref="BR18:BS18"/>
    <mergeCell ref="BT18:BU18"/>
    <mergeCell ref="BN19:BO19"/>
    <mergeCell ref="BP19:BQ19"/>
    <mergeCell ref="BR19:BS19"/>
    <mergeCell ref="BT19:BU19"/>
    <mergeCell ref="BN3:BU3"/>
    <mergeCell ref="BN12:BU12"/>
    <mergeCell ref="BN15:BO15"/>
    <mergeCell ref="BP15:BQ15"/>
    <mergeCell ref="BR15:BS15"/>
    <mergeCell ref="BT15:BU15"/>
    <mergeCell ref="BN16:BO16"/>
    <mergeCell ref="BP16:BQ16"/>
    <mergeCell ref="BR16:BS16"/>
    <mergeCell ref="BT16:BU16"/>
    <mergeCell ref="BN17:BO17"/>
    <mergeCell ref="BP17:BQ17"/>
    <mergeCell ref="BR17:BS17"/>
    <mergeCell ref="BT17:BU17"/>
    <mergeCell ref="BN10:BO10"/>
    <mergeCell ref="BP10:BQ1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36B56-3F9F-4AF3-8232-5EFE43A2F969}">
  <dimension ref="B1:W125"/>
  <sheetViews>
    <sheetView topLeftCell="A101" zoomScale="85" zoomScaleNormal="85" workbookViewId="0">
      <selection activeCell="L115" sqref="L115"/>
    </sheetView>
  </sheetViews>
  <sheetFormatPr baseColWidth="10" defaultColWidth="8.88671875" defaultRowHeight="14.4"/>
  <cols>
    <col min="2" max="2" width="12" customWidth="1"/>
    <col min="3" max="3" width="14.109375" customWidth="1"/>
    <col min="4" max="4" width="19.77734375" customWidth="1"/>
    <col min="5" max="5" width="12" customWidth="1"/>
    <col min="6" max="6" width="14.33203125" customWidth="1"/>
    <col min="7" max="7" width="19.77734375" customWidth="1"/>
    <col min="8" max="8" width="12" customWidth="1"/>
    <col min="9" max="9" width="14.33203125" customWidth="1"/>
    <col min="10" max="10" width="19.77734375" customWidth="1"/>
    <col min="12" max="12" width="11.88671875" customWidth="1"/>
    <col min="13" max="17" width="9.77734375" customWidth="1"/>
    <col min="19" max="23" width="9.77734375" customWidth="1"/>
  </cols>
  <sheetData>
    <row r="1" spans="2:23" ht="15" thickBot="1"/>
    <row r="2" spans="2:23" ht="18.600000000000001" thickBot="1">
      <c r="B2" s="867" t="s">
        <v>460</v>
      </c>
      <c r="C2" s="894"/>
      <c r="D2" s="894"/>
      <c r="E2" s="894"/>
      <c r="F2" s="894"/>
      <c r="G2" s="895"/>
      <c r="M2" s="977" t="s">
        <v>225</v>
      </c>
      <c r="N2" s="978"/>
      <c r="O2" s="978"/>
      <c r="P2" s="978"/>
      <c r="Q2" s="979"/>
      <c r="S2" s="977" t="s">
        <v>171</v>
      </c>
      <c r="T2" s="978"/>
      <c r="U2" s="978"/>
      <c r="V2" s="978"/>
      <c r="W2" s="979"/>
    </row>
    <row r="3" spans="2:23" ht="15" thickBot="1">
      <c r="B3" s="980" t="s">
        <v>366</v>
      </c>
      <c r="C3" s="981"/>
      <c r="D3" s="980" t="s">
        <v>367</v>
      </c>
      <c r="E3" s="981"/>
      <c r="F3" s="980" t="s">
        <v>368</v>
      </c>
      <c r="G3" s="981"/>
      <c r="M3" s="557" t="s">
        <v>29</v>
      </c>
      <c r="N3" s="558" t="s">
        <v>391</v>
      </c>
      <c r="O3" s="558" t="s">
        <v>392</v>
      </c>
      <c r="P3" s="558" t="s">
        <v>393</v>
      </c>
      <c r="Q3" s="559" t="s">
        <v>83</v>
      </c>
      <c r="S3" s="557" t="s">
        <v>29</v>
      </c>
      <c r="T3" s="558" t="s">
        <v>391</v>
      </c>
      <c r="U3" s="558" t="s">
        <v>392</v>
      </c>
      <c r="V3" s="558" t="s">
        <v>393</v>
      </c>
      <c r="W3" s="559" t="s">
        <v>83</v>
      </c>
    </row>
    <row r="4" spans="2:23" ht="16.2" thickBot="1">
      <c r="B4" s="532" t="s">
        <v>369</v>
      </c>
      <c r="C4" s="533" t="s">
        <v>370</v>
      </c>
      <c r="D4" s="532" t="s">
        <v>369</v>
      </c>
      <c r="E4" s="533" t="s">
        <v>370</v>
      </c>
      <c r="F4" s="534" t="s">
        <v>369</v>
      </c>
      <c r="G4" s="533" t="s">
        <v>370</v>
      </c>
      <c r="M4" s="38" t="s">
        <v>394</v>
      </c>
      <c r="N4" s="443">
        <v>1.0118</v>
      </c>
      <c r="O4" s="443">
        <v>0.22120000000000001</v>
      </c>
      <c r="P4" s="443">
        <v>18.825099999999999</v>
      </c>
      <c r="Q4" s="556">
        <f>AVERAGE(P4:P6)</f>
        <v>18.598066666666664</v>
      </c>
      <c r="S4" s="38" t="s">
        <v>420</v>
      </c>
      <c r="T4" s="443">
        <v>0.86399999999999999</v>
      </c>
      <c r="U4" s="443">
        <v>0.21929999999999999</v>
      </c>
      <c r="V4" s="443">
        <v>18.311699999999998</v>
      </c>
      <c r="W4" s="556">
        <f>AVERAGE(V4:V5)</f>
        <v>18.257449999999999</v>
      </c>
    </row>
    <row r="5" spans="2:23" ht="15.6">
      <c r="B5" s="535" t="s">
        <v>333</v>
      </c>
      <c r="C5" s="536">
        <v>18.598066666666664</v>
      </c>
      <c r="D5" s="535" t="str">
        <f>REPLACE(B5:B12,1,1,"Y")</f>
        <v>Y1</v>
      </c>
      <c r="E5" s="536">
        <v>17.611300000000004</v>
      </c>
      <c r="F5" s="537" t="str">
        <f>REPLACE(B5:B12,1,1,"Z")</f>
        <v>Z1</v>
      </c>
      <c r="G5" s="536">
        <v>18.257449999999999</v>
      </c>
      <c r="M5" s="38" t="s">
        <v>395</v>
      </c>
      <c r="N5" s="443">
        <v>0.96870000000000001</v>
      </c>
      <c r="O5" s="443">
        <v>0.2485</v>
      </c>
      <c r="P5" s="443">
        <v>18.375399999999999</v>
      </c>
      <c r="Q5" s="556"/>
      <c r="S5" s="38" t="s">
        <v>421</v>
      </c>
      <c r="T5" s="443">
        <v>0.86570000000000003</v>
      </c>
      <c r="U5" s="443">
        <v>0.23019999999999999</v>
      </c>
      <c r="V5" s="443">
        <v>18.203199999999999</v>
      </c>
      <c r="W5" s="556"/>
    </row>
    <row r="6" spans="2:23" ht="15.6">
      <c r="B6" s="538" t="s">
        <v>334</v>
      </c>
      <c r="C6" s="539">
        <v>18.843800000000002</v>
      </c>
      <c r="D6" s="538" t="str">
        <f t="shared" ref="D6:D12" si="0">REPLACE(B6:B13,1,1,"Y")</f>
        <v>Y2</v>
      </c>
      <c r="E6" s="539">
        <v>17.913449999999997</v>
      </c>
      <c r="F6" s="584" t="str">
        <f t="shared" ref="F6:F12" si="1">REPLACE(B6:B13,1,1,"Z")</f>
        <v>Z2</v>
      </c>
      <c r="G6" s="539">
        <v>18.297650000000001</v>
      </c>
      <c r="M6" s="38" t="s">
        <v>396</v>
      </c>
      <c r="N6" s="443">
        <v>0.95020000000000004</v>
      </c>
      <c r="O6" s="443">
        <v>0.22170000000000001</v>
      </c>
      <c r="P6" s="443">
        <v>18.593699999999998</v>
      </c>
      <c r="Q6" s="556"/>
      <c r="S6" s="38"/>
      <c r="T6" s="443"/>
      <c r="U6" s="443"/>
      <c r="V6" s="443"/>
      <c r="W6" s="556"/>
    </row>
    <row r="7" spans="2:23" ht="15.6">
      <c r="B7" s="535" t="s">
        <v>371</v>
      </c>
      <c r="C7" s="536">
        <v>19.77975</v>
      </c>
      <c r="D7" s="535" t="str">
        <f t="shared" si="0"/>
        <v>Y3</v>
      </c>
      <c r="E7" s="536">
        <v>19.039149999999999</v>
      </c>
      <c r="F7" s="537" t="str">
        <f t="shared" si="1"/>
        <v>Z3</v>
      </c>
      <c r="G7" s="536">
        <v>19.04025</v>
      </c>
      <c r="M7" s="38"/>
      <c r="N7" s="443"/>
      <c r="O7" s="443"/>
      <c r="P7" s="443"/>
      <c r="Q7" s="556"/>
      <c r="S7" s="38"/>
      <c r="T7" s="443"/>
      <c r="U7" s="443"/>
      <c r="V7" s="443"/>
      <c r="W7" s="556"/>
    </row>
    <row r="8" spans="2:23" ht="15.6">
      <c r="B8" s="538" t="s">
        <v>372</v>
      </c>
      <c r="C8" s="539">
        <v>20.182499999999997</v>
      </c>
      <c r="D8" s="538" t="str">
        <f t="shared" si="0"/>
        <v>Y4</v>
      </c>
      <c r="E8" s="539">
        <v>19.638199999999998</v>
      </c>
      <c r="F8" s="584" t="str">
        <f t="shared" si="1"/>
        <v>Z4</v>
      </c>
      <c r="G8" s="539">
        <v>19.5885</v>
      </c>
      <c r="M8" s="38" t="s">
        <v>397</v>
      </c>
      <c r="N8" s="443">
        <v>0.95940000000000003</v>
      </c>
      <c r="O8" s="443">
        <v>0.24110000000000001</v>
      </c>
      <c r="P8" s="443">
        <v>18.8674</v>
      </c>
      <c r="Q8" s="556">
        <f>AVERAGE(P8:P9)</f>
        <v>18.843800000000002</v>
      </c>
      <c r="S8" s="38" t="s">
        <v>422</v>
      </c>
      <c r="T8" s="443">
        <v>0.9587</v>
      </c>
      <c r="U8" s="443">
        <v>0.2306</v>
      </c>
      <c r="V8" s="443">
        <v>18.343</v>
      </c>
      <c r="W8" s="556">
        <f>AVERAGE(V8:V9)</f>
        <v>18.297650000000001</v>
      </c>
    </row>
    <row r="9" spans="2:23" ht="15.6">
      <c r="B9" s="535" t="s">
        <v>373</v>
      </c>
      <c r="C9" s="536">
        <v>20.884</v>
      </c>
      <c r="D9" s="535" t="str">
        <f t="shared" si="0"/>
        <v>Y7</v>
      </c>
      <c r="E9" s="536">
        <v>20.101099999999999</v>
      </c>
      <c r="F9" s="537" t="str">
        <f t="shared" si="1"/>
        <v>Z7</v>
      </c>
      <c r="G9" s="536">
        <v>19.915500000000002</v>
      </c>
      <c r="M9" s="38" t="s">
        <v>398</v>
      </c>
      <c r="N9" s="443">
        <v>0.89729999999999999</v>
      </c>
      <c r="O9" s="443">
        <v>0.25629999999999997</v>
      </c>
      <c r="P9" s="443">
        <v>18.8202</v>
      </c>
      <c r="Q9" s="556"/>
      <c r="S9" s="38" t="s">
        <v>423</v>
      </c>
      <c r="T9" s="443">
        <v>0.97130000000000005</v>
      </c>
      <c r="U9" s="443">
        <v>0.26100000000000001</v>
      </c>
      <c r="V9" s="443">
        <v>18.252300000000002</v>
      </c>
      <c r="W9" s="556"/>
    </row>
    <row r="10" spans="2:23" ht="15.6">
      <c r="B10" s="538" t="s">
        <v>374</v>
      </c>
      <c r="C10" s="539">
        <v>21.071400000000001</v>
      </c>
      <c r="D10" s="538" t="str">
        <f t="shared" si="0"/>
        <v>Y8</v>
      </c>
      <c r="E10" s="539">
        <v>20.621400000000001</v>
      </c>
      <c r="F10" s="584" t="str">
        <f t="shared" si="1"/>
        <v>Z8</v>
      </c>
      <c r="G10" s="539">
        <v>20.721599999999999</v>
      </c>
      <c r="M10" s="38"/>
      <c r="N10" s="443"/>
      <c r="O10" s="443"/>
      <c r="P10" s="443"/>
      <c r="Q10" s="556"/>
      <c r="S10" s="38"/>
      <c r="T10" s="443"/>
      <c r="U10" s="443"/>
      <c r="V10" s="443"/>
      <c r="W10" s="556"/>
    </row>
    <row r="11" spans="2:23" ht="15.6">
      <c r="B11" s="535" t="s">
        <v>375</v>
      </c>
      <c r="C11" s="536">
        <v>22.497800000000002</v>
      </c>
      <c r="D11" s="535" t="str">
        <f t="shared" si="0"/>
        <v>Y5</v>
      </c>
      <c r="E11" s="536">
        <v>21.310500000000001</v>
      </c>
      <c r="F11" s="537" t="str">
        <f t="shared" si="1"/>
        <v>Z5</v>
      </c>
      <c r="G11" s="536">
        <v>21.412600000000001</v>
      </c>
      <c r="M11" s="38" t="s">
        <v>399</v>
      </c>
      <c r="N11" s="443">
        <v>0.95109999999999995</v>
      </c>
      <c r="O11" s="443">
        <v>0.216</v>
      </c>
      <c r="P11" s="443">
        <v>19.845800000000001</v>
      </c>
      <c r="Q11" s="556">
        <f>AVERAGE(P11:P12)</f>
        <v>19.77975</v>
      </c>
      <c r="S11" s="38" t="s">
        <v>424</v>
      </c>
      <c r="T11" s="443">
        <v>0.99719999999999998</v>
      </c>
      <c r="U11" s="443">
        <v>0.2427</v>
      </c>
      <c r="V11" s="443">
        <v>19.052199999999999</v>
      </c>
      <c r="W11" s="556">
        <f>AVERAGE(V11:V12)</f>
        <v>19.04025</v>
      </c>
    </row>
    <row r="12" spans="2:23" ht="16.2" thickBot="1">
      <c r="B12" s="540" t="s">
        <v>376</v>
      </c>
      <c r="C12" s="541">
        <v>23.1389</v>
      </c>
      <c r="D12" s="540" t="str">
        <f t="shared" si="0"/>
        <v>Y6</v>
      </c>
      <c r="E12" s="541"/>
      <c r="F12" s="542" t="str">
        <f t="shared" si="1"/>
        <v>Z6</v>
      </c>
      <c r="G12" s="541"/>
      <c r="M12" s="38" t="s">
        <v>400</v>
      </c>
      <c r="N12" s="443">
        <v>0.94789999999999996</v>
      </c>
      <c r="O12" s="443">
        <v>0.24679999999999999</v>
      </c>
      <c r="P12" s="443">
        <v>19.713699999999999</v>
      </c>
      <c r="Q12" s="556"/>
      <c r="S12" s="38" t="s">
        <v>425</v>
      </c>
      <c r="T12" s="443">
        <v>1.0148999999999999</v>
      </c>
      <c r="U12" s="443">
        <v>0.23169999999999999</v>
      </c>
      <c r="V12" s="443">
        <v>19.028300000000002</v>
      </c>
      <c r="W12" s="556"/>
    </row>
    <row r="13" spans="2:23">
      <c r="M13" s="38"/>
      <c r="N13" s="443"/>
      <c r="O13" s="443"/>
      <c r="P13" s="443"/>
      <c r="Q13" s="556"/>
      <c r="S13" s="38"/>
      <c r="T13" s="443"/>
      <c r="U13" s="443"/>
      <c r="V13" s="443"/>
      <c r="W13" s="556"/>
    </row>
    <row r="14" spans="2:23">
      <c r="M14" s="38" t="s">
        <v>401</v>
      </c>
      <c r="N14" s="443">
        <v>0.93830000000000002</v>
      </c>
      <c r="O14" s="443">
        <v>0.24299999999999999</v>
      </c>
      <c r="P14" s="443">
        <v>20.1707</v>
      </c>
      <c r="Q14" s="556">
        <f>AVERAGE(P14:P15)</f>
        <v>20.182499999999997</v>
      </c>
      <c r="S14" s="38" t="s">
        <v>426</v>
      </c>
      <c r="T14" s="443">
        <v>1.0838000000000001</v>
      </c>
      <c r="U14" s="443">
        <v>0.2467</v>
      </c>
      <c r="V14" s="443">
        <v>19.601600000000001</v>
      </c>
      <c r="W14" s="556">
        <f>AVERAGE(V14:V15)</f>
        <v>19.5885</v>
      </c>
    </row>
    <row r="15" spans="2:23" ht="15" thickBot="1">
      <c r="M15" s="38" t="s">
        <v>402</v>
      </c>
      <c r="N15" s="443">
        <v>0.98550000000000004</v>
      </c>
      <c r="O15" s="443">
        <v>0.24360000000000001</v>
      </c>
      <c r="P15" s="443">
        <v>20.194299999999998</v>
      </c>
      <c r="Q15" s="556"/>
      <c r="S15" s="38" t="s">
        <v>427</v>
      </c>
      <c r="T15" s="443">
        <v>1.0466</v>
      </c>
      <c r="U15" s="443">
        <v>0.21870000000000001</v>
      </c>
      <c r="V15" s="443">
        <v>19.575399999999998</v>
      </c>
      <c r="W15" s="556"/>
    </row>
    <row r="16" spans="2:23" ht="16.2" thickBot="1">
      <c r="B16" s="543" t="s">
        <v>369</v>
      </c>
      <c r="C16" s="543" t="s">
        <v>377</v>
      </c>
      <c r="D16" s="543" t="s">
        <v>378</v>
      </c>
      <c r="E16" s="544" t="s">
        <v>370</v>
      </c>
      <c r="G16" s="543" t="s">
        <v>369</v>
      </c>
      <c r="H16" s="543" t="s">
        <v>377</v>
      </c>
      <c r="I16" s="543" t="s">
        <v>378</v>
      </c>
      <c r="J16" s="544" t="s">
        <v>370</v>
      </c>
      <c r="M16" s="38"/>
      <c r="N16" s="443"/>
      <c r="O16" s="443"/>
      <c r="P16" s="443"/>
      <c r="Q16" s="556"/>
      <c r="S16" s="38"/>
      <c r="T16" s="443"/>
      <c r="U16" s="443"/>
      <c r="V16" s="443"/>
      <c r="W16" s="556"/>
    </row>
    <row r="17" spans="2:23" ht="15.6">
      <c r="B17" s="535" t="s">
        <v>333</v>
      </c>
      <c r="C17" s="537">
        <v>200</v>
      </c>
      <c r="D17" s="537">
        <v>15</v>
      </c>
      <c r="E17" s="536">
        <v>18.598066666666664</v>
      </c>
      <c r="G17" s="535" t="s">
        <v>334</v>
      </c>
      <c r="H17" s="537">
        <v>200</v>
      </c>
      <c r="I17" s="537">
        <v>30</v>
      </c>
      <c r="J17" s="536">
        <v>18.843800000000002</v>
      </c>
      <c r="M17" s="38" t="s">
        <v>403</v>
      </c>
      <c r="N17" s="443">
        <v>1.0026999999999999</v>
      </c>
      <c r="O17" s="443">
        <v>0.2412</v>
      </c>
      <c r="P17" s="443">
        <v>20.884</v>
      </c>
      <c r="Q17" s="556"/>
      <c r="S17" s="38" t="s">
        <v>428</v>
      </c>
      <c r="T17" s="443">
        <v>1.0303</v>
      </c>
      <c r="U17" s="443">
        <v>0.20399999999999999</v>
      </c>
      <c r="V17" s="443">
        <v>19.915500000000002</v>
      </c>
      <c r="W17" s="556"/>
    </row>
    <row r="18" spans="2:23" ht="15.6">
      <c r="B18" s="538" t="s">
        <v>371</v>
      </c>
      <c r="C18" s="104">
        <v>250</v>
      </c>
      <c r="D18" s="104">
        <v>15</v>
      </c>
      <c r="E18" s="539">
        <v>19.77975</v>
      </c>
      <c r="G18" s="545" t="s">
        <v>372</v>
      </c>
      <c r="H18" s="138">
        <v>250</v>
      </c>
      <c r="I18" s="138">
        <v>30</v>
      </c>
      <c r="J18" s="546">
        <v>20.182499999999997</v>
      </c>
      <c r="M18" s="38"/>
      <c r="N18" s="443"/>
      <c r="O18" s="443"/>
      <c r="P18" s="443"/>
      <c r="Q18" s="556"/>
      <c r="S18" s="38"/>
      <c r="T18" s="443"/>
      <c r="U18" s="443"/>
      <c r="V18" s="443"/>
      <c r="W18" s="556"/>
    </row>
    <row r="19" spans="2:23" ht="15.6">
      <c r="B19" s="535" t="s">
        <v>373</v>
      </c>
      <c r="C19" s="537">
        <v>275</v>
      </c>
      <c r="D19" s="537">
        <v>15</v>
      </c>
      <c r="E19" s="536">
        <v>20.884</v>
      </c>
      <c r="G19" s="535" t="s">
        <v>374</v>
      </c>
      <c r="H19" s="537">
        <v>275</v>
      </c>
      <c r="I19" s="537">
        <v>30</v>
      </c>
      <c r="J19" s="536">
        <v>21.071400000000001</v>
      </c>
      <c r="M19" s="38" t="s">
        <v>404</v>
      </c>
      <c r="N19" s="443">
        <v>1.0424</v>
      </c>
      <c r="O19" s="443">
        <v>0.23200000000000001</v>
      </c>
      <c r="P19" s="443">
        <v>21.071400000000001</v>
      </c>
      <c r="Q19" s="556"/>
      <c r="S19" s="38" t="s">
        <v>429</v>
      </c>
      <c r="T19" s="443">
        <v>0.98199999999999998</v>
      </c>
      <c r="U19" s="443">
        <v>0.21329999999999999</v>
      </c>
      <c r="V19" s="443">
        <v>20.721599999999999</v>
      </c>
      <c r="W19" s="556"/>
    </row>
    <row r="20" spans="2:23" ht="16.2" thickBot="1">
      <c r="B20" s="540" t="s">
        <v>375</v>
      </c>
      <c r="C20" s="178">
        <v>300</v>
      </c>
      <c r="D20" s="178">
        <v>15</v>
      </c>
      <c r="E20" s="541">
        <v>22.497800000000002</v>
      </c>
      <c r="G20" s="540" t="s">
        <v>376</v>
      </c>
      <c r="H20" s="178">
        <v>300</v>
      </c>
      <c r="I20" s="178">
        <v>30</v>
      </c>
      <c r="J20" s="541">
        <v>23.1389</v>
      </c>
      <c r="M20" s="38"/>
      <c r="N20" s="443"/>
      <c r="O20" s="443"/>
      <c r="P20" s="443"/>
      <c r="Q20" s="556"/>
      <c r="S20" s="38"/>
      <c r="T20" s="443"/>
      <c r="U20" s="443"/>
      <c r="V20" s="443"/>
      <c r="W20" s="556"/>
    </row>
    <row r="21" spans="2:23">
      <c r="M21" s="38" t="s">
        <v>405</v>
      </c>
      <c r="N21" s="443">
        <v>1.0226</v>
      </c>
      <c r="O21" s="443">
        <v>0.224</v>
      </c>
      <c r="P21" s="443">
        <v>22.497800000000002</v>
      </c>
      <c r="Q21" s="556"/>
      <c r="S21" s="38" t="s">
        <v>430</v>
      </c>
      <c r="T21" s="443">
        <v>1.0523</v>
      </c>
      <c r="U21" s="443">
        <v>0.20799999999999999</v>
      </c>
      <c r="V21" s="443">
        <v>21.412600000000001</v>
      </c>
      <c r="W21" s="556"/>
    </row>
    <row r="22" spans="2:23">
      <c r="M22" s="38"/>
      <c r="N22" s="443"/>
      <c r="O22" s="443"/>
      <c r="P22" s="443"/>
      <c r="Q22" s="556"/>
      <c r="S22" s="38"/>
      <c r="T22" s="443"/>
      <c r="U22" s="443"/>
      <c r="V22" s="443"/>
      <c r="W22" s="556"/>
    </row>
    <row r="23" spans="2:23" ht="15" thickBot="1">
      <c r="M23" s="553" t="s">
        <v>406</v>
      </c>
      <c r="N23" s="554">
        <v>0.96409999999999996</v>
      </c>
      <c r="O23" s="554">
        <v>0.21759999999999999</v>
      </c>
      <c r="P23" s="554">
        <v>23.1389</v>
      </c>
      <c r="Q23" s="555"/>
      <c r="S23" s="553" t="s">
        <v>431</v>
      </c>
      <c r="T23" s="554">
        <v>0</v>
      </c>
      <c r="U23" s="554">
        <v>0</v>
      </c>
      <c r="V23" s="554">
        <v>0</v>
      </c>
      <c r="W23" s="555"/>
    </row>
    <row r="24" spans="2:23" ht="16.2" thickBot="1">
      <c r="B24" s="543" t="s">
        <v>369</v>
      </c>
      <c r="C24" s="543" t="s">
        <v>377</v>
      </c>
      <c r="D24" s="543" t="s">
        <v>378</v>
      </c>
      <c r="E24" s="544" t="s">
        <v>370</v>
      </c>
      <c r="F24" s="104"/>
      <c r="G24" s="543" t="s">
        <v>369</v>
      </c>
      <c r="H24" s="543" t="s">
        <v>377</v>
      </c>
      <c r="I24" s="543" t="s">
        <v>378</v>
      </c>
      <c r="J24" s="544" t="s">
        <v>370</v>
      </c>
    </row>
    <row r="25" spans="2:23" ht="16.2" thickBot="1">
      <c r="B25" s="547" t="s">
        <v>335</v>
      </c>
      <c r="C25" s="548">
        <v>200</v>
      </c>
      <c r="D25" s="548">
        <v>15</v>
      </c>
      <c r="E25" s="549">
        <v>17.611300000000004</v>
      </c>
      <c r="F25" s="104"/>
      <c r="G25" s="547" t="s">
        <v>336</v>
      </c>
      <c r="H25" s="548">
        <v>200</v>
      </c>
      <c r="I25" s="548">
        <v>30</v>
      </c>
      <c r="J25" s="549">
        <v>17.913449999999997</v>
      </c>
    </row>
    <row r="26" spans="2:23" ht="18.600000000000001" thickBot="1">
      <c r="B26" s="550" t="s">
        <v>379</v>
      </c>
      <c r="C26" s="138">
        <v>250</v>
      </c>
      <c r="D26" s="138">
        <v>15</v>
      </c>
      <c r="E26" s="546">
        <v>19.039149999999999</v>
      </c>
      <c r="F26" s="104"/>
      <c r="G26" s="171" t="s">
        <v>380</v>
      </c>
      <c r="H26" s="104">
        <v>250</v>
      </c>
      <c r="I26" s="104">
        <v>30</v>
      </c>
      <c r="J26" s="539">
        <v>19.638199999999998</v>
      </c>
      <c r="M26" s="977" t="s">
        <v>170</v>
      </c>
      <c r="N26" s="978"/>
      <c r="O26" s="978"/>
      <c r="P26" s="978"/>
      <c r="Q26" s="979"/>
    </row>
    <row r="27" spans="2:23" ht="15.6">
      <c r="B27" s="535" t="s">
        <v>381</v>
      </c>
      <c r="C27" s="537">
        <v>275</v>
      </c>
      <c r="D27" s="537">
        <v>15</v>
      </c>
      <c r="E27" s="536">
        <v>20.101099999999999</v>
      </c>
      <c r="F27" s="104"/>
      <c r="G27" s="535" t="s">
        <v>382</v>
      </c>
      <c r="H27" s="537">
        <v>275</v>
      </c>
      <c r="I27" s="537">
        <v>30</v>
      </c>
      <c r="J27" s="536">
        <v>20.621400000000001</v>
      </c>
      <c r="M27" s="557" t="s">
        <v>29</v>
      </c>
      <c r="N27" s="558" t="s">
        <v>391</v>
      </c>
      <c r="O27" s="558" t="s">
        <v>392</v>
      </c>
      <c r="P27" s="558" t="s">
        <v>393</v>
      </c>
      <c r="Q27" s="559" t="s">
        <v>83</v>
      </c>
    </row>
    <row r="28" spans="2:23" ht="16.2" thickBot="1">
      <c r="B28" s="177" t="s">
        <v>383</v>
      </c>
      <c r="C28" s="178">
        <v>300</v>
      </c>
      <c r="D28" s="178">
        <v>15</v>
      </c>
      <c r="E28" s="541">
        <v>21.310500000000001</v>
      </c>
      <c r="F28" s="104"/>
      <c r="G28" s="177" t="s">
        <v>384</v>
      </c>
      <c r="H28" s="178">
        <v>300</v>
      </c>
      <c r="I28" s="178">
        <v>30</v>
      </c>
      <c r="J28" s="265"/>
      <c r="M28" s="38" t="s">
        <v>407</v>
      </c>
      <c r="N28" s="443">
        <v>1.0107999999999999</v>
      </c>
      <c r="O28" s="443">
        <v>0.22739999999999999</v>
      </c>
      <c r="P28" s="443">
        <v>18.075600000000001</v>
      </c>
      <c r="Q28" s="556">
        <f>AVERAGE(P28:P30)</f>
        <v>17.611300000000004</v>
      </c>
    </row>
    <row r="29" spans="2:23">
      <c r="M29" s="38" t="s">
        <v>408</v>
      </c>
      <c r="N29" s="443">
        <v>1.0248999999999999</v>
      </c>
      <c r="O29" s="443">
        <v>0.26939999999999997</v>
      </c>
      <c r="P29" s="443">
        <v>17.1386</v>
      </c>
      <c r="Q29" s="556"/>
    </row>
    <row r="30" spans="2:23">
      <c r="M30" s="38" t="s">
        <v>409</v>
      </c>
      <c r="N30" s="443">
        <v>1.0222</v>
      </c>
      <c r="O30" s="443">
        <v>0.22389999999999999</v>
      </c>
      <c r="P30" s="443">
        <v>17.619700000000002</v>
      </c>
      <c r="Q30" s="556"/>
    </row>
    <row r="31" spans="2:23" ht="15" thickBot="1">
      <c r="M31" s="38"/>
      <c r="N31" s="443"/>
      <c r="O31" s="443"/>
      <c r="P31" s="443"/>
      <c r="Q31" s="556"/>
    </row>
    <row r="32" spans="2:23" ht="16.2" thickBot="1">
      <c r="B32" s="543" t="s">
        <v>369</v>
      </c>
      <c r="C32" s="543" t="s">
        <v>377</v>
      </c>
      <c r="D32" s="543" t="s">
        <v>378</v>
      </c>
      <c r="E32" s="544" t="s">
        <v>370</v>
      </c>
      <c r="F32" s="443"/>
      <c r="G32" s="543" t="s">
        <v>369</v>
      </c>
      <c r="H32" s="543" t="s">
        <v>377</v>
      </c>
      <c r="I32" s="543" t="s">
        <v>378</v>
      </c>
      <c r="J32" s="544" t="s">
        <v>370</v>
      </c>
      <c r="M32" s="38" t="s">
        <v>410</v>
      </c>
      <c r="N32" s="443">
        <v>1.0278</v>
      </c>
      <c r="O32" s="443">
        <v>0.22700000000000001</v>
      </c>
      <c r="P32" s="443">
        <v>17.924199999999999</v>
      </c>
      <c r="Q32" s="556">
        <f>AVERAGE(P32:P33)</f>
        <v>17.913449999999997</v>
      </c>
    </row>
    <row r="33" spans="2:17" ht="15.6">
      <c r="B33" s="547" t="s">
        <v>337</v>
      </c>
      <c r="C33" s="548">
        <v>200</v>
      </c>
      <c r="D33" s="548">
        <v>15</v>
      </c>
      <c r="E33" s="549">
        <v>18.257449999999999</v>
      </c>
      <c r="F33" s="443"/>
      <c r="G33" s="547" t="s">
        <v>338</v>
      </c>
      <c r="H33" s="548">
        <v>200</v>
      </c>
      <c r="I33" s="548">
        <v>30</v>
      </c>
      <c r="J33" s="549">
        <v>18.297650000000001</v>
      </c>
      <c r="M33" s="38" t="s">
        <v>411</v>
      </c>
      <c r="N33" s="443">
        <v>1.0289999999999999</v>
      </c>
      <c r="O33" s="443">
        <v>0.2354</v>
      </c>
      <c r="P33" s="443">
        <v>17.902699999999999</v>
      </c>
      <c r="Q33" s="556"/>
    </row>
    <row r="34" spans="2:17" ht="15.6">
      <c r="B34" s="38" t="s">
        <v>385</v>
      </c>
      <c r="C34" s="443">
        <v>250</v>
      </c>
      <c r="D34" s="443">
        <v>15</v>
      </c>
      <c r="E34" s="539">
        <v>19.04025</v>
      </c>
      <c r="F34" s="443"/>
      <c r="G34" s="551" t="s">
        <v>386</v>
      </c>
      <c r="H34" s="552">
        <v>250</v>
      </c>
      <c r="I34" s="552">
        <v>30</v>
      </c>
      <c r="J34" s="546">
        <v>19.5885</v>
      </c>
      <c r="M34" s="38"/>
      <c r="N34" s="443"/>
      <c r="O34" s="443"/>
      <c r="P34" s="443"/>
      <c r="Q34" s="556"/>
    </row>
    <row r="35" spans="2:17" ht="15.6">
      <c r="B35" s="535" t="s">
        <v>387</v>
      </c>
      <c r="C35" s="537">
        <v>275</v>
      </c>
      <c r="D35" s="537">
        <v>15</v>
      </c>
      <c r="E35" s="536">
        <v>19.915500000000002</v>
      </c>
      <c r="F35" s="443"/>
      <c r="G35" s="535" t="s">
        <v>388</v>
      </c>
      <c r="H35" s="537">
        <v>275</v>
      </c>
      <c r="I35" s="537">
        <v>30</v>
      </c>
      <c r="J35" s="536">
        <v>20.721599999999999</v>
      </c>
      <c r="M35" s="38" t="s">
        <v>412</v>
      </c>
      <c r="N35" s="443">
        <v>1.0882000000000001</v>
      </c>
      <c r="O35" s="443">
        <v>0.23780000000000001</v>
      </c>
      <c r="P35" s="443">
        <v>19.032299999999999</v>
      </c>
      <c r="Q35" s="556">
        <f>AVERAGE(P35:P36)</f>
        <v>19.039149999999999</v>
      </c>
    </row>
    <row r="36" spans="2:17" ht="16.2" thickBot="1">
      <c r="B36" s="553" t="s">
        <v>389</v>
      </c>
      <c r="C36" s="554">
        <v>300</v>
      </c>
      <c r="D36" s="554">
        <v>15</v>
      </c>
      <c r="E36" s="541">
        <v>21.412600000000001</v>
      </c>
      <c r="F36" s="443"/>
      <c r="G36" s="553" t="s">
        <v>390</v>
      </c>
      <c r="H36" s="554">
        <v>300</v>
      </c>
      <c r="I36" s="554">
        <v>30</v>
      </c>
      <c r="J36" s="555"/>
      <c r="M36" s="38" t="s">
        <v>413</v>
      </c>
      <c r="N36" s="443">
        <v>1.0271999999999999</v>
      </c>
      <c r="O36" s="443">
        <v>0.2235</v>
      </c>
      <c r="P36" s="443">
        <v>19.045999999999999</v>
      </c>
      <c r="Q36" s="556"/>
    </row>
    <row r="37" spans="2:17">
      <c r="M37" s="38"/>
      <c r="N37" s="443"/>
      <c r="O37" s="443"/>
      <c r="P37" s="443"/>
      <c r="Q37" s="556"/>
    </row>
    <row r="38" spans="2:17">
      <c r="M38" s="38" t="s">
        <v>414</v>
      </c>
      <c r="N38" s="443">
        <v>1.0242</v>
      </c>
      <c r="O38" s="443">
        <v>0.21179999999999999</v>
      </c>
      <c r="P38" s="443">
        <v>19.657699999999998</v>
      </c>
      <c r="Q38" s="556">
        <f>AVERAGE(P38:P39)</f>
        <v>19.638199999999998</v>
      </c>
    </row>
    <row r="39" spans="2:17">
      <c r="M39" s="38" t="s">
        <v>415</v>
      </c>
      <c r="N39" s="443">
        <v>0.99990000000000001</v>
      </c>
      <c r="O39" s="443">
        <v>0.2079</v>
      </c>
      <c r="P39" s="443">
        <v>19.6187</v>
      </c>
      <c r="Q39" s="556"/>
    </row>
    <row r="40" spans="2:17">
      <c r="M40" s="38"/>
      <c r="N40" s="443"/>
      <c r="O40" s="443"/>
      <c r="P40" s="443"/>
      <c r="Q40" s="556"/>
    </row>
    <row r="41" spans="2:17">
      <c r="M41" s="38" t="s">
        <v>416</v>
      </c>
      <c r="N41" s="443">
        <v>1.0916999999999999</v>
      </c>
      <c r="O41" s="443">
        <v>0.2147</v>
      </c>
      <c r="P41" s="443">
        <v>20.101099999999999</v>
      </c>
      <c r="Q41" s="556"/>
    </row>
    <row r="42" spans="2:17">
      <c r="M42" s="38"/>
      <c r="N42" s="443"/>
      <c r="O42" s="443"/>
      <c r="P42" s="443"/>
      <c r="Q42" s="556"/>
    </row>
    <row r="43" spans="2:17">
      <c r="M43" s="38" t="s">
        <v>417</v>
      </c>
      <c r="N43" s="443">
        <v>1.028</v>
      </c>
      <c r="O43" s="443">
        <v>0.2049</v>
      </c>
      <c r="P43" s="443">
        <v>20.621400000000001</v>
      </c>
      <c r="Q43" s="556"/>
    </row>
    <row r="44" spans="2:17">
      <c r="M44" s="38"/>
      <c r="N44" s="443"/>
      <c r="O44" s="443"/>
      <c r="P44" s="443"/>
      <c r="Q44" s="556"/>
    </row>
    <row r="45" spans="2:17">
      <c r="M45" s="38" t="s">
        <v>418</v>
      </c>
      <c r="N45" s="443">
        <v>1.0550999999999999</v>
      </c>
      <c r="O45" s="443">
        <v>0.2089</v>
      </c>
      <c r="P45" s="443">
        <v>21.310500000000001</v>
      </c>
      <c r="Q45" s="556"/>
    </row>
    <row r="46" spans="2:17">
      <c r="M46" s="38"/>
      <c r="N46" s="443"/>
      <c r="O46" s="443"/>
      <c r="P46" s="443"/>
      <c r="Q46" s="556"/>
    </row>
    <row r="47" spans="2:17" ht="15" thickBot="1">
      <c r="M47" s="553" t="s">
        <v>419</v>
      </c>
      <c r="N47" s="554">
        <v>0</v>
      </c>
      <c r="O47" s="554">
        <v>0</v>
      </c>
      <c r="P47" s="554">
        <v>0</v>
      </c>
      <c r="Q47" s="555"/>
    </row>
    <row r="48" spans="2:17" ht="15" thickBot="1"/>
    <row r="49" spans="2:20" ht="24" thickBot="1">
      <c r="B49" s="982" t="s">
        <v>432</v>
      </c>
      <c r="C49" s="983"/>
      <c r="D49" s="983"/>
      <c r="E49" s="983"/>
      <c r="F49" s="983"/>
      <c r="G49" s="983"/>
      <c r="H49" s="983"/>
      <c r="I49" s="984"/>
    </row>
    <row r="50" spans="2:20" ht="21.6" thickBot="1">
      <c r="B50" s="985" t="s">
        <v>225</v>
      </c>
      <c r="C50" s="986"/>
      <c r="D50" s="986"/>
      <c r="E50" s="986"/>
      <c r="F50" s="986"/>
      <c r="G50" s="986"/>
      <c r="H50" s="986"/>
      <c r="I50" s="986"/>
      <c r="L50" s="963" t="s">
        <v>435</v>
      </c>
      <c r="M50" s="964"/>
      <c r="N50" s="964"/>
      <c r="O50" s="964"/>
      <c r="P50" s="964"/>
      <c r="Q50" s="964"/>
      <c r="R50" s="964"/>
      <c r="S50" s="964"/>
      <c r="T50" s="965"/>
    </row>
    <row r="51" spans="2:20" ht="15" thickBot="1">
      <c r="B51" s="560" t="s">
        <v>433</v>
      </c>
      <c r="C51" s="561" t="s">
        <v>7</v>
      </c>
      <c r="D51" s="561" t="s">
        <v>8</v>
      </c>
      <c r="E51" s="561" t="s">
        <v>9</v>
      </c>
      <c r="F51" s="561" t="s">
        <v>434</v>
      </c>
      <c r="G51" s="561" t="s">
        <v>3</v>
      </c>
      <c r="H51" s="562" t="s">
        <v>435</v>
      </c>
      <c r="I51" s="563" t="s">
        <v>436</v>
      </c>
      <c r="L51" s="577" t="s">
        <v>433</v>
      </c>
      <c r="M51" s="966" t="s">
        <v>450</v>
      </c>
      <c r="N51" s="966"/>
      <c r="O51" s="966" t="s">
        <v>225</v>
      </c>
      <c r="P51" s="966"/>
      <c r="Q51" s="966" t="s">
        <v>170</v>
      </c>
      <c r="R51" s="966"/>
      <c r="S51" s="966" t="s">
        <v>219</v>
      </c>
      <c r="T51" s="967"/>
    </row>
    <row r="52" spans="2:20">
      <c r="B52" s="564" t="s">
        <v>333</v>
      </c>
      <c r="C52" s="239">
        <v>19.0398</v>
      </c>
      <c r="D52" s="239">
        <v>4.1078999999999999</v>
      </c>
      <c r="E52" s="239">
        <v>23.0383</v>
      </c>
      <c r="F52" s="239">
        <f>E52-C52</f>
        <v>3.9984999999999999</v>
      </c>
      <c r="G52" s="239">
        <f>D52-F52</f>
        <v>0.10939999999999994</v>
      </c>
      <c r="H52" s="337">
        <f>G52/D52*100</f>
        <v>2.6631612259305228</v>
      </c>
      <c r="I52" s="976">
        <f>AVERAGE(H52:H54)</f>
        <v>2.3824148684371949</v>
      </c>
      <c r="L52" s="578">
        <v>1</v>
      </c>
      <c r="M52" s="957" t="s">
        <v>451</v>
      </c>
      <c r="N52" s="957"/>
      <c r="O52" s="957">
        <v>2.3824148684371949</v>
      </c>
      <c r="P52" s="957"/>
      <c r="Q52" s="957">
        <v>5.5957198009424225</v>
      </c>
      <c r="R52" s="957"/>
      <c r="S52" s="957">
        <v>4.2276647398895673</v>
      </c>
      <c r="T52" s="958"/>
    </row>
    <row r="53" spans="2:20" ht="15" thickBot="1">
      <c r="B53" s="565" t="s">
        <v>395</v>
      </c>
      <c r="C53" s="566">
        <v>17.8399</v>
      </c>
      <c r="D53" s="566">
        <v>2.1938</v>
      </c>
      <c r="E53" s="566">
        <v>19.984000000000002</v>
      </c>
      <c r="F53" s="566">
        <f t="shared" ref="F53:F67" si="2">E53-C53</f>
        <v>2.1441000000000017</v>
      </c>
      <c r="G53" s="566">
        <f t="shared" ref="G53:G67" si="3">D53-F53</f>
        <v>4.9699999999998301E-2</v>
      </c>
      <c r="H53" s="567">
        <f t="shared" ref="H53:H67" si="4">G53/D53*100</f>
        <v>2.2654754307593357</v>
      </c>
      <c r="I53" s="830"/>
      <c r="L53" s="578">
        <v>2</v>
      </c>
      <c r="M53" s="959" t="s">
        <v>452</v>
      </c>
      <c r="N53" s="959"/>
      <c r="O53" s="959">
        <v>2.2019243389062888</v>
      </c>
      <c r="P53" s="959"/>
      <c r="Q53" s="959">
        <v>5.0413295529085778</v>
      </c>
      <c r="R53" s="959"/>
      <c r="S53" s="959">
        <v>3.8355397668961011</v>
      </c>
      <c r="T53" s="960"/>
    </row>
    <row r="54" spans="2:20">
      <c r="B54" s="564" t="s">
        <v>334</v>
      </c>
      <c r="C54" s="239">
        <v>18.456099999999999</v>
      </c>
      <c r="D54" s="239">
        <v>2.3978999999999999</v>
      </c>
      <c r="E54" s="239">
        <v>20.800799999999999</v>
      </c>
      <c r="F54" s="239">
        <f t="shared" si="2"/>
        <v>2.3446999999999996</v>
      </c>
      <c r="G54" s="239">
        <f t="shared" si="3"/>
        <v>5.3200000000000358E-2</v>
      </c>
      <c r="H54" s="337">
        <f t="shared" si="4"/>
        <v>2.2186079486217256</v>
      </c>
      <c r="I54" s="976">
        <f t="shared" ref="I54" si="5">AVERAGE(H54:H56)</f>
        <v>2.2019243389062888</v>
      </c>
      <c r="L54" s="578">
        <v>3</v>
      </c>
      <c r="M54" s="957" t="s">
        <v>453</v>
      </c>
      <c r="N54" s="957"/>
      <c r="O54" s="957">
        <v>2.1472653977451919</v>
      </c>
      <c r="P54" s="957"/>
      <c r="Q54" s="957">
        <v>3.2268701070068033</v>
      </c>
      <c r="R54" s="957"/>
      <c r="S54" s="957">
        <v>3.6645387389891808</v>
      </c>
      <c r="T54" s="958"/>
    </row>
    <row r="55" spans="2:20" ht="15" thickBot="1">
      <c r="B55" s="565" t="s">
        <v>398</v>
      </c>
      <c r="C55" s="566">
        <v>17.602799999999998</v>
      </c>
      <c r="D55" s="566">
        <v>3.7431000000000001</v>
      </c>
      <c r="E55" s="566">
        <v>21.2651</v>
      </c>
      <c r="F55" s="566">
        <f t="shared" si="2"/>
        <v>3.6623000000000019</v>
      </c>
      <c r="G55" s="566">
        <f t="shared" si="3"/>
        <v>8.0799999999998207E-2</v>
      </c>
      <c r="H55" s="567">
        <f t="shared" si="4"/>
        <v>2.1586385616199997</v>
      </c>
      <c r="I55" s="830"/>
      <c r="L55" s="578">
        <v>4</v>
      </c>
      <c r="M55" s="959" t="s">
        <v>454</v>
      </c>
      <c r="N55" s="959"/>
      <c r="O55" s="959">
        <v>2.1979944340526347</v>
      </c>
      <c r="P55" s="959"/>
      <c r="Q55" s="959">
        <v>2.9906121695392378</v>
      </c>
      <c r="R55" s="959"/>
      <c r="S55" s="959">
        <v>3.095202123470381</v>
      </c>
      <c r="T55" s="960"/>
    </row>
    <row r="56" spans="2:20">
      <c r="B56" s="564" t="s">
        <v>371</v>
      </c>
      <c r="C56" s="239">
        <v>17.269100000000002</v>
      </c>
      <c r="D56" s="239">
        <v>2.9257</v>
      </c>
      <c r="E56" s="239">
        <v>20.1296</v>
      </c>
      <c r="F56" s="239">
        <f t="shared" si="2"/>
        <v>2.8604999999999983</v>
      </c>
      <c r="G56" s="239">
        <f t="shared" si="3"/>
        <v>6.5200000000001701E-2</v>
      </c>
      <c r="H56" s="337">
        <f t="shared" si="4"/>
        <v>2.2285265064771407</v>
      </c>
      <c r="I56" s="976">
        <f t="shared" ref="I56" si="6">AVERAGE(H56:H58)</f>
        <v>2.1472653977451919</v>
      </c>
      <c r="L56" s="578">
        <v>7</v>
      </c>
      <c r="M56" s="957" t="s">
        <v>455</v>
      </c>
      <c r="N56" s="957"/>
      <c r="O56" s="957">
        <v>2.6501709082776341</v>
      </c>
      <c r="P56" s="957"/>
      <c r="Q56" s="957">
        <v>2.6124350309507949</v>
      </c>
      <c r="R56" s="957"/>
      <c r="S56" s="957">
        <v>2.4948380281884734</v>
      </c>
      <c r="T56" s="958"/>
    </row>
    <row r="57" spans="2:20" ht="15" thickBot="1">
      <c r="B57" s="565" t="s">
        <v>400</v>
      </c>
      <c r="C57" s="566">
        <v>18.893599999999999</v>
      </c>
      <c r="D57" s="566">
        <v>2.8338999999999999</v>
      </c>
      <c r="E57" s="566">
        <v>21.6648</v>
      </c>
      <c r="F57" s="566">
        <f t="shared" si="2"/>
        <v>2.7712000000000003</v>
      </c>
      <c r="G57" s="566">
        <f t="shared" si="3"/>
        <v>6.2699999999999534E-2</v>
      </c>
      <c r="H57" s="567">
        <f t="shared" si="4"/>
        <v>2.2124986767352248</v>
      </c>
      <c r="I57" s="830"/>
      <c r="L57" s="578">
        <v>8</v>
      </c>
      <c r="M57" s="959" t="s">
        <v>456</v>
      </c>
      <c r="N57" s="959"/>
      <c r="O57" s="959">
        <v>2.8883758175282144</v>
      </c>
      <c r="P57" s="959"/>
      <c r="Q57" s="959">
        <v>3.3210140953198142</v>
      </c>
      <c r="R57" s="959"/>
      <c r="S57" s="959">
        <v>2.705312070736019</v>
      </c>
      <c r="T57" s="960"/>
    </row>
    <row r="58" spans="2:20">
      <c r="B58" s="564" t="s">
        <v>372</v>
      </c>
      <c r="C58" s="239">
        <v>18.909300000000002</v>
      </c>
      <c r="D58" s="239">
        <v>2.5939999999999999</v>
      </c>
      <c r="E58" s="239">
        <v>21.4514</v>
      </c>
      <c r="F58" s="239">
        <f t="shared" si="2"/>
        <v>2.5420999999999978</v>
      </c>
      <c r="G58" s="239">
        <f t="shared" si="3"/>
        <v>5.1900000000002056E-2</v>
      </c>
      <c r="H58" s="337">
        <f t="shared" si="4"/>
        <v>2.0007710100232097</v>
      </c>
      <c r="I58" s="976">
        <f t="shared" ref="I58" si="7">AVERAGE(H58:H60)</f>
        <v>2.1979944340526347</v>
      </c>
      <c r="L58" s="578">
        <v>5</v>
      </c>
      <c r="M58" s="957" t="s">
        <v>457</v>
      </c>
      <c r="N58" s="957"/>
      <c r="O58" s="957">
        <v>3.6089138242347261</v>
      </c>
      <c r="P58" s="957"/>
      <c r="Q58" s="957">
        <v>3.9067575028621109</v>
      </c>
      <c r="R58" s="957"/>
      <c r="S58" s="957">
        <v>2.5503476384559178</v>
      </c>
      <c r="T58" s="958"/>
    </row>
    <row r="59" spans="2:20" ht="15" thickBot="1">
      <c r="B59" s="565" t="s">
        <v>402</v>
      </c>
      <c r="C59" s="566">
        <v>18.1325</v>
      </c>
      <c r="D59" s="566">
        <v>2.7349999999999999</v>
      </c>
      <c r="E59" s="566">
        <v>20.817399999999999</v>
      </c>
      <c r="F59" s="566">
        <f t="shared" si="2"/>
        <v>2.684899999999999</v>
      </c>
      <c r="G59" s="566">
        <f t="shared" si="3"/>
        <v>5.0100000000000922E-2</v>
      </c>
      <c r="H59" s="567">
        <f t="shared" si="4"/>
        <v>1.8318098720292841</v>
      </c>
      <c r="I59" s="830"/>
      <c r="L59" s="574">
        <v>6</v>
      </c>
      <c r="M59" s="961" t="s">
        <v>458</v>
      </c>
      <c r="N59" s="961"/>
      <c r="O59" s="961">
        <v>4.0891344163296841</v>
      </c>
      <c r="P59" s="961"/>
      <c r="Q59" s="961">
        <v>4.0641782138831495</v>
      </c>
      <c r="R59" s="961"/>
      <c r="S59" s="961">
        <v>2.302</v>
      </c>
      <c r="T59" s="962"/>
    </row>
    <row r="60" spans="2:20">
      <c r="B60" s="564" t="s">
        <v>373</v>
      </c>
      <c r="C60" s="239">
        <v>18.105699999999999</v>
      </c>
      <c r="D60" s="239">
        <v>2.9007000000000001</v>
      </c>
      <c r="E60" s="239">
        <v>20.926300000000001</v>
      </c>
      <c r="F60" s="239">
        <f t="shared" si="2"/>
        <v>2.8206000000000024</v>
      </c>
      <c r="G60" s="239">
        <f t="shared" si="3"/>
        <v>8.0099999999997618E-2</v>
      </c>
      <c r="H60" s="337">
        <f t="shared" si="4"/>
        <v>2.7614024201054095</v>
      </c>
      <c r="I60" s="976">
        <f t="shared" ref="I60" si="8">AVERAGE(H60:H62)</f>
        <v>2.6501709082776341</v>
      </c>
    </row>
    <row r="61" spans="2:20" ht="15" thickBot="1">
      <c r="B61" s="565" t="s">
        <v>437</v>
      </c>
      <c r="C61" s="566">
        <v>18.131399999999999</v>
      </c>
      <c r="D61" s="566">
        <v>2.0562</v>
      </c>
      <c r="E61" s="566">
        <v>20.142600000000002</v>
      </c>
      <c r="F61" s="566">
        <f t="shared" si="2"/>
        <v>2.0112000000000023</v>
      </c>
      <c r="G61" s="566">
        <f t="shared" si="3"/>
        <v>4.4999999999997708E-2</v>
      </c>
      <c r="H61" s="567">
        <f t="shared" si="4"/>
        <v>2.1885030639041783</v>
      </c>
      <c r="I61" s="830"/>
    </row>
    <row r="62" spans="2:20">
      <c r="B62" s="564" t="s">
        <v>374</v>
      </c>
      <c r="C62" s="239">
        <v>19.031099999999999</v>
      </c>
      <c r="D62" s="239">
        <v>4.7756999999999996</v>
      </c>
      <c r="E62" s="239">
        <v>23.663499999999999</v>
      </c>
      <c r="F62" s="239">
        <f t="shared" si="2"/>
        <v>4.6324000000000005</v>
      </c>
      <c r="G62" s="239">
        <f t="shared" si="3"/>
        <v>0.14329999999999909</v>
      </c>
      <c r="H62" s="337">
        <f t="shared" si="4"/>
        <v>3.000607240823316</v>
      </c>
      <c r="I62" s="976">
        <f t="shared" ref="I62" si="9">AVERAGE(H62:H64)</f>
        <v>2.8883758175282144</v>
      </c>
    </row>
    <row r="63" spans="2:20" ht="15" thickBot="1">
      <c r="B63" s="565" t="s">
        <v>438</v>
      </c>
      <c r="C63" s="566">
        <v>17.820599999999999</v>
      </c>
      <c r="D63" s="566">
        <v>2.371</v>
      </c>
      <c r="E63" s="566">
        <v>20.131900000000002</v>
      </c>
      <c r="F63" s="566">
        <f t="shared" si="2"/>
        <v>2.3113000000000028</v>
      </c>
      <c r="G63" s="566">
        <f t="shared" si="3"/>
        <v>5.96999999999972E-2</v>
      </c>
      <c r="H63" s="567">
        <f t="shared" si="4"/>
        <v>2.5179249261913625</v>
      </c>
      <c r="I63" s="830"/>
    </row>
    <row r="64" spans="2:20">
      <c r="B64" s="564" t="s">
        <v>375</v>
      </c>
      <c r="C64" s="239">
        <v>12.457700000000001</v>
      </c>
      <c r="D64" s="239">
        <v>3.6610999999999998</v>
      </c>
      <c r="E64" s="239">
        <v>16.003599999999999</v>
      </c>
      <c r="F64" s="239">
        <f t="shared" si="2"/>
        <v>3.5458999999999978</v>
      </c>
      <c r="G64" s="239">
        <f t="shared" si="3"/>
        <v>0.11520000000000197</v>
      </c>
      <c r="H64" s="337">
        <f t="shared" si="4"/>
        <v>3.146595285569965</v>
      </c>
      <c r="I64" s="976">
        <f t="shared" ref="I64" si="10">AVERAGE(H64:H66)</f>
        <v>3.6089138242347261</v>
      </c>
    </row>
    <row r="65" spans="2:9" ht="15" thickBot="1">
      <c r="B65" s="565" t="s">
        <v>439</v>
      </c>
      <c r="C65" s="566">
        <v>18.899899999999999</v>
      </c>
      <c r="D65" s="566">
        <v>4.6474000000000002</v>
      </c>
      <c r="E65" s="566">
        <v>23.3919</v>
      </c>
      <c r="F65" s="566">
        <f t="shared" si="2"/>
        <v>4.4920000000000009</v>
      </c>
      <c r="G65" s="566">
        <f t="shared" si="3"/>
        <v>0.15539999999999932</v>
      </c>
      <c r="H65" s="567">
        <f t="shared" si="4"/>
        <v>3.3438051383569158</v>
      </c>
      <c r="I65" s="830"/>
    </row>
    <row r="66" spans="2:9">
      <c r="B66" s="568" t="s">
        <v>376</v>
      </c>
      <c r="C66" s="132">
        <v>10.695600000000001</v>
      </c>
      <c r="D66" s="132">
        <v>3.8235000000000001</v>
      </c>
      <c r="E66" s="132">
        <v>14.353300000000001</v>
      </c>
      <c r="F66" s="132">
        <f t="shared" si="2"/>
        <v>3.6577000000000002</v>
      </c>
      <c r="G66" s="132">
        <f t="shared" si="3"/>
        <v>0.16579999999999995</v>
      </c>
      <c r="H66" s="107">
        <f t="shared" si="4"/>
        <v>4.3363410487772969</v>
      </c>
      <c r="I66" s="771">
        <f t="shared" ref="I66" si="11">AVERAGE(H66:H68)</f>
        <v>4.0891344163296841</v>
      </c>
    </row>
    <row r="67" spans="2:9" ht="15" thickBot="1">
      <c r="B67" s="565" t="s">
        <v>440</v>
      </c>
      <c r="C67" s="566">
        <v>17.903500000000001</v>
      </c>
      <c r="D67" s="566">
        <v>2.6393</v>
      </c>
      <c r="E67" s="566">
        <v>20.441400000000002</v>
      </c>
      <c r="F67" s="566">
        <f t="shared" si="2"/>
        <v>2.5379000000000005</v>
      </c>
      <c r="G67" s="566">
        <f t="shared" si="3"/>
        <v>0.10139999999999949</v>
      </c>
      <c r="H67" s="567">
        <f t="shared" si="4"/>
        <v>3.8419277838820709</v>
      </c>
      <c r="I67" s="830"/>
    </row>
    <row r="69" spans="2:9" ht="15" thickBot="1"/>
    <row r="70" spans="2:9" ht="21.6" thickBot="1">
      <c r="B70" s="972" t="s">
        <v>170</v>
      </c>
      <c r="C70" s="973"/>
      <c r="D70" s="973"/>
      <c r="E70" s="973"/>
      <c r="F70" s="973"/>
      <c r="G70" s="973"/>
      <c r="H70" s="973"/>
      <c r="I70" s="974"/>
    </row>
    <row r="71" spans="2:9" ht="15" thickBot="1">
      <c r="B71" s="569" t="s">
        <v>433</v>
      </c>
      <c r="C71" s="570" t="s">
        <v>7</v>
      </c>
      <c r="D71" s="570" t="s">
        <v>8</v>
      </c>
      <c r="E71" s="570" t="s">
        <v>9</v>
      </c>
      <c r="F71" s="570" t="s">
        <v>434</v>
      </c>
      <c r="G71" s="570" t="s">
        <v>3</v>
      </c>
      <c r="H71" s="570" t="s">
        <v>435</v>
      </c>
      <c r="I71" s="571" t="s">
        <v>436</v>
      </c>
    </row>
    <row r="72" spans="2:9">
      <c r="B72" s="572" t="s">
        <v>335</v>
      </c>
      <c r="C72" s="573">
        <v>20.373000000000001</v>
      </c>
      <c r="D72" s="573">
        <v>3.5903999999999998</v>
      </c>
      <c r="E72" s="573">
        <v>23.769500000000001</v>
      </c>
      <c r="F72" s="573">
        <f>E72-C72</f>
        <v>3.3964999999999996</v>
      </c>
      <c r="G72" s="573">
        <f>D72-F72</f>
        <v>0.19390000000000018</v>
      </c>
      <c r="H72" s="573">
        <f>G72/D72*100</f>
        <v>5.4005124777183653</v>
      </c>
      <c r="I72" s="975">
        <f>AVERAGE(H72:H74)</f>
        <v>5.5957198009424225</v>
      </c>
    </row>
    <row r="73" spans="2:9" ht="15" thickBot="1">
      <c r="B73" s="574" t="s">
        <v>408</v>
      </c>
      <c r="C73" s="575">
        <v>19.031199999999998</v>
      </c>
      <c r="D73" s="575">
        <v>3.9355000000000002</v>
      </c>
      <c r="E73" s="575">
        <v>22.7532</v>
      </c>
      <c r="F73" s="575">
        <f t="shared" ref="F73:F86" si="12">E73-C73</f>
        <v>3.7220000000000013</v>
      </c>
      <c r="G73" s="575">
        <f t="shared" ref="G73:G86" si="13">D73-F73</f>
        <v>0.21349999999999891</v>
      </c>
      <c r="H73" s="575">
        <f t="shared" ref="H73:H86" si="14">G73/D73*100</f>
        <v>5.4249777664845356</v>
      </c>
      <c r="I73" s="971"/>
    </row>
    <row r="74" spans="2:9">
      <c r="B74" s="572" t="s">
        <v>336</v>
      </c>
      <c r="C74" s="573">
        <v>18.105899999999998</v>
      </c>
      <c r="D74" s="573">
        <v>3.6785000000000001</v>
      </c>
      <c r="E74" s="573">
        <v>21.565100000000001</v>
      </c>
      <c r="F74" s="573">
        <f t="shared" si="12"/>
        <v>3.4592000000000027</v>
      </c>
      <c r="G74" s="573">
        <f t="shared" si="13"/>
        <v>0.21929999999999739</v>
      </c>
      <c r="H74" s="573">
        <f t="shared" si="14"/>
        <v>5.9616691586243675</v>
      </c>
      <c r="I74" s="975">
        <f t="shared" ref="I74" si="15">AVERAGE(H74:H76)</f>
        <v>5.0413295529085778</v>
      </c>
    </row>
    <row r="75" spans="2:9" ht="15" thickBot="1">
      <c r="B75" s="574" t="s">
        <v>411</v>
      </c>
      <c r="C75" s="575">
        <v>17.751999999999999</v>
      </c>
      <c r="D75" s="575">
        <v>3.0638000000000001</v>
      </c>
      <c r="E75" s="575">
        <v>20.6326</v>
      </c>
      <c r="F75" s="575">
        <f t="shared" si="12"/>
        <v>2.8806000000000012</v>
      </c>
      <c r="G75" s="575">
        <f t="shared" si="13"/>
        <v>0.18319999999999892</v>
      </c>
      <c r="H75" s="575">
        <f t="shared" si="14"/>
        <v>5.9795025784972555</v>
      </c>
      <c r="I75" s="971"/>
    </row>
    <row r="76" spans="2:9">
      <c r="B76" s="572" t="s">
        <v>379</v>
      </c>
      <c r="C76" s="573">
        <v>18.308399999999999</v>
      </c>
      <c r="D76" s="573">
        <v>2.3711700000000002</v>
      </c>
      <c r="E76" s="573">
        <v>20.604099999999999</v>
      </c>
      <c r="F76" s="573">
        <f t="shared" si="12"/>
        <v>2.2957000000000001</v>
      </c>
      <c r="G76" s="573">
        <f t="shared" si="13"/>
        <v>7.5470000000000148E-2</v>
      </c>
      <c r="H76" s="573">
        <f t="shared" si="14"/>
        <v>3.1828169216041085</v>
      </c>
      <c r="I76" s="975">
        <f t="shared" ref="I76" si="16">AVERAGE(H76:H78)</f>
        <v>3.2268701070068033</v>
      </c>
    </row>
    <row r="77" spans="2:9" ht="15" thickBot="1">
      <c r="B77" s="574" t="s">
        <v>413</v>
      </c>
      <c r="C77" s="575">
        <v>17.7791</v>
      </c>
      <c r="D77" s="575">
        <v>2.1446000000000001</v>
      </c>
      <c r="E77" s="575">
        <v>19.852399999999999</v>
      </c>
      <c r="F77" s="575">
        <f t="shared" si="12"/>
        <v>2.0732999999999997</v>
      </c>
      <c r="G77" s="575">
        <f t="shared" si="13"/>
        <v>7.1300000000000363E-2</v>
      </c>
      <c r="H77" s="575">
        <f t="shared" si="14"/>
        <v>3.3246293015014623</v>
      </c>
      <c r="I77" s="971"/>
    </row>
    <row r="78" spans="2:9">
      <c r="B78" s="572" t="s">
        <v>380</v>
      </c>
      <c r="C78" s="573">
        <v>18.869700000000002</v>
      </c>
      <c r="D78" s="573">
        <v>2.7574999999999998</v>
      </c>
      <c r="E78" s="573">
        <v>21.5397</v>
      </c>
      <c r="F78" s="573">
        <f t="shared" si="12"/>
        <v>2.6699999999999982</v>
      </c>
      <c r="G78" s="573">
        <f t="shared" si="13"/>
        <v>8.7500000000001688E-2</v>
      </c>
      <c r="H78" s="573">
        <f t="shared" si="14"/>
        <v>3.1731640979148392</v>
      </c>
      <c r="I78" s="975">
        <f t="shared" ref="I78" si="17">AVERAGE(H78:H80)</f>
        <v>2.9906121695392378</v>
      </c>
    </row>
    <row r="79" spans="2:9" ht="15" thickBot="1">
      <c r="B79" s="574" t="s">
        <v>415</v>
      </c>
      <c r="C79" s="575">
        <v>18.822199999999999</v>
      </c>
      <c r="D79" s="575">
        <v>1.9468000000000001</v>
      </c>
      <c r="E79" s="575">
        <v>20.707599999999999</v>
      </c>
      <c r="F79" s="575">
        <f t="shared" si="12"/>
        <v>1.8854000000000006</v>
      </c>
      <c r="G79" s="575">
        <f t="shared" si="13"/>
        <v>6.1399999999999455E-2</v>
      </c>
      <c r="H79" s="575">
        <f t="shared" si="14"/>
        <v>3.1538935689336065</v>
      </c>
      <c r="I79" s="971"/>
    </row>
    <row r="80" spans="2:9">
      <c r="B80" s="572" t="s">
        <v>381</v>
      </c>
      <c r="C80" s="573">
        <v>18.750800000000002</v>
      </c>
      <c r="D80" s="573">
        <v>3.9474</v>
      </c>
      <c r="E80" s="573">
        <v>22.593800000000002</v>
      </c>
      <c r="F80" s="573">
        <f t="shared" si="12"/>
        <v>3.843</v>
      </c>
      <c r="G80" s="573">
        <f t="shared" si="13"/>
        <v>0.10440000000000005</v>
      </c>
      <c r="H80" s="573">
        <f t="shared" si="14"/>
        <v>2.6447788417692673</v>
      </c>
      <c r="I80" s="975">
        <f t="shared" ref="I80" si="18">AVERAGE(H80:H82)</f>
        <v>2.6124350309507949</v>
      </c>
    </row>
    <row r="81" spans="2:20" ht="15" thickBot="1">
      <c r="B81" s="574" t="s">
        <v>441</v>
      </c>
      <c r="C81" s="575">
        <v>14.2537</v>
      </c>
      <c r="D81" s="575">
        <v>3.2698</v>
      </c>
      <c r="E81" s="575">
        <v>17.4483</v>
      </c>
      <c r="F81" s="575">
        <f t="shared" si="12"/>
        <v>3.1945999999999994</v>
      </c>
      <c r="G81" s="575">
        <f t="shared" si="13"/>
        <v>7.52000000000006E-2</v>
      </c>
      <c r="H81" s="575">
        <f t="shared" si="14"/>
        <v>2.2998348522845617</v>
      </c>
      <c r="I81" s="971"/>
    </row>
    <row r="82" spans="2:20">
      <c r="B82" s="572" t="s">
        <v>382</v>
      </c>
      <c r="C82" s="573">
        <v>18.2651</v>
      </c>
      <c r="D82" s="573">
        <v>3.5123000000000002</v>
      </c>
      <c r="E82" s="573">
        <v>21.675799999999999</v>
      </c>
      <c r="F82" s="573">
        <f t="shared" si="12"/>
        <v>3.4106999999999985</v>
      </c>
      <c r="G82" s="573">
        <f t="shared" si="13"/>
        <v>0.10160000000000169</v>
      </c>
      <c r="H82" s="573">
        <f t="shared" si="14"/>
        <v>2.8926913987985561</v>
      </c>
      <c r="I82" s="975">
        <f t="shared" ref="I82" si="19">AVERAGE(H82:H84)</f>
        <v>3.3210140953198142</v>
      </c>
    </row>
    <row r="83" spans="2:20" ht="15" thickBot="1">
      <c r="B83" s="574" t="s">
        <v>442</v>
      </c>
      <c r="C83" s="575" t="s">
        <v>108</v>
      </c>
      <c r="D83" s="575" t="s">
        <v>108</v>
      </c>
      <c r="E83" s="575" t="s">
        <v>108</v>
      </c>
      <c r="F83" s="575" t="s">
        <v>108</v>
      </c>
      <c r="G83" s="575" t="s">
        <v>108</v>
      </c>
      <c r="H83" s="575" t="s">
        <v>108</v>
      </c>
      <c r="I83" s="971"/>
    </row>
    <row r="84" spans="2:20" ht="15" thickBot="1">
      <c r="B84" s="572" t="s">
        <v>383</v>
      </c>
      <c r="C84" s="573">
        <v>18.283100000000001</v>
      </c>
      <c r="D84" s="573">
        <v>3.3925999999999998</v>
      </c>
      <c r="E84" s="573">
        <v>21.548500000000001</v>
      </c>
      <c r="F84" s="573">
        <f t="shared" si="12"/>
        <v>3.2653999999999996</v>
      </c>
      <c r="G84" s="573">
        <f t="shared" si="13"/>
        <v>0.1272000000000002</v>
      </c>
      <c r="H84" s="573">
        <f t="shared" si="14"/>
        <v>3.7493367918410723</v>
      </c>
      <c r="I84" s="975">
        <f t="shared" ref="I84" si="20">AVERAGE(H84:H86)</f>
        <v>3.9067575028621109</v>
      </c>
    </row>
    <row r="85" spans="2:20" ht="16.2" thickBot="1">
      <c r="B85" s="574" t="s">
        <v>443</v>
      </c>
      <c r="C85" s="575" t="s">
        <v>108</v>
      </c>
      <c r="D85" s="575" t="s">
        <v>108</v>
      </c>
      <c r="E85" s="575" t="s">
        <v>108</v>
      </c>
      <c r="F85" s="575" t="s">
        <v>108</v>
      </c>
      <c r="G85" s="575" t="s">
        <v>108</v>
      </c>
      <c r="H85" s="575" t="s">
        <v>108</v>
      </c>
      <c r="I85" s="971"/>
      <c r="L85" s="782" t="s">
        <v>459</v>
      </c>
      <c r="M85" s="783"/>
      <c r="N85" s="783"/>
      <c r="O85" s="783"/>
      <c r="P85" s="783"/>
      <c r="Q85" s="783"/>
      <c r="R85" s="783"/>
      <c r="S85" s="783"/>
      <c r="T85" s="784"/>
    </row>
    <row r="86" spans="2:20">
      <c r="B86" s="576" t="s">
        <v>384</v>
      </c>
      <c r="C86" s="47">
        <v>17.4772</v>
      </c>
      <c r="D86" s="47">
        <v>4.5248999999999997</v>
      </c>
      <c r="E86" s="47">
        <v>21.818200000000001</v>
      </c>
      <c r="F86" s="47">
        <f t="shared" si="12"/>
        <v>4.3410000000000011</v>
      </c>
      <c r="G86" s="47">
        <f t="shared" si="13"/>
        <v>0.18389999999999862</v>
      </c>
      <c r="H86" s="47">
        <f t="shared" si="14"/>
        <v>4.0641782138831495</v>
      </c>
      <c r="I86" s="833">
        <f t="shared" ref="I86" si="21">AVERAGE(H86:H88)</f>
        <v>4.0641782138831495</v>
      </c>
      <c r="L86" s="577" t="s">
        <v>433</v>
      </c>
      <c r="M86" s="579">
        <v>1</v>
      </c>
      <c r="N86" s="579">
        <v>2</v>
      </c>
      <c r="O86" s="579">
        <v>3</v>
      </c>
      <c r="P86" s="579">
        <v>4</v>
      </c>
      <c r="Q86" s="579">
        <v>7</v>
      </c>
      <c r="R86" s="579">
        <v>8</v>
      </c>
      <c r="S86" s="579">
        <v>5</v>
      </c>
      <c r="T86" s="580">
        <v>6</v>
      </c>
    </row>
    <row r="87" spans="2:20" ht="15" thickBot="1">
      <c r="B87" s="574" t="s">
        <v>444</v>
      </c>
      <c r="C87" s="575" t="s">
        <v>108</v>
      </c>
      <c r="D87" s="575" t="s">
        <v>108</v>
      </c>
      <c r="E87" s="575" t="s">
        <v>108</v>
      </c>
      <c r="F87" s="575" t="s">
        <v>108</v>
      </c>
      <c r="G87" s="575" t="s">
        <v>108</v>
      </c>
      <c r="H87" s="575" t="s">
        <v>108</v>
      </c>
      <c r="I87" s="971"/>
      <c r="L87" s="581" t="s">
        <v>225</v>
      </c>
      <c r="M87" s="165">
        <v>2.3824148684371949</v>
      </c>
      <c r="N87" s="165">
        <v>2.2019243389062888</v>
      </c>
      <c r="O87" s="165">
        <v>2.1472653977451919</v>
      </c>
      <c r="P87" s="165">
        <v>2.1979944340526347</v>
      </c>
      <c r="Q87" s="165">
        <v>2.6501709082776341</v>
      </c>
      <c r="R87" s="165">
        <v>2.8883758175282144</v>
      </c>
      <c r="S87" s="165">
        <v>3.6089138242347261</v>
      </c>
      <c r="T87" s="242">
        <v>4.0891344163296841</v>
      </c>
    </row>
    <row r="88" spans="2:20">
      <c r="L88" s="581" t="s">
        <v>170</v>
      </c>
      <c r="M88" s="402">
        <v>5.5957198009424225</v>
      </c>
      <c r="N88" s="402">
        <v>5.0413295529085778</v>
      </c>
      <c r="O88" s="402">
        <v>3.2268701070068033</v>
      </c>
      <c r="P88" s="402">
        <v>2.9906121695392378</v>
      </c>
      <c r="Q88" s="402">
        <v>2.6124350309507949</v>
      </c>
      <c r="R88" s="402">
        <v>3.3210140953198142</v>
      </c>
      <c r="S88" s="402">
        <v>3.9067575028621109</v>
      </c>
      <c r="T88" s="583">
        <v>4.0641782138831495</v>
      </c>
    </row>
    <row r="89" spans="2:20" ht="15" thickBot="1">
      <c r="L89" s="582" t="s">
        <v>219</v>
      </c>
      <c r="M89" s="487">
        <v>4.2276647398895673</v>
      </c>
      <c r="N89" s="487">
        <v>3.8355397668961011</v>
      </c>
      <c r="O89" s="487">
        <v>3.6645387389891808</v>
      </c>
      <c r="P89" s="487">
        <v>3.095202123470381</v>
      </c>
      <c r="Q89" s="487">
        <v>2.4948380281884734</v>
      </c>
      <c r="R89" s="487">
        <v>2.705312070736019</v>
      </c>
      <c r="S89" s="487">
        <v>2.5503476384559178</v>
      </c>
      <c r="T89" s="490">
        <v>2.302</v>
      </c>
    </row>
    <row r="90" spans="2:20" ht="21.6" thickBot="1">
      <c r="B90" s="972" t="s">
        <v>219</v>
      </c>
      <c r="C90" s="973"/>
      <c r="D90" s="973"/>
      <c r="E90" s="973"/>
      <c r="F90" s="973"/>
      <c r="G90" s="973"/>
      <c r="H90" s="973"/>
      <c r="I90" s="974"/>
    </row>
    <row r="91" spans="2:20" ht="15" thickBot="1">
      <c r="B91" s="569" t="s">
        <v>433</v>
      </c>
      <c r="C91" s="570" t="s">
        <v>7</v>
      </c>
      <c r="D91" s="570" t="s">
        <v>8</v>
      </c>
      <c r="E91" s="570" t="s">
        <v>9</v>
      </c>
      <c r="F91" s="570" t="s">
        <v>434</v>
      </c>
      <c r="G91" s="570" t="s">
        <v>3</v>
      </c>
      <c r="H91" s="570" t="s">
        <v>435</v>
      </c>
      <c r="I91" s="571" t="s">
        <v>436</v>
      </c>
      <c r="L91" s="848" t="s">
        <v>490</v>
      </c>
      <c r="M91" s="848"/>
      <c r="N91" s="848"/>
      <c r="O91" s="848"/>
      <c r="P91" s="848"/>
      <c r="Q91" s="848"/>
      <c r="R91" s="848"/>
      <c r="S91" s="848"/>
      <c r="T91" s="848"/>
    </row>
    <row r="92" spans="2:20">
      <c r="B92" s="572" t="s">
        <v>337</v>
      </c>
      <c r="C92" s="573">
        <v>19.4422</v>
      </c>
      <c r="D92" s="573">
        <v>3.4140000000000001</v>
      </c>
      <c r="E92" s="573">
        <v>22.701899999999998</v>
      </c>
      <c r="F92" s="573">
        <f>E92-C92</f>
        <v>3.2596999999999987</v>
      </c>
      <c r="G92" s="573">
        <f>D92-F92</f>
        <v>0.15430000000000144</v>
      </c>
      <c r="H92" s="573">
        <f>G92/D92*100</f>
        <v>4.5196250732279273</v>
      </c>
      <c r="I92" s="975">
        <f>AVERAGE(H92:H94)</f>
        <v>4.2276647398895673</v>
      </c>
      <c r="L92" s="848"/>
      <c r="M92" s="848"/>
      <c r="N92" s="848"/>
      <c r="O92" s="848"/>
      <c r="P92" s="848"/>
      <c r="Q92" s="848"/>
      <c r="R92" s="848"/>
      <c r="S92" s="848"/>
      <c r="T92" s="848"/>
    </row>
    <row r="93" spans="2:20" ht="15" thickBot="1">
      <c r="B93" s="574" t="s">
        <v>421</v>
      </c>
      <c r="C93" s="575">
        <v>18.418099999999999</v>
      </c>
      <c r="D93" s="575">
        <v>4.0297000000000001</v>
      </c>
      <c r="E93" s="575">
        <v>22.2758</v>
      </c>
      <c r="F93" s="575">
        <f t="shared" ref="F93:F104" si="22">E93-C93</f>
        <v>3.8577000000000012</v>
      </c>
      <c r="G93" s="575">
        <f t="shared" ref="G93:G104" si="23">D93-F93</f>
        <v>0.17199999999999882</v>
      </c>
      <c r="H93" s="575">
        <f t="shared" ref="H93:H104" si="24">G93/D93*100</f>
        <v>4.2683078144774758</v>
      </c>
      <c r="I93" s="971"/>
      <c r="L93" s="848"/>
      <c r="M93" s="848"/>
      <c r="N93" s="848"/>
      <c r="O93" s="848"/>
      <c r="P93" s="848"/>
      <c r="Q93" s="848"/>
      <c r="R93" s="848"/>
      <c r="S93" s="848"/>
      <c r="T93" s="848"/>
    </row>
    <row r="94" spans="2:20">
      <c r="B94" s="572" t="s">
        <v>338</v>
      </c>
      <c r="C94" s="573">
        <v>18.075500000000002</v>
      </c>
      <c r="D94" s="573">
        <v>3.1141999999999999</v>
      </c>
      <c r="E94" s="573">
        <v>21.0684</v>
      </c>
      <c r="F94" s="573">
        <f t="shared" si="22"/>
        <v>2.9928999999999988</v>
      </c>
      <c r="G94" s="573">
        <f t="shared" si="23"/>
        <v>0.12130000000000107</v>
      </c>
      <c r="H94" s="573">
        <f t="shared" si="24"/>
        <v>3.8950613319632996</v>
      </c>
      <c r="I94" s="975">
        <f t="shared" ref="I94" si="25">AVERAGE(H94:H96)</f>
        <v>3.8355397668961011</v>
      </c>
    </row>
    <row r="95" spans="2:20" ht="15" thickBot="1">
      <c r="B95" s="574" t="s">
        <v>423</v>
      </c>
      <c r="C95" s="575">
        <v>18.288799999999998</v>
      </c>
      <c r="D95" s="575">
        <v>2.3573</v>
      </c>
      <c r="E95" s="575">
        <v>20.5566</v>
      </c>
      <c r="F95" s="575">
        <f t="shared" si="22"/>
        <v>2.2678000000000011</v>
      </c>
      <c r="G95" s="575">
        <f t="shared" si="23"/>
        <v>8.9499999999998803E-2</v>
      </c>
      <c r="H95" s="575">
        <f t="shared" si="24"/>
        <v>3.7967165825308111</v>
      </c>
      <c r="I95" s="971"/>
    </row>
    <row r="96" spans="2:20">
      <c r="B96" s="572" t="s">
        <v>385</v>
      </c>
      <c r="C96" s="573">
        <v>17.2605</v>
      </c>
      <c r="D96" s="573">
        <v>3.2059000000000002</v>
      </c>
      <c r="E96" s="573">
        <v>20.344100000000001</v>
      </c>
      <c r="F96" s="573">
        <f t="shared" si="22"/>
        <v>3.0836000000000006</v>
      </c>
      <c r="G96" s="573">
        <f t="shared" si="23"/>
        <v>0.12229999999999963</v>
      </c>
      <c r="H96" s="573">
        <f t="shared" si="24"/>
        <v>3.8148413861941926</v>
      </c>
      <c r="I96" s="975">
        <f t="shared" ref="I96" si="26">AVERAGE(H96:H98)</f>
        <v>3.6645387389891808</v>
      </c>
    </row>
    <row r="97" spans="2:9" ht="15" thickBot="1">
      <c r="B97" s="574" t="s">
        <v>425</v>
      </c>
      <c r="C97" s="575">
        <v>17.839200000000002</v>
      </c>
      <c r="D97" s="575">
        <v>2.5556999999999999</v>
      </c>
      <c r="E97" s="575">
        <v>20.309699999999999</v>
      </c>
      <c r="F97" s="575">
        <f t="shared" si="22"/>
        <v>2.4704999999999977</v>
      </c>
      <c r="G97" s="575">
        <f t="shared" si="23"/>
        <v>8.5200000000002163E-2</v>
      </c>
      <c r="H97" s="575">
        <f t="shared" si="24"/>
        <v>3.3337246155652922</v>
      </c>
      <c r="I97" s="971"/>
    </row>
    <row r="98" spans="2:9">
      <c r="B98" s="572" t="s">
        <v>386</v>
      </c>
      <c r="C98" s="573">
        <v>17.751799999999999</v>
      </c>
      <c r="D98" s="573">
        <v>3.4849999999999999</v>
      </c>
      <c r="E98" s="573">
        <v>21.102799999999998</v>
      </c>
      <c r="F98" s="573">
        <f t="shared" si="22"/>
        <v>3.3509999999999991</v>
      </c>
      <c r="G98" s="573">
        <f t="shared" si="23"/>
        <v>0.13400000000000079</v>
      </c>
      <c r="H98" s="573">
        <f t="shared" si="24"/>
        <v>3.8450502152080568</v>
      </c>
      <c r="I98" s="975">
        <f t="shared" ref="I98" si="27">AVERAGE(H98:H100)</f>
        <v>3.095202123470381</v>
      </c>
    </row>
    <row r="99" spans="2:9" ht="15" thickBot="1">
      <c r="B99" s="574" t="s">
        <v>445</v>
      </c>
      <c r="C99" s="575">
        <v>17.602399999999999</v>
      </c>
      <c r="D99" s="575">
        <v>1.954</v>
      </c>
      <c r="E99" s="575">
        <v>19.491700000000002</v>
      </c>
      <c r="F99" s="575">
        <f t="shared" si="22"/>
        <v>1.8893000000000022</v>
      </c>
      <c r="G99" s="575">
        <f t="shared" si="23"/>
        <v>6.4699999999997759E-2</v>
      </c>
      <c r="H99" s="575">
        <f t="shared" si="24"/>
        <v>3.31115660184226</v>
      </c>
      <c r="I99" s="971"/>
    </row>
    <row r="100" spans="2:9">
      <c r="B100" s="572" t="s">
        <v>387</v>
      </c>
      <c r="C100" s="573">
        <v>19.354700000000001</v>
      </c>
      <c r="D100" s="573">
        <v>3.1793</v>
      </c>
      <c r="E100" s="573">
        <v>22.4663</v>
      </c>
      <c r="F100" s="573">
        <f t="shared" si="22"/>
        <v>3.1115999999999993</v>
      </c>
      <c r="G100" s="573">
        <f t="shared" si="23"/>
        <v>6.770000000000076E-2</v>
      </c>
      <c r="H100" s="573">
        <f t="shared" si="24"/>
        <v>2.1293995533608263</v>
      </c>
      <c r="I100" s="975">
        <f t="shared" ref="I100" si="28">AVERAGE(H100:H102)</f>
        <v>2.4948380281884734</v>
      </c>
    </row>
    <row r="101" spans="2:9" ht="15" thickBot="1">
      <c r="B101" s="574" t="s">
        <v>446</v>
      </c>
      <c r="C101" s="575" t="s">
        <v>108</v>
      </c>
      <c r="D101" s="575" t="s">
        <v>108</v>
      </c>
      <c r="E101" s="575" t="s">
        <v>108</v>
      </c>
      <c r="F101" s="575" t="s">
        <v>108</v>
      </c>
      <c r="G101" s="575" t="s">
        <v>108</v>
      </c>
      <c r="H101" s="575" t="s">
        <v>108</v>
      </c>
      <c r="I101" s="971"/>
    </row>
    <row r="102" spans="2:9">
      <c r="B102" s="572" t="s">
        <v>388</v>
      </c>
      <c r="C102" s="573">
        <v>18.908100000000001</v>
      </c>
      <c r="D102" s="573">
        <v>3.4647000000000001</v>
      </c>
      <c r="E102" s="573">
        <v>22.273700000000002</v>
      </c>
      <c r="F102" s="573">
        <f t="shared" si="22"/>
        <v>3.3656000000000006</v>
      </c>
      <c r="G102" s="573">
        <f t="shared" si="23"/>
        <v>9.9099999999999522E-2</v>
      </c>
      <c r="H102" s="573">
        <f t="shared" si="24"/>
        <v>2.8602765030161201</v>
      </c>
      <c r="I102" s="975">
        <f t="shared" ref="I102" si="29">AVERAGE(H102:H104)</f>
        <v>2.705312070736019</v>
      </c>
    </row>
    <row r="103" spans="2:9" ht="15" thickBot="1">
      <c r="B103" s="574" t="s">
        <v>447</v>
      </c>
      <c r="C103" s="575" t="s">
        <v>108</v>
      </c>
      <c r="D103" s="575" t="s">
        <v>108</v>
      </c>
      <c r="E103" s="575" t="s">
        <v>108</v>
      </c>
      <c r="F103" s="575" t="s">
        <v>108</v>
      </c>
      <c r="G103" s="575" t="s">
        <v>108</v>
      </c>
      <c r="H103" s="575" t="s">
        <v>108</v>
      </c>
      <c r="I103" s="971"/>
    </row>
    <row r="104" spans="2:9">
      <c r="B104" s="572" t="s">
        <v>389</v>
      </c>
      <c r="C104" s="573">
        <v>17.839099999999998</v>
      </c>
      <c r="D104" s="573">
        <v>3.3368000000000002</v>
      </c>
      <c r="E104" s="573">
        <v>21.090800000000002</v>
      </c>
      <c r="F104" s="573">
        <f t="shared" si="22"/>
        <v>3.2517000000000031</v>
      </c>
      <c r="G104" s="573">
        <f t="shared" si="23"/>
        <v>8.5099999999997067E-2</v>
      </c>
      <c r="H104" s="573">
        <f t="shared" si="24"/>
        <v>2.5503476384559178</v>
      </c>
      <c r="I104" s="975">
        <f>AVERAGE(H104:H105)</f>
        <v>2.5503476384559178</v>
      </c>
    </row>
    <row r="105" spans="2:9" ht="15" thickBot="1">
      <c r="B105" s="574" t="s">
        <v>448</v>
      </c>
      <c r="C105" s="575" t="s">
        <v>108</v>
      </c>
      <c r="D105" s="575" t="s">
        <v>108</v>
      </c>
      <c r="E105" s="575" t="s">
        <v>108</v>
      </c>
      <c r="F105" s="575" t="s">
        <v>108</v>
      </c>
      <c r="G105" s="575" t="s">
        <v>108</v>
      </c>
      <c r="H105" s="575" t="s">
        <v>108</v>
      </c>
      <c r="I105" s="971"/>
    </row>
    <row r="106" spans="2:9">
      <c r="B106" s="572" t="s">
        <v>390</v>
      </c>
      <c r="C106" s="573" t="s">
        <v>108</v>
      </c>
      <c r="D106" s="573" t="s">
        <v>108</v>
      </c>
      <c r="E106" s="573" t="s">
        <v>108</v>
      </c>
      <c r="F106" s="573" t="s">
        <v>108</v>
      </c>
      <c r="G106" s="573" t="s">
        <v>108</v>
      </c>
      <c r="H106">
        <v>2.302</v>
      </c>
      <c r="I106" s="975">
        <f>AVERAGE(H106:H107)</f>
        <v>2.302</v>
      </c>
    </row>
    <row r="107" spans="2:9" ht="15" thickBot="1">
      <c r="B107" s="574" t="s">
        <v>449</v>
      </c>
      <c r="C107" s="575" t="s">
        <v>108</v>
      </c>
      <c r="D107" s="575" t="s">
        <v>108</v>
      </c>
      <c r="E107" s="575" t="s">
        <v>108</v>
      </c>
      <c r="F107" s="575" t="s">
        <v>108</v>
      </c>
      <c r="G107" s="575" t="s">
        <v>108</v>
      </c>
      <c r="H107" s="575" t="s">
        <v>108</v>
      </c>
      <c r="I107" s="971"/>
    </row>
    <row r="114" spans="2:10" ht="15" thickBot="1"/>
    <row r="115" spans="2:10" ht="18.600000000000001" thickBot="1">
      <c r="B115" s="968" t="s">
        <v>471</v>
      </c>
      <c r="C115" s="969"/>
      <c r="D115" s="969"/>
      <c r="E115" s="969"/>
      <c r="F115" s="969"/>
      <c r="G115" s="969"/>
      <c r="H115" s="969"/>
      <c r="I115" s="969"/>
      <c r="J115" s="970"/>
    </row>
    <row r="116" spans="2:10" ht="16.2" thickBot="1">
      <c r="B116" s="955" t="s">
        <v>472</v>
      </c>
      <c r="C116" s="956"/>
      <c r="D116" s="604">
        <v>17.79</v>
      </c>
      <c r="E116" s="955" t="s">
        <v>473</v>
      </c>
      <c r="F116" s="956"/>
      <c r="G116" s="604">
        <v>16.079999999999998</v>
      </c>
      <c r="H116" s="955" t="s">
        <v>474</v>
      </c>
      <c r="I116" s="956"/>
      <c r="J116" s="604">
        <v>16.57</v>
      </c>
    </row>
    <row r="117" spans="2:10" ht="15.6">
      <c r="B117" s="598" t="s">
        <v>369</v>
      </c>
      <c r="C117" s="597" t="s">
        <v>370</v>
      </c>
      <c r="D117" s="603" t="s">
        <v>518</v>
      </c>
      <c r="E117" s="592" t="s">
        <v>369</v>
      </c>
      <c r="F117" s="590" t="s">
        <v>370</v>
      </c>
      <c r="G117" s="591" t="s">
        <v>518</v>
      </c>
      <c r="H117" s="592" t="s">
        <v>369</v>
      </c>
      <c r="I117" s="590" t="s">
        <v>370</v>
      </c>
      <c r="J117" s="591" t="s">
        <v>518</v>
      </c>
    </row>
    <row r="118" spans="2:10" ht="15.6">
      <c r="B118" s="595" t="s">
        <v>333</v>
      </c>
      <c r="C118" s="596">
        <v>18.598066666666664</v>
      </c>
      <c r="D118" s="596">
        <f>C118/$D$116</f>
        <v>1.0454225220161137</v>
      </c>
      <c r="E118" s="595" t="str">
        <f t="shared" ref="E118:E125" si="30">REPLACE(B118:B125,1,1,"Y")</f>
        <v>Y1</v>
      </c>
      <c r="F118" s="596">
        <v>17.611300000000004</v>
      </c>
      <c r="G118" s="596">
        <f>F118/$G$116</f>
        <v>1.095230099502488</v>
      </c>
      <c r="H118" s="595" t="str">
        <f t="shared" ref="H118:H125" si="31">REPLACE(B118:B125,1,1,"Z")</f>
        <v>Z1</v>
      </c>
      <c r="I118" s="596">
        <v>18.257449999999999</v>
      </c>
      <c r="J118" s="599">
        <f>I118/$J$116</f>
        <v>1.1018376584188292</v>
      </c>
    </row>
    <row r="119" spans="2:10" ht="15.6">
      <c r="B119" s="593" t="s">
        <v>334</v>
      </c>
      <c r="C119" s="594">
        <v>18.843800000000002</v>
      </c>
      <c r="D119" s="594">
        <f t="shared" ref="D119:D125" si="32">C119/$D$116</f>
        <v>1.0592355255761665</v>
      </c>
      <c r="E119" s="593" t="str">
        <f t="shared" si="30"/>
        <v>Y2</v>
      </c>
      <c r="F119" s="594">
        <v>17.913449999999997</v>
      </c>
      <c r="G119" s="594">
        <f t="shared" ref="G119:G125" si="33">F119/$G$116</f>
        <v>1.1140205223880597</v>
      </c>
      <c r="H119" s="593" t="str">
        <f t="shared" si="31"/>
        <v>Z2</v>
      </c>
      <c r="I119" s="594">
        <v>18.297650000000001</v>
      </c>
      <c r="J119" s="600">
        <f t="shared" ref="J119:J125" si="34">I119/$J$116</f>
        <v>1.1042637296318649</v>
      </c>
    </row>
    <row r="120" spans="2:10" ht="15.6">
      <c r="B120" s="595" t="s">
        <v>371</v>
      </c>
      <c r="C120" s="596">
        <v>19.77975</v>
      </c>
      <c r="D120" s="596">
        <f t="shared" si="32"/>
        <v>1.1118465430016864</v>
      </c>
      <c r="E120" s="595" t="str">
        <f t="shared" si="30"/>
        <v>Y3</v>
      </c>
      <c r="F120" s="596">
        <v>19.039149999999999</v>
      </c>
      <c r="G120" s="596">
        <f t="shared" si="33"/>
        <v>1.1840267412935324</v>
      </c>
      <c r="H120" s="595" t="str">
        <f t="shared" si="31"/>
        <v>Z3</v>
      </c>
      <c r="I120" s="596">
        <v>19.04025</v>
      </c>
      <c r="J120" s="599">
        <f t="shared" si="34"/>
        <v>1.1490796620398309</v>
      </c>
    </row>
    <row r="121" spans="2:10" ht="15.6">
      <c r="B121" s="593" t="s">
        <v>372</v>
      </c>
      <c r="C121" s="594">
        <v>20.182499999999997</v>
      </c>
      <c r="D121" s="594">
        <f t="shared" si="32"/>
        <v>1.134485666104553</v>
      </c>
      <c r="E121" s="593" t="str">
        <f t="shared" si="30"/>
        <v>Y4</v>
      </c>
      <c r="F121" s="594">
        <v>19.638199999999998</v>
      </c>
      <c r="G121" s="594">
        <f t="shared" si="33"/>
        <v>1.2212810945273631</v>
      </c>
      <c r="H121" s="593" t="str">
        <f t="shared" si="31"/>
        <v>Z4</v>
      </c>
      <c r="I121" s="594">
        <v>19.5885</v>
      </c>
      <c r="J121" s="600">
        <f t="shared" si="34"/>
        <v>1.182166566083283</v>
      </c>
    </row>
    <row r="122" spans="2:10" ht="15.6">
      <c r="B122" s="595" t="s">
        <v>373</v>
      </c>
      <c r="C122" s="596">
        <v>20.884</v>
      </c>
      <c r="D122" s="596">
        <f t="shared" si="32"/>
        <v>1.1739179314221473</v>
      </c>
      <c r="E122" s="595" t="str">
        <f t="shared" si="30"/>
        <v>Y7</v>
      </c>
      <c r="F122" s="596">
        <v>20.101099999999999</v>
      </c>
      <c r="G122" s="596">
        <f t="shared" si="33"/>
        <v>1.2500684079601991</v>
      </c>
      <c r="H122" s="595" t="str">
        <f t="shared" si="31"/>
        <v>Z7</v>
      </c>
      <c r="I122" s="596">
        <v>19.915500000000002</v>
      </c>
      <c r="J122" s="599">
        <f t="shared" si="34"/>
        <v>1.201901025950513</v>
      </c>
    </row>
    <row r="123" spans="2:10" ht="15.6">
      <c r="B123" s="593" t="s">
        <v>374</v>
      </c>
      <c r="C123" s="594">
        <v>21.071400000000001</v>
      </c>
      <c r="D123" s="594">
        <f t="shared" si="32"/>
        <v>1.184451939291737</v>
      </c>
      <c r="E123" s="593" t="str">
        <f t="shared" si="30"/>
        <v>Y8</v>
      </c>
      <c r="F123" s="594">
        <v>20.621400000000001</v>
      </c>
      <c r="G123" s="594">
        <f t="shared" si="33"/>
        <v>1.2824253731343285</v>
      </c>
      <c r="H123" s="593" t="str">
        <f t="shared" si="31"/>
        <v>Z8</v>
      </c>
      <c r="I123" s="594">
        <v>20.721599999999999</v>
      </c>
      <c r="J123" s="600">
        <f t="shared" si="34"/>
        <v>1.2505491852745925</v>
      </c>
    </row>
    <row r="124" spans="2:10" ht="15.6">
      <c r="B124" s="595" t="s">
        <v>375</v>
      </c>
      <c r="C124" s="596">
        <v>22.497800000000002</v>
      </c>
      <c r="D124" s="596">
        <f t="shared" si="32"/>
        <v>1.2646318156267569</v>
      </c>
      <c r="E124" s="595" t="str">
        <f t="shared" si="30"/>
        <v>Y5</v>
      </c>
      <c r="F124" s="596">
        <v>21.310500000000001</v>
      </c>
      <c r="G124" s="596">
        <f t="shared" si="33"/>
        <v>1.3252798507462689</v>
      </c>
      <c r="H124" s="595" t="str">
        <f t="shared" si="31"/>
        <v>Z5</v>
      </c>
      <c r="I124" s="596">
        <v>21.412600000000001</v>
      </c>
      <c r="J124" s="599">
        <f t="shared" si="34"/>
        <v>1.292251056125528</v>
      </c>
    </row>
    <row r="125" spans="2:10" ht="16.2" thickBot="1">
      <c r="B125" s="601" t="s">
        <v>376</v>
      </c>
      <c r="C125" s="602">
        <v>23.1389</v>
      </c>
      <c r="D125" s="602">
        <f t="shared" si="32"/>
        <v>1.3006689151208544</v>
      </c>
      <c r="E125" s="601" t="str">
        <f t="shared" si="30"/>
        <v>Y6</v>
      </c>
      <c r="F125" s="622">
        <v>21.69</v>
      </c>
      <c r="G125" s="622">
        <f t="shared" si="33"/>
        <v>1.3488805970149256</v>
      </c>
      <c r="H125" s="601" t="str">
        <f t="shared" si="31"/>
        <v>Z6</v>
      </c>
      <c r="I125" s="622">
        <v>22.01</v>
      </c>
      <c r="J125" s="623">
        <f t="shared" si="34"/>
        <v>1.3283041641520821</v>
      </c>
    </row>
  </sheetData>
  <mergeCells count="78">
    <mergeCell ref="S2:W2"/>
    <mergeCell ref="I58:I59"/>
    <mergeCell ref="B3:C3"/>
    <mergeCell ref="D3:E3"/>
    <mergeCell ref="F3:G3"/>
    <mergeCell ref="M2:Q2"/>
    <mergeCell ref="M26:Q26"/>
    <mergeCell ref="B49:I49"/>
    <mergeCell ref="B50:I50"/>
    <mergeCell ref="I52:I53"/>
    <mergeCell ref="I54:I55"/>
    <mergeCell ref="I56:I57"/>
    <mergeCell ref="O55:P55"/>
    <mergeCell ref="O56:P56"/>
    <mergeCell ref="O57:P57"/>
    <mergeCell ref="O58:P58"/>
    <mergeCell ref="I104:I105"/>
    <mergeCell ref="I106:I107"/>
    <mergeCell ref="M51:N51"/>
    <mergeCell ref="M52:N52"/>
    <mergeCell ref="M53:N53"/>
    <mergeCell ref="M54:N54"/>
    <mergeCell ref="M55:N55"/>
    <mergeCell ref="M56:N56"/>
    <mergeCell ref="M57:N57"/>
    <mergeCell ref="B90:I90"/>
    <mergeCell ref="I92:I93"/>
    <mergeCell ref="I94:I95"/>
    <mergeCell ref="I96:I97"/>
    <mergeCell ref="I98:I99"/>
    <mergeCell ref="I100:I101"/>
    <mergeCell ref="I76:I77"/>
    <mergeCell ref="I102:I103"/>
    <mergeCell ref="I78:I79"/>
    <mergeCell ref="I80:I81"/>
    <mergeCell ref="I82:I83"/>
    <mergeCell ref="I84:I85"/>
    <mergeCell ref="B70:I70"/>
    <mergeCell ref="I72:I73"/>
    <mergeCell ref="S54:T54"/>
    <mergeCell ref="S55:T55"/>
    <mergeCell ref="I74:I75"/>
    <mergeCell ref="I60:I61"/>
    <mergeCell ref="I62:I63"/>
    <mergeCell ref="I64:I65"/>
    <mergeCell ref="I66:I67"/>
    <mergeCell ref="B115:J115"/>
    <mergeCell ref="L85:T85"/>
    <mergeCell ref="Q51:R51"/>
    <mergeCell ref="Q57:R57"/>
    <mergeCell ref="Q58:R58"/>
    <mergeCell ref="Q59:R59"/>
    <mergeCell ref="O59:P59"/>
    <mergeCell ref="Q56:R56"/>
    <mergeCell ref="M58:N58"/>
    <mergeCell ref="M59:N59"/>
    <mergeCell ref="O51:P51"/>
    <mergeCell ref="O52:P52"/>
    <mergeCell ref="O53:P53"/>
    <mergeCell ref="O54:P54"/>
    <mergeCell ref="L91:T93"/>
    <mergeCell ref="I86:I87"/>
    <mergeCell ref="B2:G2"/>
    <mergeCell ref="B116:C116"/>
    <mergeCell ref="H116:I116"/>
    <mergeCell ref="E116:F116"/>
    <mergeCell ref="S56:T56"/>
    <mergeCell ref="S57:T57"/>
    <mergeCell ref="S58:T58"/>
    <mergeCell ref="S59:T59"/>
    <mergeCell ref="L50:T50"/>
    <mergeCell ref="S51:T51"/>
    <mergeCell ref="Q52:R52"/>
    <mergeCell ref="Q53:R53"/>
    <mergeCell ref="Q54:R54"/>
    <mergeCell ref="Q55:R55"/>
    <mergeCell ref="S52:T52"/>
    <mergeCell ref="S53:T5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F2EC8-468C-4238-9DD9-78CA4436D492}">
  <dimension ref="A1:O175"/>
  <sheetViews>
    <sheetView topLeftCell="A68" zoomScaleNormal="100" workbookViewId="0">
      <selection activeCell="D76" sqref="D76"/>
    </sheetView>
  </sheetViews>
  <sheetFormatPr baseColWidth="10" defaultColWidth="8.88671875" defaultRowHeight="14.4"/>
  <cols>
    <col min="1" max="1" width="10" customWidth="1"/>
    <col min="2" max="2" width="14" customWidth="1"/>
    <col min="4" max="4" width="10.5546875" customWidth="1"/>
    <col min="5" max="5" width="11.109375" customWidth="1"/>
    <col min="6" max="6" width="14" customWidth="1"/>
    <col min="8" max="8" width="10" customWidth="1"/>
    <col min="9" max="9" width="14" customWidth="1"/>
    <col min="11" max="11" width="14.44140625" customWidth="1"/>
    <col min="12" max="12" width="10" customWidth="1"/>
    <col min="13" max="13" width="14" customWidth="1"/>
    <col min="16" max="16" width="10" customWidth="1"/>
    <col min="17" max="17" width="14" customWidth="1"/>
  </cols>
  <sheetData>
    <row r="1" spans="1:13" ht="15" thickBot="1"/>
    <row r="2" spans="1:13" ht="15" thickBot="1">
      <c r="A2" s="990" t="s">
        <v>465</v>
      </c>
      <c r="B2" s="991"/>
      <c r="C2" s="992"/>
      <c r="E2" s="1012" t="s">
        <v>465</v>
      </c>
      <c r="F2" s="1013"/>
      <c r="G2" s="1013"/>
      <c r="H2" s="1013"/>
      <c r="I2" s="1013"/>
      <c r="J2" s="1013"/>
      <c r="K2" s="1013"/>
      <c r="L2" s="1013"/>
      <c r="M2" s="1014"/>
    </row>
    <row r="3" spans="1:13" ht="16.2" customHeight="1" thickBot="1">
      <c r="A3" s="1018" t="s">
        <v>466</v>
      </c>
      <c r="B3" s="1019"/>
      <c r="C3" s="585">
        <v>32</v>
      </c>
      <c r="E3" s="1015" t="s">
        <v>467</v>
      </c>
      <c r="F3" s="1016"/>
      <c r="G3" s="1016"/>
      <c r="H3" s="1016"/>
      <c r="I3" s="1016"/>
      <c r="J3" s="1016"/>
      <c r="K3" s="1016"/>
      <c r="L3" s="1016"/>
      <c r="M3" s="1017"/>
    </row>
    <row r="4" spans="1:13" ht="15" thickBot="1">
      <c r="A4" s="987" t="s">
        <v>225</v>
      </c>
      <c r="B4" s="988"/>
      <c r="C4" s="989"/>
      <c r="E4" s="987" t="s">
        <v>225</v>
      </c>
      <c r="F4" s="988"/>
      <c r="G4" s="989"/>
      <c r="H4" s="987" t="s">
        <v>170</v>
      </c>
      <c r="I4" s="988"/>
      <c r="J4" s="989"/>
      <c r="K4" s="987" t="s">
        <v>219</v>
      </c>
      <c r="L4" s="988"/>
      <c r="M4" s="989"/>
    </row>
    <row r="5" spans="1:13">
      <c r="A5" s="586" t="s">
        <v>468</v>
      </c>
      <c r="B5" s="237" t="s">
        <v>461</v>
      </c>
      <c r="C5" s="287" t="s">
        <v>462</v>
      </c>
      <c r="E5" s="586" t="s">
        <v>468</v>
      </c>
      <c r="F5" s="237" t="s">
        <v>461</v>
      </c>
      <c r="G5" s="287" t="s">
        <v>462</v>
      </c>
      <c r="H5" s="586" t="s">
        <v>468</v>
      </c>
      <c r="I5" s="237" t="s">
        <v>461</v>
      </c>
      <c r="J5" s="287" t="s">
        <v>462</v>
      </c>
      <c r="K5" s="586" t="s">
        <v>468</v>
      </c>
      <c r="L5" s="237" t="s">
        <v>461</v>
      </c>
      <c r="M5" s="287" t="s">
        <v>462</v>
      </c>
    </row>
    <row r="6" spans="1:13">
      <c r="A6" s="171" t="s">
        <v>333</v>
      </c>
      <c r="B6" s="104">
        <v>18.600000000000001</v>
      </c>
      <c r="C6" s="261">
        <f>B6/$C$3*100</f>
        <v>58.125000000000007</v>
      </c>
      <c r="E6" s="171" t="s">
        <v>333</v>
      </c>
      <c r="F6" s="104">
        <v>18.600000000000001</v>
      </c>
      <c r="G6" s="261">
        <f>F6/$C$3*100</f>
        <v>58.125000000000007</v>
      </c>
      <c r="H6" s="171" t="s">
        <v>335</v>
      </c>
      <c r="I6" s="104">
        <v>17.61</v>
      </c>
      <c r="J6" s="261">
        <f>I6/$C$3*100</f>
        <v>55.03125</v>
      </c>
      <c r="K6" s="171" t="s">
        <v>337</v>
      </c>
      <c r="L6" s="104">
        <v>18.260000000000002</v>
      </c>
      <c r="M6" s="261">
        <f>L6/$C$3*100</f>
        <v>57.062500000000007</v>
      </c>
    </row>
    <row r="7" spans="1:13">
      <c r="A7" s="171" t="s">
        <v>334</v>
      </c>
      <c r="B7" s="104">
        <v>18.84</v>
      </c>
      <c r="C7" s="261">
        <f t="shared" ref="C7:C13" si="0">B7/$C$3*100</f>
        <v>58.875</v>
      </c>
      <c r="E7" s="171" t="s">
        <v>334</v>
      </c>
      <c r="F7" s="104">
        <v>18.84</v>
      </c>
      <c r="G7" s="261">
        <f t="shared" ref="G7:G13" si="1">F7/$C$3*100</f>
        <v>58.875</v>
      </c>
      <c r="H7" s="171" t="s">
        <v>336</v>
      </c>
      <c r="I7" s="104">
        <v>17.91</v>
      </c>
      <c r="J7" s="261">
        <f t="shared" ref="J7:J13" si="2">I7/$C$3*100</f>
        <v>55.96875</v>
      </c>
      <c r="K7" s="171" t="s">
        <v>338</v>
      </c>
      <c r="L7" s="104">
        <v>18.3</v>
      </c>
      <c r="M7" s="261">
        <f t="shared" ref="M7:M13" si="3">L7/$C$3*100</f>
        <v>57.1875</v>
      </c>
    </row>
    <row r="8" spans="1:13">
      <c r="A8" s="171" t="s">
        <v>371</v>
      </c>
      <c r="B8" s="104">
        <v>19.78</v>
      </c>
      <c r="C8" s="261">
        <f t="shared" si="0"/>
        <v>61.8125</v>
      </c>
      <c r="E8" s="171" t="s">
        <v>371</v>
      </c>
      <c r="F8" s="104">
        <v>19.78</v>
      </c>
      <c r="G8" s="261">
        <f t="shared" si="1"/>
        <v>61.8125</v>
      </c>
      <c r="H8" s="171" t="s">
        <v>379</v>
      </c>
      <c r="I8" s="104">
        <v>19.04</v>
      </c>
      <c r="J8" s="261">
        <f t="shared" si="2"/>
        <v>59.5</v>
      </c>
      <c r="K8" s="171" t="s">
        <v>385</v>
      </c>
      <c r="L8" s="104">
        <v>19.04</v>
      </c>
      <c r="M8" s="261">
        <f t="shared" si="3"/>
        <v>59.5</v>
      </c>
    </row>
    <row r="9" spans="1:13">
      <c r="A9" s="171" t="s">
        <v>372</v>
      </c>
      <c r="B9" s="104">
        <v>20.18</v>
      </c>
      <c r="C9" s="261">
        <f t="shared" si="0"/>
        <v>63.0625</v>
      </c>
      <c r="E9" s="171" t="s">
        <v>372</v>
      </c>
      <c r="F9" s="104">
        <v>20.18</v>
      </c>
      <c r="G9" s="261">
        <f t="shared" si="1"/>
        <v>63.0625</v>
      </c>
      <c r="H9" s="171" t="s">
        <v>380</v>
      </c>
      <c r="I9" s="104">
        <v>19.64</v>
      </c>
      <c r="J9" s="261">
        <f t="shared" si="2"/>
        <v>61.375</v>
      </c>
      <c r="K9" s="171" t="s">
        <v>386</v>
      </c>
      <c r="L9" s="104">
        <v>19.59</v>
      </c>
      <c r="M9" s="261">
        <f t="shared" si="3"/>
        <v>61.21875</v>
      </c>
    </row>
    <row r="10" spans="1:13">
      <c r="A10" s="171" t="s">
        <v>373</v>
      </c>
      <c r="B10" s="104">
        <v>20.88</v>
      </c>
      <c r="C10" s="261">
        <f t="shared" si="0"/>
        <v>65.25</v>
      </c>
      <c r="E10" s="171" t="s">
        <v>373</v>
      </c>
      <c r="F10" s="104">
        <v>20.88</v>
      </c>
      <c r="G10" s="261">
        <f t="shared" si="1"/>
        <v>65.25</v>
      </c>
      <c r="H10" s="171" t="s">
        <v>381</v>
      </c>
      <c r="I10" s="104">
        <v>20.100000000000001</v>
      </c>
      <c r="J10" s="261">
        <f t="shared" si="2"/>
        <v>62.812500000000007</v>
      </c>
      <c r="K10" s="171" t="s">
        <v>387</v>
      </c>
      <c r="L10" s="104">
        <v>19.920000000000002</v>
      </c>
      <c r="M10" s="261">
        <f t="shared" si="3"/>
        <v>62.250000000000007</v>
      </c>
    </row>
    <row r="11" spans="1:13">
      <c r="A11" s="171" t="s">
        <v>374</v>
      </c>
      <c r="B11" s="104">
        <v>21.07</v>
      </c>
      <c r="C11" s="261">
        <f t="shared" si="0"/>
        <v>65.84375</v>
      </c>
      <c r="E11" s="171" t="s">
        <v>374</v>
      </c>
      <c r="F11" s="104">
        <v>21.07</v>
      </c>
      <c r="G11" s="261">
        <f t="shared" si="1"/>
        <v>65.84375</v>
      </c>
      <c r="H11" s="171" t="s">
        <v>382</v>
      </c>
      <c r="I11" s="104">
        <v>20.62</v>
      </c>
      <c r="J11" s="261">
        <f t="shared" si="2"/>
        <v>64.4375</v>
      </c>
      <c r="K11" s="171" t="s">
        <v>388</v>
      </c>
      <c r="L11" s="104">
        <v>20.72</v>
      </c>
      <c r="M11" s="261">
        <f t="shared" si="3"/>
        <v>64.75</v>
      </c>
    </row>
    <row r="12" spans="1:13">
      <c r="A12" s="171" t="s">
        <v>375</v>
      </c>
      <c r="B12" s="104">
        <v>22.5</v>
      </c>
      <c r="C12" s="261">
        <f t="shared" si="0"/>
        <v>70.3125</v>
      </c>
      <c r="E12" s="171" t="s">
        <v>375</v>
      </c>
      <c r="F12" s="104">
        <v>22.5</v>
      </c>
      <c r="G12" s="261">
        <f t="shared" si="1"/>
        <v>70.3125</v>
      </c>
      <c r="H12" s="171" t="s">
        <v>383</v>
      </c>
      <c r="I12" s="104">
        <v>21.31</v>
      </c>
      <c r="J12" s="261">
        <f t="shared" si="2"/>
        <v>66.59375</v>
      </c>
      <c r="K12" s="171" t="s">
        <v>389</v>
      </c>
      <c r="L12" s="104">
        <v>21.41</v>
      </c>
      <c r="M12" s="261">
        <f t="shared" si="3"/>
        <v>66.90625</v>
      </c>
    </row>
    <row r="13" spans="1:13" ht="15" thickBot="1">
      <c r="A13" s="177" t="s">
        <v>376</v>
      </c>
      <c r="B13" s="178">
        <v>23.14</v>
      </c>
      <c r="C13" s="265">
        <f t="shared" si="0"/>
        <v>72.3125</v>
      </c>
      <c r="E13" s="177" t="s">
        <v>376</v>
      </c>
      <c r="F13" s="178">
        <v>23.14</v>
      </c>
      <c r="G13" s="265">
        <f t="shared" si="1"/>
        <v>72.3125</v>
      </c>
      <c r="H13" s="177" t="s">
        <v>384</v>
      </c>
      <c r="I13" s="178">
        <v>21.69</v>
      </c>
      <c r="J13" s="265">
        <f t="shared" si="2"/>
        <v>67.78125</v>
      </c>
      <c r="K13" s="177" t="s">
        <v>390</v>
      </c>
      <c r="L13" s="178">
        <v>22.01</v>
      </c>
      <c r="M13" s="265">
        <f t="shared" si="3"/>
        <v>68.78125</v>
      </c>
    </row>
    <row r="14" spans="1:13" ht="15" thickBot="1">
      <c r="A14" s="987" t="s">
        <v>170</v>
      </c>
      <c r="B14" s="988"/>
      <c r="C14" s="989"/>
    </row>
    <row r="15" spans="1:13">
      <c r="A15" s="586" t="s">
        <v>468</v>
      </c>
      <c r="B15" s="237" t="s">
        <v>461</v>
      </c>
      <c r="C15" s="287" t="s">
        <v>462</v>
      </c>
    </row>
    <row r="16" spans="1:13">
      <c r="A16" s="171" t="s">
        <v>335</v>
      </c>
      <c r="B16" s="104">
        <v>17.61</v>
      </c>
      <c r="C16" s="261">
        <f>B16/$C$3*100</f>
        <v>55.03125</v>
      </c>
    </row>
    <row r="17" spans="1:3">
      <c r="A17" s="171" t="s">
        <v>336</v>
      </c>
      <c r="B17" s="104">
        <v>17.91</v>
      </c>
      <c r="C17" s="261">
        <f t="shared" ref="C17:C23" si="4">B17/$C$3*100</f>
        <v>55.96875</v>
      </c>
    </row>
    <row r="18" spans="1:3">
      <c r="A18" s="171" t="s">
        <v>379</v>
      </c>
      <c r="B18" s="104">
        <v>19.04</v>
      </c>
      <c r="C18" s="261">
        <f t="shared" si="4"/>
        <v>59.5</v>
      </c>
    </row>
    <row r="19" spans="1:3">
      <c r="A19" s="171" t="s">
        <v>380</v>
      </c>
      <c r="B19" s="104">
        <v>19.64</v>
      </c>
      <c r="C19" s="261">
        <f t="shared" si="4"/>
        <v>61.375</v>
      </c>
    </row>
    <row r="20" spans="1:3">
      <c r="A20" s="171" t="s">
        <v>381</v>
      </c>
      <c r="B20" s="104">
        <v>20.100000000000001</v>
      </c>
      <c r="C20" s="261">
        <f t="shared" si="4"/>
        <v>62.812500000000007</v>
      </c>
    </row>
    <row r="21" spans="1:3">
      <c r="A21" s="171" t="s">
        <v>382</v>
      </c>
      <c r="B21" s="104">
        <v>20.62</v>
      </c>
      <c r="C21" s="261">
        <f t="shared" si="4"/>
        <v>64.4375</v>
      </c>
    </row>
    <row r="22" spans="1:3">
      <c r="A22" s="171" t="s">
        <v>383</v>
      </c>
      <c r="B22" s="104">
        <v>21.31</v>
      </c>
      <c r="C22" s="261">
        <f t="shared" si="4"/>
        <v>66.59375</v>
      </c>
    </row>
    <row r="23" spans="1:3" ht="15" thickBot="1">
      <c r="A23" s="171" t="s">
        <v>384</v>
      </c>
      <c r="B23" s="104">
        <v>21.69</v>
      </c>
      <c r="C23" s="261">
        <f t="shared" si="4"/>
        <v>67.78125</v>
      </c>
    </row>
    <row r="24" spans="1:3" ht="15" thickBot="1">
      <c r="A24" s="987" t="s">
        <v>219</v>
      </c>
      <c r="B24" s="988"/>
      <c r="C24" s="989"/>
    </row>
    <row r="25" spans="1:3">
      <c r="A25" s="586" t="s">
        <v>468</v>
      </c>
      <c r="B25" s="237" t="s">
        <v>461</v>
      </c>
      <c r="C25" s="287" t="s">
        <v>462</v>
      </c>
    </row>
    <row r="26" spans="1:3">
      <c r="A26" s="171" t="s">
        <v>337</v>
      </c>
      <c r="B26" s="104">
        <v>18.260000000000002</v>
      </c>
      <c r="C26" s="261">
        <f>B26/$C$3*100</f>
        <v>57.062500000000007</v>
      </c>
    </row>
    <row r="27" spans="1:3">
      <c r="A27" s="171" t="s">
        <v>338</v>
      </c>
      <c r="B27" s="104">
        <v>18.3</v>
      </c>
      <c r="C27" s="261">
        <f t="shared" ref="C27:C33" si="5">B27/$C$3*100</f>
        <v>57.1875</v>
      </c>
    </row>
    <row r="28" spans="1:3">
      <c r="A28" s="171" t="s">
        <v>385</v>
      </c>
      <c r="B28" s="104">
        <v>19.04</v>
      </c>
      <c r="C28" s="261">
        <f t="shared" si="5"/>
        <v>59.5</v>
      </c>
    </row>
    <row r="29" spans="1:3">
      <c r="A29" s="171" t="s">
        <v>386</v>
      </c>
      <c r="B29" s="104">
        <v>19.59</v>
      </c>
      <c r="C29" s="261">
        <f t="shared" si="5"/>
        <v>61.21875</v>
      </c>
    </row>
    <row r="30" spans="1:3">
      <c r="A30" s="171" t="s">
        <v>387</v>
      </c>
      <c r="B30" s="104">
        <v>19.920000000000002</v>
      </c>
      <c r="C30" s="261">
        <f t="shared" si="5"/>
        <v>62.250000000000007</v>
      </c>
    </row>
    <row r="31" spans="1:3">
      <c r="A31" s="171" t="s">
        <v>388</v>
      </c>
      <c r="B31" s="104">
        <v>20.72</v>
      </c>
      <c r="C31" s="261">
        <f t="shared" si="5"/>
        <v>64.75</v>
      </c>
    </row>
    <row r="32" spans="1:3">
      <c r="A32" s="171" t="s">
        <v>389</v>
      </c>
      <c r="B32" s="104">
        <v>21.41</v>
      </c>
      <c r="C32" s="261">
        <f t="shared" si="5"/>
        <v>66.90625</v>
      </c>
    </row>
    <row r="33" spans="1:14" ht="15" thickBot="1">
      <c r="A33" s="177" t="s">
        <v>390</v>
      </c>
      <c r="B33" s="178">
        <v>22.01</v>
      </c>
      <c r="C33" s="265">
        <f t="shared" si="5"/>
        <v>68.78125</v>
      </c>
    </row>
    <row r="36" spans="1:14" ht="15" thickBot="1"/>
    <row r="37" spans="1:14" ht="15" thickBot="1">
      <c r="A37" s="990" t="s">
        <v>469</v>
      </c>
      <c r="B37" s="991"/>
      <c r="C37" s="992"/>
      <c r="F37" s="990" t="s">
        <v>469</v>
      </c>
      <c r="G37" s="991"/>
      <c r="H37" s="991"/>
      <c r="I37" s="991"/>
      <c r="J37" s="991"/>
      <c r="K37" s="991"/>
      <c r="L37" s="991"/>
      <c r="M37" s="991"/>
      <c r="N37" s="992"/>
    </row>
    <row r="38" spans="1:14" ht="15" thickBot="1">
      <c r="A38" s="995" t="s">
        <v>225</v>
      </c>
      <c r="B38" s="996"/>
      <c r="C38" s="997"/>
      <c r="F38" s="987" t="s">
        <v>225</v>
      </c>
      <c r="G38" s="988"/>
      <c r="H38" s="989"/>
      <c r="I38" s="987" t="s">
        <v>170</v>
      </c>
      <c r="J38" s="988"/>
      <c r="K38" s="989"/>
      <c r="L38" s="987" t="s">
        <v>219</v>
      </c>
      <c r="M38" s="988"/>
      <c r="N38" s="989"/>
    </row>
    <row r="39" spans="1:14">
      <c r="A39" s="586" t="s">
        <v>468</v>
      </c>
      <c r="B39" s="237" t="s">
        <v>463</v>
      </c>
      <c r="C39" s="287" t="s">
        <v>464</v>
      </c>
      <c r="F39" s="587" t="s">
        <v>468</v>
      </c>
      <c r="G39" s="588" t="s">
        <v>463</v>
      </c>
      <c r="H39" s="589" t="s">
        <v>464</v>
      </c>
      <c r="I39" s="587" t="s">
        <v>468</v>
      </c>
      <c r="J39" s="588" t="s">
        <v>463</v>
      </c>
      <c r="K39" s="589" t="s">
        <v>464</v>
      </c>
      <c r="L39" s="587" t="s">
        <v>468</v>
      </c>
      <c r="M39" s="588" t="s">
        <v>463</v>
      </c>
      <c r="N39" s="589" t="s">
        <v>464</v>
      </c>
    </row>
    <row r="40" spans="1:14">
      <c r="A40" s="171" t="s">
        <v>333</v>
      </c>
      <c r="B40" s="104">
        <v>3.082E-2</v>
      </c>
      <c r="C40" s="261">
        <f>(1-B40)*100</f>
        <v>96.918000000000006</v>
      </c>
      <c r="F40" s="171" t="s">
        <v>333</v>
      </c>
      <c r="G40" s="104">
        <v>3.082E-2</v>
      </c>
      <c r="H40" s="261">
        <f>(1-G40)*100</f>
        <v>96.918000000000006</v>
      </c>
      <c r="I40" s="171" t="s">
        <v>335</v>
      </c>
      <c r="J40" s="104">
        <v>3.3579999999999999E-2</v>
      </c>
      <c r="K40" s="261">
        <f>(1-J40)*100</f>
        <v>96.64200000000001</v>
      </c>
      <c r="L40" s="171" t="s">
        <v>337</v>
      </c>
      <c r="M40" s="443">
        <v>3.2099999999999997E-2</v>
      </c>
      <c r="N40" s="556">
        <f>(1-M40)*100</f>
        <v>96.789999999999992</v>
      </c>
    </row>
    <row r="41" spans="1:14">
      <c r="A41" s="171" t="s">
        <v>334</v>
      </c>
      <c r="B41" s="104">
        <v>3.0419999999999999E-2</v>
      </c>
      <c r="C41" s="261">
        <f t="shared" ref="C41:C47" si="6">(1-B41)*100</f>
        <v>96.957999999999998</v>
      </c>
      <c r="F41" s="171" t="s">
        <v>334</v>
      </c>
      <c r="G41" s="104">
        <v>3.0419999999999999E-2</v>
      </c>
      <c r="H41" s="261">
        <f t="shared" ref="H41:H47" si="7">(1-G41)*100</f>
        <v>96.957999999999998</v>
      </c>
      <c r="I41" s="171" t="s">
        <v>336</v>
      </c>
      <c r="J41" s="104">
        <v>3.3009999999999998E-2</v>
      </c>
      <c r="K41" s="261">
        <f t="shared" ref="K41:K47" si="8">(1-J41)*100</f>
        <v>96.698999999999998</v>
      </c>
      <c r="L41" s="171" t="s">
        <v>338</v>
      </c>
      <c r="M41" s="443">
        <v>3.2030000000000003E-2</v>
      </c>
      <c r="N41" s="556">
        <f t="shared" ref="N41:N47" si="9">(1-M41)*100</f>
        <v>96.796999999999997</v>
      </c>
    </row>
    <row r="42" spans="1:14">
      <c r="A42" s="171" t="s">
        <v>371</v>
      </c>
      <c r="B42" s="104">
        <v>3.9510000000000003E-2</v>
      </c>
      <c r="C42" s="261">
        <f t="shared" si="6"/>
        <v>96.048999999999992</v>
      </c>
      <c r="F42" s="171" t="s">
        <v>371</v>
      </c>
      <c r="G42" s="104">
        <v>3.9510000000000003E-2</v>
      </c>
      <c r="H42" s="261">
        <f t="shared" si="7"/>
        <v>96.048999999999992</v>
      </c>
      <c r="I42" s="171" t="s">
        <v>379</v>
      </c>
      <c r="J42" s="104">
        <v>4.197E-2</v>
      </c>
      <c r="K42" s="261">
        <f t="shared" si="8"/>
        <v>95.803000000000011</v>
      </c>
      <c r="L42" s="171" t="s">
        <v>385</v>
      </c>
      <c r="M42" s="443">
        <v>4.1700000000000001E-2</v>
      </c>
      <c r="N42" s="556">
        <f t="shared" si="9"/>
        <v>95.83</v>
      </c>
    </row>
    <row r="43" spans="1:14">
      <c r="A43" s="171" t="s">
        <v>372</v>
      </c>
      <c r="B43" s="104">
        <v>3.8719999999999997E-2</v>
      </c>
      <c r="C43" s="261">
        <f t="shared" si="6"/>
        <v>96.128</v>
      </c>
      <c r="F43" s="171" t="s">
        <v>372</v>
      </c>
      <c r="G43" s="104">
        <v>3.8719999999999997E-2</v>
      </c>
      <c r="H43" s="261">
        <f t="shared" si="7"/>
        <v>96.128</v>
      </c>
      <c r="I43" s="171" t="s">
        <v>380</v>
      </c>
      <c r="J43" s="104">
        <v>4.0689999999999997E-2</v>
      </c>
      <c r="K43" s="261">
        <f t="shared" si="8"/>
        <v>95.930999999999997</v>
      </c>
      <c r="L43" s="171" t="s">
        <v>386</v>
      </c>
      <c r="M43" s="443">
        <v>4.0529999999999997E-2</v>
      </c>
      <c r="N43" s="556">
        <f t="shared" si="9"/>
        <v>95.947000000000003</v>
      </c>
    </row>
    <row r="44" spans="1:14">
      <c r="A44" s="171" t="s">
        <v>373</v>
      </c>
      <c r="B44" s="104">
        <v>4.2410000000000003E-2</v>
      </c>
      <c r="C44" s="261">
        <f t="shared" si="6"/>
        <v>95.759</v>
      </c>
      <c r="F44" s="171" t="s">
        <v>373</v>
      </c>
      <c r="G44" s="104">
        <v>4.2410000000000003E-2</v>
      </c>
      <c r="H44" s="261">
        <f t="shared" si="7"/>
        <v>95.759</v>
      </c>
      <c r="I44" s="171" t="s">
        <v>381</v>
      </c>
      <c r="J44" s="104">
        <v>4.4920000000000002E-2</v>
      </c>
      <c r="K44" s="261">
        <f t="shared" si="8"/>
        <v>95.50800000000001</v>
      </c>
      <c r="L44" s="171" t="s">
        <v>387</v>
      </c>
      <c r="M44" s="443">
        <v>4.5089999999999998E-2</v>
      </c>
      <c r="N44" s="556">
        <f t="shared" si="9"/>
        <v>95.491</v>
      </c>
    </row>
    <row r="45" spans="1:14">
      <c r="A45" s="171" t="s">
        <v>374</v>
      </c>
      <c r="B45" s="104">
        <v>4.2029999999999998E-2</v>
      </c>
      <c r="C45" s="261">
        <f t="shared" si="6"/>
        <v>95.796999999999997</v>
      </c>
      <c r="F45" s="171" t="s">
        <v>374</v>
      </c>
      <c r="G45" s="104">
        <v>4.2029999999999998E-2</v>
      </c>
      <c r="H45" s="261">
        <f t="shared" si="7"/>
        <v>95.796999999999997</v>
      </c>
      <c r="I45" s="171" t="s">
        <v>382</v>
      </c>
      <c r="J45" s="104">
        <v>4.3779999999999999E-2</v>
      </c>
      <c r="K45" s="261">
        <f t="shared" si="8"/>
        <v>95.622</v>
      </c>
      <c r="L45" s="171" t="s">
        <v>388</v>
      </c>
      <c r="M45" s="443">
        <v>4.333E-2</v>
      </c>
      <c r="N45" s="556">
        <f t="shared" si="9"/>
        <v>95.667000000000002</v>
      </c>
    </row>
    <row r="46" spans="1:14">
      <c r="A46" s="171" t="s">
        <v>375</v>
      </c>
      <c r="B46" s="104">
        <v>4.3990000000000001E-2</v>
      </c>
      <c r="C46" s="261">
        <f t="shared" si="6"/>
        <v>95.600999999999999</v>
      </c>
      <c r="F46" s="171" t="s">
        <v>375</v>
      </c>
      <c r="G46" s="104">
        <v>4.3990000000000001E-2</v>
      </c>
      <c r="H46" s="261">
        <f t="shared" si="7"/>
        <v>95.600999999999999</v>
      </c>
      <c r="I46" s="171" t="s">
        <v>383</v>
      </c>
      <c r="J46" s="104">
        <v>4.7239999999999997E-2</v>
      </c>
      <c r="K46" s="261">
        <f t="shared" si="8"/>
        <v>95.27600000000001</v>
      </c>
      <c r="L46" s="171" t="s">
        <v>389</v>
      </c>
      <c r="M46" s="443">
        <v>4.6789999999999998E-2</v>
      </c>
      <c r="N46" s="556">
        <f t="shared" si="9"/>
        <v>95.320999999999998</v>
      </c>
    </row>
    <row r="47" spans="1:14" ht="15" thickBot="1">
      <c r="A47" s="177" t="s">
        <v>376</v>
      </c>
      <c r="B47" s="104">
        <v>4.2770000000000002E-2</v>
      </c>
      <c r="C47" s="261">
        <f t="shared" si="6"/>
        <v>95.722999999999999</v>
      </c>
      <c r="F47" s="177" t="s">
        <v>376</v>
      </c>
      <c r="G47" s="178">
        <v>4.2770000000000002E-2</v>
      </c>
      <c r="H47" s="265">
        <f t="shared" si="7"/>
        <v>95.722999999999999</v>
      </c>
      <c r="I47" s="177" t="s">
        <v>384</v>
      </c>
      <c r="J47" s="178">
        <v>4.641E-2</v>
      </c>
      <c r="K47" s="265">
        <f t="shared" si="8"/>
        <v>95.359000000000009</v>
      </c>
      <c r="L47" s="177" t="s">
        <v>390</v>
      </c>
      <c r="M47" s="554">
        <v>4.5519999999999998E-2</v>
      </c>
      <c r="N47" s="555">
        <f t="shared" si="9"/>
        <v>95.447999999999993</v>
      </c>
    </row>
    <row r="48" spans="1:14" ht="15" thickBot="1">
      <c r="A48" s="987" t="s">
        <v>170</v>
      </c>
      <c r="B48" s="988"/>
      <c r="C48" s="989"/>
    </row>
    <row r="49" spans="1:15">
      <c r="A49" s="586" t="s">
        <v>468</v>
      </c>
      <c r="B49" s="237" t="s">
        <v>463</v>
      </c>
      <c r="C49" s="287" t="s">
        <v>464</v>
      </c>
    </row>
    <row r="50" spans="1:15">
      <c r="A50" s="171" t="s">
        <v>335</v>
      </c>
      <c r="B50" s="104">
        <v>3.3579999999999999E-2</v>
      </c>
      <c r="C50" s="261">
        <f>(1-B50)*100</f>
        <v>96.64200000000001</v>
      </c>
    </row>
    <row r="51" spans="1:15">
      <c r="A51" s="171" t="s">
        <v>336</v>
      </c>
      <c r="B51" s="104">
        <v>3.3009999999999998E-2</v>
      </c>
      <c r="C51" s="261">
        <f t="shared" ref="C51:C57" si="10">(1-B51)*100</f>
        <v>96.698999999999998</v>
      </c>
    </row>
    <row r="52" spans="1:15">
      <c r="A52" s="171" t="s">
        <v>379</v>
      </c>
      <c r="B52" s="104">
        <v>4.197E-2</v>
      </c>
      <c r="C52" s="261">
        <f t="shared" si="10"/>
        <v>95.803000000000011</v>
      </c>
    </row>
    <row r="53" spans="1:15">
      <c r="A53" s="171" t="s">
        <v>380</v>
      </c>
      <c r="B53" s="104">
        <v>4.0689999999999997E-2</v>
      </c>
      <c r="C53" s="261">
        <f t="shared" si="10"/>
        <v>95.930999999999997</v>
      </c>
    </row>
    <row r="54" spans="1:15" ht="15" thickBot="1">
      <c r="A54" s="171" t="s">
        <v>381</v>
      </c>
      <c r="B54" s="104">
        <v>4.4920000000000002E-2</v>
      </c>
      <c r="C54" s="261">
        <f t="shared" si="10"/>
        <v>95.50800000000001</v>
      </c>
    </row>
    <row r="55" spans="1:15" ht="16.2" thickBot="1">
      <c r="A55" s="171" t="s">
        <v>382</v>
      </c>
      <c r="B55" s="104">
        <v>4.3779999999999999E-2</v>
      </c>
      <c r="C55" s="261">
        <f t="shared" si="10"/>
        <v>95.622</v>
      </c>
      <c r="H55" s="1007" t="s">
        <v>470</v>
      </c>
      <c r="I55" s="1008"/>
      <c r="J55" s="1008"/>
      <c r="K55" s="1008"/>
      <c r="L55" s="1008"/>
      <c r="M55" s="1008"/>
      <c r="N55" s="1008"/>
      <c r="O55" s="1009"/>
    </row>
    <row r="56" spans="1:15" ht="16.2" customHeight="1" thickBot="1">
      <c r="A56" s="171" t="s">
        <v>383</v>
      </c>
      <c r="B56" s="104">
        <v>4.7239999999999997E-2</v>
      </c>
      <c r="C56" s="261">
        <f t="shared" si="10"/>
        <v>95.27600000000001</v>
      </c>
      <c r="H56" s="993" t="s">
        <v>484</v>
      </c>
      <c r="I56" s="994"/>
      <c r="J56" s="994"/>
      <c r="K56" s="994"/>
      <c r="L56" s="994"/>
      <c r="M56" s="1010">
        <v>0.3</v>
      </c>
      <c r="N56" s="1010"/>
      <c r="O56" s="1011"/>
    </row>
    <row r="57" spans="1:15" ht="15" thickBot="1">
      <c r="A57" s="171" t="s">
        <v>384</v>
      </c>
      <c r="B57" s="104">
        <v>4.641E-2</v>
      </c>
      <c r="C57" s="261">
        <f t="shared" si="10"/>
        <v>95.359000000000009</v>
      </c>
      <c r="H57" s="998" t="s">
        <v>225</v>
      </c>
      <c r="I57" s="999"/>
      <c r="J57" s="999"/>
      <c r="K57" s="1000"/>
      <c r="L57" s="998" t="s">
        <v>170</v>
      </c>
      <c r="M57" s="999"/>
      <c r="N57" s="999"/>
      <c r="O57" s="1000"/>
    </row>
    <row r="58" spans="1:15" ht="15" thickBot="1">
      <c r="A58" s="987" t="s">
        <v>219</v>
      </c>
      <c r="B58" s="988"/>
      <c r="C58" s="989"/>
      <c r="H58" s="586" t="s">
        <v>468</v>
      </c>
      <c r="I58" s="237" t="s">
        <v>475</v>
      </c>
      <c r="J58" s="237" t="s">
        <v>476</v>
      </c>
      <c r="K58" s="287" t="s">
        <v>478</v>
      </c>
      <c r="L58" s="586" t="s">
        <v>468</v>
      </c>
      <c r="M58" s="237" t="s">
        <v>475</v>
      </c>
      <c r="N58" s="237" t="s">
        <v>476</v>
      </c>
      <c r="O58" s="287" t="s">
        <v>478</v>
      </c>
    </row>
    <row r="59" spans="1:15">
      <c r="A59" s="586" t="s">
        <v>468</v>
      </c>
      <c r="B59" s="237" t="s">
        <v>463</v>
      </c>
      <c r="C59" s="287" t="s">
        <v>464</v>
      </c>
      <c r="H59" s="171" t="s">
        <v>333</v>
      </c>
      <c r="I59" s="104">
        <v>10.104896427177048</v>
      </c>
      <c r="J59" s="104">
        <f>100-I59</f>
        <v>89.895103572822947</v>
      </c>
      <c r="K59" s="261">
        <f t="shared" ref="K59:K66" si="11">$D$71/J59*100</f>
        <v>33.37222919566176</v>
      </c>
      <c r="L59" s="171" t="s">
        <v>335</v>
      </c>
      <c r="M59" s="104">
        <v>11.550665965741041</v>
      </c>
      <c r="N59" s="104">
        <f>100-M59</f>
        <v>88.449334034258953</v>
      </c>
      <c r="O59" s="261">
        <f>$D$71/N59*100</f>
        <v>33.917722872147507</v>
      </c>
    </row>
    <row r="60" spans="1:15">
      <c r="A60" s="171" t="s">
        <v>337</v>
      </c>
      <c r="B60" s="443">
        <v>3.2099999999999997E-2</v>
      </c>
      <c r="C60" s="556">
        <f>(1-B60)*100</f>
        <v>96.789999999999992</v>
      </c>
      <c r="H60" s="171" t="s">
        <v>334</v>
      </c>
      <c r="I60" s="104">
        <v>13.130216285605565</v>
      </c>
      <c r="J60" s="104">
        <f t="shared" ref="J60:J66" si="12">100-I60</f>
        <v>86.86978371439443</v>
      </c>
      <c r="K60" s="261">
        <f t="shared" si="11"/>
        <v>34.534447672429238</v>
      </c>
      <c r="L60" s="171" t="s">
        <v>336</v>
      </c>
      <c r="M60" s="104">
        <v>12.191717285328137</v>
      </c>
      <c r="N60" s="104">
        <f t="shared" ref="N60:N66" si="13">100-M60</f>
        <v>87.808282714671861</v>
      </c>
      <c r="O60" s="261">
        <f t="shared" ref="O60:O66" si="14">$D$71/N60*100</f>
        <v>34.1653418931826</v>
      </c>
    </row>
    <row r="61" spans="1:15">
      <c r="A61" s="171" t="s">
        <v>338</v>
      </c>
      <c r="B61" s="443">
        <v>3.2030000000000003E-2</v>
      </c>
      <c r="C61" s="556">
        <f t="shared" ref="C61:C67" si="15">(1-B61)*100</f>
        <v>96.796999999999997</v>
      </c>
      <c r="H61" s="171" t="s">
        <v>371</v>
      </c>
      <c r="I61" s="104">
        <v>19.7922618562807</v>
      </c>
      <c r="J61" s="104">
        <f t="shared" si="12"/>
        <v>80.207738143719297</v>
      </c>
      <c r="K61" s="261">
        <f t="shared" si="11"/>
        <v>37.402874952345435</v>
      </c>
      <c r="L61" s="171" t="s">
        <v>379</v>
      </c>
      <c r="M61" s="104">
        <v>19.15067227575398</v>
      </c>
      <c r="N61" s="104">
        <f t="shared" si="13"/>
        <v>80.849327724246024</v>
      </c>
      <c r="O61" s="261">
        <f t="shared" si="14"/>
        <v>37.106059932027428</v>
      </c>
    </row>
    <row r="62" spans="1:15">
      <c r="A62" s="171" t="s">
        <v>385</v>
      </c>
      <c r="B62" s="443">
        <v>4.1700000000000001E-2</v>
      </c>
      <c r="C62" s="556">
        <f t="shared" si="15"/>
        <v>95.83</v>
      </c>
      <c r="H62" s="171" t="s">
        <v>372</v>
      </c>
      <c r="I62" s="104">
        <v>26.7588007757229</v>
      </c>
      <c r="J62" s="104">
        <f t="shared" si="12"/>
        <v>73.241199224277096</v>
      </c>
      <c r="K62" s="261">
        <f t="shared" si="11"/>
        <v>40.960552691299959</v>
      </c>
      <c r="L62" s="171" t="s">
        <v>380</v>
      </c>
      <c r="M62" s="104">
        <v>27.227829469572765</v>
      </c>
      <c r="N62" s="104">
        <f t="shared" si="13"/>
        <v>72.772170530427232</v>
      </c>
      <c r="O62" s="261">
        <f t="shared" si="14"/>
        <v>41.224550238551025</v>
      </c>
    </row>
    <row r="63" spans="1:15">
      <c r="A63" s="171" t="s">
        <v>386</v>
      </c>
      <c r="B63" s="443">
        <v>4.0529999999999997E-2</v>
      </c>
      <c r="C63" s="556">
        <f t="shared" si="15"/>
        <v>95.947000000000003</v>
      </c>
      <c r="H63" s="171" t="s">
        <v>373</v>
      </c>
      <c r="I63" s="104">
        <v>31.734412744513559</v>
      </c>
      <c r="J63" s="104">
        <f t="shared" si="12"/>
        <v>68.265587255486437</v>
      </c>
      <c r="K63" s="261">
        <f t="shared" si="11"/>
        <v>43.946007360522529</v>
      </c>
      <c r="L63" s="171" t="s">
        <v>381</v>
      </c>
      <c r="M63" s="104">
        <v>29.938004293730586</v>
      </c>
      <c r="N63" s="104">
        <f t="shared" si="13"/>
        <v>70.061995706269414</v>
      </c>
      <c r="O63" s="261">
        <f t="shared" si="14"/>
        <v>42.819219888872631</v>
      </c>
    </row>
    <row r="64" spans="1:15">
      <c r="A64" s="171" t="s">
        <v>387</v>
      </c>
      <c r="B64" s="443">
        <v>4.5089999999999998E-2</v>
      </c>
      <c r="C64" s="556">
        <f t="shared" si="15"/>
        <v>95.491</v>
      </c>
      <c r="H64" s="171" t="s">
        <v>374</v>
      </c>
      <c r="I64" s="104">
        <v>33.825100445260489</v>
      </c>
      <c r="J64" s="104">
        <f t="shared" si="12"/>
        <v>66.174899554739511</v>
      </c>
      <c r="K64" s="261">
        <f t="shared" si="11"/>
        <v>45.334409575014419</v>
      </c>
      <c r="L64" s="171" t="s">
        <v>382</v>
      </c>
      <c r="M64" s="104">
        <v>35.114588827230754</v>
      </c>
      <c r="N64" s="104">
        <f t="shared" si="13"/>
        <v>64.885411172769238</v>
      </c>
      <c r="O64" s="261">
        <f t="shared" si="14"/>
        <v>46.235354693398691</v>
      </c>
    </row>
    <row r="65" spans="1:15">
      <c r="A65" s="171" t="s">
        <v>388</v>
      </c>
      <c r="B65" s="443">
        <v>4.333E-2</v>
      </c>
      <c r="C65" s="556">
        <f t="shared" si="15"/>
        <v>95.667000000000002</v>
      </c>
      <c r="H65" s="171" t="s">
        <v>375</v>
      </c>
      <c r="I65" s="104">
        <v>43.090357961087719</v>
      </c>
      <c r="J65" s="104">
        <f t="shared" si="12"/>
        <v>56.909642038912281</v>
      </c>
      <c r="K65" s="261">
        <f t="shared" si="11"/>
        <v>52.71514443806786</v>
      </c>
      <c r="L65" s="171" t="s">
        <v>383</v>
      </c>
      <c r="M65" s="104">
        <v>41.633134300421645</v>
      </c>
      <c r="N65" s="104">
        <f t="shared" si="13"/>
        <v>58.366865699578355</v>
      </c>
      <c r="O65" s="261">
        <f t="shared" si="14"/>
        <v>51.399025183935343</v>
      </c>
    </row>
    <row r="66" spans="1:15" ht="15" thickBot="1">
      <c r="A66" s="171" t="s">
        <v>389</v>
      </c>
      <c r="B66" s="443">
        <v>4.6789999999999998E-2</v>
      </c>
      <c r="C66" s="556">
        <f t="shared" si="15"/>
        <v>95.320999999999998</v>
      </c>
      <c r="H66" s="177" t="s">
        <v>376</v>
      </c>
      <c r="I66" s="178">
        <v>46.639627113417603</v>
      </c>
      <c r="J66" s="178">
        <f t="shared" si="12"/>
        <v>53.360372886582397</v>
      </c>
      <c r="K66" s="265">
        <f t="shared" si="11"/>
        <v>56.22149617238447</v>
      </c>
      <c r="L66" s="177" t="s">
        <v>384</v>
      </c>
      <c r="M66" s="178">
        <v>46.830219487455565</v>
      </c>
      <c r="N66" s="178">
        <f t="shared" si="13"/>
        <v>53.169780512544435</v>
      </c>
      <c r="O66" s="265">
        <f t="shared" si="14"/>
        <v>56.423027725160637</v>
      </c>
    </row>
    <row r="67" spans="1:15" ht="15" thickBot="1">
      <c r="A67" s="177" t="s">
        <v>390</v>
      </c>
      <c r="B67" s="554">
        <v>4.5519999999999998E-2</v>
      </c>
      <c r="C67" s="555">
        <f t="shared" si="15"/>
        <v>95.447999999999993</v>
      </c>
      <c r="J67" s="998" t="s">
        <v>219</v>
      </c>
      <c r="K67" s="999"/>
      <c r="L67" s="999"/>
      <c r="M67" s="1000"/>
    </row>
    <row r="68" spans="1:15">
      <c r="J68" s="586" t="s">
        <v>468</v>
      </c>
      <c r="K68" s="237" t="s">
        <v>475</v>
      </c>
      <c r="L68" s="237" t="s">
        <v>476</v>
      </c>
      <c r="M68" s="287" t="s">
        <v>478</v>
      </c>
    </row>
    <row r="69" spans="1:15" ht="15" thickBot="1">
      <c r="J69" s="171" t="s">
        <v>337</v>
      </c>
      <c r="K69" s="104">
        <v>10.845335016608322</v>
      </c>
      <c r="L69" s="104">
        <f t="shared" ref="L69:L76" si="16">100-K69</f>
        <v>89.154664983391683</v>
      </c>
      <c r="M69" s="261">
        <f t="shared" ref="M69:M76" si="17">$D$71/L69*100</f>
        <v>33.649388964210225</v>
      </c>
    </row>
    <row r="70" spans="1:15" ht="15" thickBot="1">
      <c r="A70" s="990" t="s">
        <v>470</v>
      </c>
      <c r="B70" s="991"/>
      <c r="C70" s="991"/>
      <c r="D70" s="992"/>
      <c r="J70" s="171" t="s">
        <v>338</v>
      </c>
      <c r="K70" s="104">
        <v>10.555963789093047</v>
      </c>
      <c r="L70" s="104">
        <f t="shared" si="16"/>
        <v>89.444036210906958</v>
      </c>
      <c r="M70" s="261">
        <f t="shared" si="17"/>
        <v>33.540525753176766</v>
      </c>
    </row>
    <row r="71" spans="1:15" ht="15.6" customHeight="1" thickBot="1">
      <c r="A71" s="1001" t="s">
        <v>477</v>
      </c>
      <c r="B71" s="1002"/>
      <c r="C71" s="1002"/>
      <c r="D71" s="605">
        <v>30</v>
      </c>
      <c r="J71" s="171" t="s">
        <v>385</v>
      </c>
      <c r="K71" s="104">
        <v>16.956748226226896</v>
      </c>
      <c r="L71" s="104">
        <f t="shared" si="16"/>
        <v>83.043251773773108</v>
      </c>
      <c r="M71" s="261">
        <f t="shared" si="17"/>
        <v>36.125752977166847</v>
      </c>
    </row>
    <row r="72" spans="1:15">
      <c r="A72" s="998" t="s">
        <v>225</v>
      </c>
      <c r="B72" s="999"/>
      <c r="C72" s="999"/>
      <c r="D72" s="1000"/>
      <c r="J72" s="171" t="s">
        <v>386</v>
      </c>
      <c r="K72" s="104">
        <v>21.748967099086034</v>
      </c>
      <c r="L72" s="104">
        <f t="shared" si="16"/>
        <v>78.25103290091397</v>
      </c>
      <c r="M72" s="261">
        <f t="shared" si="17"/>
        <v>38.338152082909566</v>
      </c>
    </row>
    <row r="73" spans="1:15">
      <c r="A73" s="586" t="s">
        <v>468</v>
      </c>
      <c r="B73" s="237" t="s">
        <v>475</v>
      </c>
      <c r="C73" s="237" t="s">
        <v>476</v>
      </c>
      <c r="D73" s="287" t="s">
        <v>478</v>
      </c>
      <c r="J73" s="171" t="s">
        <v>387</v>
      </c>
      <c r="K73" s="104">
        <v>27.841641075514048</v>
      </c>
      <c r="L73" s="104">
        <f t="shared" si="16"/>
        <v>72.158358924485952</v>
      </c>
      <c r="M73" s="261">
        <f t="shared" si="17"/>
        <v>41.575224890293214</v>
      </c>
    </row>
    <row r="74" spans="1:15">
      <c r="A74" s="171" t="s">
        <v>333</v>
      </c>
      <c r="B74">
        <v>10.104896427177048</v>
      </c>
      <c r="C74">
        <f>100-B74</f>
        <v>89.895103572822947</v>
      </c>
      <c r="D74" s="81">
        <f t="shared" ref="D74:D81" si="18">$D$71/C74*100</f>
        <v>33.37222919566176</v>
      </c>
      <c r="J74" s="171" t="s">
        <v>388</v>
      </c>
      <c r="K74" s="104">
        <v>33.731382136837269</v>
      </c>
      <c r="L74" s="104">
        <f t="shared" si="16"/>
        <v>66.268617863162731</v>
      </c>
      <c r="M74" s="261">
        <f t="shared" si="17"/>
        <v>45.270296812205494</v>
      </c>
    </row>
    <row r="75" spans="1:15">
      <c r="A75" s="171" t="s">
        <v>334</v>
      </c>
      <c r="B75">
        <v>13.130216285605565</v>
      </c>
      <c r="C75">
        <f t="shared" ref="C75:C81" si="19">100-B75</f>
        <v>86.86978371439443</v>
      </c>
      <c r="D75" s="81">
        <f t="shared" si="18"/>
        <v>34.534447672429238</v>
      </c>
      <c r="J75" s="171" t="s">
        <v>389</v>
      </c>
      <c r="K75" s="104">
        <v>40.535370926800397</v>
      </c>
      <c r="L75" s="104">
        <f t="shared" si="16"/>
        <v>59.464629073199603</v>
      </c>
      <c r="M75" s="261">
        <f t="shared" si="17"/>
        <v>50.450159140941899</v>
      </c>
    </row>
    <row r="76" spans="1:15" ht="15" thickBot="1">
      <c r="A76" s="171" t="s">
        <v>371</v>
      </c>
      <c r="B76">
        <v>19.7922618562807</v>
      </c>
      <c r="C76">
        <f t="shared" si="19"/>
        <v>80.207738143719297</v>
      </c>
      <c r="D76" s="81">
        <f t="shared" si="18"/>
        <v>37.402874952345435</v>
      </c>
      <c r="J76" s="177" t="s">
        <v>390</v>
      </c>
      <c r="K76" s="178">
        <v>45.384170733127881</v>
      </c>
      <c r="L76" s="178">
        <f t="shared" si="16"/>
        <v>54.615829266872119</v>
      </c>
      <c r="M76" s="265">
        <f t="shared" si="17"/>
        <v>54.929130258939153</v>
      </c>
    </row>
    <row r="77" spans="1:15">
      <c r="A77" s="171" t="s">
        <v>372</v>
      </c>
      <c r="B77">
        <v>26.7588007757229</v>
      </c>
      <c r="C77">
        <f t="shared" si="19"/>
        <v>73.241199224277096</v>
      </c>
      <c r="D77" s="81">
        <f t="shared" si="18"/>
        <v>40.960552691299959</v>
      </c>
    </row>
    <row r="78" spans="1:15">
      <c r="A78" s="171" t="s">
        <v>373</v>
      </c>
      <c r="B78">
        <v>31.734412744513559</v>
      </c>
      <c r="C78">
        <f t="shared" si="19"/>
        <v>68.265587255486437</v>
      </c>
      <c r="D78" s="81">
        <f t="shared" si="18"/>
        <v>43.946007360522529</v>
      </c>
    </row>
    <row r="79" spans="1:15">
      <c r="A79" s="171" t="s">
        <v>374</v>
      </c>
      <c r="B79">
        <v>33.825100445260489</v>
      </c>
      <c r="C79">
        <f t="shared" si="19"/>
        <v>66.174899554739511</v>
      </c>
      <c r="D79" s="81">
        <f t="shared" si="18"/>
        <v>45.334409575014419</v>
      </c>
    </row>
    <row r="80" spans="1:15">
      <c r="A80" s="171" t="s">
        <v>375</v>
      </c>
      <c r="B80">
        <v>43.090357961087719</v>
      </c>
      <c r="C80">
        <f t="shared" si="19"/>
        <v>56.909642038912281</v>
      </c>
      <c r="D80" s="81">
        <f t="shared" si="18"/>
        <v>52.71514443806786</v>
      </c>
    </row>
    <row r="81" spans="1:15" ht="15" thickBot="1">
      <c r="A81" s="177" t="s">
        <v>376</v>
      </c>
      <c r="B81" s="115">
        <v>46.639627113417603</v>
      </c>
      <c r="C81" s="115">
        <f t="shared" si="19"/>
        <v>53.360372886582397</v>
      </c>
      <c r="D81" s="116">
        <f t="shared" si="18"/>
        <v>56.22149617238447</v>
      </c>
    </row>
    <row r="82" spans="1:15">
      <c r="A82" s="998" t="s">
        <v>170</v>
      </c>
      <c r="B82" s="999"/>
      <c r="C82" s="999"/>
      <c r="D82" s="1000"/>
    </row>
    <row r="83" spans="1:15">
      <c r="A83" s="586" t="s">
        <v>468</v>
      </c>
      <c r="B83" s="237" t="s">
        <v>475</v>
      </c>
      <c r="C83" s="237" t="s">
        <v>476</v>
      </c>
      <c r="D83" s="287" t="s">
        <v>478</v>
      </c>
    </row>
    <row r="84" spans="1:15">
      <c r="A84" s="171" t="s">
        <v>335</v>
      </c>
      <c r="B84">
        <v>11.550665965741041</v>
      </c>
      <c r="C84">
        <f>100-B84</f>
        <v>88.449334034258953</v>
      </c>
      <c r="D84" s="81">
        <f>$D$71/C84*100</f>
        <v>33.917722872147507</v>
      </c>
      <c r="H84" s="928" t="s">
        <v>284</v>
      </c>
      <c r="I84" s="928"/>
      <c r="J84" s="928"/>
      <c r="K84" s="928"/>
      <c r="L84" s="928"/>
      <c r="M84" s="928"/>
      <c r="N84" s="928"/>
      <c r="O84" s="928"/>
    </row>
    <row r="85" spans="1:15">
      <c r="A85" s="171" t="s">
        <v>336</v>
      </c>
      <c r="B85">
        <v>12.191717285328137</v>
      </c>
      <c r="C85">
        <f t="shared" ref="C85:C91" si="20">100-B85</f>
        <v>87.808282714671861</v>
      </c>
      <c r="D85" s="81">
        <f t="shared" ref="D85:D91" si="21">$D$71/C85*100</f>
        <v>34.1653418931826</v>
      </c>
      <c r="H85" s="929"/>
      <c r="I85" s="929"/>
      <c r="J85" s="857" t="s">
        <v>225</v>
      </c>
      <c r="K85" s="857"/>
      <c r="L85" s="857" t="s">
        <v>170</v>
      </c>
      <c r="M85" s="857"/>
      <c r="N85" s="857" t="s">
        <v>171</v>
      </c>
      <c r="O85" s="857"/>
    </row>
    <row r="86" spans="1:15">
      <c r="A86" s="171" t="s">
        <v>379</v>
      </c>
      <c r="B86">
        <v>19.15067227575398</v>
      </c>
      <c r="C86">
        <f t="shared" si="20"/>
        <v>80.849327724246024</v>
      </c>
      <c r="D86" s="81">
        <f t="shared" si="21"/>
        <v>37.106059932027428</v>
      </c>
      <c r="H86" s="795" t="s">
        <v>281</v>
      </c>
      <c r="I86" s="796"/>
      <c r="J86" s="795" t="s">
        <v>282</v>
      </c>
      <c r="K86" s="796"/>
      <c r="L86" s="795" t="s">
        <v>282</v>
      </c>
      <c r="M86" s="796"/>
      <c r="N86" s="795" t="s">
        <v>282</v>
      </c>
      <c r="O86" s="796"/>
    </row>
    <row r="87" spans="1:15">
      <c r="A87" s="171" t="s">
        <v>380</v>
      </c>
      <c r="B87">
        <v>27.227829469572765</v>
      </c>
      <c r="C87">
        <f t="shared" si="20"/>
        <v>72.772170530427232</v>
      </c>
      <c r="D87" s="81">
        <f t="shared" si="21"/>
        <v>41.224550238551025</v>
      </c>
      <c r="H87" s="792">
        <v>200</v>
      </c>
      <c r="I87" s="793"/>
      <c r="J87" s="799">
        <v>10.104896427177048</v>
      </c>
      <c r="K87" s="800"/>
      <c r="L87" s="799">
        <v>11.550665965741041</v>
      </c>
      <c r="M87" s="800"/>
      <c r="N87" s="799">
        <v>10.845335016608322</v>
      </c>
      <c r="O87" s="800"/>
    </row>
    <row r="88" spans="1:15">
      <c r="A88" s="171" t="s">
        <v>381</v>
      </c>
      <c r="B88">
        <v>29.938004293730586</v>
      </c>
      <c r="C88">
        <f t="shared" si="20"/>
        <v>70.061995706269414</v>
      </c>
      <c r="D88" s="81">
        <f t="shared" si="21"/>
        <v>42.819219888872631</v>
      </c>
      <c r="H88" s="792">
        <v>250</v>
      </c>
      <c r="I88" s="793"/>
      <c r="J88" s="799">
        <v>19.7922618562807</v>
      </c>
      <c r="K88" s="800"/>
      <c r="L88" s="799">
        <v>19.15067227575398</v>
      </c>
      <c r="M88" s="800"/>
      <c r="N88" s="799">
        <v>16.956748226226896</v>
      </c>
      <c r="O88" s="800"/>
    </row>
    <row r="89" spans="1:15">
      <c r="A89" s="171" t="s">
        <v>382</v>
      </c>
      <c r="B89">
        <v>35.114588827230754</v>
      </c>
      <c r="C89">
        <f t="shared" si="20"/>
        <v>64.885411172769238</v>
      </c>
      <c r="D89" s="81">
        <f t="shared" si="21"/>
        <v>46.235354693398691</v>
      </c>
      <c r="H89" s="792">
        <v>275</v>
      </c>
      <c r="I89" s="793"/>
      <c r="J89" s="804">
        <v>31.734412744513559</v>
      </c>
      <c r="K89" s="805"/>
      <c r="L89" s="804">
        <v>29.938004293730586</v>
      </c>
      <c r="M89" s="805"/>
      <c r="N89" s="804">
        <v>27.841641075514048</v>
      </c>
      <c r="O89" s="805"/>
    </row>
    <row r="90" spans="1:15">
      <c r="A90" s="171" t="s">
        <v>383</v>
      </c>
      <c r="B90">
        <v>41.633134300421645</v>
      </c>
      <c r="C90">
        <f t="shared" si="20"/>
        <v>58.366865699578355</v>
      </c>
      <c r="D90" s="81">
        <f t="shared" si="21"/>
        <v>51.399025183935343</v>
      </c>
      <c r="H90" s="792">
        <v>300</v>
      </c>
      <c r="I90" s="793"/>
      <c r="J90" s="804">
        <v>43.090357961087719</v>
      </c>
      <c r="K90" s="805"/>
      <c r="L90" s="804">
        <v>41.633134300421645</v>
      </c>
      <c r="M90" s="943"/>
      <c r="N90" s="954">
        <v>40.535370926800397</v>
      </c>
      <c r="O90" s="805"/>
    </row>
    <row r="91" spans="1:15" ht="15" thickBot="1">
      <c r="A91" s="177" t="s">
        <v>384</v>
      </c>
      <c r="B91" s="115">
        <v>46.830219487455565</v>
      </c>
      <c r="C91" s="115">
        <f t="shared" si="20"/>
        <v>53.169780512544435</v>
      </c>
      <c r="D91" s="116">
        <f t="shared" si="21"/>
        <v>56.423027725160637</v>
      </c>
    </row>
    <row r="92" spans="1:15">
      <c r="A92" s="998" t="s">
        <v>219</v>
      </c>
      <c r="B92" s="999"/>
      <c r="C92" s="999"/>
      <c r="D92" s="1000"/>
    </row>
    <row r="93" spans="1:15">
      <c r="A93" s="586" t="s">
        <v>468</v>
      </c>
      <c r="B93" s="237" t="s">
        <v>475</v>
      </c>
      <c r="C93" s="237" t="s">
        <v>476</v>
      </c>
      <c r="D93" s="287" t="s">
        <v>478</v>
      </c>
      <c r="H93" s="928" t="s">
        <v>283</v>
      </c>
      <c r="I93" s="928"/>
      <c r="J93" s="928"/>
      <c r="K93" s="928"/>
      <c r="L93" s="928"/>
      <c r="M93" s="928"/>
      <c r="N93" s="928"/>
      <c r="O93" s="928"/>
    </row>
    <row r="94" spans="1:15">
      <c r="A94" s="171" t="s">
        <v>337</v>
      </c>
      <c r="B94">
        <v>10.845335016608322</v>
      </c>
      <c r="C94">
        <f>100-B94</f>
        <v>89.154664983391683</v>
      </c>
      <c r="D94" s="81">
        <f>$D$71/C94*100</f>
        <v>33.649388964210225</v>
      </c>
      <c r="H94" s="929"/>
      <c r="I94" s="929"/>
      <c r="J94" s="857" t="s">
        <v>225</v>
      </c>
      <c r="K94" s="857"/>
      <c r="L94" s="857" t="s">
        <v>170</v>
      </c>
      <c r="M94" s="857"/>
      <c r="N94" s="857" t="s">
        <v>171</v>
      </c>
      <c r="O94" s="857"/>
    </row>
    <row r="95" spans="1:15">
      <c r="A95" s="171" t="s">
        <v>338</v>
      </c>
      <c r="B95">
        <v>10.555963789093047</v>
      </c>
      <c r="C95">
        <f t="shared" ref="C95:C101" si="22">100-B95</f>
        <v>89.444036210906958</v>
      </c>
      <c r="D95" s="81">
        <f t="shared" ref="D95:D101" si="23">$D$71/C95*100</f>
        <v>33.540525753176766</v>
      </c>
      <c r="H95" s="795" t="s">
        <v>281</v>
      </c>
      <c r="I95" s="796"/>
      <c r="J95" s="795" t="s">
        <v>282</v>
      </c>
      <c r="K95" s="796"/>
      <c r="L95" s="795" t="s">
        <v>282</v>
      </c>
      <c r="M95" s="796"/>
      <c r="N95" s="795" t="s">
        <v>282</v>
      </c>
      <c r="O95" s="796"/>
    </row>
    <row r="96" spans="1:15">
      <c r="A96" s="171" t="s">
        <v>385</v>
      </c>
      <c r="B96">
        <v>16.956748226226896</v>
      </c>
      <c r="C96">
        <f t="shared" si="22"/>
        <v>83.043251773773108</v>
      </c>
      <c r="D96" s="81">
        <f t="shared" si="23"/>
        <v>36.125752977166847</v>
      </c>
      <c r="H96" s="792">
        <v>200</v>
      </c>
      <c r="I96" s="793"/>
      <c r="J96" s="799">
        <v>13.130216285605565</v>
      </c>
      <c r="K96" s="800"/>
      <c r="L96" s="799">
        <v>12.191717285328137</v>
      </c>
      <c r="M96" s="800"/>
      <c r="N96" s="799">
        <v>10.555963789093047</v>
      </c>
      <c r="O96" s="800"/>
    </row>
    <row r="97" spans="1:15">
      <c r="A97" s="171" t="s">
        <v>386</v>
      </c>
      <c r="B97">
        <v>21.748967099086034</v>
      </c>
      <c r="C97">
        <f t="shared" si="22"/>
        <v>78.25103290091397</v>
      </c>
      <c r="D97" s="81">
        <f t="shared" si="23"/>
        <v>38.338152082909566</v>
      </c>
      <c r="H97" s="792">
        <v>250</v>
      </c>
      <c r="I97" s="793"/>
      <c r="J97" s="799">
        <v>26.7588007757229</v>
      </c>
      <c r="K97" s="800"/>
      <c r="L97" s="799">
        <v>27.227829469572765</v>
      </c>
      <c r="M97" s="800"/>
      <c r="N97" s="799">
        <v>21.748967099086034</v>
      </c>
      <c r="O97" s="800"/>
    </row>
    <row r="98" spans="1:15">
      <c r="A98" s="171" t="s">
        <v>387</v>
      </c>
      <c r="B98">
        <v>27.841641075514048</v>
      </c>
      <c r="C98">
        <f t="shared" si="22"/>
        <v>72.158358924485952</v>
      </c>
      <c r="D98" s="81">
        <f t="shared" si="23"/>
        <v>41.575224890293214</v>
      </c>
      <c r="H98" s="792">
        <v>275</v>
      </c>
      <c r="I98" s="793"/>
      <c r="J98" s="804">
        <v>33.825100445260489</v>
      </c>
      <c r="K98" s="805"/>
      <c r="L98" s="804">
        <v>35.114588827230754</v>
      </c>
      <c r="M98" s="805"/>
      <c r="N98" s="804">
        <v>33.731382136837269</v>
      </c>
      <c r="O98" s="805"/>
    </row>
    <row r="99" spans="1:15">
      <c r="A99" s="171" t="s">
        <v>388</v>
      </c>
      <c r="B99">
        <v>33.731382136837269</v>
      </c>
      <c r="C99">
        <f t="shared" si="22"/>
        <v>66.268617863162731</v>
      </c>
      <c r="D99" s="81">
        <f t="shared" si="23"/>
        <v>45.270296812205494</v>
      </c>
      <c r="H99" s="792">
        <v>300</v>
      </c>
      <c r="I99" s="793"/>
      <c r="J99" s="804">
        <v>46.639627113417603</v>
      </c>
      <c r="K99" s="805"/>
      <c r="L99" s="804">
        <v>46.830219487455565</v>
      </c>
      <c r="M99" s="943"/>
      <c r="N99" s="954">
        <v>45.384170733127881</v>
      </c>
      <c r="O99" s="805"/>
    </row>
    <row r="100" spans="1:15">
      <c r="A100" s="171" t="s">
        <v>389</v>
      </c>
      <c r="B100">
        <v>40.535370926800397</v>
      </c>
      <c r="C100">
        <f t="shared" si="22"/>
        <v>59.464629073199603</v>
      </c>
      <c r="D100" s="81">
        <f t="shared" si="23"/>
        <v>50.450159140941899</v>
      </c>
    </row>
    <row r="101" spans="1:15" ht="15" thickBot="1">
      <c r="A101" s="177" t="s">
        <v>390</v>
      </c>
      <c r="B101" s="115">
        <v>45.384170733127881</v>
      </c>
      <c r="C101" s="115">
        <f t="shared" si="22"/>
        <v>54.615829266872119</v>
      </c>
      <c r="D101" s="116">
        <f t="shared" si="23"/>
        <v>54.929130258939153</v>
      </c>
    </row>
    <row r="105" spans="1:15" ht="15" thickBot="1"/>
    <row r="106" spans="1:15" ht="15" thickBot="1">
      <c r="A106" s="990" t="s">
        <v>479</v>
      </c>
      <c r="B106" s="991"/>
      <c r="C106" s="991"/>
      <c r="D106" s="992"/>
      <c r="H106" s="990" t="s">
        <v>479</v>
      </c>
      <c r="I106" s="991"/>
      <c r="J106" s="991"/>
      <c r="K106" s="991"/>
      <c r="L106" s="991"/>
      <c r="M106" s="991"/>
      <c r="N106" s="991"/>
      <c r="O106" s="992"/>
    </row>
    <row r="107" spans="1:15" ht="28.2" customHeight="1" thickBot="1">
      <c r="A107" s="1001" t="s">
        <v>481</v>
      </c>
      <c r="B107" s="1002"/>
      <c r="C107" s="1002"/>
      <c r="D107" s="605">
        <v>5.2545000000000002</v>
      </c>
      <c r="H107" s="1003" t="s">
        <v>483</v>
      </c>
      <c r="I107" s="1004"/>
      <c r="J107" s="1004"/>
      <c r="K107" s="1004"/>
      <c r="L107" s="1004"/>
      <c r="M107" s="1005">
        <v>5.2545000000000001E-2</v>
      </c>
      <c r="N107" s="1005"/>
      <c r="O107" s="1006"/>
    </row>
    <row r="108" spans="1:15">
      <c r="A108" s="998" t="s">
        <v>225</v>
      </c>
      <c r="B108" s="999"/>
      <c r="C108" s="999"/>
      <c r="D108" s="1000"/>
      <c r="H108" s="995" t="s">
        <v>225</v>
      </c>
      <c r="I108" s="996"/>
      <c r="J108" s="996"/>
      <c r="K108" s="997"/>
      <c r="L108" s="995" t="s">
        <v>170</v>
      </c>
      <c r="M108" s="996"/>
      <c r="N108" s="996"/>
      <c r="O108" s="997"/>
    </row>
    <row r="109" spans="1:15">
      <c r="A109" s="586" t="s">
        <v>468</v>
      </c>
      <c r="B109" s="237" t="s">
        <v>319</v>
      </c>
      <c r="C109" s="237" t="s">
        <v>480</v>
      </c>
      <c r="D109" s="287" t="s">
        <v>482</v>
      </c>
      <c r="H109" s="586" t="s">
        <v>468</v>
      </c>
      <c r="I109" s="237" t="s">
        <v>319</v>
      </c>
      <c r="J109" s="237" t="s">
        <v>480</v>
      </c>
      <c r="K109" s="287" t="s">
        <v>482</v>
      </c>
      <c r="L109" s="586" t="s">
        <v>468</v>
      </c>
      <c r="M109" s="237" t="s">
        <v>319</v>
      </c>
      <c r="N109" s="237" t="s">
        <v>480</v>
      </c>
      <c r="O109" s="287" t="s">
        <v>482</v>
      </c>
    </row>
    <row r="110" spans="1:15">
      <c r="A110" s="171" t="s">
        <v>333</v>
      </c>
      <c r="B110">
        <v>2.3824148684371949</v>
      </c>
      <c r="C110">
        <f t="shared" ref="C110:C117" si="24">B110/$D$107*100</f>
        <v>45.340467569458461</v>
      </c>
      <c r="D110" s="81">
        <f>100-C110</f>
        <v>54.659532430541539</v>
      </c>
      <c r="H110" s="171" t="s">
        <v>333</v>
      </c>
      <c r="I110">
        <v>2.3824148684371949</v>
      </c>
      <c r="J110">
        <f t="shared" ref="J110:J117" si="25">I110/$D$107*100</f>
        <v>45.340467569458461</v>
      </c>
      <c r="K110" s="81">
        <f>100-J110</f>
        <v>54.659532430541539</v>
      </c>
      <c r="L110" s="171" t="s">
        <v>335</v>
      </c>
      <c r="M110">
        <v>5.5957198009424225</v>
      </c>
      <c r="N110">
        <f t="shared" ref="N110:N117" si="26">M110/$D$107*100</f>
        <v>106.49385861532824</v>
      </c>
      <c r="O110" s="81">
        <f>100-N110</f>
        <v>-6.4938586153282358</v>
      </c>
    </row>
    <row r="111" spans="1:15">
      <c r="A111" s="171" t="s">
        <v>334</v>
      </c>
      <c r="B111">
        <v>2.2019243389062888</v>
      </c>
      <c r="C111">
        <f>B111/$D$107*100</f>
        <v>41.905496981754467</v>
      </c>
      <c r="D111" s="81">
        <f t="shared" ref="D111:D117" si="27">100-C111</f>
        <v>58.094503018245533</v>
      </c>
      <c r="H111" s="171" t="s">
        <v>334</v>
      </c>
      <c r="I111">
        <v>2.2019243389062888</v>
      </c>
      <c r="J111">
        <f t="shared" si="25"/>
        <v>41.905496981754467</v>
      </c>
      <c r="K111" s="81">
        <f t="shared" ref="K111:K117" si="28">100-J111</f>
        <v>58.094503018245533</v>
      </c>
      <c r="L111" s="171" t="s">
        <v>336</v>
      </c>
      <c r="M111">
        <v>5.0413295529085778</v>
      </c>
      <c r="N111">
        <f t="shared" si="26"/>
        <v>95.943087884833517</v>
      </c>
      <c r="O111" s="81">
        <f t="shared" ref="O111:O117" si="29">100-N111</f>
        <v>4.0569121151664831</v>
      </c>
    </row>
    <row r="112" spans="1:15">
      <c r="A112" s="171" t="s">
        <v>371</v>
      </c>
      <c r="B112">
        <v>2.1472653977451919</v>
      </c>
      <c r="C112">
        <f t="shared" si="24"/>
        <v>40.865265919596382</v>
      </c>
      <c r="D112" s="81">
        <f t="shared" si="27"/>
        <v>59.134734080403618</v>
      </c>
      <c r="H112" s="171" t="s">
        <v>371</v>
      </c>
      <c r="I112">
        <v>2.1472653977451919</v>
      </c>
      <c r="J112">
        <f t="shared" si="25"/>
        <v>40.865265919596382</v>
      </c>
      <c r="K112" s="81">
        <f t="shared" si="28"/>
        <v>59.134734080403618</v>
      </c>
      <c r="L112" s="171" t="s">
        <v>379</v>
      </c>
      <c r="M112">
        <v>3.2268701070068033</v>
      </c>
      <c r="N112">
        <f t="shared" si="26"/>
        <v>61.411554039524276</v>
      </c>
      <c r="O112" s="81">
        <f t="shared" si="29"/>
        <v>38.588445960475724</v>
      </c>
    </row>
    <row r="113" spans="1:15">
      <c r="A113" s="171" t="s">
        <v>372</v>
      </c>
      <c r="B113">
        <v>2.1979944340526347</v>
      </c>
      <c r="C113">
        <f t="shared" si="24"/>
        <v>41.83070575797192</v>
      </c>
      <c r="D113" s="81">
        <f t="shared" si="27"/>
        <v>58.16929424202808</v>
      </c>
      <c r="H113" s="171" t="s">
        <v>372</v>
      </c>
      <c r="I113">
        <v>2.1979944340526347</v>
      </c>
      <c r="J113">
        <f t="shared" si="25"/>
        <v>41.83070575797192</v>
      </c>
      <c r="K113" s="81">
        <f t="shared" si="28"/>
        <v>58.16929424202808</v>
      </c>
      <c r="L113" s="171" t="s">
        <v>380</v>
      </c>
      <c r="M113">
        <v>2.9906121695392378</v>
      </c>
      <c r="N113">
        <f t="shared" si="26"/>
        <v>56.915256818712301</v>
      </c>
      <c r="O113" s="81">
        <f t="shared" si="29"/>
        <v>43.084743181287699</v>
      </c>
    </row>
    <row r="114" spans="1:15">
      <c r="A114" s="171" t="s">
        <v>373</v>
      </c>
      <c r="B114">
        <v>2.6501709082776341</v>
      </c>
      <c r="C114">
        <f t="shared" si="24"/>
        <v>50.436214830671503</v>
      </c>
      <c r="D114" s="81">
        <f t="shared" si="27"/>
        <v>49.563785169328497</v>
      </c>
      <c r="H114" s="171" t="s">
        <v>373</v>
      </c>
      <c r="I114">
        <v>2.6501709082776341</v>
      </c>
      <c r="J114">
        <f t="shared" si="25"/>
        <v>50.436214830671503</v>
      </c>
      <c r="K114" s="81">
        <f t="shared" si="28"/>
        <v>49.563785169328497</v>
      </c>
      <c r="L114" s="171" t="s">
        <v>381</v>
      </c>
      <c r="M114">
        <v>2.6124350309507949</v>
      </c>
      <c r="N114">
        <f t="shared" si="26"/>
        <v>49.718051783248548</v>
      </c>
      <c r="O114" s="81">
        <f t="shared" si="29"/>
        <v>50.281948216751452</v>
      </c>
    </row>
    <row r="115" spans="1:15">
      <c r="A115" s="171" t="s">
        <v>374</v>
      </c>
      <c r="B115">
        <v>2.8883758175282144</v>
      </c>
      <c r="C115">
        <f t="shared" si="24"/>
        <v>54.969565468231309</v>
      </c>
      <c r="D115" s="81">
        <f t="shared" si="27"/>
        <v>45.030434531768691</v>
      </c>
      <c r="H115" s="171" t="s">
        <v>374</v>
      </c>
      <c r="I115">
        <v>2.8883758175282144</v>
      </c>
      <c r="J115">
        <f t="shared" si="25"/>
        <v>54.969565468231309</v>
      </c>
      <c r="K115" s="81">
        <f t="shared" si="28"/>
        <v>45.030434531768691</v>
      </c>
      <c r="L115" s="171" t="s">
        <v>382</v>
      </c>
      <c r="M115">
        <v>3.3210140953198142</v>
      </c>
      <c r="N115">
        <f t="shared" si="26"/>
        <v>63.203237136165455</v>
      </c>
      <c r="O115" s="81">
        <f t="shared" si="29"/>
        <v>36.796762863834545</v>
      </c>
    </row>
    <row r="116" spans="1:15">
      <c r="A116" s="171" t="s">
        <v>375</v>
      </c>
      <c r="B116">
        <v>3.6089138242347261</v>
      </c>
      <c r="C116">
        <f t="shared" si="24"/>
        <v>68.6823451181792</v>
      </c>
      <c r="D116" s="81">
        <f t="shared" si="27"/>
        <v>31.3176548818208</v>
      </c>
      <c r="H116" s="171" t="s">
        <v>375</v>
      </c>
      <c r="I116">
        <v>3.6089138242347261</v>
      </c>
      <c r="J116">
        <f t="shared" si="25"/>
        <v>68.6823451181792</v>
      </c>
      <c r="K116" s="81">
        <f t="shared" si="28"/>
        <v>31.3176548818208</v>
      </c>
      <c r="L116" s="171" t="s">
        <v>383</v>
      </c>
      <c r="M116">
        <v>3.9067575028621109</v>
      </c>
      <c r="N116">
        <f t="shared" si="26"/>
        <v>74.350699454983555</v>
      </c>
      <c r="O116" s="81">
        <f t="shared" si="29"/>
        <v>25.649300545016445</v>
      </c>
    </row>
    <row r="117" spans="1:15" ht="15" thickBot="1">
      <c r="A117" s="177" t="s">
        <v>376</v>
      </c>
      <c r="B117" s="115">
        <v>4.0891344163296841</v>
      </c>
      <c r="C117" s="115">
        <f t="shared" si="24"/>
        <v>77.821570393561402</v>
      </c>
      <c r="D117" s="116">
        <f t="shared" si="27"/>
        <v>22.178429606438598</v>
      </c>
      <c r="H117" s="177" t="s">
        <v>376</v>
      </c>
      <c r="I117" s="115">
        <v>4.0891344163296841</v>
      </c>
      <c r="J117" s="115">
        <f t="shared" si="25"/>
        <v>77.821570393561402</v>
      </c>
      <c r="K117" s="116">
        <f t="shared" si="28"/>
        <v>22.178429606438598</v>
      </c>
      <c r="L117" s="177" t="s">
        <v>384</v>
      </c>
      <c r="M117" s="115">
        <v>4.0641782138831495</v>
      </c>
      <c r="N117" s="115">
        <f t="shared" si="26"/>
        <v>77.346621255745546</v>
      </c>
      <c r="O117" s="116">
        <f t="shared" si="29"/>
        <v>22.653378744254454</v>
      </c>
    </row>
    <row r="118" spans="1:15">
      <c r="A118" s="998" t="s">
        <v>170</v>
      </c>
      <c r="B118" s="999"/>
      <c r="C118" s="999"/>
      <c r="D118" s="1000"/>
      <c r="J118" s="998" t="s">
        <v>219</v>
      </c>
      <c r="K118" s="999"/>
      <c r="L118" s="999"/>
      <c r="M118" s="1000"/>
    </row>
    <row r="119" spans="1:15">
      <c r="A119" s="586" t="s">
        <v>468</v>
      </c>
      <c r="B119" s="237" t="s">
        <v>319</v>
      </c>
      <c r="C119" s="237" t="s">
        <v>480</v>
      </c>
      <c r="D119" s="287" t="s">
        <v>482</v>
      </c>
      <c r="J119" s="586" t="s">
        <v>468</v>
      </c>
      <c r="K119" s="237" t="s">
        <v>319</v>
      </c>
      <c r="L119" s="237" t="s">
        <v>480</v>
      </c>
      <c r="M119" s="287" t="s">
        <v>482</v>
      </c>
    </row>
    <row r="120" spans="1:15">
      <c r="A120" s="171" t="s">
        <v>335</v>
      </c>
      <c r="B120">
        <v>5.5957198009424225</v>
      </c>
      <c r="C120">
        <f t="shared" ref="C120:C127" si="30">B120/$D$107*100</f>
        <v>106.49385861532824</v>
      </c>
      <c r="D120" s="81">
        <f>100-C120</f>
        <v>-6.4938586153282358</v>
      </c>
      <c r="J120" s="171" t="s">
        <v>337</v>
      </c>
      <c r="K120">
        <v>4.2276647398895673</v>
      </c>
      <c r="L120">
        <f t="shared" ref="L120:L127" si="31">K120/$D$107*100</f>
        <v>80.457983440661664</v>
      </c>
      <c r="M120" s="81">
        <f>100-L120</f>
        <v>19.542016559338336</v>
      </c>
    </row>
    <row r="121" spans="1:15">
      <c r="A121" s="171" t="s">
        <v>336</v>
      </c>
      <c r="B121">
        <v>5.0413295529085778</v>
      </c>
      <c r="C121">
        <f t="shared" si="30"/>
        <v>95.943087884833517</v>
      </c>
      <c r="D121" s="81">
        <f t="shared" ref="D121:D127" si="32">100-C121</f>
        <v>4.0569121151664831</v>
      </c>
      <c r="J121" s="171" t="s">
        <v>338</v>
      </c>
      <c r="K121">
        <v>3.8355397668961011</v>
      </c>
      <c r="L121">
        <f t="shared" si="31"/>
        <v>72.995332893635947</v>
      </c>
      <c r="M121" s="81">
        <f t="shared" ref="M121:M127" si="33">100-L121</f>
        <v>27.004667106364053</v>
      </c>
    </row>
    <row r="122" spans="1:15">
      <c r="A122" s="171" t="s">
        <v>379</v>
      </c>
      <c r="B122">
        <v>3.2268701070068033</v>
      </c>
      <c r="C122">
        <f t="shared" si="30"/>
        <v>61.411554039524276</v>
      </c>
      <c r="D122" s="81">
        <f t="shared" si="32"/>
        <v>38.588445960475724</v>
      </c>
      <c r="J122" s="171" t="s">
        <v>385</v>
      </c>
      <c r="K122">
        <v>3.6645387389891808</v>
      </c>
      <c r="L122">
        <f t="shared" si="31"/>
        <v>69.740959919862604</v>
      </c>
      <c r="M122" s="81">
        <f t="shared" si="33"/>
        <v>30.259040080137396</v>
      </c>
    </row>
    <row r="123" spans="1:15">
      <c r="A123" s="171" t="s">
        <v>380</v>
      </c>
      <c r="B123">
        <v>2.9906121695392378</v>
      </c>
      <c r="C123">
        <f t="shared" si="30"/>
        <v>56.915256818712301</v>
      </c>
      <c r="D123" s="81">
        <f t="shared" si="32"/>
        <v>43.084743181287699</v>
      </c>
      <c r="J123" s="171" t="s">
        <v>386</v>
      </c>
      <c r="K123">
        <v>3.095202123470381</v>
      </c>
      <c r="L123">
        <f t="shared" si="31"/>
        <v>58.905740288712174</v>
      </c>
      <c r="M123" s="81">
        <f t="shared" si="33"/>
        <v>41.094259711287826</v>
      </c>
    </row>
    <row r="124" spans="1:15">
      <c r="A124" s="171" t="s">
        <v>381</v>
      </c>
      <c r="B124">
        <v>2.6124350309507949</v>
      </c>
      <c r="C124">
        <f t="shared" si="30"/>
        <v>49.718051783248548</v>
      </c>
      <c r="D124" s="81">
        <f t="shared" si="32"/>
        <v>50.281948216751452</v>
      </c>
      <c r="J124" s="171" t="s">
        <v>387</v>
      </c>
      <c r="K124">
        <v>2.4948380281884734</v>
      </c>
      <c r="L124">
        <f t="shared" si="31"/>
        <v>47.480027180292581</v>
      </c>
      <c r="M124" s="81">
        <f t="shared" si="33"/>
        <v>52.519972819707419</v>
      </c>
    </row>
    <row r="125" spans="1:15">
      <c r="A125" s="171" t="s">
        <v>382</v>
      </c>
      <c r="B125">
        <v>3.3210140953198142</v>
      </c>
      <c r="C125">
        <f t="shared" si="30"/>
        <v>63.203237136165455</v>
      </c>
      <c r="D125" s="81">
        <f t="shared" si="32"/>
        <v>36.796762863834545</v>
      </c>
      <c r="J125" s="171" t="s">
        <v>388</v>
      </c>
      <c r="K125">
        <v>2.705312070736019</v>
      </c>
      <c r="L125">
        <f t="shared" si="31"/>
        <v>51.485623194138718</v>
      </c>
      <c r="M125" s="81">
        <f t="shared" si="33"/>
        <v>48.514376805861282</v>
      </c>
    </row>
    <row r="126" spans="1:15">
      <c r="A126" s="171" t="s">
        <v>383</v>
      </c>
      <c r="B126">
        <v>3.9067575028621109</v>
      </c>
      <c r="C126">
        <f t="shared" si="30"/>
        <v>74.350699454983555</v>
      </c>
      <c r="D126" s="81">
        <f t="shared" si="32"/>
        <v>25.649300545016445</v>
      </c>
      <c r="J126" s="171" t="s">
        <v>389</v>
      </c>
      <c r="K126">
        <v>2.5503476384559178</v>
      </c>
      <c r="L126">
        <f t="shared" si="31"/>
        <v>48.536447586942963</v>
      </c>
      <c r="M126" s="81">
        <f t="shared" si="33"/>
        <v>51.463552413057037</v>
      </c>
    </row>
    <row r="127" spans="1:15" ht="15" thickBot="1">
      <c r="A127" s="177" t="s">
        <v>384</v>
      </c>
      <c r="B127" s="115">
        <v>4.0641782138831495</v>
      </c>
      <c r="C127" s="115">
        <f t="shared" si="30"/>
        <v>77.346621255745546</v>
      </c>
      <c r="D127" s="116">
        <f t="shared" si="32"/>
        <v>22.653378744254454</v>
      </c>
      <c r="J127" s="177" t="s">
        <v>390</v>
      </c>
      <c r="K127" s="115">
        <v>2.302</v>
      </c>
      <c r="L127" s="115">
        <f t="shared" si="31"/>
        <v>43.810067561138069</v>
      </c>
      <c r="M127" s="116">
        <f t="shared" si="33"/>
        <v>56.189932438861931</v>
      </c>
    </row>
    <row r="128" spans="1:15">
      <c r="A128" s="998" t="s">
        <v>219</v>
      </c>
      <c r="B128" s="999"/>
      <c r="C128" s="999"/>
      <c r="D128" s="1000"/>
    </row>
    <row r="129" spans="1:6">
      <c r="A129" s="586" t="s">
        <v>468</v>
      </c>
      <c r="B129" s="237" t="s">
        <v>319</v>
      </c>
      <c r="C129" s="237" t="s">
        <v>480</v>
      </c>
      <c r="D129" s="287" t="s">
        <v>482</v>
      </c>
    </row>
    <row r="130" spans="1:6">
      <c r="A130" s="171" t="s">
        <v>337</v>
      </c>
      <c r="B130">
        <v>4.2276647398895673</v>
      </c>
      <c r="C130">
        <f t="shared" ref="C130:C137" si="34">B130/$D$107*100</f>
        <v>80.457983440661664</v>
      </c>
      <c r="D130" s="81">
        <f>100-C130</f>
        <v>19.542016559338336</v>
      </c>
    </row>
    <row r="131" spans="1:6">
      <c r="A131" s="171" t="s">
        <v>338</v>
      </c>
      <c r="B131">
        <v>3.8355397668961011</v>
      </c>
      <c r="C131">
        <f t="shared" si="34"/>
        <v>72.995332893635947</v>
      </c>
      <c r="D131" s="81">
        <f t="shared" ref="D131:D137" si="35">100-C131</f>
        <v>27.004667106364053</v>
      </c>
    </row>
    <row r="132" spans="1:6">
      <c r="A132" s="171" t="s">
        <v>385</v>
      </c>
      <c r="B132">
        <v>3.6645387389891808</v>
      </c>
      <c r="C132">
        <f t="shared" si="34"/>
        <v>69.740959919862604</v>
      </c>
      <c r="D132" s="81">
        <f t="shared" si="35"/>
        <v>30.259040080137396</v>
      </c>
    </row>
    <row r="133" spans="1:6">
      <c r="A133" s="171" t="s">
        <v>386</v>
      </c>
      <c r="B133">
        <v>3.095202123470381</v>
      </c>
      <c r="C133">
        <f t="shared" si="34"/>
        <v>58.905740288712174</v>
      </c>
      <c r="D133" s="81">
        <f t="shared" si="35"/>
        <v>41.094259711287826</v>
      </c>
    </row>
    <row r="134" spans="1:6">
      <c r="A134" s="171" t="s">
        <v>387</v>
      </c>
      <c r="B134">
        <v>2.4948380281884734</v>
      </c>
      <c r="C134">
        <f t="shared" si="34"/>
        <v>47.480027180292581</v>
      </c>
      <c r="D134" s="81">
        <f t="shared" si="35"/>
        <v>52.519972819707419</v>
      </c>
    </row>
    <row r="135" spans="1:6">
      <c r="A135" s="171" t="s">
        <v>388</v>
      </c>
      <c r="B135">
        <v>2.705312070736019</v>
      </c>
      <c r="C135">
        <f t="shared" si="34"/>
        <v>51.485623194138718</v>
      </c>
      <c r="D135" s="81">
        <f t="shared" si="35"/>
        <v>48.514376805861282</v>
      </c>
    </row>
    <row r="136" spans="1:6">
      <c r="A136" s="171" t="s">
        <v>389</v>
      </c>
      <c r="B136">
        <v>2.5503476384559178</v>
      </c>
      <c r="C136">
        <f t="shared" si="34"/>
        <v>48.536447586942963</v>
      </c>
      <c r="D136" s="81">
        <f t="shared" si="35"/>
        <v>51.463552413057037</v>
      </c>
    </row>
    <row r="137" spans="1:6" ht="15" thickBot="1">
      <c r="A137" s="177" t="s">
        <v>390</v>
      </c>
      <c r="B137" s="115">
        <v>2.302</v>
      </c>
      <c r="C137" s="115">
        <f t="shared" si="34"/>
        <v>43.810067561138069</v>
      </c>
      <c r="D137" s="116">
        <f t="shared" si="35"/>
        <v>56.189932438861931</v>
      </c>
    </row>
    <row r="141" spans="1:6" ht="15" thickBot="1"/>
    <row r="142" spans="1:6" ht="15" thickBot="1">
      <c r="A142" s="990" t="s">
        <v>486</v>
      </c>
      <c r="B142" s="991"/>
      <c r="C142" s="991"/>
      <c r="D142" s="991"/>
      <c r="E142" s="991"/>
      <c r="F142" s="992"/>
    </row>
    <row r="143" spans="1:6" ht="15" thickBot="1">
      <c r="A143" s="987" t="s">
        <v>225</v>
      </c>
      <c r="B143" s="988"/>
      <c r="C143" s="988"/>
      <c r="D143" s="988"/>
      <c r="E143" s="988"/>
      <c r="F143" s="989"/>
    </row>
    <row r="144" spans="1:6">
      <c r="A144" s="587" t="s">
        <v>468</v>
      </c>
      <c r="B144" s="588" t="s">
        <v>462</v>
      </c>
      <c r="C144" s="588" t="s">
        <v>464</v>
      </c>
      <c r="D144" s="588" t="s">
        <v>478</v>
      </c>
      <c r="E144" s="589" t="s">
        <v>482</v>
      </c>
      <c r="F144" s="606" t="s">
        <v>485</v>
      </c>
    </row>
    <row r="145" spans="1:6">
      <c r="A145" s="171" t="s">
        <v>333</v>
      </c>
      <c r="B145" s="104">
        <v>58.125000000000007</v>
      </c>
      <c r="C145" s="104">
        <v>96.918000000000006</v>
      </c>
      <c r="D145">
        <v>33.37222919566176</v>
      </c>
      <c r="E145" s="81">
        <v>54.659532430541539</v>
      </c>
      <c r="F145" s="607">
        <f>((1/2)*B145)+((1/4)*C145)+((1/8)*D145)+((1/8)*E145)</f>
        <v>64.295970203275417</v>
      </c>
    </row>
    <row r="146" spans="1:6">
      <c r="A146" s="171" t="s">
        <v>334</v>
      </c>
      <c r="B146" s="104">
        <v>58.875</v>
      </c>
      <c r="C146" s="104">
        <v>96.957999999999998</v>
      </c>
      <c r="D146">
        <v>34.534447672429238</v>
      </c>
      <c r="E146" s="81">
        <v>58.094503018245533</v>
      </c>
      <c r="F146" s="607">
        <f t="shared" ref="F146:F152" si="36">(1/2)*B146+(1/4)*C146+(1/8)*D146+(1/8)*E146</f>
        <v>65.255618836334349</v>
      </c>
    </row>
    <row r="147" spans="1:6">
      <c r="A147" s="171" t="s">
        <v>371</v>
      </c>
      <c r="B147" s="104">
        <v>61.8125</v>
      </c>
      <c r="C147" s="104">
        <v>96.048999999999992</v>
      </c>
      <c r="D147">
        <v>37.402874952345435</v>
      </c>
      <c r="E147" s="81">
        <v>59.134734080403618</v>
      </c>
      <c r="F147" s="607">
        <f t="shared" si="36"/>
        <v>66.985701129093627</v>
      </c>
    </row>
    <row r="148" spans="1:6">
      <c r="A148" s="171" t="s">
        <v>372</v>
      </c>
      <c r="B148" s="104">
        <v>63.0625</v>
      </c>
      <c r="C148" s="104">
        <v>96.128</v>
      </c>
      <c r="D148">
        <v>40.960552691299959</v>
      </c>
      <c r="E148" s="81">
        <v>58.16929424202808</v>
      </c>
      <c r="F148" s="607">
        <f t="shared" si="36"/>
        <v>67.954480866666003</v>
      </c>
    </row>
    <row r="149" spans="1:6">
      <c r="A149" s="171" t="s">
        <v>373</v>
      </c>
      <c r="B149" s="104">
        <v>65.25</v>
      </c>
      <c r="C149" s="104">
        <v>95.759</v>
      </c>
      <c r="D149">
        <v>43.946007360522529</v>
      </c>
      <c r="E149" s="81">
        <v>49.563785169328497</v>
      </c>
      <c r="F149" s="608">
        <f t="shared" si="36"/>
        <v>68.253474066231377</v>
      </c>
    </row>
    <row r="150" spans="1:6">
      <c r="A150" s="171" t="s">
        <v>374</v>
      </c>
      <c r="B150" s="104">
        <v>65.84375</v>
      </c>
      <c r="C150" s="104">
        <v>95.796999999999997</v>
      </c>
      <c r="D150">
        <v>45.334409575014419</v>
      </c>
      <c r="E150" s="81">
        <v>45.030434531768691</v>
      </c>
      <c r="F150" s="607">
        <f t="shared" si="36"/>
        <v>68.166730513347886</v>
      </c>
    </row>
    <row r="151" spans="1:6">
      <c r="A151" s="171" t="s">
        <v>375</v>
      </c>
      <c r="B151" s="104">
        <v>70.3125</v>
      </c>
      <c r="C151" s="104">
        <v>95.600999999999999</v>
      </c>
      <c r="D151">
        <v>52.71514443806786</v>
      </c>
      <c r="E151" s="81">
        <v>31.3176548818208</v>
      </c>
      <c r="F151" s="609">
        <f t="shared" si="36"/>
        <v>69.560599914986085</v>
      </c>
    </row>
    <row r="152" spans="1:6" ht="15" thickBot="1">
      <c r="A152" s="171" t="s">
        <v>376</v>
      </c>
      <c r="B152" s="104">
        <v>72.3125</v>
      </c>
      <c r="C152" s="104">
        <v>95.722999999999999</v>
      </c>
      <c r="D152">
        <v>56.22149617238447</v>
      </c>
      <c r="E152" s="81">
        <v>22.178429606438598</v>
      </c>
      <c r="F152" s="393">
        <f t="shared" si="36"/>
        <v>69.886990722352891</v>
      </c>
    </row>
    <row r="153" spans="1:6" ht="15" thickBot="1">
      <c r="A153" s="987" t="s">
        <v>170</v>
      </c>
      <c r="B153" s="988"/>
      <c r="C153" s="988"/>
      <c r="D153" s="988"/>
      <c r="E153" s="988"/>
      <c r="F153" s="989"/>
    </row>
    <row r="154" spans="1:6">
      <c r="A154" s="587" t="s">
        <v>468</v>
      </c>
      <c r="B154" s="588" t="s">
        <v>462</v>
      </c>
      <c r="C154" s="588" t="s">
        <v>464</v>
      </c>
      <c r="D154" s="588" t="s">
        <v>478</v>
      </c>
      <c r="E154" s="589" t="s">
        <v>482</v>
      </c>
      <c r="F154" s="606" t="s">
        <v>485</v>
      </c>
    </row>
    <row r="155" spans="1:6">
      <c r="A155" s="171" t="s">
        <v>335</v>
      </c>
      <c r="B155" s="104">
        <v>55.03125</v>
      </c>
      <c r="C155" s="104">
        <v>96.64200000000001</v>
      </c>
      <c r="D155">
        <v>33.917722872147507</v>
      </c>
      <c r="E155" s="81">
        <v>-6.4938586153282358</v>
      </c>
      <c r="F155" s="607">
        <f>(1/2)*B155+(1/4)*C155+(1/8)*D155+(1/8)*E155</f>
        <v>55.10410803210241</v>
      </c>
    </row>
    <row r="156" spans="1:6">
      <c r="A156" s="171" t="s">
        <v>336</v>
      </c>
      <c r="B156" s="104">
        <v>55.96875</v>
      </c>
      <c r="C156" s="104">
        <v>96.698999999999998</v>
      </c>
      <c r="D156">
        <v>34.1653418931826</v>
      </c>
      <c r="E156" s="81">
        <v>4.0569121151664831</v>
      </c>
      <c r="F156" s="607">
        <f t="shared" ref="F156:F162" si="37">(1/2)*B156+(1/4)*C156+(1/8)*D156+(1/8)*E156</f>
        <v>56.936906751043637</v>
      </c>
    </row>
    <row r="157" spans="1:6">
      <c r="A157" s="171" t="s">
        <v>379</v>
      </c>
      <c r="B157" s="104">
        <v>59.5</v>
      </c>
      <c r="C157" s="104">
        <v>95.803000000000011</v>
      </c>
      <c r="D157">
        <v>37.106059932027428</v>
      </c>
      <c r="E157" s="81">
        <v>38.588445960475724</v>
      </c>
      <c r="F157" s="607">
        <f t="shared" si="37"/>
        <v>63.162563236562896</v>
      </c>
    </row>
    <row r="158" spans="1:6">
      <c r="A158" s="171" t="s">
        <v>380</v>
      </c>
      <c r="B158" s="104">
        <v>61.375</v>
      </c>
      <c r="C158" s="104">
        <v>95.930999999999997</v>
      </c>
      <c r="D158">
        <v>41.224550238551025</v>
      </c>
      <c r="E158" s="81">
        <v>43.084743181287699</v>
      </c>
      <c r="F158" s="607">
        <f t="shared" si="37"/>
        <v>65.208911677479833</v>
      </c>
    </row>
    <row r="159" spans="1:6">
      <c r="A159" s="171" t="s">
        <v>381</v>
      </c>
      <c r="B159" s="104">
        <v>62.812500000000007</v>
      </c>
      <c r="C159" s="104">
        <v>95.50800000000001</v>
      </c>
      <c r="D159">
        <v>42.819219888872631</v>
      </c>
      <c r="E159" s="81">
        <v>50.281948216751452</v>
      </c>
      <c r="F159" s="609">
        <f t="shared" si="37"/>
        <v>66.92089601320302</v>
      </c>
    </row>
    <row r="160" spans="1:6">
      <c r="A160" s="171" t="s">
        <v>382</v>
      </c>
      <c r="B160" s="104">
        <v>64.4375</v>
      </c>
      <c r="C160" s="104">
        <v>95.622</v>
      </c>
      <c r="D160">
        <v>46.235354693398691</v>
      </c>
      <c r="E160" s="81">
        <v>36.796762863834545</v>
      </c>
      <c r="F160" s="607">
        <f t="shared" si="37"/>
        <v>66.503264694654149</v>
      </c>
    </row>
    <row r="161" spans="1:6">
      <c r="A161" s="171" t="s">
        <v>383</v>
      </c>
      <c r="B161" s="104">
        <v>66.59375</v>
      </c>
      <c r="C161" s="104">
        <v>95.27600000000001</v>
      </c>
      <c r="D161">
        <v>51.399025183935343</v>
      </c>
      <c r="E161" s="81">
        <v>25.649300545016445</v>
      </c>
      <c r="F161" s="608">
        <f t="shared" si="37"/>
        <v>66.746915716118977</v>
      </c>
    </row>
    <row r="162" spans="1:6" ht="15" thickBot="1">
      <c r="A162" s="171" t="s">
        <v>384</v>
      </c>
      <c r="B162" s="104">
        <v>67.78125</v>
      </c>
      <c r="C162" s="104">
        <v>95.359000000000009</v>
      </c>
      <c r="D162">
        <v>56.423027725160637</v>
      </c>
      <c r="E162" s="81">
        <v>22.653378744254454</v>
      </c>
      <c r="F162" s="393">
        <f t="shared" si="37"/>
        <v>67.614925808676901</v>
      </c>
    </row>
    <row r="163" spans="1:6" ht="15" thickBot="1">
      <c r="A163" s="987" t="s">
        <v>219</v>
      </c>
      <c r="B163" s="988"/>
      <c r="C163" s="988"/>
      <c r="D163" s="988"/>
      <c r="E163" s="988"/>
      <c r="F163" s="989"/>
    </row>
    <row r="164" spans="1:6">
      <c r="A164" s="587" t="s">
        <v>468</v>
      </c>
      <c r="B164" s="588" t="s">
        <v>462</v>
      </c>
      <c r="C164" s="588" t="s">
        <v>464</v>
      </c>
      <c r="D164" s="588" t="s">
        <v>478</v>
      </c>
      <c r="E164" s="588" t="s">
        <v>482</v>
      </c>
      <c r="F164" s="606" t="s">
        <v>485</v>
      </c>
    </row>
    <row r="165" spans="1:6">
      <c r="A165" s="171" t="s">
        <v>337</v>
      </c>
      <c r="B165" s="104">
        <v>57.062500000000007</v>
      </c>
      <c r="C165" s="443">
        <v>96.789999999999992</v>
      </c>
      <c r="D165">
        <v>33.649388964210225</v>
      </c>
      <c r="E165">
        <v>19.542016559338336</v>
      </c>
      <c r="F165" s="607">
        <f>(1/2)*B165+(1/4)*C165+(1/8)*D165+(1/8)*E165</f>
        <v>59.377675690443574</v>
      </c>
    </row>
    <row r="166" spans="1:6">
      <c r="A166" s="171" t="s">
        <v>338</v>
      </c>
      <c r="B166" s="104">
        <v>57.1875</v>
      </c>
      <c r="C166" s="443">
        <v>96.796999999999997</v>
      </c>
      <c r="D166">
        <v>33.540525753176766</v>
      </c>
      <c r="E166">
        <v>27.004667106364053</v>
      </c>
      <c r="F166" s="607">
        <f t="shared" ref="F166:F172" si="38">(1/2)*B166+(1/4)*C166+(1/8)*D166+(1/8)*E166</f>
        <v>60.3611491074426</v>
      </c>
    </row>
    <row r="167" spans="1:6">
      <c r="A167" s="171" t="s">
        <v>385</v>
      </c>
      <c r="B167" s="104">
        <v>59.5</v>
      </c>
      <c r="C167" s="443">
        <v>95.83</v>
      </c>
      <c r="D167">
        <v>36.125752977166847</v>
      </c>
      <c r="E167">
        <v>30.259040080137396</v>
      </c>
      <c r="F167" s="607">
        <f t="shared" si="38"/>
        <v>62.005599132163027</v>
      </c>
    </row>
    <row r="168" spans="1:6">
      <c r="A168" s="171" t="s">
        <v>386</v>
      </c>
      <c r="B168" s="104">
        <v>61.21875</v>
      </c>
      <c r="C168" s="443">
        <v>95.947000000000003</v>
      </c>
      <c r="D168">
        <v>38.338152082909566</v>
      </c>
      <c r="E168">
        <v>41.094259711287826</v>
      </c>
      <c r="F168" s="607">
        <f t="shared" si="38"/>
        <v>64.525176474274673</v>
      </c>
    </row>
    <row r="169" spans="1:6">
      <c r="A169" s="171" t="s">
        <v>387</v>
      </c>
      <c r="B169" s="104">
        <v>62.250000000000007</v>
      </c>
      <c r="C169" s="443">
        <v>95.491</v>
      </c>
      <c r="D169">
        <v>41.575224890293214</v>
      </c>
      <c r="E169">
        <v>52.519972819707419</v>
      </c>
      <c r="F169" s="607">
        <f t="shared" si="38"/>
        <v>66.759649713750079</v>
      </c>
    </row>
    <row r="170" spans="1:6">
      <c r="A170" s="171" t="s">
        <v>388</v>
      </c>
      <c r="B170" s="104">
        <v>64.75</v>
      </c>
      <c r="C170" s="443">
        <v>95.667000000000002</v>
      </c>
      <c r="D170">
        <v>45.270296812205494</v>
      </c>
      <c r="E170">
        <v>48.514376805861282</v>
      </c>
      <c r="F170" s="608">
        <f t="shared" si="38"/>
        <v>68.014834202258356</v>
      </c>
    </row>
    <row r="171" spans="1:6">
      <c r="A171" s="171" t="s">
        <v>389</v>
      </c>
      <c r="B171" s="104">
        <v>66.90625</v>
      </c>
      <c r="C171" s="443">
        <v>95.320999999999998</v>
      </c>
      <c r="D171">
        <v>50.450159140941899</v>
      </c>
      <c r="E171">
        <v>51.463552413057037</v>
      </c>
      <c r="F171" s="609">
        <f t="shared" si="38"/>
        <v>70.022588944249861</v>
      </c>
    </row>
    <row r="172" spans="1:6" ht="15" thickBot="1">
      <c r="A172" s="177" t="s">
        <v>390</v>
      </c>
      <c r="B172" s="178">
        <v>68.78125</v>
      </c>
      <c r="C172" s="554">
        <v>95.447999999999993</v>
      </c>
      <c r="D172" s="115">
        <v>54.929130258939153</v>
      </c>
      <c r="E172" s="115">
        <v>56.189932438861931</v>
      </c>
      <c r="F172" s="393">
        <f t="shared" si="38"/>
        <v>72.142507837225125</v>
      </c>
    </row>
    <row r="173" spans="1:6">
      <c r="A173" s="610"/>
      <c r="B173" s="317"/>
      <c r="C173" s="77" t="s">
        <v>487</v>
      </c>
      <c r="D173" s="77"/>
      <c r="E173" s="77"/>
      <c r="F173" s="612"/>
    </row>
    <row r="174" spans="1:6">
      <c r="A174" s="611"/>
      <c r="B174" s="276"/>
      <c r="C174" s="80" t="s">
        <v>488</v>
      </c>
      <c r="D174" s="80"/>
      <c r="E174" s="80"/>
      <c r="F174" s="612"/>
    </row>
    <row r="175" spans="1:6" ht="15" thickBot="1">
      <c r="A175" s="613"/>
      <c r="B175" s="616"/>
      <c r="C175" s="614" t="s">
        <v>489</v>
      </c>
      <c r="D175" s="614"/>
      <c r="E175" s="614"/>
      <c r="F175" s="615"/>
    </row>
  </sheetData>
  <mergeCells count="94">
    <mergeCell ref="A2:C2"/>
    <mergeCell ref="A4:C4"/>
    <mergeCell ref="E4:G4"/>
    <mergeCell ref="E2:M2"/>
    <mergeCell ref="A70:D70"/>
    <mergeCell ref="H4:J4"/>
    <mergeCell ref="K4:M4"/>
    <mergeCell ref="E3:M3"/>
    <mergeCell ref="A14:C14"/>
    <mergeCell ref="A24:C24"/>
    <mergeCell ref="A38:C38"/>
    <mergeCell ref="A37:C37"/>
    <mergeCell ref="A48:C48"/>
    <mergeCell ref="A58:C58"/>
    <mergeCell ref="A3:B3"/>
    <mergeCell ref="F38:H38"/>
    <mergeCell ref="I38:K38"/>
    <mergeCell ref="L38:N38"/>
    <mergeCell ref="F37:N37"/>
    <mergeCell ref="H84:O84"/>
    <mergeCell ref="H85:I85"/>
    <mergeCell ref="J85:K85"/>
    <mergeCell ref="L85:M85"/>
    <mergeCell ref="N85:O85"/>
    <mergeCell ref="H55:O55"/>
    <mergeCell ref="M56:O56"/>
    <mergeCell ref="H86:I86"/>
    <mergeCell ref="J86:K86"/>
    <mergeCell ref="L86:M86"/>
    <mergeCell ref="N86:O86"/>
    <mergeCell ref="H87:I87"/>
    <mergeCell ref="J87:K87"/>
    <mergeCell ref="L87:M87"/>
    <mergeCell ref="N87:O87"/>
    <mergeCell ref="L88:M88"/>
    <mergeCell ref="N88:O88"/>
    <mergeCell ref="L95:M95"/>
    <mergeCell ref="N95:O95"/>
    <mergeCell ref="H89:I89"/>
    <mergeCell ref="J89:K89"/>
    <mergeCell ref="L89:M89"/>
    <mergeCell ref="N89:O89"/>
    <mergeCell ref="H90:I90"/>
    <mergeCell ref="J90:K90"/>
    <mergeCell ref="L90:M90"/>
    <mergeCell ref="N90:O90"/>
    <mergeCell ref="A92:D92"/>
    <mergeCell ref="H98:I98"/>
    <mergeCell ref="J98:K98"/>
    <mergeCell ref="L98:M98"/>
    <mergeCell ref="N98:O98"/>
    <mergeCell ref="H96:I96"/>
    <mergeCell ref="J96:K96"/>
    <mergeCell ref="L96:M96"/>
    <mergeCell ref="N96:O96"/>
    <mergeCell ref="H97:I97"/>
    <mergeCell ref="J97:K97"/>
    <mergeCell ref="L97:M97"/>
    <mergeCell ref="N97:O97"/>
    <mergeCell ref="H93:O93"/>
    <mergeCell ref="H94:I94"/>
    <mergeCell ref="J94:K94"/>
    <mergeCell ref="H107:L107"/>
    <mergeCell ref="M107:O107"/>
    <mergeCell ref="H106:O106"/>
    <mergeCell ref="H57:K57"/>
    <mergeCell ref="L57:O57"/>
    <mergeCell ref="J67:M67"/>
    <mergeCell ref="H99:I99"/>
    <mergeCell ref="J99:K99"/>
    <mergeCell ref="L99:M99"/>
    <mergeCell ref="N99:O99"/>
    <mergeCell ref="L94:M94"/>
    <mergeCell ref="N94:O94"/>
    <mergeCell ref="H95:I95"/>
    <mergeCell ref="J95:K95"/>
    <mergeCell ref="H88:I88"/>
    <mergeCell ref="J88:K88"/>
    <mergeCell ref="A143:F143"/>
    <mergeCell ref="A142:F142"/>
    <mergeCell ref="A153:F153"/>
    <mergeCell ref="A163:F163"/>
    <mergeCell ref="H56:L56"/>
    <mergeCell ref="H108:K108"/>
    <mergeCell ref="L108:O108"/>
    <mergeCell ref="J118:M118"/>
    <mergeCell ref="A107:C107"/>
    <mergeCell ref="A108:D108"/>
    <mergeCell ref="A128:D128"/>
    <mergeCell ref="A106:D106"/>
    <mergeCell ref="A118:D118"/>
    <mergeCell ref="A71:C71"/>
    <mergeCell ref="A72:D72"/>
    <mergeCell ref="A82:D8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8B80-CFBD-4B39-9D7A-E6E70DDD1891}">
  <dimension ref="A3:AH149"/>
  <sheetViews>
    <sheetView topLeftCell="T140" zoomScale="70" zoomScaleNormal="70" workbookViewId="0">
      <selection activeCell="AD143" sqref="AD143:AH149"/>
    </sheetView>
  </sheetViews>
  <sheetFormatPr baseColWidth="10" defaultColWidth="11.5546875" defaultRowHeight="14.4"/>
  <cols>
    <col min="1" max="1" width="14.33203125" customWidth="1"/>
    <col min="2" max="2" width="14.6640625" customWidth="1"/>
    <col min="3" max="3" width="13.6640625" customWidth="1"/>
    <col min="4" max="4" width="16.109375" customWidth="1"/>
    <col min="5" max="5" width="13.6640625" customWidth="1"/>
    <col min="6" max="6" width="16.6640625" customWidth="1"/>
    <col min="7" max="8" width="13.6640625" customWidth="1"/>
    <col min="9" max="9" width="16.33203125" customWidth="1"/>
    <col min="10" max="13" width="13.6640625" customWidth="1"/>
    <col min="14" max="14" width="16.88671875" customWidth="1"/>
    <col min="15" max="28" width="13.6640625" customWidth="1"/>
    <col min="31" max="31" width="43.77734375" customWidth="1"/>
    <col min="32" max="32" width="17.109375" customWidth="1"/>
    <col min="33" max="33" width="18.109375" customWidth="1"/>
    <col min="34" max="34" width="17.77734375" customWidth="1"/>
  </cols>
  <sheetData>
    <row r="3" spans="1:25">
      <c r="A3" s="906" t="s">
        <v>339</v>
      </c>
      <c r="B3" s="932"/>
      <c r="C3" s="907"/>
      <c r="D3" s="104"/>
      <c r="E3" s="104"/>
      <c r="F3" s="104"/>
      <c r="G3" s="104"/>
      <c r="H3" s="104"/>
      <c r="I3" s="104"/>
    </row>
    <row r="4" spans="1:25" ht="15" customHeight="1">
      <c r="A4" s="104"/>
      <c r="B4" s="515" t="s">
        <v>340</v>
      </c>
      <c r="C4" s="133" t="s">
        <v>341</v>
      </c>
      <c r="D4" s="157" t="s">
        <v>342</v>
      </c>
      <c r="E4" s="94" t="s">
        <v>30</v>
      </c>
      <c r="F4" s="157" t="s">
        <v>322</v>
      </c>
      <c r="G4" s="94" t="s">
        <v>311</v>
      </c>
      <c r="H4" s="157" t="s">
        <v>343</v>
      </c>
      <c r="I4" s="94" t="s">
        <v>344</v>
      </c>
      <c r="J4" s="689" t="s">
        <v>345</v>
      </c>
      <c r="K4" s="690"/>
      <c r="L4" s="691"/>
    </row>
    <row r="5" spans="1:25">
      <c r="A5" s="84">
        <v>1</v>
      </c>
      <c r="B5" s="135">
        <v>17.7791</v>
      </c>
      <c r="C5" s="135">
        <v>9.8849</v>
      </c>
      <c r="D5" s="135">
        <v>0.8306</v>
      </c>
      <c r="E5" s="135">
        <v>21.741399999999999</v>
      </c>
      <c r="F5" s="268">
        <f>E5-B5</f>
        <v>3.962299999999999</v>
      </c>
      <c r="G5" s="139">
        <f>C5-F5</f>
        <v>5.922600000000001</v>
      </c>
      <c r="H5" s="139">
        <f>G5+G8</f>
        <v>6.139400000000002</v>
      </c>
      <c r="I5" s="137">
        <f>H5/C5*100</f>
        <v>62.108873129723129</v>
      </c>
      <c r="J5" s="692"/>
      <c r="K5" s="693"/>
      <c r="L5" s="694"/>
    </row>
    <row r="6" spans="1:25">
      <c r="A6" s="402">
        <v>2</v>
      </c>
      <c r="B6" s="103">
        <v>18.265499999999999</v>
      </c>
      <c r="C6" s="103">
        <v>10.3207</v>
      </c>
      <c r="D6" s="103">
        <v>0.78210000000000002</v>
      </c>
      <c r="E6" s="103">
        <v>22.795999999999999</v>
      </c>
      <c r="F6" s="131">
        <f>E6-B6</f>
        <v>4.5305</v>
      </c>
      <c r="G6" s="106">
        <f>C6-F6</f>
        <v>5.7902000000000005</v>
      </c>
      <c r="H6" s="106">
        <f>G6+G8</f>
        <v>6.0070000000000014</v>
      </c>
      <c r="I6" s="105">
        <f t="shared" ref="I6:I7" si="0">H6/C6*100</f>
        <v>58.203416434931754</v>
      </c>
      <c r="J6" s="692"/>
      <c r="K6" s="693"/>
      <c r="L6" s="694"/>
    </row>
    <row r="7" spans="1:25">
      <c r="A7" s="84">
        <v>3</v>
      </c>
      <c r="B7" s="103">
        <v>18.571300000000001</v>
      </c>
      <c r="C7" s="103">
        <v>10.3584</v>
      </c>
      <c r="D7" s="103">
        <v>0.87470000000000003</v>
      </c>
      <c r="E7" s="103">
        <v>22.292999999999999</v>
      </c>
      <c r="F7" s="131">
        <f>E7-B7</f>
        <v>3.7216999999999985</v>
      </c>
      <c r="G7" s="106">
        <f>C7-F7</f>
        <v>6.6367000000000012</v>
      </c>
      <c r="H7" s="106">
        <f>G7+G8</f>
        <v>6.8535000000000021</v>
      </c>
      <c r="I7" s="105">
        <f t="shared" si="0"/>
        <v>66.163693234476398</v>
      </c>
      <c r="J7" s="692"/>
      <c r="K7" s="693"/>
      <c r="L7" s="694"/>
    </row>
    <row r="8" spans="1:25">
      <c r="A8" s="402" t="s">
        <v>314</v>
      </c>
      <c r="B8" s="107">
        <v>18.2835</v>
      </c>
      <c r="C8" s="107">
        <v>9.4610000000000003</v>
      </c>
      <c r="D8" s="107" t="s">
        <v>108</v>
      </c>
      <c r="E8" s="107">
        <v>27.527699999999999</v>
      </c>
      <c r="F8" s="132">
        <f>E8-B8</f>
        <v>9.2441999999999993</v>
      </c>
      <c r="G8" s="109">
        <f>C8-F8</f>
        <v>0.21680000000000099</v>
      </c>
      <c r="H8" s="109" t="s">
        <v>108</v>
      </c>
      <c r="I8" s="516">
        <f>G8/C8*100</f>
        <v>2.291512525103065</v>
      </c>
      <c r="J8" s="695"/>
      <c r="K8" s="696"/>
      <c r="L8" s="697"/>
    </row>
    <row r="9" spans="1:25">
      <c r="A9" s="1026" t="s">
        <v>346</v>
      </c>
      <c r="B9" s="933"/>
      <c r="C9" s="934"/>
      <c r="D9" s="104"/>
      <c r="E9" s="104"/>
      <c r="F9" s="104"/>
      <c r="G9" s="104"/>
      <c r="H9" s="104"/>
      <c r="I9" s="104"/>
    </row>
    <row r="10" spans="1:25">
      <c r="A10" s="165"/>
      <c r="B10" s="515" t="s">
        <v>340</v>
      </c>
      <c r="C10" s="133" t="s">
        <v>341</v>
      </c>
      <c r="D10" s="157" t="s">
        <v>342</v>
      </c>
      <c r="E10" s="94" t="s">
        <v>30</v>
      </c>
      <c r="F10" s="157" t="s">
        <v>322</v>
      </c>
      <c r="G10" s="94" t="s">
        <v>311</v>
      </c>
      <c r="H10" s="157" t="s">
        <v>312</v>
      </c>
      <c r="I10" s="94" t="s">
        <v>313</v>
      </c>
      <c r="J10" s="689" t="s">
        <v>347</v>
      </c>
      <c r="K10" s="690"/>
      <c r="L10" s="691"/>
    </row>
    <row r="11" spans="1:25">
      <c r="A11" s="293">
        <v>1</v>
      </c>
      <c r="B11" s="135">
        <v>2.6629999999999998</v>
      </c>
      <c r="C11" s="135">
        <v>61.046599999999998</v>
      </c>
      <c r="D11" s="135">
        <v>0.99670000000000003</v>
      </c>
      <c r="E11" s="135">
        <v>54.798200000000001</v>
      </c>
      <c r="F11" s="268">
        <f t="shared" ref="F11:F13" si="1">E11-B11</f>
        <v>52.135200000000005</v>
      </c>
      <c r="G11" s="139">
        <f t="shared" ref="G11:G13" si="2">C11-F11</f>
        <v>8.9113999999999933</v>
      </c>
      <c r="H11" s="139">
        <f>G11-G13</f>
        <v>8.4756999999999891</v>
      </c>
      <c r="I11" s="139">
        <f>H11/C11*100</f>
        <v>13.883983710804515</v>
      </c>
      <c r="J11" s="692"/>
      <c r="K11" s="693"/>
      <c r="L11" s="694"/>
    </row>
    <row r="12" spans="1:25">
      <c r="A12" s="503">
        <v>2</v>
      </c>
      <c r="B12" s="103">
        <v>2.7191000000000001</v>
      </c>
      <c r="C12" s="103">
        <v>60.756500000000003</v>
      </c>
      <c r="D12" s="103">
        <v>0.9032</v>
      </c>
      <c r="E12" s="103">
        <v>54.647599999999997</v>
      </c>
      <c r="F12" s="131">
        <f t="shared" si="1"/>
        <v>51.9285</v>
      </c>
      <c r="G12" s="106">
        <f t="shared" si="2"/>
        <v>8.828000000000003</v>
      </c>
      <c r="H12" s="139">
        <f>G12-G13</f>
        <v>8.3922999999999988</v>
      </c>
      <c r="I12" s="106">
        <f>H12/C12*100</f>
        <v>13.813007661731664</v>
      </c>
      <c r="J12" s="692"/>
      <c r="K12" s="693"/>
      <c r="L12" s="694"/>
      <c r="O12" s="689" t="s">
        <v>348</v>
      </c>
      <c r="P12" s="690"/>
      <c r="Q12" s="690"/>
      <c r="R12" s="691"/>
    </row>
    <row r="13" spans="1:25">
      <c r="A13" s="293" t="s">
        <v>314</v>
      </c>
      <c r="B13" s="107">
        <v>2.6337999999999999</v>
      </c>
      <c r="C13" s="107">
        <v>61.306100000000001</v>
      </c>
      <c r="D13" s="107" t="s">
        <v>108</v>
      </c>
      <c r="E13" s="107">
        <v>63.504199999999997</v>
      </c>
      <c r="F13" s="132">
        <f t="shared" si="1"/>
        <v>60.870399999999997</v>
      </c>
      <c r="G13" s="109">
        <f t="shared" si="2"/>
        <v>0.4357000000000042</v>
      </c>
      <c r="H13" s="109" t="s">
        <v>108</v>
      </c>
      <c r="I13" s="109" t="s">
        <v>108</v>
      </c>
      <c r="J13" s="692"/>
      <c r="K13" s="693"/>
      <c r="L13" s="694"/>
      <c r="O13" s="692"/>
      <c r="P13" s="693"/>
      <c r="Q13" s="693"/>
      <c r="R13" s="694"/>
    </row>
    <row r="14" spans="1:25">
      <c r="G14" s="339" t="s">
        <v>65</v>
      </c>
      <c r="H14" s="469">
        <f>AVERAGE(H11:H12)</f>
        <v>8.4339999999999939</v>
      </c>
      <c r="I14" s="469">
        <f>AVERAGE(I11:I12)</f>
        <v>13.848495686268089</v>
      </c>
      <c r="J14" s="695"/>
      <c r="K14" s="696"/>
      <c r="L14" s="697"/>
      <c r="O14" s="692"/>
      <c r="P14" s="693"/>
      <c r="Q14" s="693"/>
      <c r="R14" s="694"/>
    </row>
    <row r="15" spans="1:25">
      <c r="O15" s="692"/>
      <c r="P15" s="693"/>
      <c r="Q15" s="693"/>
      <c r="R15" s="694"/>
    </row>
    <row r="16" spans="1:25">
      <c r="A16" s="1029" t="s">
        <v>349</v>
      </c>
      <c r="B16" s="1030"/>
      <c r="C16" s="1030"/>
      <c r="D16" s="1030"/>
      <c r="E16" s="1031"/>
      <c r="I16" s="1029" t="s">
        <v>350</v>
      </c>
      <c r="J16" s="1030"/>
      <c r="K16" s="1030"/>
      <c r="L16" s="1030"/>
      <c r="M16" s="1031"/>
      <c r="O16" s="695"/>
      <c r="P16" s="696"/>
      <c r="Q16" s="696"/>
      <c r="R16" s="697"/>
      <c r="U16" s="1029" t="s">
        <v>351</v>
      </c>
      <c r="V16" s="1030"/>
      <c r="W16" s="1030"/>
      <c r="X16" s="1030"/>
      <c r="Y16" s="1031"/>
    </row>
    <row r="17" spans="1:28">
      <c r="A17" s="906" t="s">
        <v>352</v>
      </c>
      <c r="B17" s="1027"/>
      <c r="C17" s="1027"/>
      <c r="D17" s="1027"/>
      <c r="E17" s="1028"/>
      <c r="I17" s="906" t="s">
        <v>352</v>
      </c>
      <c r="J17" s="1027"/>
      <c r="K17" s="1027"/>
      <c r="L17" s="1027"/>
      <c r="M17" s="1028"/>
      <c r="U17" s="906" t="s">
        <v>352</v>
      </c>
      <c r="V17" s="1027"/>
      <c r="W17" s="1027"/>
      <c r="X17" s="1027"/>
      <c r="Y17" s="1028"/>
    </row>
    <row r="18" spans="1:28">
      <c r="B18" s="506" t="s">
        <v>121</v>
      </c>
      <c r="C18" s="94" t="s">
        <v>29</v>
      </c>
      <c r="D18" s="505" t="s">
        <v>353</v>
      </c>
      <c r="E18" s="94" t="s">
        <v>10</v>
      </c>
      <c r="F18" s="505" t="s">
        <v>318</v>
      </c>
      <c r="G18" s="94" t="s">
        <v>319</v>
      </c>
      <c r="I18" s="314"/>
      <c r="J18" s="1" t="s">
        <v>340</v>
      </c>
      <c r="K18" s="117" t="s">
        <v>320</v>
      </c>
      <c r="L18" s="1" t="s">
        <v>354</v>
      </c>
      <c r="M18" s="117" t="s">
        <v>355</v>
      </c>
      <c r="N18" s="1" t="s">
        <v>321</v>
      </c>
      <c r="O18" s="117" t="s">
        <v>30</v>
      </c>
      <c r="P18" s="1" t="s">
        <v>322</v>
      </c>
      <c r="Q18" s="517" t="s">
        <v>311</v>
      </c>
      <c r="R18" s="1" t="s">
        <v>356</v>
      </c>
      <c r="U18" s="165"/>
      <c r="V18" s="94" t="s">
        <v>357</v>
      </c>
      <c r="W18" s="1" t="s">
        <v>8</v>
      </c>
      <c r="X18" s="95" t="s">
        <v>9</v>
      </c>
      <c r="Y18" s="1" t="s">
        <v>325</v>
      </c>
      <c r="Z18" s="95" t="s">
        <v>326</v>
      </c>
      <c r="AA18" s="1" t="s">
        <v>327</v>
      </c>
      <c r="AB18" s="518" t="s">
        <v>65</v>
      </c>
    </row>
    <row r="19" spans="1:28">
      <c r="A19" s="84" t="s">
        <v>16</v>
      </c>
      <c r="B19" s="135">
        <v>19.441600000000001</v>
      </c>
      <c r="C19" s="135">
        <v>1.3612</v>
      </c>
      <c r="D19" s="135">
        <v>20.773800000000001</v>
      </c>
      <c r="E19" s="268">
        <f>D19-B19</f>
        <v>1.3322000000000003</v>
      </c>
      <c r="F19" s="139">
        <f>C19-E19</f>
        <v>2.8999999999999693E-2</v>
      </c>
      <c r="G19" s="137">
        <f>F19/C19*100</f>
        <v>2.1304731119600131</v>
      </c>
      <c r="I19" s="84" t="s">
        <v>16</v>
      </c>
      <c r="J19" s="268">
        <v>0.90269999999999995</v>
      </c>
      <c r="K19" s="268">
        <v>1.0261</v>
      </c>
      <c r="L19" s="268">
        <v>2.0209999999999999</v>
      </c>
      <c r="M19" s="268">
        <v>2.6612</v>
      </c>
      <c r="N19" s="268">
        <v>60.841900000000003</v>
      </c>
      <c r="O19" s="268">
        <v>54.612200000000001</v>
      </c>
      <c r="P19" s="135">
        <f>O19-M19</f>
        <v>51.951000000000001</v>
      </c>
      <c r="Q19" s="268">
        <f>N19-P19+$Q$27</f>
        <v>9.3542000000000058</v>
      </c>
      <c r="R19" s="137">
        <f>Q19/N19*100</f>
        <v>15.37460204234254</v>
      </c>
      <c r="U19" s="84" t="s">
        <v>16</v>
      </c>
      <c r="V19" s="268">
        <v>18.104900000000001</v>
      </c>
      <c r="W19" s="268">
        <v>1.9907999999999999</v>
      </c>
      <c r="X19" s="268">
        <v>18.575099999999999</v>
      </c>
      <c r="Y19" s="268">
        <f>X19-V19</f>
        <v>0.4701999999999984</v>
      </c>
      <c r="Z19" s="268">
        <f>W19-Y19</f>
        <v>1.5206000000000015</v>
      </c>
      <c r="AA19" s="519">
        <f>Z19/W19*100</f>
        <v>76.381354229455582</v>
      </c>
      <c r="AB19">
        <f>SUM(AA19:AA20)/2</f>
        <v>76.578605925664107</v>
      </c>
    </row>
    <row r="20" spans="1:28">
      <c r="A20" s="402" t="s">
        <v>17</v>
      </c>
      <c r="B20" s="107">
        <v>18.907900000000001</v>
      </c>
      <c r="C20" s="107">
        <v>2.4996999999999998</v>
      </c>
      <c r="D20" s="107">
        <v>21.245899999999999</v>
      </c>
      <c r="E20" s="132">
        <f t="shared" ref="E20:E23" si="3">D20-B20</f>
        <v>2.3379999999999974</v>
      </c>
      <c r="F20" s="109">
        <f t="shared" ref="F20:F23" si="4">C20-E20</f>
        <v>0.1617000000000024</v>
      </c>
      <c r="G20" s="516">
        <f t="shared" ref="G20:G23" si="5">F20/C20*100</f>
        <v>6.468776253150474</v>
      </c>
      <c r="I20" s="402" t="s">
        <v>17</v>
      </c>
      <c r="J20" s="132">
        <v>0.90269999999999995</v>
      </c>
      <c r="K20" s="132">
        <v>1.0451999999999999</v>
      </c>
      <c r="L20" s="132">
        <v>2.0108999999999999</v>
      </c>
      <c r="M20" s="132">
        <v>2.7187999999999999</v>
      </c>
      <c r="N20" s="132">
        <v>59.915700000000001</v>
      </c>
      <c r="O20" s="132">
        <v>53.751899999999999</v>
      </c>
      <c r="P20" s="107">
        <f t="shared" ref="P20:P26" si="6">O20-M20</f>
        <v>51.033099999999997</v>
      </c>
      <c r="Q20" s="132">
        <f t="shared" ref="Q20:Q23" si="7">N20-P20+$Q$27</f>
        <v>9.3459000000000074</v>
      </c>
      <c r="R20" s="516">
        <f t="shared" ref="R20:R26" si="8">Q20/N20*100</f>
        <v>15.59841577416271</v>
      </c>
      <c r="U20" s="402" t="s">
        <v>17</v>
      </c>
      <c r="V20" s="132">
        <v>17.267800000000001</v>
      </c>
      <c r="W20" s="132">
        <v>1.9384999999999999</v>
      </c>
      <c r="X20" s="132">
        <v>17.718</v>
      </c>
      <c r="Y20" s="132">
        <f>X20-V20</f>
        <v>0.45019999999999882</v>
      </c>
      <c r="Z20" s="132">
        <f t="shared" ref="Z20:Z23" si="9">W20-Y20</f>
        <v>1.4883000000000011</v>
      </c>
      <c r="AA20" s="520">
        <f t="shared" ref="AA20:AA23" si="10">Z20/W20*100</f>
        <v>76.775857621872646</v>
      </c>
    </row>
    <row r="21" spans="1:28">
      <c r="A21" s="1035" t="s">
        <v>358</v>
      </c>
      <c r="B21" s="1036"/>
      <c r="C21" s="1036"/>
      <c r="D21" s="1036"/>
      <c r="E21" s="1037"/>
      <c r="F21" s="521"/>
      <c r="G21" s="522"/>
      <c r="I21" s="1035" t="s">
        <v>358</v>
      </c>
      <c r="J21" s="1036"/>
      <c r="K21" s="1036"/>
      <c r="L21" s="1036"/>
      <c r="M21" s="1037"/>
      <c r="N21" s="482"/>
      <c r="O21" s="523"/>
      <c r="P21" s="523"/>
      <c r="Q21" s="104"/>
      <c r="R21" s="483"/>
      <c r="U21" s="1035" t="s">
        <v>358</v>
      </c>
      <c r="V21" s="1036"/>
      <c r="W21" s="1036"/>
      <c r="X21" s="1036"/>
      <c r="Y21" s="1037"/>
      <c r="Z21" s="524"/>
      <c r="AA21" s="525"/>
    </row>
    <row r="22" spans="1:28">
      <c r="A22" s="84" t="s">
        <v>36</v>
      </c>
      <c r="B22" s="135">
        <v>18.454599999999999</v>
      </c>
      <c r="C22" s="135">
        <v>1.8032999999999999</v>
      </c>
      <c r="D22" s="135">
        <v>20.115300000000001</v>
      </c>
      <c r="E22" s="268">
        <f t="shared" si="3"/>
        <v>1.6607000000000021</v>
      </c>
      <c r="F22" s="139">
        <f t="shared" si="4"/>
        <v>0.14259999999999784</v>
      </c>
      <c r="G22" s="137">
        <f t="shared" si="5"/>
        <v>7.9077247268894713</v>
      </c>
      <c r="I22" s="84" t="s">
        <v>36</v>
      </c>
      <c r="J22" s="268">
        <v>0.92090000000000005</v>
      </c>
      <c r="K22" s="268">
        <v>1.056</v>
      </c>
      <c r="L22" s="268">
        <v>2.0699999999999998</v>
      </c>
      <c r="M22" s="268">
        <v>2.7225999999999999</v>
      </c>
      <c r="N22" s="268">
        <v>60.518999999999998</v>
      </c>
      <c r="O22" s="268">
        <v>53.743899999999996</v>
      </c>
      <c r="P22" s="135">
        <f t="shared" si="6"/>
        <v>51.021299999999997</v>
      </c>
      <c r="Q22" s="268">
        <f t="shared" si="7"/>
        <v>9.9610000000000056</v>
      </c>
      <c r="R22" s="137">
        <f t="shared" si="8"/>
        <v>16.459293775508527</v>
      </c>
      <c r="U22" s="84" t="s">
        <v>36</v>
      </c>
      <c r="V22" s="268">
        <v>18.892299999999999</v>
      </c>
      <c r="W22" s="268">
        <v>2.1730999999999998</v>
      </c>
      <c r="X22" s="268">
        <v>19.418600000000001</v>
      </c>
      <c r="Y22" s="268">
        <f>X22-V22</f>
        <v>0.52630000000000265</v>
      </c>
      <c r="Z22" s="268">
        <f t="shared" si="9"/>
        <v>1.6467999999999972</v>
      </c>
      <c r="AA22" s="519">
        <f t="shared" si="10"/>
        <v>75.78114214716291</v>
      </c>
      <c r="AB22">
        <f>SUM(AA22:AA23)/2</f>
        <v>75.740329206940089</v>
      </c>
    </row>
    <row r="23" spans="1:28">
      <c r="A23" s="402" t="s">
        <v>37</v>
      </c>
      <c r="B23" s="107">
        <v>18.869499999999999</v>
      </c>
      <c r="C23" s="107">
        <v>1.8290999999999999</v>
      </c>
      <c r="D23" s="107">
        <v>20.5547</v>
      </c>
      <c r="E23" s="132">
        <f t="shared" si="3"/>
        <v>1.6852000000000018</v>
      </c>
      <c r="F23" s="109">
        <f t="shared" si="4"/>
        <v>0.14389999999999814</v>
      </c>
      <c r="G23" s="516">
        <f t="shared" si="5"/>
        <v>7.8672571209883637</v>
      </c>
      <c r="I23" s="402" t="s">
        <v>37</v>
      </c>
      <c r="J23" s="132">
        <v>0.8216</v>
      </c>
      <c r="K23" s="132">
        <v>1.0452999999999999</v>
      </c>
      <c r="L23" s="132">
        <v>1.9713000000000001</v>
      </c>
      <c r="M23" s="132">
        <v>2.6335000000000002</v>
      </c>
      <c r="N23" s="132">
        <v>60.491</v>
      </c>
      <c r="O23" s="132">
        <v>54.521900000000002</v>
      </c>
      <c r="P23" s="107">
        <f t="shared" si="6"/>
        <v>51.888400000000004</v>
      </c>
      <c r="Q23" s="132">
        <f t="shared" si="7"/>
        <v>9.0658999999999992</v>
      </c>
      <c r="R23" s="516">
        <f t="shared" si="8"/>
        <v>14.987188176753566</v>
      </c>
      <c r="U23" s="402" t="s">
        <v>37</v>
      </c>
      <c r="V23" s="132">
        <v>17.750900000000001</v>
      </c>
      <c r="W23" s="132">
        <v>2.1086</v>
      </c>
      <c r="X23" s="132">
        <v>18.263300000000001</v>
      </c>
      <c r="Y23" s="132">
        <f>X23-V23</f>
        <v>0.51239999999999952</v>
      </c>
      <c r="Z23" s="132">
        <f t="shared" si="9"/>
        <v>1.5962000000000005</v>
      </c>
      <c r="AA23" s="520">
        <f t="shared" si="10"/>
        <v>75.699516266717282</v>
      </c>
    </row>
    <row r="24" spans="1:28">
      <c r="I24" s="935" t="s">
        <v>328</v>
      </c>
      <c r="J24" s="932"/>
      <c r="K24" s="932"/>
      <c r="L24" s="1028"/>
      <c r="M24" s="521"/>
      <c r="N24" s="523"/>
      <c r="O24" s="523"/>
      <c r="P24" s="523"/>
      <c r="Q24" s="524"/>
      <c r="R24" s="483"/>
    </row>
    <row r="25" spans="1:28">
      <c r="I25" s="104"/>
      <c r="J25" s="104"/>
      <c r="K25" s="104"/>
      <c r="L25" s="84" t="s">
        <v>314</v>
      </c>
      <c r="M25" s="268">
        <v>2.7280000000000002</v>
      </c>
      <c r="N25" s="268">
        <v>60.807200000000002</v>
      </c>
      <c r="O25" s="268">
        <v>63.083500000000001</v>
      </c>
      <c r="P25" s="136">
        <f t="shared" si="6"/>
        <v>60.355499999999999</v>
      </c>
      <c r="Q25" s="268">
        <f t="shared" ref="Q25:Q26" si="11">N25-P25</f>
        <v>0.45170000000000243</v>
      </c>
      <c r="R25" s="137">
        <f t="shared" si="8"/>
        <v>0.74283966372403665</v>
      </c>
    </row>
    <row r="26" spans="1:28">
      <c r="I26" s="104"/>
      <c r="J26" s="104"/>
      <c r="K26" s="104"/>
      <c r="L26" s="402" t="s">
        <v>329</v>
      </c>
      <c r="M26" s="132">
        <v>2.609</v>
      </c>
      <c r="N26" s="132">
        <v>60.783000000000001</v>
      </c>
      <c r="O26" s="132">
        <v>62.917099999999998</v>
      </c>
      <c r="P26" s="108">
        <f t="shared" si="6"/>
        <v>60.308099999999996</v>
      </c>
      <c r="Q26" s="132">
        <f t="shared" si="11"/>
        <v>0.47490000000000521</v>
      </c>
      <c r="R26" s="516">
        <f t="shared" si="8"/>
        <v>0.781303983021577</v>
      </c>
    </row>
    <row r="27" spans="1:28">
      <c r="P27" s="165" t="s">
        <v>65</v>
      </c>
      <c r="Q27" s="236">
        <f>SUM(Q25:Q26)/2</f>
        <v>0.46330000000000382</v>
      </c>
    </row>
    <row r="28" spans="1:28">
      <c r="A28" s="1029" t="s">
        <v>349</v>
      </c>
      <c r="B28" s="1030"/>
      <c r="C28" s="1030"/>
      <c r="D28" s="1030"/>
      <c r="E28" s="1031"/>
      <c r="I28" s="1029" t="s">
        <v>350</v>
      </c>
      <c r="J28" s="1030"/>
      <c r="K28" s="1030"/>
      <c r="L28" s="1030"/>
      <c r="M28" s="1031"/>
      <c r="U28" s="1029" t="s">
        <v>351</v>
      </c>
      <c r="V28" s="1030"/>
      <c r="W28" s="1030"/>
      <c r="X28" s="1030"/>
      <c r="Y28" s="1031"/>
    </row>
    <row r="29" spans="1:28">
      <c r="A29" s="906" t="s">
        <v>359</v>
      </c>
      <c r="B29" s="1027"/>
      <c r="C29" s="1027"/>
      <c r="D29" s="1027"/>
      <c r="E29" s="1028"/>
      <c r="I29" s="906" t="s">
        <v>359</v>
      </c>
      <c r="J29" s="1027"/>
      <c r="K29" s="1027"/>
      <c r="L29" s="1027"/>
      <c r="M29" s="1028"/>
      <c r="U29" s="906" t="s">
        <v>359</v>
      </c>
      <c r="V29" s="1027"/>
      <c r="W29" s="1027"/>
      <c r="X29" s="1027"/>
      <c r="Y29" s="1028"/>
    </row>
    <row r="30" spans="1:28" ht="28.8">
      <c r="B30" s="506" t="s">
        <v>121</v>
      </c>
      <c r="C30" s="94" t="s">
        <v>29</v>
      </c>
      <c r="D30" s="505" t="s">
        <v>353</v>
      </c>
      <c r="E30" s="94" t="s">
        <v>10</v>
      </c>
      <c r="F30" s="505" t="s">
        <v>318</v>
      </c>
      <c r="G30" s="94" t="s">
        <v>319</v>
      </c>
      <c r="I30" s="165"/>
      <c r="J30" s="1" t="s">
        <v>340</v>
      </c>
      <c r="K30" s="117" t="s">
        <v>320</v>
      </c>
      <c r="L30" s="1" t="s">
        <v>354</v>
      </c>
      <c r="M30" s="117" t="s">
        <v>355</v>
      </c>
      <c r="N30" s="1" t="s">
        <v>321</v>
      </c>
      <c r="O30" s="117" t="s">
        <v>30</v>
      </c>
      <c r="P30" s="526" t="s">
        <v>322</v>
      </c>
      <c r="Q30" s="517" t="s">
        <v>311</v>
      </c>
      <c r="R30" s="507" t="s">
        <v>323</v>
      </c>
      <c r="S30" s="513" t="s">
        <v>324</v>
      </c>
      <c r="U30" s="165"/>
      <c r="V30" s="94" t="s">
        <v>357</v>
      </c>
      <c r="W30" s="1" t="s">
        <v>8</v>
      </c>
      <c r="X30" s="95" t="s">
        <v>9</v>
      </c>
      <c r="Y30" s="1" t="s">
        <v>325</v>
      </c>
      <c r="Z30" s="95" t="s">
        <v>326</v>
      </c>
      <c r="AA30" s="1" t="s">
        <v>327</v>
      </c>
      <c r="AB30" s="518" t="s">
        <v>65</v>
      </c>
    </row>
    <row r="31" spans="1:28">
      <c r="A31" s="84" t="s">
        <v>95</v>
      </c>
      <c r="B31" s="135">
        <v>20.373000000000001</v>
      </c>
      <c r="C31" s="135">
        <v>1.5016</v>
      </c>
      <c r="D31" s="135">
        <v>21.738399999999999</v>
      </c>
      <c r="E31" s="268">
        <f>D31-B31</f>
        <v>1.3653999999999975</v>
      </c>
      <c r="F31" s="139">
        <f>C31-E31</f>
        <v>0.13620000000000254</v>
      </c>
      <c r="G31" s="488">
        <f>F31/C31*100</f>
        <v>9.070324986681042</v>
      </c>
      <c r="I31" s="84" t="s">
        <v>95</v>
      </c>
      <c r="J31" s="135">
        <v>0.97670000000000001</v>
      </c>
      <c r="K31" s="135">
        <v>1.0323</v>
      </c>
      <c r="L31" s="135">
        <v>2.1463000000000001</v>
      </c>
      <c r="M31" s="135">
        <v>2.6589</v>
      </c>
      <c r="N31" s="268">
        <v>60.611199999999997</v>
      </c>
      <c r="O31" s="136">
        <v>52.979799999999997</v>
      </c>
      <c r="P31" s="135">
        <f>O31-M31</f>
        <v>50.320899999999995</v>
      </c>
      <c r="Q31" s="268">
        <f>N31-P31</f>
        <v>10.290300000000002</v>
      </c>
      <c r="R31" s="268">
        <f>N31-P31-$Q$36</f>
        <v>9.6787500000000044</v>
      </c>
      <c r="S31" s="461">
        <f>R31/N31*100</f>
        <v>15.968583364130732</v>
      </c>
      <c r="U31" s="84" t="s">
        <v>95</v>
      </c>
      <c r="V31" s="268">
        <v>18.074999999999999</v>
      </c>
      <c r="W31" s="268">
        <v>2.052</v>
      </c>
      <c r="X31" s="268">
        <v>18.451799999999999</v>
      </c>
      <c r="Y31" s="268">
        <f>X31-V31</f>
        <v>0.37679999999999936</v>
      </c>
      <c r="Z31" s="268">
        <f>W31-Y31</f>
        <v>1.6752000000000007</v>
      </c>
      <c r="AA31" s="461">
        <f>Z31/W31*100</f>
        <v>81.637426900584828</v>
      </c>
      <c r="AB31" s="417">
        <f>SUM(AA31:AA32)/2</f>
        <v>80.692036102004835</v>
      </c>
    </row>
    <row r="32" spans="1:28">
      <c r="A32" s="402" t="s">
        <v>96</v>
      </c>
      <c r="B32" s="107">
        <v>18.8218</v>
      </c>
      <c r="C32" s="107">
        <v>1.5143</v>
      </c>
      <c r="D32" s="107">
        <v>20.196899999999999</v>
      </c>
      <c r="E32" s="132">
        <f>D32-B32</f>
        <v>1.3750999999999998</v>
      </c>
      <c r="F32" s="109">
        <f>C32-E32</f>
        <v>0.13920000000000021</v>
      </c>
      <c r="G32" s="399">
        <f>F32/C32*100</f>
        <v>9.1923661097536957</v>
      </c>
      <c r="I32" s="402" t="s">
        <v>96</v>
      </c>
      <c r="J32" s="107">
        <v>1.0576000000000001</v>
      </c>
      <c r="K32" s="107">
        <v>1.0342</v>
      </c>
      <c r="L32" s="107">
        <v>2.1701000000000001</v>
      </c>
      <c r="M32" s="107">
        <v>2.7166000000000001</v>
      </c>
      <c r="N32" s="132">
        <v>59.317799999999998</v>
      </c>
      <c r="O32" s="108">
        <v>52.1111</v>
      </c>
      <c r="P32" s="107">
        <f t="shared" ref="P32:P35" si="12">O32-M32</f>
        <v>49.394500000000001</v>
      </c>
      <c r="Q32" s="268">
        <f>N32-P32</f>
        <v>9.9232999999999976</v>
      </c>
      <c r="R32" s="165">
        <f>N32-P32-$Q$36</f>
        <v>9.31175</v>
      </c>
      <c r="S32" s="461">
        <f>R32/N32*100</f>
        <v>15.698070393709814</v>
      </c>
      <c r="U32" s="402" t="s">
        <v>96</v>
      </c>
      <c r="V32" s="132">
        <v>19.03</v>
      </c>
      <c r="W32" s="132">
        <v>1.9972000000000001</v>
      </c>
      <c r="X32" s="132">
        <v>19.4345</v>
      </c>
      <c r="Y32" s="132">
        <f>X32-V32</f>
        <v>0.40449999999999875</v>
      </c>
      <c r="Z32" s="132">
        <f t="shared" ref="Z32" si="13">W32-Y32</f>
        <v>1.5927000000000013</v>
      </c>
      <c r="AA32" s="463">
        <f t="shared" ref="AA32" si="14">Z32/W32*100</f>
        <v>79.746645303424856</v>
      </c>
    </row>
    <row r="33" spans="1:28">
      <c r="I33" s="906" t="s">
        <v>328</v>
      </c>
      <c r="J33" s="932"/>
      <c r="K33" s="932"/>
      <c r="L33" s="932"/>
      <c r="M33" s="932"/>
      <c r="N33" s="932"/>
      <c r="O33" s="932"/>
      <c r="P33" s="932"/>
      <c r="Q33" s="932"/>
      <c r="R33" s="932"/>
      <c r="S33" s="907"/>
    </row>
    <row r="34" spans="1:28">
      <c r="I34" s="104"/>
      <c r="J34" s="104"/>
      <c r="K34" s="104"/>
      <c r="L34" s="100" t="s">
        <v>314</v>
      </c>
      <c r="M34" s="103">
        <v>2.7256999999999998</v>
      </c>
      <c r="N34" s="103">
        <v>60.598999999999997</v>
      </c>
      <c r="O34" s="103">
        <v>62.700899999999997</v>
      </c>
      <c r="P34" s="131">
        <f t="shared" si="12"/>
        <v>59.975200000000001</v>
      </c>
      <c r="Q34" s="106">
        <f t="shared" ref="Q34:Q35" si="15">N34-P34</f>
        <v>0.62379999999999569</v>
      </c>
      <c r="S34" s="461">
        <f>Q34/N34*100</f>
        <v>1.0293899239261304</v>
      </c>
    </row>
    <row r="35" spans="1:28">
      <c r="I35" s="104"/>
      <c r="J35" s="104"/>
      <c r="K35" s="104"/>
      <c r="L35" s="402" t="s">
        <v>329</v>
      </c>
      <c r="M35" s="107">
        <v>2.6076000000000001</v>
      </c>
      <c r="N35" s="107">
        <v>60.238599999999998</v>
      </c>
      <c r="O35" s="107">
        <v>62.246899999999997</v>
      </c>
      <c r="P35" s="132">
        <f t="shared" si="12"/>
        <v>59.639299999999999</v>
      </c>
      <c r="Q35" s="109">
        <f t="shared" si="15"/>
        <v>0.5992999999999995</v>
      </c>
      <c r="S35" s="463">
        <f>Q35/N35*100</f>
        <v>0.99487703897500857</v>
      </c>
    </row>
    <row r="36" spans="1:28">
      <c r="I36" s="104"/>
      <c r="J36" s="104"/>
      <c r="K36" s="104"/>
      <c r="L36" s="104"/>
      <c r="M36" s="104"/>
      <c r="N36" s="104"/>
      <c r="O36" s="104"/>
      <c r="P36" s="132" t="s">
        <v>65</v>
      </c>
      <c r="Q36" s="399">
        <f>SUM(Q34:Q35)/2</f>
        <v>0.6115499999999976</v>
      </c>
      <c r="R36" s="104"/>
      <c r="S36" s="104"/>
    </row>
    <row r="39" spans="1:28">
      <c r="A39" s="1029" t="s">
        <v>349</v>
      </c>
      <c r="B39" s="1030"/>
      <c r="C39" s="1030"/>
      <c r="D39" s="1030"/>
      <c r="E39" s="1031"/>
      <c r="I39" s="1029" t="s">
        <v>350</v>
      </c>
      <c r="J39" s="1030"/>
      <c r="K39" s="1030"/>
      <c r="L39" s="1030"/>
      <c r="M39" s="1031"/>
      <c r="U39" s="1029" t="s">
        <v>351</v>
      </c>
      <c r="V39" s="1030"/>
      <c r="W39" s="1030"/>
      <c r="X39" s="1030"/>
      <c r="Y39" s="1031"/>
    </row>
    <row r="40" spans="1:28">
      <c r="A40" s="906" t="s">
        <v>360</v>
      </c>
      <c r="B40" s="1027"/>
      <c r="C40" s="1027"/>
      <c r="D40" s="1027"/>
      <c r="E40" s="1028"/>
      <c r="I40" s="906" t="s">
        <v>360</v>
      </c>
      <c r="J40" s="1027"/>
      <c r="K40" s="1027"/>
      <c r="L40" s="1027"/>
      <c r="M40" s="1028"/>
      <c r="U40" s="906" t="s">
        <v>360</v>
      </c>
      <c r="V40" s="1027"/>
      <c r="W40" s="1027"/>
      <c r="X40" s="1027"/>
      <c r="Y40" s="1028"/>
    </row>
    <row r="41" spans="1:28" ht="28.8">
      <c r="B41" s="506" t="s">
        <v>121</v>
      </c>
      <c r="C41" s="94" t="s">
        <v>29</v>
      </c>
      <c r="D41" s="505" t="s">
        <v>353</v>
      </c>
      <c r="E41" s="94" t="s">
        <v>10</v>
      </c>
      <c r="F41" s="505" t="s">
        <v>318</v>
      </c>
      <c r="G41" s="94" t="s">
        <v>319</v>
      </c>
      <c r="I41" s="314"/>
      <c r="J41" s="1" t="s">
        <v>340</v>
      </c>
      <c r="K41" s="117" t="s">
        <v>320</v>
      </c>
      <c r="L41" s="1" t="s">
        <v>354</v>
      </c>
      <c r="M41" s="117" t="s">
        <v>355</v>
      </c>
      <c r="N41" s="1" t="s">
        <v>321</v>
      </c>
      <c r="O41" s="117" t="s">
        <v>30</v>
      </c>
      <c r="P41" s="1" t="s">
        <v>322</v>
      </c>
      <c r="Q41" s="517" t="s">
        <v>311</v>
      </c>
      <c r="R41" s="507" t="s">
        <v>323</v>
      </c>
      <c r="S41" s="513" t="s">
        <v>324</v>
      </c>
      <c r="U41" s="165"/>
      <c r="V41" s="94" t="s">
        <v>357</v>
      </c>
      <c r="W41" s="1" t="s">
        <v>8</v>
      </c>
      <c r="X41" s="95" t="s">
        <v>9</v>
      </c>
      <c r="Y41" s="1" t="s">
        <v>325</v>
      </c>
      <c r="Z41" s="95" t="s">
        <v>326</v>
      </c>
      <c r="AA41" s="1" t="s">
        <v>327</v>
      </c>
      <c r="AB41" s="518" t="s">
        <v>65</v>
      </c>
    </row>
    <row r="42" spans="1:28">
      <c r="A42" s="84" t="s">
        <v>16</v>
      </c>
      <c r="B42" s="135">
        <v>17.2685</v>
      </c>
      <c r="C42" s="135">
        <v>1.5031000000000001</v>
      </c>
      <c r="D42" s="135">
        <v>18.643799999999999</v>
      </c>
      <c r="E42" s="268">
        <f>D42-B42</f>
        <v>1.3752999999999993</v>
      </c>
      <c r="F42" s="139">
        <f>C42-E42</f>
        <v>0.1278000000000008</v>
      </c>
      <c r="G42" s="488">
        <f>F42/C42*100</f>
        <v>8.5024283148160986</v>
      </c>
      <c r="I42" s="84" t="s">
        <v>16</v>
      </c>
      <c r="J42" s="268">
        <v>1.0026999999999999</v>
      </c>
      <c r="K42" s="268">
        <v>1.0918000000000001</v>
      </c>
      <c r="L42" s="268">
        <v>2.1476000000000002</v>
      </c>
      <c r="M42" s="268">
        <v>2.6598000000000002</v>
      </c>
      <c r="N42" s="268">
        <v>61.085500000000003</v>
      </c>
      <c r="O42" s="268">
        <v>54.0366</v>
      </c>
      <c r="P42" s="135">
        <f>O42-M42</f>
        <v>51.376800000000003</v>
      </c>
      <c r="Q42" s="268">
        <f>N42-P42</f>
        <v>9.7087000000000003</v>
      </c>
      <c r="R42" s="165">
        <f>N42-P42-$Q$50</f>
        <v>8.7804000000000073</v>
      </c>
      <c r="S42" s="488">
        <f>R42/N42*100</f>
        <v>14.373951265030174</v>
      </c>
      <c r="U42" s="84" t="s">
        <v>16</v>
      </c>
      <c r="V42" s="268">
        <v>20.372699999999998</v>
      </c>
      <c r="W42" s="268">
        <v>1.9928999999999999</v>
      </c>
      <c r="X42" s="268">
        <v>20.831299999999999</v>
      </c>
      <c r="Y42" s="268">
        <f>X42-V42</f>
        <v>0.45860000000000056</v>
      </c>
      <c r="Z42" s="268">
        <f>W42-Y42</f>
        <v>1.5342999999999993</v>
      </c>
      <c r="AA42" s="461">
        <f>Z42/W42*100</f>
        <v>76.988308495157781</v>
      </c>
      <c r="AB42" s="417">
        <f>SUM(AA42:AA43)/2</f>
        <v>77.690391557814564</v>
      </c>
    </row>
    <row r="43" spans="1:28">
      <c r="A43" s="402" t="s">
        <v>17</v>
      </c>
      <c r="B43" s="107">
        <v>18.822099999999999</v>
      </c>
      <c r="C43" s="107">
        <v>1.5056</v>
      </c>
      <c r="D43" s="107">
        <v>20.1968</v>
      </c>
      <c r="E43" s="132">
        <f t="shared" ref="E43" si="16">D43-B43</f>
        <v>1.3747000000000007</v>
      </c>
      <c r="F43" s="109">
        <f t="shared" ref="F43" si="17">C43-E43</f>
        <v>0.13089999999999935</v>
      </c>
      <c r="G43" s="399">
        <f t="shared" ref="G43" si="18">F43/C43*100</f>
        <v>8.6942082890541545</v>
      </c>
      <c r="I43" s="402" t="s">
        <v>17</v>
      </c>
      <c r="J43" s="132">
        <v>0.94069999999999998</v>
      </c>
      <c r="K43" s="132">
        <v>1.0264</v>
      </c>
      <c r="L43" s="132">
        <v>2.1395</v>
      </c>
      <c r="M43" s="132">
        <v>2.7176999999999998</v>
      </c>
      <c r="N43" s="132">
        <v>60.382199999999997</v>
      </c>
      <c r="O43" s="132">
        <v>53.547800000000002</v>
      </c>
      <c r="P43" s="107">
        <f t="shared" ref="P43" si="19">O43-M43</f>
        <v>50.830100000000002</v>
      </c>
      <c r="Q43" s="165">
        <f>N43-P43</f>
        <v>9.5520999999999958</v>
      </c>
      <c r="R43" s="165">
        <f>N43-P43-$Q$50</f>
        <v>8.6238000000000028</v>
      </c>
      <c r="S43" s="488">
        <f>R43/N43*100</f>
        <v>14.282023510239778</v>
      </c>
      <c r="U43" s="402" t="s">
        <v>17</v>
      </c>
      <c r="V43" s="132">
        <v>19.2315</v>
      </c>
      <c r="W43" s="132">
        <v>2.1474000000000002</v>
      </c>
      <c r="X43" s="132">
        <v>19.695499999999999</v>
      </c>
      <c r="Y43" s="132">
        <f>X43-V43</f>
        <v>0.46399999999999864</v>
      </c>
      <c r="Z43" s="132">
        <f t="shared" ref="Z43" si="20">W43-Y43</f>
        <v>1.6834000000000016</v>
      </c>
      <c r="AA43" s="463">
        <f t="shared" ref="AA43" si="21">Z43/W43*100</f>
        <v>78.392474620471333</v>
      </c>
    </row>
    <row r="44" spans="1:28">
      <c r="A44" s="1035" t="s">
        <v>361</v>
      </c>
      <c r="B44" s="1036"/>
      <c r="C44" s="1036"/>
      <c r="D44" s="1036"/>
      <c r="E44" s="1037"/>
      <c r="F44" s="521"/>
      <c r="G44" s="522"/>
      <c r="I44" s="906" t="s">
        <v>361</v>
      </c>
      <c r="J44" s="932"/>
      <c r="K44" s="932"/>
      <c r="L44" s="932"/>
      <c r="M44" s="932"/>
      <c r="N44" s="932"/>
      <c r="O44" s="932"/>
      <c r="P44" s="932"/>
      <c r="Q44" s="932"/>
      <c r="R44" s="932"/>
      <c r="S44" s="907"/>
      <c r="U44" s="1035" t="s">
        <v>361</v>
      </c>
      <c r="V44" s="1036"/>
      <c r="W44" s="1036"/>
      <c r="X44" s="1036"/>
      <c r="Y44" s="1037"/>
      <c r="Z44" s="524"/>
      <c r="AA44" s="525"/>
    </row>
    <row r="45" spans="1:28">
      <c r="A45" s="84" t="s">
        <v>36</v>
      </c>
      <c r="B45" s="135">
        <v>18.105499999999999</v>
      </c>
      <c r="C45" s="135">
        <v>1.5102</v>
      </c>
      <c r="D45" s="135">
        <v>19.468699999999998</v>
      </c>
      <c r="E45" s="268">
        <f t="shared" ref="E45:E46" si="22">D45-B45</f>
        <v>1.3631999999999991</v>
      </c>
      <c r="F45" s="139">
        <f t="shared" ref="F45:F46" si="23">C45-E45</f>
        <v>0.14700000000000091</v>
      </c>
      <c r="G45" s="488">
        <f t="shared" ref="G45:G46" si="24">F45/C45*100</f>
        <v>9.7338100913786842</v>
      </c>
      <c r="I45" s="84" t="s">
        <v>36</v>
      </c>
      <c r="J45" s="268">
        <v>1.0443</v>
      </c>
      <c r="K45" s="268">
        <v>1.1572</v>
      </c>
      <c r="L45" s="268">
        <v>2.4255</v>
      </c>
      <c r="M45" s="268">
        <v>2.6324999999999998</v>
      </c>
      <c r="N45" s="268">
        <v>60.378999999999998</v>
      </c>
      <c r="O45" s="268">
        <v>52.7943</v>
      </c>
      <c r="P45" s="135">
        <f t="shared" ref="P45:P46" si="25">O45-M45</f>
        <v>50.161799999999999</v>
      </c>
      <c r="Q45" s="165">
        <f>N45-P45</f>
        <v>10.217199999999998</v>
      </c>
      <c r="R45" s="165">
        <f>N45-P45-$Q$50</f>
        <v>9.2889000000000053</v>
      </c>
      <c r="S45" s="488">
        <f>R45/N45*100</f>
        <v>15.384322363735745</v>
      </c>
      <c r="U45" s="84" t="s">
        <v>36</v>
      </c>
      <c r="V45" s="268">
        <v>17.779199999999999</v>
      </c>
      <c r="W45" s="268">
        <v>2.0021</v>
      </c>
      <c r="X45" s="268">
        <v>18.286799999999999</v>
      </c>
      <c r="Y45" s="268">
        <f>X45-V45</f>
        <v>0.50760000000000005</v>
      </c>
      <c r="Z45" s="268">
        <f t="shared" ref="Z45:Z46" si="26">W45-Y45</f>
        <v>1.4944999999999999</v>
      </c>
      <c r="AA45" s="461">
        <f t="shared" ref="AA45:AA46" si="27">Z45/W45*100</f>
        <v>74.6466210478997</v>
      </c>
      <c r="AB45" s="417">
        <f>SUM(AA45:AA46)/2</f>
        <v>75.738902356799343</v>
      </c>
    </row>
    <row r="46" spans="1:28">
      <c r="A46" s="402" t="s">
        <v>37</v>
      </c>
      <c r="B46" s="107">
        <v>19.030799999999999</v>
      </c>
      <c r="C46" s="107">
        <v>1.5069999999999999</v>
      </c>
      <c r="D46" s="107">
        <v>20.392700000000001</v>
      </c>
      <c r="E46" s="132">
        <f t="shared" si="22"/>
        <v>1.3619000000000021</v>
      </c>
      <c r="F46" s="109">
        <f t="shared" si="23"/>
        <v>0.14509999999999779</v>
      </c>
      <c r="G46" s="399">
        <f t="shared" si="24"/>
        <v>9.6284007962838611</v>
      </c>
      <c r="I46" s="402" t="s">
        <v>37</v>
      </c>
      <c r="J46" s="132">
        <v>0.96</v>
      </c>
      <c r="K46" s="132">
        <v>1.1306</v>
      </c>
      <c r="L46" s="132">
        <v>2.2538999999999998</v>
      </c>
      <c r="M46" s="132">
        <v>2.7216999999999998</v>
      </c>
      <c r="N46" s="132">
        <v>60.512799999999999</v>
      </c>
      <c r="O46" s="132">
        <v>52.2928</v>
      </c>
      <c r="P46" s="107">
        <f t="shared" si="25"/>
        <v>49.571100000000001</v>
      </c>
      <c r="Q46" s="165">
        <f>N46-P46</f>
        <v>10.941699999999997</v>
      </c>
      <c r="R46" s="165">
        <f>N46-P46-$Q$50</f>
        <v>10.013400000000004</v>
      </c>
      <c r="S46" s="488">
        <f>R46/N46*100</f>
        <v>16.547573405957095</v>
      </c>
      <c r="U46" s="402" t="s">
        <v>37</v>
      </c>
      <c r="V46" s="132">
        <v>18.309100000000001</v>
      </c>
      <c r="W46" s="132">
        <v>2.1011000000000002</v>
      </c>
      <c r="X46" s="132">
        <v>18.7959</v>
      </c>
      <c r="Y46" s="132">
        <f>X46-V46</f>
        <v>0.48679999999999879</v>
      </c>
      <c r="Z46" s="132">
        <f t="shared" si="26"/>
        <v>1.6143000000000014</v>
      </c>
      <c r="AA46" s="463">
        <f t="shared" si="27"/>
        <v>76.831183665698973</v>
      </c>
    </row>
    <row r="47" spans="1:28">
      <c r="I47" s="906" t="s">
        <v>328</v>
      </c>
      <c r="J47" s="932"/>
      <c r="K47" s="932"/>
      <c r="L47" s="932"/>
      <c r="M47" s="932"/>
      <c r="N47" s="932"/>
      <c r="O47" s="932"/>
      <c r="P47" s="932"/>
      <c r="Q47" s="932"/>
      <c r="R47" s="932"/>
      <c r="S47" s="907"/>
    </row>
    <row r="48" spans="1:28">
      <c r="I48" s="104"/>
      <c r="J48" s="104"/>
      <c r="K48" s="104"/>
      <c r="L48" s="100" t="s">
        <v>314</v>
      </c>
      <c r="M48" s="131">
        <v>2.7259000000000002</v>
      </c>
      <c r="N48" s="131">
        <v>65.072199999999995</v>
      </c>
      <c r="O48" s="131">
        <v>66.854500000000002</v>
      </c>
      <c r="P48" s="104">
        <f t="shared" ref="P48:P49" si="28">O48-M48</f>
        <v>64.128600000000006</v>
      </c>
      <c r="Q48" s="131">
        <f t="shared" ref="Q48:Q49" si="29">N48-P48</f>
        <v>0.94359999999998934</v>
      </c>
      <c r="S48" s="461">
        <f>Q48/N48*100</f>
        <v>1.450081601667055</v>
      </c>
    </row>
    <row r="49" spans="1:28">
      <c r="I49" s="104"/>
      <c r="J49" s="104"/>
      <c r="K49" s="104"/>
      <c r="L49" s="402" t="s">
        <v>329</v>
      </c>
      <c r="M49" s="132">
        <v>2.6080999999999999</v>
      </c>
      <c r="N49" s="132">
        <v>60.454099999999997</v>
      </c>
      <c r="O49" s="132">
        <v>62.1492</v>
      </c>
      <c r="P49" s="108">
        <f t="shared" si="28"/>
        <v>59.5411</v>
      </c>
      <c r="Q49" s="132">
        <f t="shared" si="29"/>
        <v>0.9129999999999967</v>
      </c>
      <c r="S49" s="463">
        <f>Q49/N49*100</f>
        <v>1.5102366919696046</v>
      </c>
    </row>
    <row r="50" spans="1:28">
      <c r="P50" s="165" t="s">
        <v>65</v>
      </c>
      <c r="Q50" s="485">
        <f>SUM(Q48:Q49)/2</f>
        <v>0.92829999999999302</v>
      </c>
    </row>
    <row r="53" spans="1:28">
      <c r="A53" s="698" t="s">
        <v>362</v>
      </c>
      <c r="B53" s="1042"/>
      <c r="C53" s="1042"/>
      <c r="D53" s="1042"/>
      <c r="E53" s="699"/>
    </row>
    <row r="54" spans="1:28">
      <c r="A54" s="1029" t="s">
        <v>349</v>
      </c>
      <c r="B54" s="1030"/>
      <c r="C54" s="1030"/>
      <c r="D54" s="1030"/>
      <c r="E54" s="1031"/>
      <c r="I54" s="1029" t="s">
        <v>350</v>
      </c>
      <c r="J54" s="1030"/>
      <c r="K54" s="1030"/>
      <c r="L54" s="1030"/>
      <c r="M54" s="1031"/>
      <c r="U54" s="1029" t="s">
        <v>351</v>
      </c>
      <c r="V54" s="1030"/>
      <c r="W54" s="1030"/>
      <c r="X54" s="1030"/>
      <c r="Y54" s="1031"/>
    </row>
    <row r="55" spans="1:28">
      <c r="A55" s="906" t="s">
        <v>363</v>
      </c>
      <c r="B55" s="1027"/>
      <c r="C55" s="1027"/>
      <c r="D55" s="1027"/>
      <c r="E55" s="1028"/>
      <c r="I55" s="906" t="s">
        <v>352</v>
      </c>
      <c r="J55" s="1027"/>
      <c r="K55" s="1027"/>
      <c r="L55" s="1027"/>
      <c r="M55" s="1028"/>
      <c r="U55" s="906" t="s">
        <v>352</v>
      </c>
      <c r="V55" s="1027"/>
      <c r="W55" s="1027"/>
      <c r="X55" s="1027"/>
      <c r="Y55" s="1028"/>
    </row>
    <row r="56" spans="1:28" ht="28.8">
      <c r="B56" s="506" t="s">
        <v>121</v>
      </c>
      <c r="C56" s="94" t="s">
        <v>29</v>
      </c>
      <c r="D56" s="505" t="s">
        <v>353</v>
      </c>
      <c r="E56" s="94" t="s">
        <v>10</v>
      </c>
      <c r="F56" s="505" t="s">
        <v>318</v>
      </c>
      <c r="G56" s="94" t="s">
        <v>319</v>
      </c>
      <c r="I56" s="314"/>
      <c r="J56" s="1" t="s">
        <v>340</v>
      </c>
      <c r="K56" s="117" t="s">
        <v>320</v>
      </c>
      <c r="L56" s="1" t="s">
        <v>354</v>
      </c>
      <c r="M56" s="117" t="s">
        <v>355</v>
      </c>
      <c r="N56" s="1" t="s">
        <v>321</v>
      </c>
      <c r="O56" s="117" t="s">
        <v>30</v>
      </c>
      <c r="P56" s="1" t="s">
        <v>322</v>
      </c>
      <c r="Q56" s="517" t="s">
        <v>311</v>
      </c>
      <c r="R56" s="507" t="s">
        <v>323</v>
      </c>
      <c r="S56" s="513" t="s">
        <v>324</v>
      </c>
      <c r="U56" s="165"/>
      <c r="V56" s="94" t="s">
        <v>357</v>
      </c>
      <c r="W56" s="1" t="s">
        <v>8</v>
      </c>
      <c r="X56" s="95" t="s">
        <v>9</v>
      </c>
      <c r="Y56" s="1" t="s">
        <v>325</v>
      </c>
      <c r="Z56" s="95" t="s">
        <v>326</v>
      </c>
      <c r="AA56" s="1" t="s">
        <v>327</v>
      </c>
      <c r="AB56" s="518" t="s">
        <v>65</v>
      </c>
    </row>
    <row r="57" spans="1:28">
      <c r="A57" s="84" t="s">
        <v>333</v>
      </c>
      <c r="B57" s="135">
        <v>17.267299999999999</v>
      </c>
      <c r="C57" s="135">
        <v>1.4977</v>
      </c>
      <c r="D57" s="135">
        <v>18.732500000000002</v>
      </c>
      <c r="E57" s="268">
        <f>D57-B57</f>
        <v>1.4652000000000029</v>
      </c>
      <c r="F57" s="139">
        <f>C57-E57</f>
        <v>3.2499999999997087E-2</v>
      </c>
      <c r="G57" s="488">
        <f>F57/C57*100</f>
        <v>2.1699939907856769</v>
      </c>
      <c r="I57" s="84" t="s">
        <v>333</v>
      </c>
      <c r="J57" s="268">
        <v>0.90959999999999996</v>
      </c>
      <c r="K57" s="268">
        <v>1.0306</v>
      </c>
      <c r="L57" s="268">
        <v>1.9852000000000001</v>
      </c>
      <c r="M57" s="268">
        <v>2.6606000000000001</v>
      </c>
      <c r="N57" s="268">
        <v>60.5854</v>
      </c>
      <c r="O57" s="268">
        <v>54.423299999999998</v>
      </c>
      <c r="P57" s="135">
        <f>O57-M57</f>
        <v>51.762699999999995</v>
      </c>
      <c r="Q57" s="268">
        <f>N57-P57</f>
        <v>8.8227000000000046</v>
      </c>
      <c r="R57" s="165">
        <f>N57-P57-$Q$65</f>
        <v>8.371650000000006</v>
      </c>
      <c r="S57" s="488">
        <f>R57/N57*100</f>
        <v>13.817933033371085</v>
      </c>
      <c r="U57" s="84" t="s">
        <v>333</v>
      </c>
      <c r="V57" s="268">
        <v>17.476800000000001</v>
      </c>
      <c r="W57" s="268">
        <v>2.1541999999999999</v>
      </c>
      <c r="X57" s="268">
        <v>18.048400000000001</v>
      </c>
      <c r="Y57" s="268">
        <f>X57-V57</f>
        <v>0.57160000000000011</v>
      </c>
      <c r="Z57" s="268">
        <f>W57-Y57</f>
        <v>1.5825999999999998</v>
      </c>
      <c r="AA57" s="461">
        <f>Z57/W57*100</f>
        <v>73.465787763438868</v>
      </c>
      <c r="AB57" s="417">
        <f>SUM(AA57:AA58)/2</f>
        <v>73.884193526132776</v>
      </c>
    </row>
    <row r="58" spans="1:28">
      <c r="A58" s="402" t="s">
        <v>334</v>
      </c>
      <c r="B58" s="107">
        <v>18.570699999999999</v>
      </c>
      <c r="C58" s="107">
        <v>1.4963</v>
      </c>
      <c r="D58" s="107">
        <v>20.038599999999999</v>
      </c>
      <c r="E58" s="132">
        <f t="shared" ref="E58" si="30">D58-B58</f>
        <v>1.4679000000000002</v>
      </c>
      <c r="F58" s="109">
        <f t="shared" ref="F58" si="31">C58-E58</f>
        <v>2.8399999999999759E-2</v>
      </c>
      <c r="G58" s="399">
        <f t="shared" ref="G58" si="32">F58/C58*100</f>
        <v>1.898015103922994</v>
      </c>
      <c r="I58" s="402" t="s">
        <v>334</v>
      </c>
      <c r="J58" s="132">
        <v>0.92230000000000001</v>
      </c>
      <c r="K58" s="132">
        <v>1.0245</v>
      </c>
      <c r="L58" s="132">
        <v>2.0177</v>
      </c>
      <c r="M58" s="132">
        <v>2.7189000000000001</v>
      </c>
      <c r="N58" s="132">
        <v>60.4298</v>
      </c>
      <c r="O58" s="132">
        <v>53.990900000000003</v>
      </c>
      <c r="P58" s="107">
        <f t="shared" ref="P58" si="33">O58-M58</f>
        <v>51.272000000000006</v>
      </c>
      <c r="Q58" s="165">
        <f>N58-P58</f>
        <v>9.1577999999999946</v>
      </c>
      <c r="R58" s="165">
        <f>N58-P58-$Q$65</f>
        <v>8.706749999999996</v>
      </c>
      <c r="S58" s="488">
        <f>R58/N58*100</f>
        <v>14.408040403906675</v>
      </c>
      <c r="U58" s="402" t="s">
        <v>334</v>
      </c>
      <c r="V58" s="132">
        <v>18.907800000000002</v>
      </c>
      <c r="W58" s="132">
        <v>1.9966999999999999</v>
      </c>
      <c r="X58" s="132">
        <v>19.4209</v>
      </c>
      <c r="Y58" s="132">
        <f>X58-V58</f>
        <v>0.51309999999999789</v>
      </c>
      <c r="Z58" s="132">
        <f t="shared" ref="Z58" si="34">W58-Y58</f>
        <v>1.483600000000002</v>
      </c>
      <c r="AA58" s="463">
        <f t="shared" ref="AA58" si="35">Z58/W58*100</f>
        <v>74.30259928882667</v>
      </c>
    </row>
    <row r="59" spans="1:28">
      <c r="A59" s="1035" t="s">
        <v>364</v>
      </c>
      <c r="B59" s="1036"/>
      <c r="C59" s="1036"/>
      <c r="D59" s="1036"/>
      <c r="E59" s="1037"/>
      <c r="F59" s="521"/>
      <c r="G59" s="522"/>
      <c r="I59" s="906" t="s">
        <v>358</v>
      </c>
      <c r="J59" s="932"/>
      <c r="K59" s="932"/>
      <c r="L59" s="932"/>
      <c r="M59" s="932"/>
      <c r="N59" s="932"/>
      <c r="O59" s="932"/>
      <c r="P59" s="932"/>
      <c r="Q59" s="932"/>
      <c r="R59" s="932"/>
      <c r="S59" s="907"/>
      <c r="U59" s="1035" t="s">
        <v>358</v>
      </c>
      <c r="V59" s="1036"/>
      <c r="W59" s="1036"/>
      <c r="X59" s="1036"/>
      <c r="Y59" s="1037"/>
      <c r="Z59" s="524"/>
      <c r="AA59" s="525"/>
    </row>
    <row r="60" spans="1:28">
      <c r="A60" s="84" t="s">
        <v>335</v>
      </c>
      <c r="B60" s="135">
        <v>19.098700000000001</v>
      </c>
      <c r="C60" s="135">
        <v>1.5053000000000001</v>
      </c>
      <c r="D60" s="135">
        <v>20.598299999999998</v>
      </c>
      <c r="E60" s="268">
        <f t="shared" ref="E60:E61" si="36">D60-B60</f>
        <v>1.4995999999999974</v>
      </c>
      <c r="F60" s="139">
        <f t="shared" ref="F60:F61" si="37">C60-E60</f>
        <v>5.7000000000027029E-3</v>
      </c>
      <c r="G60" s="488">
        <f t="shared" ref="G60:G61" si="38">F60/C60*100</f>
        <v>0.37866206071897313</v>
      </c>
      <c r="I60" s="84" t="s">
        <v>335</v>
      </c>
      <c r="J60" s="268">
        <v>0.91500000000000004</v>
      </c>
      <c r="K60" s="268">
        <v>1.1587000000000001</v>
      </c>
      <c r="L60" s="268">
        <v>2.0629</v>
      </c>
      <c r="M60" s="268">
        <v>2.6341000000000001</v>
      </c>
      <c r="N60" s="268">
        <v>60.280500000000004</v>
      </c>
      <c r="O60" s="268">
        <v>53.682899999999997</v>
      </c>
      <c r="P60" s="135">
        <f t="shared" ref="P60:P61" si="39">O60-M60</f>
        <v>51.0488</v>
      </c>
      <c r="Q60" s="268">
        <f>N60-P60</f>
        <v>9.2317000000000036</v>
      </c>
      <c r="R60" s="165">
        <f>N60-P60-$Q$65</f>
        <v>8.780650000000005</v>
      </c>
      <c r="S60" s="488">
        <f>R60/N60*100</f>
        <v>14.566319124758428</v>
      </c>
      <c r="U60" s="84" t="s">
        <v>335</v>
      </c>
      <c r="V60" s="268">
        <v>17.8202</v>
      </c>
      <c r="W60" s="268">
        <v>1.9946999999999999</v>
      </c>
      <c r="X60" s="268">
        <v>18.374600000000001</v>
      </c>
      <c r="Y60" s="268">
        <f>X60-V60</f>
        <v>0.55440000000000111</v>
      </c>
      <c r="Z60" s="268">
        <f t="shared" ref="Z60:Z61" si="40">W60-Y60</f>
        <v>1.4402999999999988</v>
      </c>
      <c r="AA60" s="461">
        <f t="shared" ref="AA60:AA61" si="41">Z60/W60*100</f>
        <v>72.206346819070475</v>
      </c>
      <c r="AB60" s="417">
        <f>SUM(AA60:AA61)/2</f>
        <v>71.671921577228034</v>
      </c>
    </row>
    <row r="61" spans="1:28">
      <c r="A61" s="402" t="s">
        <v>336</v>
      </c>
      <c r="B61" s="107">
        <v>18.866399999999999</v>
      </c>
      <c r="C61" s="107">
        <v>1.5498000000000001</v>
      </c>
      <c r="D61" s="107">
        <v>20.407800000000002</v>
      </c>
      <c r="E61" s="132">
        <f t="shared" si="36"/>
        <v>1.541400000000003</v>
      </c>
      <c r="F61" s="109">
        <f t="shared" si="37"/>
        <v>8.3999999999970765E-3</v>
      </c>
      <c r="G61" s="399">
        <f t="shared" si="38"/>
        <v>0.54200542005401187</v>
      </c>
      <c r="I61" s="402" t="s">
        <v>336</v>
      </c>
      <c r="J61" s="132">
        <v>0.87209999999999999</v>
      </c>
      <c r="K61" s="132">
        <v>1.1704000000000001</v>
      </c>
      <c r="L61" s="132">
        <v>2.0794000000000001</v>
      </c>
      <c r="M61" s="132">
        <v>2.7227999999999999</v>
      </c>
      <c r="N61" s="132">
        <v>60.553100000000001</v>
      </c>
      <c r="O61" s="132">
        <v>54.580300000000001</v>
      </c>
      <c r="P61" s="107">
        <f t="shared" si="39"/>
        <v>51.857500000000002</v>
      </c>
      <c r="Q61" s="165">
        <f>N61-P61</f>
        <v>8.6955999999999989</v>
      </c>
      <c r="R61" s="165">
        <f>N61-P61-$Q$65</f>
        <v>8.2445500000000003</v>
      </c>
      <c r="S61" s="488">
        <f>R61/N61*100</f>
        <v>13.615405321940576</v>
      </c>
      <c r="U61" s="402" t="s">
        <v>336</v>
      </c>
      <c r="V61" s="132">
        <v>18.104900000000001</v>
      </c>
      <c r="W61" s="132">
        <v>2.0466000000000002</v>
      </c>
      <c r="X61" s="132">
        <v>18.695599999999999</v>
      </c>
      <c r="Y61" s="132">
        <f>X61-V61</f>
        <v>0.59069999999999823</v>
      </c>
      <c r="Z61" s="132">
        <f t="shared" si="40"/>
        <v>1.455900000000002</v>
      </c>
      <c r="AA61" s="463">
        <f t="shared" si="41"/>
        <v>71.137496335385606</v>
      </c>
    </row>
    <row r="62" spans="1:28">
      <c r="I62" s="906" t="s">
        <v>328</v>
      </c>
      <c r="J62" s="932"/>
      <c r="K62" s="932"/>
      <c r="L62" s="932"/>
      <c r="M62" s="932"/>
      <c r="N62" s="932"/>
      <c r="O62" s="932"/>
      <c r="P62" s="932"/>
      <c r="Q62" s="932"/>
      <c r="R62" s="932"/>
      <c r="S62" s="907"/>
    </row>
    <row r="63" spans="1:28">
      <c r="I63" s="104"/>
      <c r="J63" s="104"/>
      <c r="K63" s="104"/>
      <c r="L63" s="100" t="s">
        <v>314</v>
      </c>
      <c r="M63" s="131">
        <v>2.7273000000000001</v>
      </c>
      <c r="N63" s="131">
        <v>60.108899999999998</v>
      </c>
      <c r="O63" s="131">
        <v>62.382300000000001</v>
      </c>
      <c r="P63" s="104">
        <f t="shared" ref="P63:P64" si="42">O63-M63</f>
        <v>59.655000000000001</v>
      </c>
      <c r="Q63" s="131">
        <f t="shared" ref="Q63:Q64" si="43">N63-P63</f>
        <v>0.45389999999999731</v>
      </c>
      <c r="S63" s="462">
        <f>Q63/N63*100</f>
        <v>0.75512944006627525</v>
      </c>
    </row>
    <row r="64" spans="1:28">
      <c r="I64" s="104"/>
      <c r="J64" s="104"/>
      <c r="K64" s="104"/>
      <c r="L64" s="402" t="s">
        <v>329</v>
      </c>
      <c r="M64" s="132">
        <v>2.6103000000000001</v>
      </c>
      <c r="N64" s="132">
        <v>60.288699999999999</v>
      </c>
      <c r="O64" s="132">
        <v>62.450800000000001</v>
      </c>
      <c r="P64" s="108">
        <f t="shared" si="42"/>
        <v>59.840499999999999</v>
      </c>
      <c r="Q64" s="132">
        <f t="shared" si="43"/>
        <v>0.44819999999999993</v>
      </c>
      <c r="S64" s="463">
        <f>Q64/N64*100</f>
        <v>0.74342289682809537</v>
      </c>
    </row>
    <row r="65" spans="1:28">
      <c r="P65" s="165" t="s">
        <v>65</v>
      </c>
      <c r="Q65" s="485">
        <f>SUM(Q63:Q64)/2</f>
        <v>0.45104999999999862</v>
      </c>
    </row>
    <row r="66" spans="1:28">
      <c r="A66" s="698" t="s">
        <v>362</v>
      </c>
      <c r="B66" s="1042"/>
      <c r="C66" s="1042"/>
      <c r="D66" s="1042"/>
      <c r="E66" s="699"/>
    </row>
    <row r="67" spans="1:28">
      <c r="A67" s="1029" t="s">
        <v>349</v>
      </c>
      <c r="B67" s="1030"/>
      <c r="C67" s="1030"/>
      <c r="D67" s="1030"/>
      <c r="E67" s="1031"/>
      <c r="I67" s="1029" t="s">
        <v>350</v>
      </c>
      <c r="J67" s="1030"/>
      <c r="K67" s="1030"/>
      <c r="L67" s="1030"/>
      <c r="M67" s="1031"/>
      <c r="U67" s="1029" t="s">
        <v>351</v>
      </c>
      <c r="V67" s="1030"/>
      <c r="W67" s="1030"/>
      <c r="X67" s="1030"/>
      <c r="Y67" s="1031"/>
    </row>
    <row r="68" spans="1:28">
      <c r="A68" s="906" t="s">
        <v>365</v>
      </c>
      <c r="B68" s="1027"/>
      <c r="C68" s="1027"/>
      <c r="D68" s="1027"/>
      <c r="E68" s="1028"/>
      <c r="I68" s="906" t="s">
        <v>359</v>
      </c>
      <c r="J68" s="1027"/>
      <c r="K68" s="1027"/>
      <c r="L68" s="1027"/>
      <c r="M68" s="1028"/>
      <c r="U68" s="906" t="s">
        <v>359</v>
      </c>
      <c r="V68" s="1027"/>
      <c r="W68" s="1027"/>
      <c r="X68" s="1027"/>
      <c r="Y68" s="1028"/>
    </row>
    <row r="69" spans="1:28" ht="28.8">
      <c r="B69" s="506" t="s">
        <v>121</v>
      </c>
      <c r="C69" s="94" t="s">
        <v>29</v>
      </c>
      <c r="D69" s="505" t="s">
        <v>353</v>
      </c>
      <c r="E69" s="94" t="s">
        <v>10</v>
      </c>
      <c r="F69" s="505" t="s">
        <v>318</v>
      </c>
      <c r="G69" s="94" t="s">
        <v>319</v>
      </c>
      <c r="I69" s="314"/>
      <c r="J69" s="1" t="s">
        <v>340</v>
      </c>
      <c r="K69" s="117" t="s">
        <v>320</v>
      </c>
      <c r="L69" s="1" t="s">
        <v>354</v>
      </c>
      <c r="M69" s="117" t="s">
        <v>355</v>
      </c>
      <c r="N69" s="1" t="s">
        <v>321</v>
      </c>
      <c r="O69" s="117" t="s">
        <v>30</v>
      </c>
      <c r="P69" s="1" t="s">
        <v>322</v>
      </c>
      <c r="Q69" s="517" t="s">
        <v>311</v>
      </c>
      <c r="R69" s="507" t="s">
        <v>323</v>
      </c>
      <c r="S69" s="513" t="s">
        <v>324</v>
      </c>
      <c r="U69" s="165"/>
      <c r="V69" s="94" t="s">
        <v>357</v>
      </c>
      <c r="W69" s="1" t="s">
        <v>8</v>
      </c>
      <c r="X69" s="95" t="s">
        <v>9</v>
      </c>
      <c r="Y69" s="1" t="s">
        <v>325</v>
      </c>
      <c r="Z69" s="95" t="s">
        <v>326</v>
      </c>
      <c r="AA69" s="1" t="s">
        <v>327</v>
      </c>
      <c r="AB69" s="518" t="s">
        <v>65</v>
      </c>
    </row>
    <row r="70" spans="1:28">
      <c r="A70" s="84" t="s">
        <v>337</v>
      </c>
      <c r="B70" s="135">
        <v>18.2836</v>
      </c>
      <c r="C70" s="135">
        <v>1.4931000000000001</v>
      </c>
      <c r="D70" s="135">
        <v>19.767499999999998</v>
      </c>
      <c r="E70" s="268">
        <f>D70-B70</f>
        <v>1.4838999999999984</v>
      </c>
      <c r="F70" s="139">
        <f>C70-E70</f>
        <v>9.2000000000016513E-3</v>
      </c>
      <c r="G70" s="488">
        <f>F70/C70*100</f>
        <v>0.61616770477541027</v>
      </c>
      <c r="I70" s="84" t="s">
        <v>337</v>
      </c>
      <c r="J70" s="268">
        <v>1.0175000000000001</v>
      </c>
      <c r="K70" s="268">
        <v>1.0496000000000001</v>
      </c>
      <c r="L70" s="268">
        <v>2.1467000000000001</v>
      </c>
      <c r="M70" s="268">
        <v>2.6562999999999999</v>
      </c>
      <c r="N70" s="268">
        <v>60.715000000000003</v>
      </c>
      <c r="O70" s="268">
        <v>53.779600000000002</v>
      </c>
      <c r="P70" s="135">
        <f>O70-M70</f>
        <v>51.1233</v>
      </c>
      <c r="Q70" s="268">
        <f>N70-P70</f>
        <v>9.591700000000003</v>
      </c>
      <c r="R70" s="165">
        <f>N70-P70-$Q$75</f>
        <v>8.7028500000000015</v>
      </c>
      <c r="S70" s="488">
        <f>R70/N70*100</f>
        <v>14.333937247797088</v>
      </c>
      <c r="U70" s="84" t="s">
        <v>337</v>
      </c>
      <c r="V70" s="268">
        <v>18.869900000000001</v>
      </c>
      <c r="W70" s="268">
        <v>2.0177</v>
      </c>
      <c r="X70" s="268">
        <v>19.421399999999998</v>
      </c>
      <c r="Y70" s="268">
        <f>X70-V70</f>
        <v>0.55149999999999721</v>
      </c>
      <c r="Z70" s="268">
        <f>W70-Y70</f>
        <v>1.4662000000000028</v>
      </c>
      <c r="AA70" s="461">
        <f>Z70/W70*100</f>
        <v>72.666897953115068</v>
      </c>
      <c r="AB70" s="417">
        <f>SUM(AA70:AA71)/2</f>
        <v>71.84840080122936</v>
      </c>
    </row>
    <row r="71" spans="1:28">
      <c r="A71" s="402" t="s">
        <v>338</v>
      </c>
      <c r="B71" s="107">
        <v>20.372800000000002</v>
      </c>
      <c r="C71" s="107">
        <v>1.5097</v>
      </c>
      <c r="D71" s="107">
        <v>21.8735</v>
      </c>
      <c r="E71" s="132">
        <f t="shared" ref="E71" si="44">D71-B71</f>
        <v>1.5006999999999984</v>
      </c>
      <c r="F71" s="109">
        <f t="shared" ref="F71" si="45">C71-E71</f>
        <v>9.0000000000016733E-3</v>
      </c>
      <c r="G71" s="399">
        <f t="shared" ref="G71" si="46">F71/C71*100</f>
        <v>0.59614492945629416</v>
      </c>
      <c r="I71" s="512" t="s">
        <v>338</v>
      </c>
      <c r="J71" s="131">
        <v>0.9718</v>
      </c>
      <c r="K71" s="131">
        <v>1.0632999999999999</v>
      </c>
      <c r="L71" s="131">
        <v>2.1412</v>
      </c>
      <c r="M71" s="131">
        <v>2.7143000000000002</v>
      </c>
      <c r="N71" s="131">
        <v>60.820999999999998</v>
      </c>
      <c r="O71" s="131">
        <v>54.257599999999996</v>
      </c>
      <c r="P71" s="103">
        <f t="shared" ref="P71" si="47">O71-M71</f>
        <v>51.543299999999995</v>
      </c>
      <c r="Q71" s="268">
        <f>N71-P71</f>
        <v>9.2777000000000029</v>
      </c>
      <c r="R71" s="268">
        <f>N71-P71-$Q$75</f>
        <v>8.3888500000000015</v>
      </c>
      <c r="S71" s="488">
        <f>R71/N71*100</f>
        <v>13.792686736489044</v>
      </c>
      <c r="U71" s="402" t="s">
        <v>338</v>
      </c>
      <c r="V71" s="132">
        <v>18.075700000000001</v>
      </c>
      <c r="W71" s="132">
        <v>2.0030999999999999</v>
      </c>
      <c r="X71" s="132">
        <v>18.655999999999999</v>
      </c>
      <c r="Y71" s="132">
        <f>X71-V71</f>
        <v>0.5802999999999976</v>
      </c>
      <c r="Z71" s="132">
        <f t="shared" ref="Z71" si="48">W71-Y71</f>
        <v>1.4228000000000023</v>
      </c>
      <c r="AA71" s="463">
        <f t="shared" ref="AA71" si="49">Z71/W71*100</f>
        <v>71.029903649343638</v>
      </c>
    </row>
    <row r="72" spans="1:28">
      <c r="I72" s="906" t="s">
        <v>328</v>
      </c>
      <c r="J72" s="932"/>
      <c r="K72" s="932"/>
      <c r="L72" s="932"/>
      <c r="M72" s="932"/>
      <c r="N72" s="932"/>
      <c r="O72" s="932"/>
      <c r="P72" s="932"/>
      <c r="Q72" s="932"/>
      <c r="R72" s="932"/>
      <c r="S72" s="907"/>
    </row>
    <row r="73" spans="1:28">
      <c r="I73" s="104"/>
      <c r="J73" s="104"/>
      <c r="K73" s="104"/>
      <c r="L73" s="100" t="s">
        <v>314</v>
      </c>
      <c r="M73" s="131">
        <v>2.7225999999999999</v>
      </c>
      <c r="N73" s="131">
        <v>60.014200000000002</v>
      </c>
      <c r="O73" s="131">
        <v>61.860799999999998</v>
      </c>
      <c r="P73" s="104">
        <f t="shared" ref="P73:P74" si="50">O73-M73</f>
        <v>59.138199999999998</v>
      </c>
      <c r="Q73" s="131">
        <f t="shared" ref="Q73:Q74" si="51">N73-P73</f>
        <v>0.87600000000000477</v>
      </c>
      <c r="S73" s="461">
        <f>Q73/N73*100</f>
        <v>1.4596545484235477</v>
      </c>
    </row>
    <row r="74" spans="1:28">
      <c r="I74" s="104"/>
      <c r="J74" s="104"/>
      <c r="K74" s="104"/>
      <c r="L74" s="402" t="s">
        <v>329</v>
      </c>
      <c r="M74" s="132">
        <v>2.6048</v>
      </c>
      <c r="N74" s="132">
        <v>60.7468</v>
      </c>
      <c r="O74" s="132">
        <v>62.4499</v>
      </c>
      <c r="P74" s="108">
        <f t="shared" si="50"/>
        <v>59.845100000000002</v>
      </c>
      <c r="Q74" s="132">
        <f t="shared" si="51"/>
        <v>0.90169999999999817</v>
      </c>
      <c r="S74" s="463">
        <f>Q74/N74*100</f>
        <v>1.4843580237971352</v>
      </c>
    </row>
    <row r="75" spans="1:28">
      <c r="P75" s="165" t="s">
        <v>65</v>
      </c>
      <c r="Q75" s="485">
        <f>SUM(Q73:Q74)/2</f>
        <v>0.88885000000000147</v>
      </c>
    </row>
    <row r="77" spans="1:28" ht="15" thickBot="1"/>
    <row r="78" spans="1:28" ht="16.2" thickBot="1">
      <c r="A78" s="1039" t="s">
        <v>309</v>
      </c>
      <c r="B78" s="1040"/>
      <c r="C78" s="1040"/>
      <c r="D78" s="1040"/>
      <c r="E78" s="1040"/>
      <c r="F78" s="1040"/>
      <c r="G78" s="1040"/>
      <c r="H78" s="1040"/>
      <c r="I78" s="1040"/>
      <c r="J78" s="1040"/>
      <c r="K78" s="1040"/>
      <c r="L78" s="1040"/>
      <c r="M78" s="1040"/>
      <c r="N78" s="1040"/>
      <c r="O78" s="1040"/>
      <c r="P78" s="1040"/>
      <c r="Q78" s="1040"/>
      <c r="R78" s="1040"/>
      <c r="S78" s="1040"/>
      <c r="T78" s="1040"/>
      <c r="U78" s="1040"/>
      <c r="V78" s="1041"/>
    </row>
    <row r="79" spans="1:28">
      <c r="A79" s="1038" t="s">
        <v>310</v>
      </c>
      <c r="B79" s="933"/>
      <c r="C79" s="933"/>
      <c r="D79" s="934"/>
      <c r="V79" s="81"/>
    </row>
    <row r="80" spans="1:28">
      <c r="A80" s="91"/>
      <c r="B80" s="94" t="s">
        <v>311</v>
      </c>
      <c r="C80" s="157" t="s">
        <v>312</v>
      </c>
      <c r="D80" s="94" t="s">
        <v>313</v>
      </c>
      <c r="V80" s="81"/>
    </row>
    <row r="81" spans="1:22">
      <c r="A81" s="527">
        <v>1</v>
      </c>
      <c r="B81" s="165">
        <v>8.9113999999999933</v>
      </c>
      <c r="C81" s="268">
        <v>8.4756999999999891</v>
      </c>
      <c r="D81" s="165">
        <v>13.883983710804515</v>
      </c>
      <c r="V81" s="81"/>
    </row>
    <row r="82" spans="1:22">
      <c r="A82" s="528">
        <v>2</v>
      </c>
      <c r="B82" s="165">
        <v>8.828000000000003</v>
      </c>
      <c r="C82" s="165">
        <v>8.3922999999999988</v>
      </c>
      <c r="D82" s="109">
        <v>13.813007661731664</v>
      </c>
      <c r="V82" s="81"/>
    </row>
    <row r="83" spans="1:22">
      <c r="A83" s="527" t="s">
        <v>314</v>
      </c>
      <c r="B83" s="165">
        <v>0.4357000000000042</v>
      </c>
      <c r="C83" s="109" t="s">
        <v>108</v>
      </c>
      <c r="D83" s="109" t="s">
        <v>108</v>
      </c>
      <c r="V83" s="81"/>
    </row>
    <row r="84" spans="1:22">
      <c r="A84" s="91"/>
      <c r="B84" s="504" t="s">
        <v>65</v>
      </c>
      <c r="C84" s="469">
        <v>8.4339999999999939</v>
      </c>
      <c r="D84" s="469">
        <v>13.8484956862681</v>
      </c>
      <c r="V84" s="81"/>
    </row>
    <row r="85" spans="1:22">
      <c r="A85" s="91"/>
      <c r="V85" s="81"/>
    </row>
    <row r="86" spans="1:22">
      <c r="A86" s="91"/>
      <c r="V86" s="81"/>
    </row>
    <row r="87" spans="1:22">
      <c r="A87" s="1033" t="s">
        <v>315</v>
      </c>
      <c r="B87" s="1030"/>
      <c r="C87" s="1030"/>
      <c r="D87" s="1030"/>
      <c r="E87" s="1031"/>
      <c r="G87" s="1029" t="s">
        <v>316</v>
      </c>
      <c r="H87" s="1030"/>
      <c r="I87" s="1030"/>
      <c r="J87" s="1030"/>
      <c r="K87" s="1030"/>
      <c r="L87" s="1030"/>
      <c r="M87" s="1030"/>
      <c r="N87" s="1031"/>
      <c r="Q87" s="1029" t="s">
        <v>317</v>
      </c>
      <c r="R87" s="1030"/>
      <c r="S87" s="1030"/>
      <c r="T87" s="1030"/>
      <c r="U87" s="1030"/>
      <c r="V87" s="1031"/>
    </row>
    <row r="88" spans="1:22">
      <c r="A88" s="906" t="s">
        <v>225</v>
      </c>
      <c r="B88" s="932"/>
      <c r="C88" s="932"/>
      <c r="D88" s="932"/>
      <c r="E88" s="907"/>
      <c r="G88" s="906" t="s">
        <v>225</v>
      </c>
      <c r="H88" s="932"/>
      <c r="I88" s="932"/>
      <c r="J88" s="932"/>
      <c r="K88" s="932"/>
      <c r="L88" s="932"/>
      <c r="M88" s="932"/>
      <c r="N88" s="907"/>
      <c r="Q88" s="1026" t="s">
        <v>225</v>
      </c>
      <c r="R88" s="1027"/>
      <c r="S88" s="1027"/>
      <c r="T88" s="1027"/>
      <c r="U88" s="1027"/>
      <c r="V88" s="1032"/>
    </row>
    <row r="89" spans="1:22" ht="28.8">
      <c r="A89" s="339"/>
      <c r="B89" s="3" t="s">
        <v>491</v>
      </c>
      <c r="C89" s="3" t="s">
        <v>325</v>
      </c>
      <c r="D89" s="505" t="s">
        <v>492</v>
      </c>
      <c r="E89" s="3" t="s">
        <v>327</v>
      </c>
      <c r="F89" s="3" t="s">
        <v>65</v>
      </c>
      <c r="G89" s="339"/>
      <c r="H89" s="4" t="s">
        <v>493</v>
      </c>
      <c r="I89" s="506" t="s">
        <v>494</v>
      </c>
      <c r="J89" s="506" t="s">
        <v>322</v>
      </c>
      <c r="K89" s="507" t="s">
        <v>495</v>
      </c>
      <c r="L89" s="508" t="s">
        <v>496</v>
      </c>
      <c r="M89" s="509" t="s">
        <v>497</v>
      </c>
      <c r="N89" s="508" t="s">
        <v>498</v>
      </c>
      <c r="O89" s="3" t="s">
        <v>65</v>
      </c>
      <c r="Q89" s="339"/>
      <c r="R89" s="506" t="s">
        <v>8</v>
      </c>
      <c r="S89" s="506" t="s">
        <v>325</v>
      </c>
      <c r="T89" s="430" t="s">
        <v>326</v>
      </c>
      <c r="U89" s="506" t="s">
        <v>327</v>
      </c>
      <c r="V89" s="3" t="s">
        <v>65</v>
      </c>
    </row>
    <row r="90" spans="1:22">
      <c r="A90" s="529" t="s">
        <v>16</v>
      </c>
      <c r="B90" s="135">
        <v>1.5031000000000001</v>
      </c>
      <c r="C90" s="268">
        <v>1.3752999999999993</v>
      </c>
      <c r="D90" s="139">
        <v>0.1278000000000008</v>
      </c>
      <c r="E90" s="488">
        <v>8.5024283148160986</v>
      </c>
      <c r="F90" s="417">
        <f>AVERAGE(E90:E91)</f>
        <v>8.5983183019351266</v>
      </c>
      <c r="G90" s="84" t="s">
        <v>16</v>
      </c>
      <c r="H90" s="268">
        <v>1.0918000000000001</v>
      </c>
      <c r="I90" s="268">
        <v>61.085500000000003</v>
      </c>
      <c r="J90" s="135">
        <v>51.376800000000003</v>
      </c>
      <c r="K90" s="165">
        <v>8.7804000000000073</v>
      </c>
      <c r="L90" s="488">
        <v>14.373951265030174</v>
      </c>
      <c r="M90">
        <f>K90*(1-($D$84/100))</f>
        <v>7.5644466847629221</v>
      </c>
      <c r="N90" s="510">
        <f>M90/I90*100</f>
        <v>12.383375244146192</v>
      </c>
      <c r="O90" s="511">
        <f>AVERAGE(N90:N91)</f>
        <v>12.343776672329309</v>
      </c>
      <c r="Q90" s="84" t="s">
        <v>16</v>
      </c>
      <c r="R90" s="268">
        <v>1.9928999999999999</v>
      </c>
      <c r="S90" s="268">
        <v>0.45860000000000056</v>
      </c>
      <c r="T90" s="268">
        <v>1.5342999999999993</v>
      </c>
      <c r="U90" s="461">
        <v>76.988308495157781</v>
      </c>
      <c r="V90" s="245">
        <f>SUM(U90:U91)/2</f>
        <v>77.690391557814564</v>
      </c>
    </row>
    <row r="91" spans="1:22">
      <c r="A91" s="530" t="s">
        <v>17</v>
      </c>
      <c r="B91" s="107">
        <v>1.5056</v>
      </c>
      <c r="C91" s="132">
        <v>1.3747000000000007</v>
      </c>
      <c r="D91" s="109">
        <v>0.13089999999999935</v>
      </c>
      <c r="E91" s="399">
        <v>8.6942082890541545</v>
      </c>
      <c r="G91" s="512" t="s">
        <v>17</v>
      </c>
      <c r="H91" s="131">
        <v>1.0264</v>
      </c>
      <c r="I91" s="131">
        <v>60.382199999999997</v>
      </c>
      <c r="J91" s="103">
        <v>50.830100000000002</v>
      </c>
      <c r="K91" s="268">
        <v>8.6238000000000028</v>
      </c>
      <c r="L91" s="488">
        <v>14.282023510239778</v>
      </c>
      <c r="M91">
        <f>K91*(1-($D$84/100))</f>
        <v>7.4295334290076136</v>
      </c>
      <c r="N91" s="496">
        <f>M91/I91*100</f>
        <v>12.304178100512425</v>
      </c>
      <c r="Q91" s="512" t="s">
        <v>17</v>
      </c>
      <c r="R91" s="131">
        <v>2.1474000000000002</v>
      </c>
      <c r="S91" s="131">
        <v>0.46399999999999864</v>
      </c>
      <c r="T91" s="131">
        <v>1.6834000000000016</v>
      </c>
      <c r="U91" s="462">
        <v>78.392474620471333</v>
      </c>
      <c r="V91" s="81"/>
    </row>
    <row r="92" spans="1:22">
      <c r="A92" s="1034" t="s">
        <v>170</v>
      </c>
      <c r="B92" s="1027"/>
      <c r="C92" s="1027"/>
      <c r="D92" s="1027"/>
      <c r="E92" s="1027"/>
      <c r="G92" s="906" t="s">
        <v>170</v>
      </c>
      <c r="H92" s="932"/>
      <c r="I92" s="932"/>
      <c r="J92" s="932"/>
      <c r="K92" s="932"/>
      <c r="L92" s="932"/>
      <c r="M92" s="932"/>
      <c r="N92" s="907"/>
      <c r="Q92" s="906" t="s">
        <v>170</v>
      </c>
      <c r="R92" s="932"/>
      <c r="S92" s="932"/>
      <c r="T92" s="932"/>
      <c r="U92" s="932"/>
      <c r="V92" s="907"/>
    </row>
    <row r="93" spans="1:22">
      <c r="A93" s="529" t="s">
        <v>36</v>
      </c>
      <c r="B93" s="135">
        <v>1.5102</v>
      </c>
      <c r="C93" s="268">
        <v>1.3631999999999991</v>
      </c>
      <c r="D93" s="139">
        <v>0.1278000000000008</v>
      </c>
      <c r="E93" s="488">
        <v>8.5024283148160986</v>
      </c>
      <c r="F93" s="417">
        <f>AVERAGE(E93:E94)</f>
        <v>8.5983183019351266</v>
      </c>
      <c r="G93" s="100" t="s">
        <v>36</v>
      </c>
      <c r="H93" s="131">
        <v>1.1572</v>
      </c>
      <c r="I93" s="131">
        <v>60.378999999999998</v>
      </c>
      <c r="J93" s="103">
        <v>50.161799999999999</v>
      </c>
      <c r="K93" s="165">
        <v>9.2889000000000053</v>
      </c>
      <c r="L93" s="488">
        <v>15.384322363735745</v>
      </c>
      <c r="M93">
        <f t="shared" ref="M93:M94" si="52">K93*(1-($D$84/100))</f>
        <v>8.0025270841982472</v>
      </c>
      <c r="N93" s="510">
        <f t="shared" ref="N93:N94" si="53">M93/I93*100</f>
        <v>13.253825144832224</v>
      </c>
      <c r="O93" s="511">
        <f>AVERAGE(N93:N94)</f>
        <v>13.75490428074165</v>
      </c>
      <c r="Q93" s="100" t="s">
        <v>36</v>
      </c>
      <c r="R93" s="131">
        <v>2.0021</v>
      </c>
      <c r="S93" s="131">
        <v>0.50760000000000005</v>
      </c>
      <c r="T93" s="131">
        <v>1.4944999999999999</v>
      </c>
      <c r="U93" s="462">
        <v>74.6466210478997</v>
      </c>
      <c r="V93" s="245">
        <f>SUM(U93:U94)/2</f>
        <v>75.738902356799343</v>
      </c>
    </row>
    <row r="94" spans="1:22">
      <c r="A94" s="530" t="s">
        <v>37</v>
      </c>
      <c r="B94" s="107">
        <v>1.5069999999999999</v>
      </c>
      <c r="C94" s="132">
        <v>1.3619000000000021</v>
      </c>
      <c r="D94" s="109">
        <v>0.13089999999999935</v>
      </c>
      <c r="E94" s="399">
        <v>8.6942082890541545</v>
      </c>
      <c r="G94" s="512" t="s">
        <v>37</v>
      </c>
      <c r="H94" s="131">
        <v>1.1306</v>
      </c>
      <c r="I94" s="131">
        <v>60.512799999999999</v>
      </c>
      <c r="J94" s="103">
        <v>49.571100000000001</v>
      </c>
      <c r="K94" s="268">
        <v>10.013400000000004</v>
      </c>
      <c r="L94" s="488">
        <v>16.547573405957095</v>
      </c>
      <c r="M94">
        <f t="shared" si="52"/>
        <v>8.6266947329512327</v>
      </c>
      <c r="N94" s="496">
        <f t="shared" si="53"/>
        <v>14.255983416651077</v>
      </c>
      <c r="Q94" s="512" t="s">
        <v>37</v>
      </c>
      <c r="R94" s="131">
        <v>2.1011000000000002</v>
      </c>
      <c r="S94" s="131">
        <v>0.48679999999999879</v>
      </c>
      <c r="T94" s="131">
        <v>1.6143000000000014</v>
      </c>
      <c r="U94" s="462">
        <v>76.831183665698973</v>
      </c>
      <c r="V94" s="81"/>
    </row>
    <row r="95" spans="1:22">
      <c r="A95" s="1034" t="s">
        <v>171</v>
      </c>
      <c r="B95" s="1027"/>
      <c r="C95" s="1027"/>
      <c r="D95" s="1027"/>
      <c r="E95" s="1027"/>
      <c r="G95" s="906" t="s">
        <v>328</v>
      </c>
      <c r="H95" s="932"/>
      <c r="I95" s="932"/>
      <c r="J95" s="932"/>
      <c r="K95" s="932"/>
      <c r="L95" s="932"/>
      <c r="M95" s="932"/>
      <c r="N95" s="907"/>
      <c r="Q95" s="906" t="s">
        <v>171</v>
      </c>
      <c r="R95" s="932"/>
      <c r="S95" s="932"/>
      <c r="T95" s="932"/>
      <c r="U95" s="932"/>
      <c r="V95" s="907"/>
    </row>
    <row r="96" spans="1:22">
      <c r="A96" s="529" t="s">
        <v>95</v>
      </c>
      <c r="B96" s="135">
        <v>1.5016</v>
      </c>
      <c r="C96" s="268">
        <v>1.3653999999999975</v>
      </c>
      <c r="D96" s="139">
        <v>0.13620000000000254</v>
      </c>
      <c r="E96" s="488">
        <v>9.070324986681042</v>
      </c>
      <c r="F96" s="417">
        <f>AVERAGE(E96:E97)</f>
        <v>9.131345548217368</v>
      </c>
      <c r="G96" s="100" t="s">
        <v>314</v>
      </c>
      <c r="I96" s="131">
        <v>65.072199999999995</v>
      </c>
      <c r="J96" s="104">
        <v>64.128600000000006</v>
      </c>
      <c r="K96" s="131">
        <v>0.94359999999998934</v>
      </c>
      <c r="Q96" s="100" t="s">
        <v>95</v>
      </c>
      <c r="R96" s="131">
        <v>2.052</v>
      </c>
      <c r="S96" s="131">
        <v>0.37679999999999936</v>
      </c>
      <c r="T96" s="131">
        <v>1.6752000000000007</v>
      </c>
      <c r="U96" s="462">
        <v>81.637426900584828</v>
      </c>
      <c r="V96" s="245">
        <f>SUM(U96:U97)/2</f>
        <v>80.692036102004835</v>
      </c>
    </row>
    <row r="97" spans="1:22">
      <c r="A97" s="530" t="s">
        <v>96</v>
      </c>
      <c r="B97" s="107">
        <v>1.5143</v>
      </c>
      <c r="C97" s="132">
        <v>1.3750999999999998</v>
      </c>
      <c r="D97" s="109">
        <v>0.13920000000000021</v>
      </c>
      <c r="E97" s="399">
        <v>9.1923661097536957</v>
      </c>
      <c r="G97" s="402" t="s">
        <v>329</v>
      </c>
      <c r="H97" s="187"/>
      <c r="I97" s="132">
        <v>60.454099999999997</v>
      </c>
      <c r="J97" s="108">
        <v>59.5411</v>
      </c>
      <c r="K97" s="132">
        <v>0.9129999999999967</v>
      </c>
      <c r="Q97" s="402" t="s">
        <v>96</v>
      </c>
      <c r="R97" s="132">
        <v>1.9972000000000001</v>
      </c>
      <c r="S97" s="132">
        <v>0.40449999999999875</v>
      </c>
      <c r="T97" s="132">
        <v>1.5927000000000013</v>
      </c>
      <c r="U97" s="463">
        <v>79.746645303424856</v>
      </c>
      <c r="V97" s="81"/>
    </row>
    <row r="98" spans="1:22">
      <c r="A98" s="91"/>
      <c r="J98" s="131" t="s">
        <v>65</v>
      </c>
      <c r="K98" s="462">
        <f>SUM(K96:K97)/2</f>
        <v>0.92829999999999302</v>
      </c>
      <c r="V98" s="81"/>
    </row>
    <row r="99" spans="1:22">
      <c r="A99" s="91"/>
      <c r="G99" s="1026" t="s">
        <v>171</v>
      </c>
      <c r="H99" s="1027"/>
      <c r="I99" s="1027"/>
      <c r="J99" s="1027"/>
      <c r="K99" s="1027"/>
      <c r="L99" s="1027"/>
      <c r="M99" s="1027"/>
      <c r="N99" s="1028"/>
      <c r="V99" s="81"/>
    </row>
    <row r="100" spans="1:22">
      <c r="A100" s="91"/>
      <c r="G100" s="84" t="s">
        <v>95</v>
      </c>
      <c r="H100" s="135">
        <v>1.0323</v>
      </c>
      <c r="I100" s="268">
        <v>60.611199999999997</v>
      </c>
      <c r="J100" s="135">
        <v>50.320899999999995</v>
      </c>
      <c r="K100" s="268">
        <v>9.6787500000000044</v>
      </c>
      <c r="L100" s="461">
        <v>15.968583364130732</v>
      </c>
      <c r="M100">
        <f>K100*(1-($D$84/100))</f>
        <v>8.3383887237653305</v>
      </c>
      <c r="N100" s="510">
        <f>M100/I100*100</f>
        <v>13.75717478579096</v>
      </c>
      <c r="O100" s="511">
        <f>AVERAGE(N100:N101)</f>
        <v>13.640649289100271</v>
      </c>
      <c r="V100" s="81"/>
    </row>
    <row r="101" spans="1:22">
      <c r="A101" s="91"/>
      <c r="G101" s="512" t="s">
        <v>96</v>
      </c>
      <c r="H101" s="103">
        <v>1.0342</v>
      </c>
      <c r="I101" s="131">
        <v>59.317799999999998</v>
      </c>
      <c r="J101" s="103">
        <v>49.394500000000001</v>
      </c>
      <c r="K101" s="268">
        <v>9.31175</v>
      </c>
      <c r="L101" s="461">
        <v>15.698070393709814</v>
      </c>
      <c r="M101">
        <f>K101*(1-($D$84/100))</f>
        <v>8.0222127029339294</v>
      </c>
      <c r="N101" s="496">
        <f>M101/I101*100</f>
        <v>13.524123792409579</v>
      </c>
      <c r="V101" s="81"/>
    </row>
    <row r="102" spans="1:22">
      <c r="A102" s="91"/>
      <c r="G102" s="906" t="s">
        <v>328</v>
      </c>
      <c r="H102" s="932"/>
      <c r="I102" s="932"/>
      <c r="J102" s="932"/>
      <c r="K102" s="932"/>
      <c r="L102" s="932"/>
      <c r="M102" s="932"/>
      <c r="N102" s="907"/>
      <c r="V102" s="81"/>
    </row>
    <row r="103" spans="1:22">
      <c r="A103" s="91"/>
      <c r="G103" s="84" t="s">
        <v>314</v>
      </c>
      <c r="H103" s="183"/>
      <c r="I103" s="135">
        <v>60.598999999999997</v>
      </c>
      <c r="J103" s="268">
        <v>59.975200000000001</v>
      </c>
      <c r="K103" s="139">
        <v>0.62379999999999569</v>
      </c>
      <c r="V103" s="81"/>
    </row>
    <row r="104" spans="1:22">
      <c r="A104" s="91"/>
      <c r="G104" s="402" t="s">
        <v>329</v>
      </c>
      <c r="H104" s="187"/>
      <c r="I104" s="107">
        <v>60.238599999999998</v>
      </c>
      <c r="J104" s="132">
        <v>59.639299999999999</v>
      </c>
      <c r="K104" s="109">
        <v>0.5992999999999995</v>
      </c>
      <c r="V104" s="81"/>
    </row>
    <row r="105" spans="1:22">
      <c r="A105" s="91"/>
      <c r="J105" s="132" t="s">
        <v>65</v>
      </c>
      <c r="K105" s="399">
        <v>0.6115499999999976</v>
      </c>
      <c r="V105" s="81"/>
    </row>
    <row r="106" spans="1:22">
      <c r="A106" s="91"/>
      <c r="V106" s="81"/>
    </row>
    <row r="107" spans="1:22">
      <c r="A107" s="91"/>
      <c r="V107" s="81"/>
    </row>
    <row r="108" spans="1:22">
      <c r="A108" s="1033" t="s">
        <v>330</v>
      </c>
      <c r="B108" s="1030"/>
      <c r="C108" s="1030"/>
      <c r="D108" s="1030"/>
      <c r="E108" s="1031"/>
      <c r="G108" s="1029" t="s">
        <v>331</v>
      </c>
      <c r="H108" s="1030"/>
      <c r="I108" s="1030"/>
      <c r="J108" s="1030"/>
      <c r="K108" s="1030"/>
      <c r="L108" s="1030"/>
      <c r="M108" s="1030"/>
      <c r="N108" s="1031"/>
      <c r="Q108" s="1029" t="s">
        <v>332</v>
      </c>
      <c r="R108" s="1030"/>
      <c r="S108" s="1030"/>
      <c r="T108" s="1030"/>
      <c r="U108" s="1030"/>
      <c r="V108" s="1031"/>
    </row>
    <row r="109" spans="1:22">
      <c r="A109" s="906" t="s">
        <v>225</v>
      </c>
      <c r="B109" s="932"/>
      <c r="C109" s="932"/>
      <c r="D109" s="932"/>
      <c r="E109" s="907"/>
      <c r="G109" s="1026" t="s">
        <v>225</v>
      </c>
      <c r="H109" s="1027"/>
      <c r="I109" s="1027"/>
      <c r="J109" s="1027"/>
      <c r="K109" s="1027"/>
      <c r="L109" s="1027"/>
      <c r="M109" s="1027"/>
      <c r="N109" s="1028"/>
      <c r="Q109" s="1026" t="s">
        <v>225</v>
      </c>
      <c r="R109" s="1027"/>
      <c r="S109" s="1027"/>
      <c r="T109" s="1027"/>
      <c r="U109" s="1027"/>
      <c r="V109" s="1032"/>
    </row>
    <row r="110" spans="1:22" ht="28.8">
      <c r="A110" s="339"/>
      <c r="B110" s="3" t="s">
        <v>491</v>
      </c>
      <c r="C110" s="3" t="s">
        <v>325</v>
      </c>
      <c r="D110" s="505" t="s">
        <v>492</v>
      </c>
      <c r="E110" s="3" t="s">
        <v>327</v>
      </c>
      <c r="F110" s="3" t="s">
        <v>65</v>
      </c>
      <c r="G110" s="339"/>
      <c r="H110" s="4" t="s">
        <v>493</v>
      </c>
      <c r="I110" s="506" t="s">
        <v>494</v>
      </c>
      <c r="J110" s="506" t="s">
        <v>322</v>
      </c>
      <c r="K110" s="507" t="s">
        <v>495</v>
      </c>
      <c r="L110" s="508" t="s">
        <v>496</v>
      </c>
      <c r="M110" s="509" t="s">
        <v>497</v>
      </c>
      <c r="N110" s="508" t="s">
        <v>498</v>
      </c>
      <c r="O110" s="3" t="s">
        <v>65</v>
      </c>
      <c r="Q110" s="339"/>
      <c r="R110" s="506" t="s">
        <v>8</v>
      </c>
      <c r="S110" s="506" t="s">
        <v>325</v>
      </c>
      <c r="T110" s="430" t="s">
        <v>326</v>
      </c>
      <c r="U110" s="506" t="s">
        <v>327</v>
      </c>
      <c r="V110" s="3" t="s">
        <v>65</v>
      </c>
    </row>
    <row r="111" spans="1:22">
      <c r="A111" s="529" t="s">
        <v>333</v>
      </c>
      <c r="B111" s="135">
        <v>1.4977</v>
      </c>
      <c r="C111" s="268">
        <v>1.4652000000000029</v>
      </c>
      <c r="D111" s="139">
        <v>3.2499999999997087E-2</v>
      </c>
      <c r="E111" s="488">
        <v>2.1699939907856769</v>
      </c>
      <c r="F111" s="417">
        <f>AVERAGE(E111:E112)</f>
        <v>2.0340045473543356</v>
      </c>
      <c r="G111" s="84" t="s">
        <v>333</v>
      </c>
      <c r="H111" s="268">
        <v>1.0306</v>
      </c>
      <c r="I111" s="268">
        <v>60.5854</v>
      </c>
      <c r="J111" s="135">
        <v>51.762699999999995</v>
      </c>
      <c r="K111" s="165">
        <v>8.371650000000006</v>
      </c>
      <c r="L111" s="461">
        <v>13.817933033371085</v>
      </c>
      <c r="M111" s="183">
        <f>K111*(1-($D$84/100))</f>
        <v>7.2123024108805414</v>
      </c>
      <c r="N111" s="514">
        <f>M111/I111*100</f>
        <v>11.904357173313276</v>
      </c>
      <c r="O111" s="511">
        <f>AVERAGE(N111:N112)</f>
        <v>12.158550361704584</v>
      </c>
      <c r="Q111" s="84" t="s">
        <v>333</v>
      </c>
      <c r="R111" s="268">
        <v>2.1541999999999999</v>
      </c>
      <c r="S111" s="268">
        <v>0.57160000000000011</v>
      </c>
      <c r="T111" s="268">
        <v>1.5825999999999998</v>
      </c>
      <c r="U111" s="461">
        <v>73.465787763438868</v>
      </c>
      <c r="V111" s="245">
        <f>SUM(U111:U112)/2</f>
        <v>73.884193526132776</v>
      </c>
    </row>
    <row r="112" spans="1:22">
      <c r="A112" s="530" t="s">
        <v>334</v>
      </c>
      <c r="B112" s="107">
        <v>1.4963</v>
      </c>
      <c r="C112" s="132">
        <v>1.4679000000000002</v>
      </c>
      <c r="D112" s="109">
        <v>2.8399999999999759E-2</v>
      </c>
      <c r="E112" s="399">
        <v>1.898015103922994</v>
      </c>
      <c r="G112" s="402" t="s">
        <v>334</v>
      </c>
      <c r="H112" s="132">
        <v>1.0245</v>
      </c>
      <c r="I112" s="132">
        <v>60.4298</v>
      </c>
      <c r="J112" s="107">
        <v>51.272000000000006</v>
      </c>
      <c r="K112" s="165">
        <v>8.706749999999996</v>
      </c>
      <c r="L112" s="485">
        <v>14.408040403906675</v>
      </c>
      <c r="M112" s="187">
        <f>K112*(1-($D$84/100))</f>
        <v>7.5009961018358489</v>
      </c>
      <c r="N112" s="496">
        <f>M112/I112*100</f>
        <v>12.412743550095895</v>
      </c>
      <c r="Q112" s="512" t="s">
        <v>334</v>
      </c>
      <c r="R112" s="131">
        <v>1.9966999999999999</v>
      </c>
      <c r="S112" s="131">
        <v>0.51309999999999789</v>
      </c>
      <c r="T112" s="131">
        <v>1.483600000000002</v>
      </c>
      <c r="U112" s="462">
        <v>74.30259928882667</v>
      </c>
      <c r="V112" s="81"/>
    </row>
    <row r="113" spans="1:22">
      <c r="A113" s="1034" t="s">
        <v>170</v>
      </c>
      <c r="B113" s="1027"/>
      <c r="C113" s="1027"/>
      <c r="D113" s="1027"/>
      <c r="E113" s="1027"/>
      <c r="G113" s="1035" t="s">
        <v>170</v>
      </c>
      <c r="H113" s="1036"/>
      <c r="I113" s="1036"/>
      <c r="J113" s="1036"/>
      <c r="K113" s="1036"/>
      <c r="L113" s="1036"/>
      <c r="M113" s="1036"/>
      <c r="N113" s="1037"/>
      <c r="Q113" s="906" t="s">
        <v>170</v>
      </c>
      <c r="R113" s="932"/>
      <c r="S113" s="932"/>
      <c r="T113" s="932"/>
      <c r="U113" s="932"/>
      <c r="V113" s="907"/>
    </row>
    <row r="114" spans="1:22">
      <c r="A114" s="529" t="s">
        <v>335</v>
      </c>
      <c r="B114" s="135">
        <v>1.5053000000000001</v>
      </c>
      <c r="C114" s="268">
        <v>1.4995999999999974</v>
      </c>
      <c r="D114" s="139">
        <v>5.7000000000027029E-3</v>
      </c>
      <c r="E114" s="488">
        <v>0.37866206071897313</v>
      </c>
      <c r="F114" s="417">
        <f>AVERAGE(E114:E115)</f>
        <v>0.4603337403864925</v>
      </c>
      <c r="G114" s="84" t="s">
        <v>335</v>
      </c>
      <c r="H114" s="268">
        <v>1.1587000000000001</v>
      </c>
      <c r="I114" s="268">
        <v>60.280500000000004</v>
      </c>
      <c r="J114" s="135">
        <v>51.0488</v>
      </c>
      <c r="K114" s="165">
        <v>8.780650000000005</v>
      </c>
      <c r="L114" s="461">
        <v>14.566319124758428</v>
      </c>
      <c r="M114" s="183">
        <f>K114*(1-($D$84/100))</f>
        <v>7.5646620635237038</v>
      </c>
      <c r="N114" s="514">
        <f>M114/I114*100</f>
        <v>12.549103049118212</v>
      </c>
      <c r="O114" s="417">
        <f>AVERAGE(N114:N115)</f>
        <v>12.139489776190965</v>
      </c>
      <c r="Q114" s="100" t="s">
        <v>335</v>
      </c>
      <c r="R114" s="131">
        <v>1.9946999999999999</v>
      </c>
      <c r="S114" s="131">
        <v>0.55440000000000111</v>
      </c>
      <c r="T114" s="131">
        <v>1.4402999999999988</v>
      </c>
      <c r="U114" s="462">
        <v>72.206346819070475</v>
      </c>
      <c r="V114" s="245">
        <f>SUM(U114:U115)/2</f>
        <v>71.671921577228034</v>
      </c>
    </row>
    <row r="115" spans="1:22">
      <c r="A115" s="530" t="s">
        <v>336</v>
      </c>
      <c r="B115" s="107">
        <v>1.5498000000000001</v>
      </c>
      <c r="C115" s="132">
        <v>1.541400000000003</v>
      </c>
      <c r="D115" s="109">
        <v>8.3999999999970765E-3</v>
      </c>
      <c r="E115" s="399">
        <v>0.54200542005401187</v>
      </c>
      <c r="G115" s="402" t="s">
        <v>336</v>
      </c>
      <c r="H115" s="132">
        <v>1.1704000000000001</v>
      </c>
      <c r="I115" s="132">
        <v>60.553100000000001</v>
      </c>
      <c r="J115" s="107">
        <v>51.857500000000002</v>
      </c>
      <c r="K115" s="165">
        <v>8.2445500000000003</v>
      </c>
      <c r="L115" s="485">
        <v>13.615405321940576</v>
      </c>
      <c r="M115" s="187">
        <f>K115*(1-($D$84/100))</f>
        <v>7.1028038488977829</v>
      </c>
      <c r="N115" s="496">
        <f>M115/I115*100</f>
        <v>11.729876503263718</v>
      </c>
      <c r="Q115" s="512" t="s">
        <v>336</v>
      </c>
      <c r="R115" s="131">
        <v>2.0466000000000002</v>
      </c>
      <c r="S115" s="131">
        <v>0.59069999999999823</v>
      </c>
      <c r="T115" s="131">
        <v>1.455900000000002</v>
      </c>
      <c r="U115" s="462">
        <v>71.137496335385606</v>
      </c>
      <c r="V115" s="81"/>
    </row>
    <row r="116" spans="1:22">
      <c r="A116" s="1034" t="s">
        <v>171</v>
      </c>
      <c r="B116" s="1027"/>
      <c r="C116" s="1027"/>
      <c r="D116" s="1027"/>
      <c r="E116" s="1027"/>
      <c r="G116" s="1035" t="s">
        <v>328</v>
      </c>
      <c r="H116" s="1036"/>
      <c r="I116" s="1036"/>
      <c r="J116" s="1036"/>
      <c r="K116" s="1036"/>
      <c r="L116" s="1036"/>
      <c r="M116" s="1036"/>
      <c r="N116" s="1036"/>
      <c r="Q116" s="906" t="s">
        <v>171</v>
      </c>
      <c r="R116" s="932"/>
      <c r="S116" s="932"/>
      <c r="T116" s="932"/>
      <c r="U116" s="932"/>
      <c r="V116" s="907"/>
    </row>
    <row r="117" spans="1:22">
      <c r="A117" s="529" t="s">
        <v>337</v>
      </c>
      <c r="B117" s="135">
        <v>1.4931000000000001</v>
      </c>
      <c r="C117" s="268">
        <v>1.4838999999999984</v>
      </c>
      <c r="D117" s="139">
        <v>9.2000000000016513E-3</v>
      </c>
      <c r="E117" s="488">
        <v>0.61616770477541027</v>
      </c>
      <c r="F117" s="417">
        <f>AVERAGE(E117:E118)</f>
        <v>0.60615631711585216</v>
      </c>
      <c r="G117" s="84" t="s">
        <v>314</v>
      </c>
      <c r="H117" s="183"/>
      <c r="I117" s="268">
        <v>60.108899999999998</v>
      </c>
      <c r="J117" s="136">
        <v>59.655000000000001</v>
      </c>
      <c r="K117" s="268">
        <v>0.45389999999999731</v>
      </c>
      <c r="Q117" s="100" t="s">
        <v>337</v>
      </c>
      <c r="R117" s="131">
        <v>2.0177</v>
      </c>
      <c r="S117" s="131">
        <v>0.55149999999999721</v>
      </c>
      <c r="T117" s="131">
        <v>1.4662000000000028</v>
      </c>
      <c r="U117" s="462">
        <v>72.666897953115068</v>
      </c>
      <c r="V117" s="245">
        <f>SUM(U117:U118)/2</f>
        <v>71.84840080122936</v>
      </c>
    </row>
    <row r="118" spans="1:22">
      <c r="A118" s="530" t="s">
        <v>338</v>
      </c>
      <c r="B118" s="107">
        <v>1.5097</v>
      </c>
      <c r="C118" s="132">
        <v>1.5006999999999984</v>
      </c>
      <c r="D118" s="109">
        <v>9.0000000000016733E-3</v>
      </c>
      <c r="E118" s="399">
        <v>0.59614492945629416</v>
      </c>
      <c r="G118" s="402" t="s">
        <v>329</v>
      </c>
      <c r="H118" s="187"/>
      <c r="I118" s="132">
        <v>60.288699999999999</v>
      </c>
      <c r="J118" s="108">
        <v>59.840499999999999</v>
      </c>
      <c r="K118" s="132">
        <v>0.44819999999999993</v>
      </c>
      <c r="Q118" s="402" t="s">
        <v>338</v>
      </c>
      <c r="R118" s="132">
        <v>2.0030999999999999</v>
      </c>
      <c r="S118" s="132">
        <v>0.5802999999999976</v>
      </c>
      <c r="T118" s="132">
        <v>1.4228000000000023</v>
      </c>
      <c r="U118" s="463">
        <v>71.029903649343638</v>
      </c>
      <c r="V118" s="81"/>
    </row>
    <row r="119" spans="1:22">
      <c r="A119" s="91"/>
      <c r="K119" s="463">
        <v>0.45104999999999862</v>
      </c>
      <c r="V119" s="81"/>
    </row>
    <row r="120" spans="1:22">
      <c r="A120" s="91"/>
      <c r="G120" s="1026" t="s">
        <v>171</v>
      </c>
      <c r="H120" s="1027"/>
      <c r="I120" s="1027"/>
      <c r="J120" s="1027"/>
      <c r="K120" s="1027"/>
      <c r="L120" s="1027"/>
      <c r="M120" s="1027"/>
      <c r="N120" s="1028"/>
      <c r="V120" s="81"/>
    </row>
    <row r="121" spans="1:22">
      <c r="A121" s="91"/>
      <c r="G121" s="84" t="s">
        <v>337</v>
      </c>
      <c r="H121" s="268">
        <v>1.0496000000000001</v>
      </c>
      <c r="I121" s="268">
        <v>60.715000000000003</v>
      </c>
      <c r="J121" s="135">
        <v>51.1233</v>
      </c>
      <c r="K121" s="165">
        <v>8.7028500000000015</v>
      </c>
      <c r="L121" s="461">
        <v>14.333937247797088</v>
      </c>
      <c r="M121" s="183">
        <f>K121*(1-($D$84/100))</f>
        <v>7.4976361931676179</v>
      </c>
      <c r="N121" s="514">
        <f>M121/I121*100</f>
        <v>12.348902566363531</v>
      </c>
      <c r="O121" s="511">
        <f>AVERAGE(N121:N122)</f>
        <v>12.115754837564708</v>
      </c>
      <c r="V121" s="81"/>
    </row>
    <row r="122" spans="1:22">
      <c r="A122" s="91"/>
      <c r="G122" s="402" t="s">
        <v>338</v>
      </c>
      <c r="H122" s="132">
        <v>1.0632999999999999</v>
      </c>
      <c r="I122" s="132">
        <v>60.820999999999998</v>
      </c>
      <c r="J122" s="107">
        <v>51.543299999999995</v>
      </c>
      <c r="K122" s="268">
        <v>8.3888500000000015</v>
      </c>
      <c r="L122" s="485">
        <v>13.792686736489044</v>
      </c>
      <c r="M122" s="187">
        <f>K122*(1-($D$84/100))</f>
        <v>7.2271204696224993</v>
      </c>
      <c r="N122" s="496">
        <f>M122/I122*100</f>
        <v>11.882607108765885</v>
      </c>
      <c r="V122" s="81"/>
    </row>
    <row r="123" spans="1:22">
      <c r="A123" s="91"/>
      <c r="G123" s="935" t="s">
        <v>328</v>
      </c>
      <c r="H123" s="933"/>
      <c r="I123" s="933"/>
      <c r="J123" s="933"/>
      <c r="K123" s="933"/>
      <c r="L123" s="933"/>
      <c r="M123" s="933"/>
      <c r="N123" s="934"/>
      <c r="V123" s="81"/>
    </row>
    <row r="124" spans="1:22">
      <c r="A124" s="91"/>
      <c r="G124" s="100" t="s">
        <v>314</v>
      </c>
      <c r="I124" s="131">
        <v>60.014200000000002</v>
      </c>
      <c r="J124" s="104">
        <v>59.138199999999998</v>
      </c>
      <c r="K124" s="131">
        <v>0.87600000000000477</v>
      </c>
      <c r="V124" s="81"/>
    </row>
    <row r="125" spans="1:22">
      <c r="A125" s="91"/>
      <c r="G125" s="402" t="s">
        <v>329</v>
      </c>
      <c r="I125" s="132">
        <v>60.7468</v>
      </c>
      <c r="J125" s="108">
        <v>59.845100000000002</v>
      </c>
      <c r="K125" s="132">
        <v>0.90169999999999817</v>
      </c>
      <c r="V125" s="81"/>
    </row>
    <row r="126" spans="1:22" ht="15" thickBot="1">
      <c r="A126" s="163"/>
      <c r="B126" s="115"/>
      <c r="C126" s="115"/>
      <c r="D126" s="115"/>
      <c r="E126" s="115"/>
      <c r="F126" s="115"/>
      <c r="G126" s="115"/>
      <c r="H126" s="115"/>
      <c r="I126" s="115"/>
      <c r="J126" s="487" t="s">
        <v>65</v>
      </c>
      <c r="K126" s="531">
        <f>SUM(K124:K125)/2</f>
        <v>0.88885000000000147</v>
      </c>
      <c r="L126" s="115"/>
      <c r="M126" s="115"/>
      <c r="N126" s="115"/>
      <c r="O126" s="115"/>
      <c r="P126" s="115"/>
      <c r="Q126" s="115"/>
      <c r="R126" s="115"/>
      <c r="S126" s="115"/>
      <c r="T126" s="115"/>
      <c r="U126" s="115"/>
      <c r="V126" s="116"/>
    </row>
    <row r="131" spans="1:34" ht="15" thickBot="1"/>
    <row r="132" spans="1:34" ht="40.200000000000003" thickBot="1">
      <c r="A132" s="624" t="s">
        <v>508</v>
      </c>
      <c r="B132" s="625" t="s">
        <v>509</v>
      </c>
      <c r="C132" s="625" t="s">
        <v>510</v>
      </c>
      <c r="D132" s="625" t="s">
        <v>511</v>
      </c>
      <c r="E132" s="625" t="s">
        <v>512</v>
      </c>
      <c r="H132" s="632" t="s">
        <v>508</v>
      </c>
      <c r="I132" s="633" t="s">
        <v>509</v>
      </c>
      <c r="J132" s="633" t="s">
        <v>510</v>
      </c>
      <c r="K132" s="633" t="s">
        <v>511</v>
      </c>
      <c r="L132" s="633" t="s">
        <v>512</v>
      </c>
    </row>
    <row r="133" spans="1:34" ht="40.200000000000003" thickBot="1">
      <c r="A133" s="1023" t="s">
        <v>225</v>
      </c>
      <c r="B133" s="626" t="s">
        <v>513</v>
      </c>
      <c r="C133" s="627">
        <v>8.5983183019999991</v>
      </c>
      <c r="D133" s="627">
        <v>2.0340045469999999</v>
      </c>
      <c r="E133" s="627">
        <v>6.5643000000000002</v>
      </c>
      <c r="H133" s="1023" t="s">
        <v>225</v>
      </c>
      <c r="I133" s="628" t="s">
        <v>514</v>
      </c>
      <c r="J133" s="629">
        <v>12.34377667</v>
      </c>
      <c r="K133" s="629">
        <v>12.15855036</v>
      </c>
      <c r="L133" s="629">
        <v>0.1852</v>
      </c>
    </row>
    <row r="134" spans="1:34" ht="40.200000000000003" thickBot="1">
      <c r="A134" s="1024"/>
      <c r="B134" s="628" t="s">
        <v>514</v>
      </c>
      <c r="C134" s="629">
        <v>12.34377667</v>
      </c>
      <c r="D134" s="629">
        <v>12.15855036</v>
      </c>
      <c r="E134" s="629">
        <v>0.1852</v>
      </c>
      <c r="H134" s="1024"/>
      <c r="I134" s="630" t="s">
        <v>515</v>
      </c>
      <c r="J134" s="631">
        <v>77.690391559999995</v>
      </c>
      <c r="K134" s="631">
        <v>73.884193530000005</v>
      </c>
      <c r="L134" s="631">
        <v>3.806</v>
      </c>
    </row>
    <row r="135" spans="1:34" ht="53.4" thickBot="1">
      <c r="A135" s="1025"/>
      <c r="B135" s="630" t="s">
        <v>515</v>
      </c>
      <c r="C135" s="631">
        <v>77.690391559999995</v>
      </c>
      <c r="D135" s="631">
        <v>73.884193530000005</v>
      </c>
      <c r="E135" s="631">
        <v>3.806</v>
      </c>
      <c r="H135" s="1023" t="s">
        <v>516</v>
      </c>
      <c r="I135" s="628" t="s">
        <v>514</v>
      </c>
      <c r="J135" s="629">
        <v>13.75490428</v>
      </c>
      <c r="K135" s="629">
        <v>12.13948978</v>
      </c>
      <c r="L135" s="629">
        <v>1.6153999999999999</v>
      </c>
    </row>
    <row r="136" spans="1:34" ht="40.200000000000003" thickBot="1">
      <c r="A136" s="1023" t="s">
        <v>516</v>
      </c>
      <c r="B136" s="626" t="s">
        <v>513</v>
      </c>
      <c r="C136" s="627">
        <v>8.5983183019999991</v>
      </c>
      <c r="D136" s="627">
        <v>0.46033373999999999</v>
      </c>
      <c r="E136" s="627">
        <v>8.1379000000000001</v>
      </c>
      <c r="H136" s="1024"/>
      <c r="I136" s="630" t="s">
        <v>515</v>
      </c>
      <c r="J136" s="631">
        <v>75.738902359999997</v>
      </c>
      <c r="K136" s="631">
        <v>71.671921580000003</v>
      </c>
      <c r="L136" s="631">
        <v>4.0669000000000004</v>
      </c>
    </row>
    <row r="137" spans="1:34" ht="40.200000000000003" thickBot="1">
      <c r="A137" s="1024"/>
      <c r="B137" s="628" t="s">
        <v>514</v>
      </c>
      <c r="C137" s="629">
        <v>13.75490428</v>
      </c>
      <c r="D137" s="629">
        <v>12.13948978</v>
      </c>
      <c r="E137" s="629">
        <v>1.6153999999999999</v>
      </c>
      <c r="H137" s="1023" t="s">
        <v>219</v>
      </c>
      <c r="I137" s="628" t="s">
        <v>514</v>
      </c>
      <c r="J137" s="629">
        <v>13.640649290000001</v>
      </c>
      <c r="K137" s="629">
        <v>12.115754839999999</v>
      </c>
      <c r="L137" s="629">
        <v>1.5248900000000001</v>
      </c>
    </row>
    <row r="138" spans="1:34" ht="53.4" thickBot="1">
      <c r="A138" s="1025"/>
      <c r="B138" s="630" t="s">
        <v>515</v>
      </c>
      <c r="C138" s="631">
        <v>75.738902359999997</v>
      </c>
      <c r="D138" s="631">
        <v>71.671921580000003</v>
      </c>
      <c r="E138" s="631">
        <v>4.0669000000000004</v>
      </c>
      <c r="H138" s="1025"/>
      <c r="I138" s="630" t="s">
        <v>515</v>
      </c>
      <c r="J138" s="631">
        <v>80.692036099999996</v>
      </c>
      <c r="K138" s="631">
        <v>71.848400799999993</v>
      </c>
      <c r="L138" s="631">
        <v>8.843</v>
      </c>
    </row>
    <row r="139" spans="1:34" ht="15" thickBot="1">
      <c r="A139" s="1023" t="s">
        <v>219</v>
      </c>
      <c r="B139" s="626" t="s">
        <v>513</v>
      </c>
      <c r="C139" s="627">
        <v>9.1313455480000005</v>
      </c>
      <c r="D139" s="627">
        <v>0.60615631699999994</v>
      </c>
      <c r="E139" s="627">
        <v>8.5251000000000001</v>
      </c>
    </row>
    <row r="140" spans="1:34" ht="40.200000000000003" thickBot="1">
      <c r="A140" s="1024"/>
      <c r="B140" s="628" t="s">
        <v>514</v>
      </c>
      <c r="C140" s="629">
        <v>13.640649290000001</v>
      </c>
      <c r="D140" s="629">
        <v>12.115754839999999</v>
      </c>
      <c r="E140" s="629">
        <v>1.5248900000000001</v>
      </c>
    </row>
    <row r="141" spans="1:34" ht="53.4" thickBot="1">
      <c r="A141" s="1025"/>
      <c r="B141" s="630" t="s">
        <v>515</v>
      </c>
      <c r="C141" s="631">
        <v>80.692036099999996</v>
      </c>
      <c r="D141" s="631">
        <v>71.848400799999993</v>
      </c>
      <c r="E141" s="631">
        <v>8.843</v>
      </c>
    </row>
    <row r="142" spans="1:34" ht="15" thickBot="1"/>
    <row r="143" spans="1:34" ht="27" thickBot="1">
      <c r="AD143" s="634" t="s">
        <v>493</v>
      </c>
      <c r="AE143" s="635" t="s">
        <v>509</v>
      </c>
      <c r="AF143" s="625" t="s">
        <v>510</v>
      </c>
      <c r="AG143" s="625" t="s">
        <v>511</v>
      </c>
      <c r="AH143" s="625" t="s">
        <v>517</v>
      </c>
    </row>
    <row r="144" spans="1:34" ht="34.950000000000003" customHeight="1" thickBot="1">
      <c r="AD144" s="1020" t="s">
        <v>225</v>
      </c>
      <c r="AE144" s="628" t="s">
        <v>514</v>
      </c>
      <c r="AF144" s="636">
        <v>12.34377667</v>
      </c>
      <c r="AG144" s="636">
        <v>12.15855036</v>
      </c>
      <c r="AH144" s="629">
        <v>0.1852</v>
      </c>
    </row>
    <row r="145" spans="30:34" ht="34.950000000000003" customHeight="1" thickBot="1">
      <c r="AD145" s="1022"/>
      <c r="AE145" s="630" t="s">
        <v>515</v>
      </c>
      <c r="AF145" s="637">
        <v>77.690391559999995</v>
      </c>
      <c r="AG145" s="637">
        <v>73.884193530000005</v>
      </c>
      <c r="AH145" s="631">
        <v>3.806</v>
      </c>
    </row>
    <row r="146" spans="30:34" ht="34.950000000000003" customHeight="1" thickBot="1">
      <c r="AD146" s="1020" t="s">
        <v>516</v>
      </c>
      <c r="AE146" s="628" t="s">
        <v>514</v>
      </c>
      <c r="AF146" s="636">
        <v>13.75490428</v>
      </c>
      <c r="AG146" s="636">
        <v>12.13948978</v>
      </c>
      <c r="AH146" s="629">
        <v>1.6153999999999999</v>
      </c>
    </row>
    <row r="147" spans="30:34" ht="34.950000000000003" customHeight="1" thickBot="1">
      <c r="AD147" s="1022"/>
      <c r="AE147" s="630" t="s">
        <v>515</v>
      </c>
      <c r="AF147" s="637">
        <v>75.738902359999997</v>
      </c>
      <c r="AG147" s="637">
        <v>71.671921580000003</v>
      </c>
      <c r="AH147" s="631">
        <v>4.0669000000000004</v>
      </c>
    </row>
    <row r="148" spans="30:34" ht="34.950000000000003" customHeight="1" thickBot="1">
      <c r="AD148" s="1020" t="s">
        <v>219</v>
      </c>
      <c r="AE148" s="628" t="s">
        <v>514</v>
      </c>
      <c r="AF148" s="636">
        <v>13.640649290000001</v>
      </c>
      <c r="AG148" s="636">
        <v>12.115754839999999</v>
      </c>
      <c r="AH148" s="629">
        <v>1.5248900000000001</v>
      </c>
    </row>
    <row r="149" spans="30:34" ht="34.950000000000003" customHeight="1" thickBot="1">
      <c r="AD149" s="1021"/>
      <c r="AE149" s="630" t="s">
        <v>515</v>
      </c>
      <c r="AF149" s="637">
        <v>80.692036099999996</v>
      </c>
      <c r="AG149" s="637">
        <v>71.848400799999993</v>
      </c>
      <c r="AH149" s="631">
        <v>8.843</v>
      </c>
    </row>
  </sheetData>
  <mergeCells count="90">
    <mergeCell ref="A3:C3"/>
    <mergeCell ref="J4:L8"/>
    <mergeCell ref="A9:C9"/>
    <mergeCell ref="J10:L14"/>
    <mergeCell ref="O12:R16"/>
    <mergeCell ref="A16:E16"/>
    <mergeCell ref="I16:M16"/>
    <mergeCell ref="U16:Y16"/>
    <mergeCell ref="A17:E17"/>
    <mergeCell ref="I17:M17"/>
    <mergeCell ref="U17:Y17"/>
    <mergeCell ref="A21:E21"/>
    <mergeCell ref="I21:M21"/>
    <mergeCell ref="U21:Y21"/>
    <mergeCell ref="I24:L24"/>
    <mergeCell ref="A28:E28"/>
    <mergeCell ref="I28:M28"/>
    <mergeCell ref="U28:Y28"/>
    <mergeCell ref="A29:E29"/>
    <mergeCell ref="I29:M29"/>
    <mergeCell ref="U29:Y29"/>
    <mergeCell ref="A54:E54"/>
    <mergeCell ref="I54:M54"/>
    <mergeCell ref="U54:Y54"/>
    <mergeCell ref="I33:S33"/>
    <mergeCell ref="A39:E39"/>
    <mergeCell ref="I39:M39"/>
    <mergeCell ref="U39:Y39"/>
    <mergeCell ref="A40:E40"/>
    <mergeCell ref="I40:M40"/>
    <mergeCell ref="U40:Y40"/>
    <mergeCell ref="A44:E44"/>
    <mergeCell ref="I44:S44"/>
    <mergeCell ref="U44:Y44"/>
    <mergeCell ref="I47:S47"/>
    <mergeCell ref="A53:E53"/>
    <mergeCell ref="A68:E68"/>
    <mergeCell ref="I68:M68"/>
    <mergeCell ref="U68:Y68"/>
    <mergeCell ref="A55:E55"/>
    <mergeCell ref="I55:M55"/>
    <mergeCell ref="U55:Y55"/>
    <mergeCell ref="A59:E59"/>
    <mergeCell ref="I59:S59"/>
    <mergeCell ref="U59:Y59"/>
    <mergeCell ref="I62:S62"/>
    <mergeCell ref="A66:E66"/>
    <mergeCell ref="A67:E67"/>
    <mergeCell ref="I67:M67"/>
    <mergeCell ref="U67:Y67"/>
    <mergeCell ref="A92:E92"/>
    <mergeCell ref="G92:N92"/>
    <mergeCell ref="Q92:V92"/>
    <mergeCell ref="I72:S72"/>
    <mergeCell ref="A79:D79"/>
    <mergeCell ref="A87:E87"/>
    <mergeCell ref="A78:V78"/>
    <mergeCell ref="A108:E108"/>
    <mergeCell ref="A88:E88"/>
    <mergeCell ref="A116:E116"/>
    <mergeCell ref="G116:N116"/>
    <mergeCell ref="Q116:V116"/>
    <mergeCell ref="A95:E95"/>
    <mergeCell ref="G95:N95"/>
    <mergeCell ref="Q95:V95"/>
    <mergeCell ref="G99:N99"/>
    <mergeCell ref="G102:N102"/>
    <mergeCell ref="A109:E109"/>
    <mergeCell ref="G109:N109"/>
    <mergeCell ref="Q109:V109"/>
    <mergeCell ref="A113:E113"/>
    <mergeCell ref="G113:N113"/>
    <mergeCell ref="Q113:V113"/>
    <mergeCell ref="G120:N120"/>
    <mergeCell ref="G123:N123"/>
    <mergeCell ref="G87:N87"/>
    <mergeCell ref="G108:N108"/>
    <mergeCell ref="Q87:V87"/>
    <mergeCell ref="Q108:V108"/>
    <mergeCell ref="G88:N88"/>
    <mergeCell ref="Q88:V88"/>
    <mergeCell ref="AD148:AD149"/>
    <mergeCell ref="AD144:AD145"/>
    <mergeCell ref="AD146:AD147"/>
    <mergeCell ref="A133:A135"/>
    <mergeCell ref="A136:A138"/>
    <mergeCell ref="A139:A141"/>
    <mergeCell ref="H133:H134"/>
    <mergeCell ref="H135:H136"/>
    <mergeCell ref="H137:H13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6E98E-FBCC-43B2-8FD8-D90170647C7C}">
  <dimension ref="A2:S56"/>
  <sheetViews>
    <sheetView topLeftCell="A35" workbookViewId="0">
      <selection activeCell="G5" sqref="G5"/>
    </sheetView>
  </sheetViews>
  <sheetFormatPr baseColWidth="10" defaultColWidth="15.77734375" defaultRowHeight="14.4"/>
  <cols>
    <col min="1" max="1" width="12.21875" customWidth="1"/>
    <col min="2" max="2" width="13" customWidth="1"/>
    <col min="3" max="3" width="11.77734375" customWidth="1"/>
    <col min="4" max="4" width="11.5546875" customWidth="1"/>
    <col min="5" max="5" width="11.109375" customWidth="1"/>
    <col min="6" max="6" width="11.33203125" customWidth="1"/>
    <col min="7" max="7" width="13.44140625" customWidth="1"/>
    <col min="8" max="8" width="12.5546875" customWidth="1"/>
  </cols>
  <sheetData>
    <row r="2" spans="1:19" ht="15" thickBot="1"/>
    <row r="3" spans="1:19" ht="27" thickBot="1">
      <c r="A3" s="617" t="s">
        <v>493</v>
      </c>
      <c r="B3" s="621" t="s">
        <v>499</v>
      </c>
      <c r="C3" s="621" t="s">
        <v>500</v>
      </c>
      <c r="D3" s="621" t="s">
        <v>501</v>
      </c>
      <c r="E3" s="621" t="s">
        <v>502</v>
      </c>
      <c r="F3" s="621" t="s">
        <v>503</v>
      </c>
      <c r="G3" s="621" t="s">
        <v>504</v>
      </c>
      <c r="H3" s="621" t="s">
        <v>505</v>
      </c>
    </row>
    <row r="4" spans="1:19" ht="15.6" thickBot="1">
      <c r="A4" s="618" t="s">
        <v>225</v>
      </c>
      <c r="B4" s="619">
        <v>8.48</v>
      </c>
      <c r="C4" s="619">
        <v>74.150000000000006</v>
      </c>
      <c r="D4" s="619">
        <v>5.6550000000000002</v>
      </c>
      <c r="E4" s="619">
        <v>20.2</v>
      </c>
      <c r="F4" s="619">
        <f>0.637*E4+0.455*C4</f>
        <v>46.605649999999997</v>
      </c>
      <c r="G4" s="619">
        <f>0.052*E4+0.062*C4</f>
        <v>5.6477000000000004</v>
      </c>
      <c r="H4" s="619">
        <f>0.304*E4+0.476*C4</f>
        <v>41.436199999999999</v>
      </c>
    </row>
    <row r="5" spans="1:19" ht="15.6" thickBot="1">
      <c r="A5" s="618" t="s">
        <v>170</v>
      </c>
      <c r="B5" s="620">
        <v>9.2680000000000007</v>
      </c>
      <c r="C5" s="620">
        <v>70.91</v>
      </c>
      <c r="D5" s="620">
        <v>10.41</v>
      </c>
      <c r="E5" s="620">
        <v>18.68</v>
      </c>
      <c r="F5" s="620">
        <f t="shared" ref="F5:F6" si="0">0.637*E5+0.455*C5</f>
        <v>44.163209999999999</v>
      </c>
      <c r="G5" s="620">
        <f t="shared" ref="G5:G6" si="1">0.052*E5+0.062*C5</f>
        <v>5.3677799999999998</v>
      </c>
      <c r="H5" s="620">
        <f t="shared" ref="H5:H6" si="2">0.304*E5+0.476*C5</f>
        <v>39.431879999999992</v>
      </c>
    </row>
    <row r="6" spans="1:19" ht="30.6" thickBot="1">
      <c r="A6" s="618" t="s">
        <v>219</v>
      </c>
      <c r="B6" s="619">
        <v>9.0429999999999993</v>
      </c>
      <c r="C6" s="619">
        <v>72.52</v>
      </c>
      <c r="D6" s="619">
        <v>9.2870000000000008</v>
      </c>
      <c r="E6" s="619">
        <v>18.190000000000001</v>
      </c>
      <c r="F6" s="619">
        <f t="shared" si="0"/>
        <v>44.583629999999999</v>
      </c>
      <c r="G6" s="619">
        <f t="shared" si="1"/>
        <v>5.4421199999999992</v>
      </c>
      <c r="H6" s="619">
        <f t="shared" si="2"/>
        <v>40.049280000000003</v>
      </c>
    </row>
    <row r="9" spans="1:19" ht="15" thickBot="1"/>
    <row r="10" spans="1:19" ht="27" thickBot="1">
      <c r="A10" s="617" t="s">
        <v>493</v>
      </c>
      <c r="B10" s="621" t="s">
        <v>499</v>
      </c>
      <c r="C10" s="621" t="s">
        <v>500</v>
      </c>
      <c r="D10" s="621" t="s">
        <v>501</v>
      </c>
      <c r="E10" s="621" t="s">
        <v>502</v>
      </c>
      <c r="I10" s="617" t="s">
        <v>493</v>
      </c>
      <c r="J10" s="621" t="s">
        <v>499</v>
      </c>
      <c r="K10" s="621" t="s">
        <v>500</v>
      </c>
      <c r="L10" s="621" t="s">
        <v>501</v>
      </c>
      <c r="M10" s="621" t="s">
        <v>502</v>
      </c>
      <c r="O10" s="617" t="s">
        <v>493</v>
      </c>
      <c r="P10" s="621" t="s">
        <v>499</v>
      </c>
      <c r="Q10" s="621" t="s">
        <v>500</v>
      </c>
      <c r="R10" s="621" t="s">
        <v>501</v>
      </c>
      <c r="S10" s="621" t="s">
        <v>502</v>
      </c>
    </row>
    <row r="11" spans="1:19" ht="15.6" thickBot="1">
      <c r="A11" s="618" t="s">
        <v>225</v>
      </c>
      <c r="B11" s="619">
        <v>8.48</v>
      </c>
      <c r="C11" s="619">
        <v>74.150000000000006</v>
      </c>
      <c r="D11" s="619">
        <v>5.6550000000000002</v>
      </c>
      <c r="E11" s="619">
        <v>20.2</v>
      </c>
      <c r="I11" s="618" t="s">
        <v>170</v>
      </c>
      <c r="J11" s="620">
        <v>9.2680000000000007</v>
      </c>
      <c r="K11" s="620">
        <v>70.91</v>
      </c>
      <c r="L11" s="620">
        <v>10.41</v>
      </c>
      <c r="M11" s="620">
        <v>18.68</v>
      </c>
      <c r="O11" s="618" t="s">
        <v>219</v>
      </c>
      <c r="P11" s="619">
        <v>9.0429999999999993</v>
      </c>
      <c r="Q11" s="619">
        <v>72.52</v>
      </c>
      <c r="R11" s="619">
        <v>9.2870000000000008</v>
      </c>
      <c r="S11" s="619">
        <v>18.190000000000001</v>
      </c>
    </row>
    <row r="30" spans="1:19" ht="15" thickBot="1"/>
    <row r="31" spans="1:19" ht="27" thickBot="1">
      <c r="A31" s="617" t="s">
        <v>493</v>
      </c>
      <c r="B31" s="621" t="s">
        <v>503</v>
      </c>
      <c r="C31" s="621" t="s">
        <v>504</v>
      </c>
      <c r="D31" s="621" t="s">
        <v>505</v>
      </c>
      <c r="E31" s="621" t="s">
        <v>506</v>
      </c>
      <c r="I31" s="617" t="s">
        <v>493</v>
      </c>
      <c r="J31" s="621" t="s">
        <v>503</v>
      </c>
      <c r="K31" s="621" t="s">
        <v>504</v>
      </c>
      <c r="L31" s="621" t="s">
        <v>505</v>
      </c>
      <c r="M31" s="621" t="s">
        <v>506</v>
      </c>
      <c r="O31" s="617" t="s">
        <v>493</v>
      </c>
      <c r="P31" s="621" t="s">
        <v>503</v>
      </c>
      <c r="Q31" s="621" t="s">
        <v>504</v>
      </c>
      <c r="R31" s="621" t="s">
        <v>505</v>
      </c>
      <c r="S31" s="621" t="s">
        <v>506</v>
      </c>
    </row>
    <row r="32" spans="1:19" ht="15.6" thickBot="1">
      <c r="A32" s="618" t="s">
        <v>225</v>
      </c>
      <c r="B32" s="619">
        <v>46.605649999999997</v>
      </c>
      <c r="C32" s="619">
        <v>5.6477000000000004</v>
      </c>
      <c r="D32" s="619">
        <v>41.436199999999999</v>
      </c>
      <c r="E32" s="619">
        <f>100-B32-C32-D32</f>
        <v>6.310450000000003</v>
      </c>
      <c r="I32" s="618" t="s">
        <v>170</v>
      </c>
      <c r="J32" s="620">
        <v>44.163209999999999</v>
      </c>
      <c r="K32" s="620">
        <v>5.3677799999999998</v>
      </c>
      <c r="L32" s="620">
        <v>39.431879999999992</v>
      </c>
      <c r="M32" s="620">
        <f>100-J32-K32-L32</f>
        <v>11.037130000000005</v>
      </c>
      <c r="O32" s="618" t="s">
        <v>219</v>
      </c>
      <c r="P32" s="619">
        <v>44.583629999999999</v>
      </c>
      <c r="Q32" s="619">
        <v>5.4421199999999992</v>
      </c>
      <c r="R32" s="619">
        <v>40.049280000000003</v>
      </c>
      <c r="S32" s="619">
        <f>100-P32-Q32-R32</f>
        <v>9.9249699999999947</v>
      </c>
    </row>
    <row r="52" spans="1:5" ht="15" thickBot="1"/>
    <row r="53" spans="1:5" ht="27" thickBot="1">
      <c r="A53" s="617" t="s">
        <v>493</v>
      </c>
      <c r="B53" s="621" t="s">
        <v>503</v>
      </c>
      <c r="C53" s="621" t="s">
        <v>504</v>
      </c>
      <c r="D53" s="621" t="s">
        <v>505</v>
      </c>
      <c r="E53" s="621" t="s">
        <v>506</v>
      </c>
    </row>
    <row r="54" spans="1:5" ht="15.6" thickBot="1">
      <c r="A54" s="618" t="s">
        <v>225</v>
      </c>
      <c r="B54" s="619">
        <v>46.605649999999997</v>
      </c>
      <c r="C54" s="619">
        <v>5.6477000000000004</v>
      </c>
      <c r="D54" s="619">
        <v>41.436199999999999</v>
      </c>
      <c r="E54" s="619">
        <f>100-B54-C54-D54</f>
        <v>6.310450000000003</v>
      </c>
    </row>
    <row r="55" spans="1:5" ht="15.6" thickBot="1">
      <c r="A55" s="618" t="s">
        <v>170</v>
      </c>
      <c r="B55" s="620">
        <v>44.163209999999999</v>
      </c>
      <c r="C55" s="620">
        <v>5.3677799999999998</v>
      </c>
      <c r="D55" s="620">
        <v>39.431879999999992</v>
      </c>
      <c r="E55" s="620">
        <f>100-B55-C55-D55</f>
        <v>11.037130000000005</v>
      </c>
    </row>
    <row r="56" spans="1:5" ht="17.399999999999999" customHeight="1" thickBot="1">
      <c r="A56" s="618" t="s">
        <v>219</v>
      </c>
      <c r="B56" s="619">
        <v>44.583629999999999</v>
      </c>
      <c r="C56" s="619">
        <v>5.4421199999999992</v>
      </c>
      <c r="D56" s="619">
        <v>40.049280000000003</v>
      </c>
      <c r="E56" s="619">
        <f>100-B56-C56-D56</f>
        <v>9.9249699999999947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8"/>
  <sheetViews>
    <sheetView topLeftCell="O4" zoomScale="85" zoomScaleNormal="85" workbookViewId="0">
      <selection activeCell="AA40" sqref="AA40"/>
    </sheetView>
  </sheetViews>
  <sheetFormatPr baseColWidth="10" defaultColWidth="11.5546875" defaultRowHeight="14.4"/>
  <cols>
    <col min="7" max="7" width="14" customWidth="1"/>
    <col min="23" max="31" width="11.6640625" customWidth="1"/>
  </cols>
  <sheetData>
    <row r="1" spans="1:31" ht="15" thickBot="1">
      <c r="A1" s="774" t="s">
        <v>118</v>
      </c>
      <c r="B1" s="775"/>
      <c r="C1" s="775"/>
      <c r="D1" s="775"/>
      <c r="E1" s="775"/>
      <c r="F1" s="775"/>
      <c r="G1" s="775"/>
      <c r="H1" s="776"/>
      <c r="I1" s="777" t="s">
        <v>119</v>
      </c>
      <c r="J1" s="778"/>
      <c r="K1" s="779"/>
      <c r="L1" s="78"/>
      <c r="M1" s="78"/>
      <c r="N1" s="78"/>
      <c r="O1" s="78"/>
      <c r="P1" s="78"/>
      <c r="Q1" s="78"/>
      <c r="R1" s="78"/>
      <c r="S1" s="78"/>
      <c r="T1" s="79"/>
    </row>
    <row r="2" spans="1:31">
      <c r="A2" s="164" t="s">
        <v>120</v>
      </c>
      <c r="B2" s="165" t="s">
        <v>121</v>
      </c>
      <c r="C2" s="165" t="s">
        <v>41</v>
      </c>
      <c r="D2" s="165" t="s">
        <v>59</v>
      </c>
      <c r="E2" s="165" t="s">
        <v>122</v>
      </c>
      <c r="F2" s="165" t="s">
        <v>31</v>
      </c>
      <c r="G2" s="166" t="s">
        <v>32</v>
      </c>
      <c r="H2" s="165" t="s">
        <v>11</v>
      </c>
      <c r="I2" t="s">
        <v>120</v>
      </c>
      <c r="L2" s="772" t="s">
        <v>123</v>
      </c>
      <c r="M2" s="773"/>
      <c r="N2" s="780"/>
      <c r="O2" s="772" t="s">
        <v>124</v>
      </c>
      <c r="P2" s="773"/>
      <c r="Q2" s="780"/>
      <c r="R2" s="772" t="s">
        <v>125</v>
      </c>
      <c r="S2" s="773"/>
      <c r="T2" s="781"/>
      <c r="W2" s="165" t="s">
        <v>225</v>
      </c>
      <c r="X2" s="165" t="s">
        <v>152</v>
      </c>
      <c r="Y2" s="165" t="s">
        <v>116</v>
      </c>
      <c r="Z2" s="165" t="s">
        <v>225</v>
      </c>
      <c r="AA2" s="165" t="s">
        <v>293</v>
      </c>
      <c r="AB2" s="167" t="s">
        <v>116</v>
      </c>
      <c r="AC2" s="489" t="s">
        <v>225</v>
      </c>
      <c r="AD2" s="239" t="s">
        <v>295</v>
      </c>
      <c r="AE2" s="240" t="s">
        <v>116</v>
      </c>
    </row>
    <row r="3" spans="1:31">
      <c r="A3" s="169" t="s">
        <v>126</v>
      </c>
      <c r="B3" s="136"/>
      <c r="C3" s="136">
        <v>37.038600000000002</v>
      </c>
      <c r="D3" s="136">
        <v>2.5123000000000002</v>
      </c>
      <c r="E3" s="136">
        <v>39.289400000000001</v>
      </c>
      <c r="F3" s="139">
        <v>2.2507999999999981</v>
      </c>
      <c r="G3" s="157">
        <v>0.26150000000000206</v>
      </c>
      <c r="H3" s="84">
        <v>10.408788759304304</v>
      </c>
      <c r="I3" s="104" t="s">
        <v>31</v>
      </c>
      <c r="J3" s="104" t="s">
        <v>32</v>
      </c>
      <c r="K3" s="104" t="s">
        <v>11</v>
      </c>
      <c r="L3" s="135" t="s">
        <v>127</v>
      </c>
      <c r="M3" s="136" t="s">
        <v>113</v>
      </c>
      <c r="N3" s="139" t="s">
        <v>112</v>
      </c>
      <c r="O3" s="135" t="s">
        <v>127</v>
      </c>
      <c r="P3" s="136" t="s">
        <v>113</v>
      </c>
      <c r="Q3" s="139" t="s">
        <v>112</v>
      </c>
      <c r="R3" s="772" t="s">
        <v>128</v>
      </c>
      <c r="S3" s="773"/>
      <c r="T3" s="170" t="s">
        <v>129</v>
      </c>
      <c r="W3" s="135" t="s">
        <v>126</v>
      </c>
      <c r="X3" s="84">
        <v>12.082580154123978</v>
      </c>
      <c r="Y3" s="234">
        <v>0.63517459621656047</v>
      </c>
      <c r="Z3" s="135" t="s">
        <v>126</v>
      </c>
      <c r="AA3" s="84">
        <v>11.53861730995083</v>
      </c>
      <c r="AB3" s="247">
        <v>0.10429909556268528</v>
      </c>
      <c r="AC3" s="169" t="s">
        <v>126</v>
      </c>
      <c r="AD3" s="84">
        <v>10.408788759304304</v>
      </c>
      <c r="AE3" s="248">
        <v>0.22423036815698763</v>
      </c>
    </row>
    <row r="4" spans="1:31">
      <c r="A4" s="171" t="s">
        <v>130</v>
      </c>
      <c r="B4" s="104"/>
      <c r="C4" s="104">
        <v>36.346499999999999</v>
      </c>
      <c r="D4" s="104">
        <v>2.5150999999999999</v>
      </c>
      <c r="E4" s="104">
        <v>38.609299999999998</v>
      </c>
      <c r="F4" s="106">
        <v>2.2627999999999986</v>
      </c>
      <c r="G4" s="157">
        <v>0.2523000000000013</v>
      </c>
      <c r="H4" s="84">
        <v>10.031410281897392</v>
      </c>
      <c r="I4">
        <v>2.2632999999999988</v>
      </c>
      <c r="J4">
        <v>0.25440000000000146</v>
      </c>
      <c r="K4" s="172">
        <v>10.104896427177048</v>
      </c>
      <c r="L4" s="173">
        <v>9.2350549525742856E-2</v>
      </c>
      <c r="M4">
        <v>5.027925800381821E-2</v>
      </c>
      <c r="N4" s="174">
        <v>0.22423036815698763</v>
      </c>
      <c r="O4" s="173">
        <v>2.9159999999998372E-5</v>
      </c>
      <c r="P4">
        <v>3.330666666666644E-5</v>
      </c>
      <c r="Q4" s="174">
        <v>5.7711928287544198E-3</v>
      </c>
      <c r="R4" s="766">
        <v>0.22423036815698763</v>
      </c>
      <c r="S4" s="767"/>
      <c r="T4" s="770">
        <v>2.2190268823925958</v>
      </c>
      <c r="W4" s="103" t="s">
        <v>130</v>
      </c>
      <c r="X4" s="84">
        <v>11.483931947069728</v>
      </c>
      <c r="Y4" s="165" t="s">
        <v>294</v>
      </c>
      <c r="Z4" s="103" t="s">
        <v>130</v>
      </c>
      <c r="AA4" s="84">
        <v>11.786471729615315</v>
      </c>
      <c r="AB4" s="167" t="s">
        <v>294</v>
      </c>
      <c r="AC4" s="171" t="s">
        <v>130</v>
      </c>
      <c r="AD4" s="84">
        <v>10.031410281897392</v>
      </c>
      <c r="AE4" s="246">
        <v>0.27462499341051849</v>
      </c>
    </row>
    <row r="5" spans="1:31">
      <c r="A5" s="175" t="s">
        <v>131</v>
      </c>
      <c r="B5" s="108"/>
      <c r="C5" s="108">
        <v>36.058500000000002</v>
      </c>
      <c r="D5" s="108">
        <v>2.5257000000000001</v>
      </c>
      <c r="E5" s="108">
        <v>38.334800000000001</v>
      </c>
      <c r="F5" s="109">
        <v>2.2762999999999991</v>
      </c>
      <c r="G5" s="157">
        <v>0.24940000000000095</v>
      </c>
      <c r="H5" s="84">
        <v>9.8744902403294521</v>
      </c>
      <c r="L5" s="173">
        <v>5.4002135480626786E-3</v>
      </c>
      <c r="N5" s="176"/>
      <c r="O5" s="173">
        <v>6.7600000000008204E-6</v>
      </c>
      <c r="Q5" s="176"/>
      <c r="R5" s="768"/>
      <c r="S5" s="769"/>
      <c r="T5" s="771"/>
      <c r="W5" s="107" t="s">
        <v>131</v>
      </c>
      <c r="X5" s="84">
        <v>10.539581777445733</v>
      </c>
      <c r="Y5" s="138">
        <f>(Y3/X3)*100</f>
        <v>5.2569450242774947</v>
      </c>
      <c r="Z5" s="107" t="s">
        <v>131</v>
      </c>
      <c r="AA5" s="84">
        <v>11.716196136701482</v>
      </c>
      <c r="AB5" s="271">
        <f>(AB3/AA4)*100</f>
        <v>0.88490515190069852</v>
      </c>
      <c r="AC5" s="175" t="s">
        <v>131</v>
      </c>
      <c r="AD5" s="84">
        <v>9.8744902403294521</v>
      </c>
      <c r="AE5" s="242" t="s">
        <v>294</v>
      </c>
    </row>
    <row r="6" spans="1:31" ht="15" thickBot="1">
      <c r="A6" s="171"/>
      <c r="B6" s="104"/>
      <c r="C6" s="138" t="s">
        <v>83</v>
      </c>
      <c r="D6" s="138">
        <v>2.5177</v>
      </c>
      <c r="E6" s="104"/>
      <c r="F6" s="104"/>
      <c r="G6" s="104"/>
      <c r="H6" s="104"/>
      <c r="L6" s="173">
        <v>5.3087010937649094E-2</v>
      </c>
      <c r="N6" s="378">
        <f>_xlfn.STDEV.S(H3:H5)</f>
        <v>0.27462499341051849</v>
      </c>
      <c r="O6" s="173">
        <v>6.4000000000000119E-5</v>
      </c>
      <c r="Q6" s="176"/>
      <c r="R6" s="768"/>
      <c r="S6" s="769"/>
      <c r="T6" s="771"/>
      <c r="W6" s="165" t="s">
        <v>170</v>
      </c>
      <c r="X6" s="165"/>
      <c r="Y6" s="165" t="s">
        <v>116</v>
      </c>
      <c r="Z6" s="165" t="s">
        <v>170</v>
      </c>
      <c r="AA6" s="165"/>
      <c r="AB6" s="167" t="s">
        <v>116</v>
      </c>
      <c r="AC6" s="171"/>
      <c r="AD6" s="104"/>
      <c r="AE6" s="249">
        <f>(AE3/AD3)*100</f>
        <v>2.1542407415709204</v>
      </c>
    </row>
    <row r="7" spans="1:31" ht="15" thickBot="1">
      <c r="A7" s="774" t="s">
        <v>132</v>
      </c>
      <c r="B7" s="775"/>
      <c r="C7" s="775"/>
      <c r="D7" s="775"/>
      <c r="E7" s="775"/>
      <c r="F7" s="775"/>
      <c r="G7" s="775"/>
      <c r="H7" s="776"/>
      <c r="I7" s="78"/>
      <c r="J7" s="78"/>
      <c r="K7" s="78"/>
      <c r="L7" s="273"/>
      <c r="M7" s="274"/>
      <c r="N7" s="345"/>
      <c r="O7" s="78"/>
      <c r="P7" s="78"/>
      <c r="Q7" s="78"/>
      <c r="R7" s="78"/>
      <c r="S7" s="78"/>
      <c r="T7" s="79"/>
      <c r="W7" s="135" t="s">
        <v>134</v>
      </c>
      <c r="X7" s="84">
        <v>12.508310380852983</v>
      </c>
      <c r="Y7" s="234">
        <v>0.35345204594723162</v>
      </c>
      <c r="Z7" s="135" t="s">
        <v>134</v>
      </c>
      <c r="AA7" s="84">
        <v>10.8185985592667</v>
      </c>
      <c r="AB7" s="247">
        <v>0.22772321234635856</v>
      </c>
      <c r="AC7" s="171"/>
      <c r="AD7" s="104"/>
      <c r="AE7" s="434">
        <f>AE4/AD3*100</f>
        <v>2.6383952999817981</v>
      </c>
    </row>
    <row r="8" spans="1:31" ht="16.2" thickBot="1">
      <c r="A8" s="216" t="s">
        <v>133</v>
      </c>
      <c r="B8" s="353" t="s">
        <v>121</v>
      </c>
      <c r="C8" s="353" t="s">
        <v>41</v>
      </c>
      <c r="D8" s="353" t="s">
        <v>59</v>
      </c>
      <c r="E8" s="353" t="s">
        <v>122</v>
      </c>
      <c r="F8" s="353" t="s">
        <v>31</v>
      </c>
      <c r="G8" s="353" t="s">
        <v>32</v>
      </c>
      <c r="H8" s="353" t="s">
        <v>11</v>
      </c>
      <c r="I8" s="190" t="s">
        <v>133</v>
      </c>
      <c r="J8" s="190"/>
      <c r="K8" s="190"/>
      <c r="L8" s="772" t="s">
        <v>123</v>
      </c>
      <c r="M8" s="773"/>
      <c r="N8" s="780"/>
      <c r="O8" s="772" t="s">
        <v>124</v>
      </c>
      <c r="P8" s="773"/>
      <c r="Q8" s="780"/>
      <c r="R8" s="772" t="s">
        <v>125</v>
      </c>
      <c r="S8" s="773"/>
      <c r="T8" s="781"/>
      <c r="W8" s="103" t="s">
        <v>135</v>
      </c>
      <c r="X8" s="84">
        <v>11.940298507462144</v>
      </c>
      <c r="Y8" s="165" t="s">
        <v>294</v>
      </c>
      <c r="Z8" s="103" t="s">
        <v>135</v>
      </c>
      <c r="AA8" s="84">
        <v>11.368090944727619</v>
      </c>
      <c r="AB8" s="167" t="s">
        <v>294</v>
      </c>
      <c r="AC8" s="782" t="s">
        <v>230</v>
      </c>
      <c r="AD8" s="783"/>
      <c r="AE8" s="784"/>
    </row>
    <row r="9" spans="1:31">
      <c r="A9" s="218" t="s">
        <v>134</v>
      </c>
      <c r="B9" s="194">
        <v>18.291899999999998</v>
      </c>
      <c r="C9" s="194">
        <v>36.637900000000002</v>
      </c>
      <c r="D9" s="194">
        <v>1.0528999999999999</v>
      </c>
      <c r="E9" s="194">
        <v>37.559100000000001</v>
      </c>
      <c r="F9" s="195">
        <v>0.92119999999999891</v>
      </c>
      <c r="G9" s="196">
        <v>0.13170000000000104</v>
      </c>
      <c r="H9" s="197">
        <v>12.508310380852983</v>
      </c>
      <c r="I9" s="198" t="s">
        <v>31</v>
      </c>
      <c r="J9" s="198" t="s">
        <v>32</v>
      </c>
      <c r="K9" s="198" t="s">
        <v>11</v>
      </c>
      <c r="L9" s="193" t="s">
        <v>127</v>
      </c>
      <c r="M9" s="194" t="s">
        <v>113</v>
      </c>
      <c r="N9" s="199" t="s">
        <v>112</v>
      </c>
      <c r="O9" s="193" t="s">
        <v>127</v>
      </c>
      <c r="P9" s="194" t="s">
        <v>113</v>
      </c>
      <c r="Q9" s="199" t="s">
        <v>112</v>
      </c>
      <c r="R9" s="200" t="s">
        <v>127</v>
      </c>
      <c r="S9" s="201" t="s">
        <v>113</v>
      </c>
      <c r="T9" s="219" t="s">
        <v>112</v>
      </c>
      <c r="W9" s="107" t="s">
        <v>136</v>
      </c>
      <c r="X9" s="84">
        <v>11.658442753198942</v>
      </c>
      <c r="Y9" s="237">
        <f>(Y7/X7)*100</f>
        <v>2.8257377310390068</v>
      </c>
      <c r="Z9" s="107" t="s">
        <v>136</v>
      </c>
      <c r="AA9" s="84">
        <v>11.010254648937874</v>
      </c>
      <c r="AB9" s="117">
        <f>(AB7/AA8)*100</f>
        <v>2.0031790161915777</v>
      </c>
      <c r="AC9" s="164" t="s">
        <v>170</v>
      </c>
      <c r="AD9" s="132" t="s">
        <v>296</v>
      </c>
      <c r="AE9" s="242" t="s">
        <v>116</v>
      </c>
    </row>
    <row r="10" spans="1:31">
      <c r="A10" s="220" t="s">
        <v>135</v>
      </c>
      <c r="B10" s="198">
        <v>20.473400000000002</v>
      </c>
      <c r="C10" s="198">
        <v>39.511899999999997</v>
      </c>
      <c r="D10" s="198">
        <v>1.0652999999999999</v>
      </c>
      <c r="E10" s="198">
        <v>40.450000000000003</v>
      </c>
      <c r="F10" s="190">
        <v>0.93810000000000571</v>
      </c>
      <c r="G10" s="202">
        <v>0.12719999999999421</v>
      </c>
      <c r="H10" s="203">
        <v>11.940298507462144</v>
      </c>
      <c r="I10" s="190">
        <v>0.97186666666666832</v>
      </c>
      <c r="J10" s="190">
        <v>0.13276666666666501</v>
      </c>
      <c r="K10" s="204">
        <v>12.03568388050469</v>
      </c>
      <c r="L10" s="191">
        <v>0.22337580883147459</v>
      </c>
      <c r="M10" s="190">
        <v>0.12492834878428394</v>
      </c>
      <c r="N10" s="205">
        <v>0.35345204594723162</v>
      </c>
      <c r="O10" s="191">
        <v>2.6763377777777857E-3</v>
      </c>
      <c r="P10" s="190">
        <v>4.1721955555555591E-3</v>
      </c>
      <c r="Q10" s="205">
        <v>6.4592534828380593E-2</v>
      </c>
      <c r="R10" s="206">
        <v>0.22337580883147459</v>
      </c>
      <c r="S10" s="195">
        <v>0.12492834878428394</v>
      </c>
      <c r="T10" s="379">
        <v>2.9367009756691145</v>
      </c>
      <c r="W10" s="165" t="s">
        <v>219</v>
      </c>
      <c r="X10" s="165"/>
      <c r="Y10" s="165" t="s">
        <v>116</v>
      </c>
      <c r="Z10" s="165" t="s">
        <v>219</v>
      </c>
      <c r="AA10" s="165"/>
      <c r="AB10" s="167" t="s">
        <v>116</v>
      </c>
      <c r="AC10" s="169" t="s">
        <v>134</v>
      </c>
      <c r="AD10" s="84">
        <v>12.508310380852983</v>
      </c>
      <c r="AE10" s="241">
        <v>0.5688896929585644</v>
      </c>
    </row>
    <row r="11" spans="1:31">
      <c r="A11" s="223" t="s">
        <v>136</v>
      </c>
      <c r="B11" s="208">
        <v>18.965800000000002</v>
      </c>
      <c r="C11" s="208">
        <v>37.420699999999997</v>
      </c>
      <c r="D11" s="208">
        <v>1.1957</v>
      </c>
      <c r="E11" s="208">
        <v>38.476999999999997</v>
      </c>
      <c r="F11" s="209">
        <v>1.0563000000000002</v>
      </c>
      <c r="G11" s="202">
        <v>0.13939999999999975</v>
      </c>
      <c r="H11" s="203">
        <v>11.658442753198942</v>
      </c>
      <c r="I11" s="190"/>
      <c r="J11" s="190"/>
      <c r="K11" s="190"/>
      <c r="L11" s="191">
        <v>9.0983693904657485E-3</v>
      </c>
      <c r="M11" s="190"/>
      <c r="N11" s="192"/>
      <c r="O11" s="191">
        <v>1.5471111111111198E-3</v>
      </c>
      <c r="P11" s="190"/>
      <c r="Q11" s="192"/>
      <c r="R11" s="191">
        <v>9.0983693904657485E-3</v>
      </c>
      <c r="S11" s="190"/>
      <c r="T11" s="217"/>
      <c r="W11" s="135" t="s">
        <v>138</v>
      </c>
      <c r="X11" s="84">
        <v>11.353063446501571</v>
      </c>
      <c r="Y11" s="234">
        <v>0.16319167485649494</v>
      </c>
      <c r="Z11" s="135" t="s">
        <v>138</v>
      </c>
      <c r="AA11" s="84">
        <v>10.353214098630644</v>
      </c>
      <c r="AB11" s="247">
        <v>9.6128313589173509E-2</v>
      </c>
      <c r="AC11" s="171" t="s">
        <v>135</v>
      </c>
      <c r="AD11" s="84">
        <v>11.940298507462144</v>
      </c>
      <c r="AE11" s="246">
        <v>0.62318743513118713</v>
      </c>
    </row>
    <row r="12" spans="1:31">
      <c r="A12" s="220"/>
      <c r="B12" s="198"/>
      <c r="C12" s="210" t="s">
        <v>83</v>
      </c>
      <c r="D12" s="210">
        <v>1.1046333333333334</v>
      </c>
      <c r="E12" s="198"/>
      <c r="F12" s="190"/>
      <c r="G12" s="190"/>
      <c r="H12" s="190"/>
      <c r="I12" s="190"/>
      <c r="J12" s="190"/>
      <c r="K12" s="190"/>
      <c r="L12" s="211">
        <v>0.14231086813091148</v>
      </c>
      <c r="M12" s="209"/>
      <c r="N12" s="182">
        <f>_xlfn.STDEV.S(H9:H11)</f>
        <v>0.43288858055673624</v>
      </c>
      <c r="O12" s="211">
        <v>8.2931377777777718E-3</v>
      </c>
      <c r="P12" s="209"/>
      <c r="Q12" s="212"/>
      <c r="R12" s="211">
        <v>0.14231086813091148</v>
      </c>
      <c r="S12" s="209"/>
      <c r="T12" s="224"/>
      <c r="W12" s="103" t="s">
        <v>139</v>
      </c>
      <c r="X12" s="84">
        <v>11.280624607377</v>
      </c>
      <c r="Y12" s="165" t="s">
        <v>294</v>
      </c>
      <c r="Z12" s="103" t="s">
        <v>139</v>
      </c>
      <c r="AA12" s="84">
        <v>10.57371725481703</v>
      </c>
      <c r="AB12" s="167" t="s">
        <v>294</v>
      </c>
      <c r="AC12" s="175" t="s">
        <v>136</v>
      </c>
      <c r="AD12" s="84">
        <v>11.658442753198942</v>
      </c>
      <c r="AE12" s="242" t="s">
        <v>294</v>
      </c>
    </row>
    <row r="13" spans="1:31">
      <c r="A13" s="304"/>
      <c r="B13" s="187"/>
      <c r="C13" s="187"/>
      <c r="D13" s="187"/>
      <c r="E13" s="187"/>
      <c r="F13" s="187"/>
      <c r="G13" s="187"/>
      <c r="H13" s="187"/>
      <c r="I13" s="187"/>
      <c r="J13" s="187"/>
      <c r="K13" s="187"/>
      <c r="L13" s="188"/>
      <c r="M13" s="187"/>
      <c r="N13" s="189"/>
      <c r="O13" s="187"/>
      <c r="P13" s="187"/>
      <c r="Q13" s="187"/>
      <c r="R13" s="187"/>
      <c r="S13" s="187"/>
      <c r="T13" s="305"/>
      <c r="W13" s="107" t="s">
        <v>140</v>
      </c>
      <c r="X13" s="84">
        <v>10.97639386424169</v>
      </c>
      <c r="Y13" s="94">
        <f>(Y11/X11)*100</f>
        <v>1.4374241421753193</v>
      </c>
      <c r="Z13" s="107" t="s">
        <v>140</v>
      </c>
      <c r="AA13" s="84">
        <v>10.534996828082004</v>
      </c>
      <c r="AB13" s="117">
        <f>(AB11/AA12)*100</f>
        <v>0.9091250623840984</v>
      </c>
      <c r="AC13" s="169" t="s">
        <v>143</v>
      </c>
      <c r="AD13" s="84">
        <v>10.8185985592667</v>
      </c>
      <c r="AE13" s="243">
        <f>(AE10/AD10)*100</f>
        <v>4.5480938323163826</v>
      </c>
    </row>
    <row r="14" spans="1:31">
      <c r="A14" s="380" t="s">
        <v>137</v>
      </c>
      <c r="B14" s="228" t="s">
        <v>121</v>
      </c>
      <c r="C14" s="228" t="s">
        <v>41</v>
      </c>
      <c r="D14" s="228" t="s">
        <v>59</v>
      </c>
      <c r="E14" s="228" t="s">
        <v>122</v>
      </c>
      <c r="F14" s="228" t="s">
        <v>31</v>
      </c>
      <c r="G14" s="228" t="s">
        <v>32</v>
      </c>
      <c r="H14" s="228" t="s">
        <v>11</v>
      </c>
      <c r="I14" s="190" t="s">
        <v>137</v>
      </c>
      <c r="J14" s="190"/>
      <c r="K14" s="190"/>
      <c r="L14" s="785" t="s">
        <v>123</v>
      </c>
      <c r="M14" s="786"/>
      <c r="N14" s="789"/>
      <c r="O14" s="785" t="s">
        <v>124</v>
      </c>
      <c r="P14" s="786"/>
      <c r="Q14" s="789"/>
      <c r="R14" s="785" t="s">
        <v>125</v>
      </c>
      <c r="S14" s="786"/>
      <c r="T14" s="787"/>
      <c r="AC14" s="171" t="s">
        <v>144</v>
      </c>
      <c r="AD14" s="84">
        <v>11.368090944727619</v>
      </c>
      <c r="AE14" s="245">
        <f>AE11/AD10*100</f>
        <v>4.9821871712196026</v>
      </c>
    </row>
    <row r="15" spans="1:31" ht="15" thickBot="1">
      <c r="A15" s="218" t="s">
        <v>138</v>
      </c>
      <c r="B15" s="194">
        <v>18.2835</v>
      </c>
      <c r="C15" s="194">
        <v>36.549100000000003</v>
      </c>
      <c r="D15" s="194">
        <v>1.0103</v>
      </c>
      <c r="E15" s="194">
        <v>37.444699999999997</v>
      </c>
      <c r="F15" s="195">
        <v>0.89559999999999462</v>
      </c>
      <c r="G15" s="196">
        <v>0.11470000000000535</v>
      </c>
      <c r="H15" s="197">
        <v>11.353063446501571</v>
      </c>
      <c r="I15" s="198" t="s">
        <v>31</v>
      </c>
      <c r="J15" s="198" t="s">
        <v>32</v>
      </c>
      <c r="K15" s="198" t="s">
        <v>11</v>
      </c>
      <c r="L15" s="193" t="s">
        <v>127</v>
      </c>
      <c r="M15" s="194" t="s">
        <v>113</v>
      </c>
      <c r="N15" s="199" t="s">
        <v>112</v>
      </c>
      <c r="O15" s="193" t="s">
        <v>127</v>
      </c>
      <c r="P15" s="194" t="s">
        <v>113</v>
      </c>
      <c r="Q15" s="199" t="s">
        <v>112</v>
      </c>
      <c r="R15" s="200" t="s">
        <v>127</v>
      </c>
      <c r="S15" s="201" t="s">
        <v>113</v>
      </c>
      <c r="T15" s="219" t="s">
        <v>112</v>
      </c>
      <c r="AC15" s="177" t="s">
        <v>145</v>
      </c>
      <c r="AD15" s="233">
        <v>11.010254648937874</v>
      </c>
      <c r="AE15" s="116"/>
    </row>
    <row r="16" spans="1:31">
      <c r="A16" s="220" t="s">
        <v>139</v>
      </c>
      <c r="B16" s="198">
        <v>20.372699999999998</v>
      </c>
      <c r="C16" s="198">
        <v>38.2119</v>
      </c>
      <c r="D16" s="198">
        <v>1.1143000000000001</v>
      </c>
      <c r="E16" s="198">
        <v>39.200499999999998</v>
      </c>
      <c r="F16" s="190">
        <v>0.98859999999999815</v>
      </c>
      <c r="G16" s="202">
        <v>0.12570000000000192</v>
      </c>
      <c r="H16" s="203">
        <v>11.280624607377</v>
      </c>
      <c r="I16" s="190">
        <v>0.95113333333333117</v>
      </c>
      <c r="J16" s="190">
        <v>0.11996666666666884</v>
      </c>
      <c r="K16" s="204">
        <v>11.20336063937342</v>
      </c>
      <c r="L16" s="191">
        <v>2.2410930462048239E-2</v>
      </c>
      <c r="M16" s="190">
        <v>2.6631522742467967E-2</v>
      </c>
      <c r="N16" s="205">
        <v>0.16319167485649494</v>
      </c>
      <c r="O16" s="191">
        <v>3.6966400000000227E-3</v>
      </c>
      <c r="P16" s="190">
        <v>1.9575466666666695E-3</v>
      </c>
      <c r="Q16" s="205">
        <v>4.4244170990839791E-2</v>
      </c>
      <c r="R16" s="206">
        <v>2.2410930462048239E-2</v>
      </c>
      <c r="S16" s="195">
        <v>2.6631522742467967E-2</v>
      </c>
      <c r="T16" s="379">
        <v>1.4566314529139526</v>
      </c>
      <c r="AC16" s="238" t="s">
        <v>219</v>
      </c>
      <c r="AD16" s="239" t="s">
        <v>296</v>
      </c>
      <c r="AE16" s="242" t="s">
        <v>116</v>
      </c>
    </row>
    <row r="17" spans="1:31">
      <c r="A17" s="223" t="s">
        <v>140</v>
      </c>
      <c r="B17" s="208">
        <v>18.329799999999999</v>
      </c>
      <c r="C17" s="208">
        <v>37.684699999999999</v>
      </c>
      <c r="D17" s="208">
        <v>1.0887</v>
      </c>
      <c r="E17" s="208">
        <v>38.6539</v>
      </c>
      <c r="F17" s="209">
        <v>0.96920000000000073</v>
      </c>
      <c r="G17" s="202">
        <v>0.11949999999999927</v>
      </c>
      <c r="H17" s="203">
        <v>10.97639386424169</v>
      </c>
      <c r="I17" s="190"/>
      <c r="J17" s="190"/>
      <c r="K17" s="190"/>
      <c r="L17" s="191">
        <v>5.9697207516582057E-3</v>
      </c>
      <c r="M17" s="190"/>
      <c r="N17" s="192"/>
      <c r="O17" s="191">
        <v>1.8662399999999919E-3</v>
      </c>
      <c r="P17" s="190"/>
      <c r="Q17" s="192"/>
      <c r="R17" s="191">
        <v>5.9697207516582057E-3</v>
      </c>
      <c r="S17" s="190"/>
      <c r="T17" s="217"/>
      <c r="AC17" s="169" t="s">
        <v>138</v>
      </c>
      <c r="AD17" s="84">
        <v>11.353063446501571</v>
      </c>
      <c r="AE17" s="241">
        <v>0.38225441039223951</v>
      </c>
    </row>
    <row r="18" spans="1:31" ht="15" thickBot="1">
      <c r="A18" s="225"/>
      <c r="B18" s="381"/>
      <c r="C18" s="382" t="s">
        <v>83</v>
      </c>
      <c r="D18" s="382">
        <v>1.0711000000000002</v>
      </c>
      <c r="E18" s="226"/>
      <c r="F18" s="226"/>
      <c r="G18" s="226"/>
      <c r="H18" s="226"/>
      <c r="I18" s="226"/>
      <c r="J18" s="226"/>
      <c r="K18" s="226"/>
      <c r="L18" s="383">
        <v>5.1513917013697452E-2</v>
      </c>
      <c r="M18" s="226"/>
      <c r="N18" s="321">
        <f>_xlfn.STDEV.S(H15:H17)</f>
        <v>0.19986816683429592</v>
      </c>
      <c r="O18" s="383">
        <v>3.0975999999999432E-4</v>
      </c>
      <c r="P18" s="226"/>
      <c r="Q18" s="384"/>
      <c r="R18" s="383">
        <v>5.1513917013697452E-2</v>
      </c>
      <c r="S18" s="226"/>
      <c r="T18" s="227"/>
      <c r="AC18" s="171" t="s">
        <v>139</v>
      </c>
      <c r="AD18" s="84">
        <v>11.280624607377</v>
      </c>
      <c r="AE18" s="246">
        <v>0.41873872655533356</v>
      </c>
    </row>
    <row r="19" spans="1:31">
      <c r="A19" s="774" t="s">
        <v>141</v>
      </c>
      <c r="B19" s="775"/>
      <c r="C19" s="775"/>
      <c r="D19" s="775"/>
      <c r="E19" s="775"/>
      <c r="F19" s="775"/>
      <c r="G19" s="775"/>
      <c r="H19" s="776"/>
      <c r="I19" s="385"/>
      <c r="J19" s="385"/>
      <c r="K19" s="385"/>
      <c r="L19" s="385"/>
      <c r="M19" s="385"/>
      <c r="N19" s="385"/>
      <c r="O19" s="385"/>
      <c r="P19" s="385"/>
      <c r="Q19" s="385"/>
      <c r="R19" s="385"/>
      <c r="S19" s="385"/>
      <c r="T19" s="386"/>
      <c r="AC19" s="175" t="s">
        <v>140</v>
      </c>
      <c r="AD19" s="84">
        <v>10.97639386424169</v>
      </c>
      <c r="AE19" s="242" t="s">
        <v>294</v>
      </c>
    </row>
    <row r="20" spans="1:31">
      <c r="A20" s="216" t="s">
        <v>133</v>
      </c>
      <c r="B20" s="353" t="s">
        <v>121</v>
      </c>
      <c r="C20" s="353" t="s">
        <v>41</v>
      </c>
      <c r="D20" s="353" t="s">
        <v>59</v>
      </c>
      <c r="E20" s="353" t="s">
        <v>122</v>
      </c>
      <c r="F20" s="353" t="s">
        <v>31</v>
      </c>
      <c r="G20" s="353" t="s">
        <v>32</v>
      </c>
      <c r="H20" s="353" t="s">
        <v>11</v>
      </c>
      <c r="I20" s="190" t="s">
        <v>133</v>
      </c>
      <c r="J20" s="190"/>
      <c r="K20" s="190"/>
      <c r="L20" s="772" t="s">
        <v>123</v>
      </c>
      <c r="M20" s="773"/>
      <c r="N20" s="780"/>
      <c r="O20" s="772" t="s">
        <v>124</v>
      </c>
      <c r="P20" s="773"/>
      <c r="Q20" s="780"/>
      <c r="R20" s="772" t="s">
        <v>125</v>
      </c>
      <c r="S20" s="773"/>
      <c r="T20" s="781"/>
      <c r="AC20" s="169" t="s">
        <v>147</v>
      </c>
      <c r="AD20" s="84">
        <v>10.353214098630644</v>
      </c>
      <c r="AE20" s="243">
        <f>(AE17/AD17)*100</f>
        <v>3.3669714979883301</v>
      </c>
    </row>
    <row r="21" spans="1:31">
      <c r="A21" s="218" t="s">
        <v>134</v>
      </c>
      <c r="B21" s="194">
        <v>1</v>
      </c>
      <c r="C21" s="194">
        <v>34.8504</v>
      </c>
      <c r="D21" s="194">
        <v>2.2905000000000002</v>
      </c>
      <c r="E21" s="194">
        <v>36.893099999999997</v>
      </c>
      <c r="F21" s="195">
        <v>2.0426999999999964</v>
      </c>
      <c r="G21" s="196">
        <v>0.2478000000000038</v>
      </c>
      <c r="H21" s="197">
        <v>10.8185985592667</v>
      </c>
      <c r="I21" s="198" t="s">
        <v>31</v>
      </c>
      <c r="J21" s="198" t="s">
        <v>32</v>
      </c>
      <c r="K21" s="198" t="s">
        <v>11</v>
      </c>
      <c r="L21" s="193" t="s">
        <v>127</v>
      </c>
      <c r="M21" s="194" t="s">
        <v>113</v>
      </c>
      <c r="N21" s="199" t="s">
        <v>112</v>
      </c>
      <c r="O21" s="193" t="s">
        <v>127</v>
      </c>
      <c r="P21" s="194" t="s">
        <v>113</v>
      </c>
      <c r="Q21" s="194" t="s">
        <v>112</v>
      </c>
      <c r="R21" s="200" t="s">
        <v>127</v>
      </c>
      <c r="S21" s="201" t="s">
        <v>113</v>
      </c>
      <c r="T21" s="219" t="s">
        <v>112</v>
      </c>
      <c r="AC21" s="171" t="s">
        <v>148</v>
      </c>
      <c r="AD21" s="84">
        <v>10.57371725481703</v>
      </c>
      <c r="AE21" s="245">
        <f>AE18/AD17*100</f>
        <v>3.6883324798503376</v>
      </c>
    </row>
    <row r="22" spans="1:31" ht="15" thickBot="1">
      <c r="A22" s="220" t="s">
        <v>135</v>
      </c>
      <c r="B22" s="198">
        <v>1</v>
      </c>
      <c r="C22" s="198">
        <v>37.207000000000001</v>
      </c>
      <c r="D22" s="198">
        <v>2.8060999999999998</v>
      </c>
      <c r="E22" s="198">
        <v>39.694099999999999</v>
      </c>
      <c r="F22" s="190">
        <v>2.4870999999999981</v>
      </c>
      <c r="G22" s="202">
        <v>0.31900000000000173</v>
      </c>
      <c r="H22" s="203">
        <v>11.368090944727619</v>
      </c>
      <c r="I22" s="190">
        <v>2.1144999999999974</v>
      </c>
      <c r="J22" s="190">
        <v>0.2637333333333361</v>
      </c>
      <c r="K22" s="204">
        <v>11.065648050977396</v>
      </c>
      <c r="L22" s="206">
        <v>6.103345135451315E-2</v>
      </c>
      <c r="M22" s="195">
        <v>5.1857861441344709E-2</v>
      </c>
      <c r="N22" s="207">
        <v>0.22772321234635856</v>
      </c>
      <c r="O22" s="206">
        <v>7.6971377777777968E-3</v>
      </c>
      <c r="P22" s="195">
        <v>0.10215256888888884</v>
      </c>
      <c r="Q22" s="221">
        <v>0.31961315506231724</v>
      </c>
      <c r="R22" s="191">
        <v>6.103345135451315E-2</v>
      </c>
      <c r="S22" s="190">
        <v>5.1857861441344709E-2</v>
      </c>
      <c r="T22" s="222">
        <v>2.0579292897919741</v>
      </c>
      <c r="AC22" s="177" t="s">
        <v>149</v>
      </c>
      <c r="AD22" s="233">
        <v>10.534996828082004</v>
      </c>
      <c r="AE22" s="116"/>
    </row>
    <row r="23" spans="1:31">
      <c r="A23" s="223" t="s">
        <v>136</v>
      </c>
      <c r="B23" s="208">
        <v>1</v>
      </c>
      <c r="C23" s="208">
        <v>36.6479</v>
      </c>
      <c r="D23" s="208">
        <v>2.0381</v>
      </c>
      <c r="E23" s="208">
        <v>38.461599999999997</v>
      </c>
      <c r="F23" s="209">
        <v>1.8136999999999972</v>
      </c>
      <c r="G23" s="202">
        <v>0.22440000000000282</v>
      </c>
      <c r="H23" s="203">
        <v>11.010254648937874</v>
      </c>
      <c r="I23" s="190"/>
      <c r="J23" s="190"/>
      <c r="K23" s="190"/>
      <c r="L23" s="191">
        <v>9.1471703980008839E-2</v>
      </c>
      <c r="M23" s="190"/>
      <c r="N23" s="192"/>
      <c r="O23" s="191">
        <v>0.18306988444444403</v>
      </c>
      <c r="P23" s="190"/>
      <c r="Q23" s="190"/>
      <c r="R23" s="191">
        <v>9.1471703980008839E-2</v>
      </c>
      <c r="S23" s="190"/>
      <c r="T23" s="217"/>
    </row>
    <row r="24" spans="1:31">
      <c r="A24" s="220"/>
      <c r="B24" s="198"/>
      <c r="C24" s="210" t="s">
        <v>83</v>
      </c>
      <c r="D24" s="210">
        <v>2.3782333333333336</v>
      </c>
      <c r="E24" s="198"/>
      <c r="F24" s="190"/>
      <c r="G24" s="190"/>
      <c r="H24" s="190"/>
      <c r="I24" s="190"/>
      <c r="J24" s="190"/>
      <c r="K24" s="190"/>
      <c r="L24" s="211">
        <v>3.0684289895121361E-3</v>
      </c>
      <c r="M24" s="209"/>
      <c r="N24" s="182">
        <f>_xlfn.STDEV.S(H21:H23)</f>
        <v>0.27890283641802044</v>
      </c>
      <c r="O24" s="211">
        <v>0.11569068444444464</v>
      </c>
      <c r="P24" s="209"/>
      <c r="Q24" s="209"/>
      <c r="R24" s="211">
        <v>3.0684289895121361E-3</v>
      </c>
      <c r="S24" s="209"/>
      <c r="T24" s="224"/>
    </row>
    <row r="25" spans="1:31">
      <c r="A25" s="216" t="s">
        <v>137</v>
      </c>
      <c r="B25" s="353" t="s">
        <v>121</v>
      </c>
      <c r="C25" s="353" t="s">
        <v>41</v>
      </c>
      <c r="D25" s="353" t="s">
        <v>59</v>
      </c>
      <c r="E25" s="353" t="s">
        <v>122</v>
      </c>
      <c r="F25" s="353" t="s">
        <v>31</v>
      </c>
      <c r="G25" s="353" t="s">
        <v>32</v>
      </c>
      <c r="H25" s="353" t="s">
        <v>11</v>
      </c>
      <c r="I25" s="190" t="s">
        <v>137</v>
      </c>
      <c r="J25" s="190"/>
      <c r="K25" s="190"/>
      <c r="L25" s="191"/>
      <c r="M25" s="190"/>
      <c r="N25" s="192"/>
      <c r="O25" s="191"/>
      <c r="P25" s="190"/>
      <c r="Q25" s="190"/>
      <c r="R25" s="191"/>
      <c r="S25" s="190"/>
      <c r="T25" s="217"/>
    </row>
    <row r="26" spans="1:31">
      <c r="A26" s="218" t="s">
        <v>138</v>
      </c>
      <c r="B26" s="194">
        <v>1</v>
      </c>
      <c r="C26" s="194">
        <v>38.675400000000003</v>
      </c>
      <c r="D26" s="194">
        <v>2.6726000000000001</v>
      </c>
      <c r="E26" s="194">
        <v>41.071300000000001</v>
      </c>
      <c r="F26" s="195">
        <v>2.3958999999999975</v>
      </c>
      <c r="G26" s="196">
        <v>0.27670000000000261</v>
      </c>
      <c r="H26" s="197">
        <v>10.353214098630644</v>
      </c>
      <c r="I26" s="198" t="s">
        <v>31</v>
      </c>
      <c r="J26" s="198" t="s">
        <v>32</v>
      </c>
      <c r="K26" s="198" t="s">
        <v>11</v>
      </c>
      <c r="L26" s="193" t="s">
        <v>127</v>
      </c>
      <c r="M26" s="194" t="s">
        <v>113</v>
      </c>
      <c r="N26" s="199" t="s">
        <v>112</v>
      </c>
      <c r="O26" s="193" t="s">
        <v>127</v>
      </c>
      <c r="P26" s="194" t="s">
        <v>113</v>
      </c>
      <c r="Q26" s="194" t="s">
        <v>112</v>
      </c>
      <c r="R26" s="200" t="s">
        <v>127</v>
      </c>
      <c r="S26" s="201" t="s">
        <v>113</v>
      </c>
      <c r="T26" s="219" t="s">
        <v>112</v>
      </c>
    </row>
    <row r="27" spans="1:31">
      <c r="A27" s="220" t="s">
        <v>139</v>
      </c>
      <c r="B27" s="198">
        <v>1</v>
      </c>
      <c r="C27" s="198">
        <v>37.4709</v>
      </c>
      <c r="D27" s="198">
        <v>2.3094999999999999</v>
      </c>
      <c r="E27" s="198">
        <v>39.536200000000001</v>
      </c>
      <c r="F27" s="190">
        <v>2.0653000000000006</v>
      </c>
      <c r="G27" s="202">
        <v>0.24419999999999931</v>
      </c>
      <c r="H27" s="203">
        <v>10.57371725481703</v>
      </c>
      <c r="I27" s="190">
        <v>2.1921999999999997</v>
      </c>
      <c r="J27" s="190">
        <v>0.25666666666666699</v>
      </c>
      <c r="K27" s="204">
        <v>10.487309393843226</v>
      </c>
      <c r="L27" s="206">
        <v>1.7981548198149462E-2</v>
      </c>
      <c r="M27" s="195">
        <v>9.2406526734984794E-3</v>
      </c>
      <c r="N27" s="207">
        <v>9.6128313589173509E-2</v>
      </c>
      <c r="O27" s="206">
        <v>5.0056604444444347E-2</v>
      </c>
      <c r="P27" s="195">
        <v>2.5532468888888906E-2</v>
      </c>
      <c r="Q27" s="221">
        <v>0.15978882591999011</v>
      </c>
      <c r="R27" s="191">
        <v>1.7981548198149462E-2</v>
      </c>
      <c r="S27" s="190">
        <v>9.2406526734984794E-3</v>
      </c>
      <c r="T27" s="222">
        <v>0.91661559680510096</v>
      </c>
    </row>
    <row r="28" spans="1:31">
      <c r="A28" s="223" t="s">
        <v>140</v>
      </c>
      <c r="B28" s="208">
        <v>1</v>
      </c>
      <c r="C28" s="208">
        <v>37.321199999999997</v>
      </c>
      <c r="D28" s="208">
        <v>2.3645</v>
      </c>
      <c r="E28" s="208">
        <v>39.436599999999999</v>
      </c>
      <c r="F28" s="209">
        <v>2.1154000000000011</v>
      </c>
      <c r="G28" s="202">
        <v>0.24909999999999899</v>
      </c>
      <c r="H28" s="203">
        <v>10.534996828082004</v>
      </c>
      <c r="I28" s="190"/>
      <c r="J28" s="190"/>
      <c r="K28" s="190"/>
      <c r="L28" s="191">
        <v>7.4663184380681898E-3</v>
      </c>
      <c r="M28" s="190"/>
      <c r="N28" s="192"/>
      <c r="O28" s="191">
        <v>1.9423067777777893E-2</v>
      </c>
      <c r="P28" s="190"/>
      <c r="Q28" s="190"/>
      <c r="R28" s="191">
        <v>7.4663184380681898E-3</v>
      </c>
      <c r="S28" s="190"/>
      <c r="T28" s="217"/>
    </row>
    <row r="29" spans="1:31">
      <c r="A29" s="220"/>
      <c r="B29" s="190"/>
      <c r="C29" s="210" t="s">
        <v>83</v>
      </c>
      <c r="D29" s="210">
        <v>2.448866666666667</v>
      </c>
      <c r="E29" s="190"/>
      <c r="F29" s="190"/>
      <c r="G29" s="190"/>
      <c r="H29" s="190"/>
      <c r="I29" s="190"/>
      <c r="J29" s="190"/>
      <c r="K29" s="190"/>
      <c r="L29" s="211">
        <v>2.2740913842777839E-3</v>
      </c>
      <c r="M29" s="209"/>
      <c r="N29" s="182">
        <f>_xlfn.STDEV.S(H26:H28)</f>
        <v>0.11773265906386264</v>
      </c>
      <c r="O29" s="211">
        <v>7.1177344444444878E-3</v>
      </c>
      <c r="P29" s="209"/>
      <c r="Q29" s="209"/>
      <c r="R29" s="211">
        <v>2.2740913842777839E-3</v>
      </c>
      <c r="S29" s="209"/>
      <c r="T29" s="224"/>
    </row>
    <row r="30" spans="1:31" ht="16.2" thickBot="1">
      <c r="A30" s="225"/>
      <c r="B30" s="226"/>
      <c r="C30" s="226"/>
      <c r="D30" s="226"/>
      <c r="E30" s="226"/>
      <c r="F30" s="226"/>
      <c r="G30" s="226"/>
      <c r="H30" s="226"/>
      <c r="I30" s="226"/>
      <c r="J30" s="226"/>
      <c r="K30" s="226"/>
      <c r="L30" s="226"/>
      <c r="M30" s="226"/>
      <c r="N30" s="226"/>
      <c r="O30" s="226"/>
      <c r="P30" s="226"/>
      <c r="Q30" s="226"/>
      <c r="R30" s="226"/>
      <c r="S30" s="226"/>
      <c r="T30" s="227"/>
      <c r="V30" s="763" t="s">
        <v>258</v>
      </c>
      <c r="W30" s="764"/>
      <c r="X30" s="764"/>
      <c r="Y30" s="764"/>
      <c r="Z30" s="764"/>
      <c r="AA30" s="764"/>
      <c r="AB30" s="764"/>
      <c r="AC30" s="764"/>
      <c r="AD30" s="765"/>
    </row>
    <row r="31" spans="1:31" ht="15" thickBot="1">
      <c r="V31" s="314"/>
      <c r="W31" s="795" t="s">
        <v>221</v>
      </c>
      <c r="X31" s="796"/>
      <c r="Y31" s="795" t="s">
        <v>222</v>
      </c>
      <c r="Z31" s="796"/>
      <c r="AA31" s="795" t="s">
        <v>223</v>
      </c>
      <c r="AB31" s="796"/>
      <c r="AC31" s="795" t="s">
        <v>224</v>
      </c>
      <c r="AD31" s="796"/>
    </row>
    <row r="32" spans="1:31" ht="15" thickBot="1">
      <c r="A32" s="774" t="s">
        <v>142</v>
      </c>
      <c r="B32" s="775"/>
      <c r="C32" s="775"/>
      <c r="D32" s="775"/>
      <c r="E32" s="775"/>
      <c r="F32" s="775"/>
      <c r="G32" s="775"/>
      <c r="H32" s="788"/>
      <c r="V32" s="352" t="s">
        <v>225</v>
      </c>
      <c r="W32" s="797">
        <v>11.368697959546481</v>
      </c>
      <c r="X32" s="798"/>
      <c r="Y32" s="797">
        <v>11.68042839208921</v>
      </c>
      <c r="Z32" s="798"/>
      <c r="AA32" s="799">
        <v>10.104896427177048</v>
      </c>
      <c r="AB32" s="800"/>
      <c r="AC32" s="772" t="s">
        <v>108</v>
      </c>
      <c r="AD32" s="780"/>
    </row>
    <row r="33" spans="1:30">
      <c r="A33" s="164" t="s">
        <v>133</v>
      </c>
      <c r="B33" s="165"/>
      <c r="C33" t="s">
        <v>11</v>
      </c>
      <c r="D33" t="s">
        <v>127</v>
      </c>
      <c r="E33" t="s">
        <v>113</v>
      </c>
      <c r="F33" t="s">
        <v>112</v>
      </c>
      <c r="H33" s="81"/>
      <c r="I33" s="735" t="s">
        <v>150</v>
      </c>
      <c r="J33" s="790"/>
      <c r="K33" s="790"/>
      <c r="L33" s="736"/>
      <c r="V33" s="352" t="s">
        <v>170</v>
      </c>
      <c r="W33" s="792">
        <v>12.03568388050469</v>
      </c>
      <c r="X33" s="793"/>
      <c r="Y33" s="792">
        <v>11.065648050977396</v>
      </c>
      <c r="Z33" s="793"/>
      <c r="AA33" s="772" t="s">
        <v>108</v>
      </c>
      <c r="AB33" s="780"/>
      <c r="AC33" s="794">
        <v>11.550665965741041</v>
      </c>
      <c r="AD33" s="794"/>
    </row>
    <row r="34" spans="1:30">
      <c r="A34" s="169" t="s">
        <v>134</v>
      </c>
      <c r="B34" s="84">
        <v>12.508310380852983</v>
      </c>
      <c r="C34">
        <v>11.550665965741041</v>
      </c>
      <c r="D34">
        <v>0.91708282579509237</v>
      </c>
      <c r="E34">
        <v>0.32363548275448961</v>
      </c>
      <c r="F34" s="244">
        <v>0.5688896929585644</v>
      </c>
      <c r="H34" s="81"/>
      <c r="I34" s="737"/>
      <c r="J34" s="693"/>
      <c r="K34" s="693"/>
      <c r="L34" s="738"/>
      <c r="V34" s="352" t="s">
        <v>171</v>
      </c>
      <c r="W34" s="792">
        <v>11.20336063937342</v>
      </c>
      <c r="X34" s="793"/>
      <c r="Y34" s="792">
        <v>10.487309393843226</v>
      </c>
      <c r="Z34" s="793"/>
      <c r="AA34" s="772" t="s">
        <v>108</v>
      </c>
      <c r="AB34" s="780"/>
      <c r="AC34" s="794">
        <v>10.845335016608322</v>
      </c>
      <c r="AD34" s="794"/>
    </row>
    <row r="35" spans="1:30">
      <c r="A35" s="171" t="s">
        <v>135</v>
      </c>
      <c r="B35" s="84">
        <v>11.940298507462144</v>
      </c>
      <c r="D35">
        <v>0.15181351756804659</v>
      </c>
      <c r="F35" s="213">
        <f>_xlfn.STDEV.S(B34:B39)</f>
        <v>0.62318743513118713</v>
      </c>
      <c r="H35" s="81"/>
      <c r="I35" s="737"/>
      <c r="J35" s="693"/>
      <c r="K35" s="693"/>
      <c r="L35" s="738"/>
    </row>
    <row r="36" spans="1:30">
      <c r="A36" s="175" t="s">
        <v>136</v>
      </c>
      <c r="B36" s="84">
        <v>11.658442753198942</v>
      </c>
      <c r="D36">
        <v>1.1615835914745562E-2</v>
      </c>
      <c r="H36" s="81"/>
      <c r="I36" s="737"/>
      <c r="J36" s="693"/>
      <c r="K36" s="693"/>
      <c r="L36" s="738"/>
    </row>
    <row r="37" spans="1:30">
      <c r="A37" s="169" t="s">
        <v>143</v>
      </c>
      <c r="B37" s="84">
        <v>10.8185985592667</v>
      </c>
      <c r="D37">
        <v>0.53592268762206818</v>
      </c>
      <c r="H37" s="81"/>
      <c r="I37" s="737"/>
      <c r="J37" s="693"/>
      <c r="K37" s="693"/>
      <c r="L37" s="738"/>
    </row>
    <row r="38" spans="1:30">
      <c r="A38" s="171" t="s">
        <v>144</v>
      </c>
      <c r="B38" s="84">
        <v>11.368090944727619</v>
      </c>
      <c r="D38">
        <v>3.3333638298051499E-2</v>
      </c>
      <c r="H38" s="81"/>
      <c r="I38" s="737"/>
      <c r="J38" s="693"/>
      <c r="K38" s="693"/>
      <c r="L38" s="738"/>
    </row>
    <row r="39" spans="1:30">
      <c r="A39" s="175" t="s">
        <v>145</v>
      </c>
      <c r="B39" s="84">
        <v>11.010254648937874</v>
      </c>
      <c r="D39">
        <v>0.29204439132893339</v>
      </c>
      <c r="H39" s="81"/>
      <c r="I39" s="737"/>
      <c r="J39" s="693"/>
      <c r="K39" s="693"/>
      <c r="L39" s="738"/>
    </row>
    <row r="40" spans="1:30" ht="15" thickBot="1">
      <c r="A40" s="177"/>
      <c r="B40" s="115"/>
      <c r="C40" s="115"/>
      <c r="D40" s="115"/>
      <c r="E40" s="115"/>
      <c r="F40" s="115"/>
      <c r="G40" s="115"/>
      <c r="H40" s="116"/>
      <c r="I40" s="739"/>
      <c r="J40" s="791"/>
      <c r="K40" s="791"/>
      <c r="L40" s="740"/>
    </row>
    <row r="41" spans="1:30">
      <c r="A41" s="171"/>
      <c r="H41" s="81"/>
      <c r="I41" s="735" t="s">
        <v>151</v>
      </c>
      <c r="J41" s="790"/>
      <c r="K41" s="790"/>
      <c r="L41" s="736"/>
    </row>
    <row r="42" spans="1:30">
      <c r="A42" s="164" t="s">
        <v>137</v>
      </c>
      <c r="B42" s="165" t="s">
        <v>146</v>
      </c>
      <c r="C42" t="s">
        <v>11</v>
      </c>
      <c r="D42" t="s">
        <v>127</v>
      </c>
      <c r="E42" t="s">
        <v>113</v>
      </c>
      <c r="F42" t="s">
        <v>112</v>
      </c>
      <c r="H42" s="81"/>
      <c r="I42" s="737"/>
      <c r="J42" s="693"/>
      <c r="K42" s="693"/>
      <c r="L42" s="738"/>
    </row>
    <row r="43" spans="1:30">
      <c r="A43" s="169" t="s">
        <v>138</v>
      </c>
      <c r="B43" s="84">
        <v>11.353063446501571</v>
      </c>
      <c r="C43">
        <v>10.845335016608322</v>
      </c>
      <c r="D43">
        <v>0.25778815852186315</v>
      </c>
      <c r="E43">
        <v>0.14611843426431867</v>
      </c>
      <c r="F43" s="244">
        <v>0.38225441039223951</v>
      </c>
      <c r="H43" s="81"/>
      <c r="I43" s="737"/>
      <c r="J43" s="693"/>
      <c r="K43" s="693"/>
      <c r="L43" s="738"/>
    </row>
    <row r="44" spans="1:30">
      <c r="A44" s="171" t="s">
        <v>139</v>
      </c>
      <c r="B44" s="84">
        <v>11.280624607377</v>
      </c>
      <c r="D44">
        <v>0.18947702783156278</v>
      </c>
      <c r="F44" s="213">
        <f>_xlfn.STDEV.S(B43:B48)</f>
        <v>0.41873872655533356</v>
      </c>
      <c r="H44" s="81"/>
      <c r="I44" s="737"/>
      <c r="J44" s="693"/>
      <c r="K44" s="693"/>
      <c r="L44" s="738"/>
    </row>
    <row r="45" spans="1:30">
      <c r="A45" s="175" t="s">
        <v>140</v>
      </c>
      <c r="B45" s="84">
        <v>10.97639386424169</v>
      </c>
      <c r="D45">
        <v>1.7176421542986209E-2</v>
      </c>
      <c r="H45" s="81"/>
      <c r="I45" s="737"/>
      <c r="J45" s="693"/>
      <c r="K45" s="693"/>
      <c r="L45" s="738"/>
    </row>
    <row r="46" spans="1:30">
      <c r="A46" s="169" t="s">
        <v>147</v>
      </c>
      <c r="B46" s="84">
        <v>10.353214098630644</v>
      </c>
      <c r="D46">
        <v>0.24218299791119224</v>
      </c>
      <c r="H46" s="81"/>
      <c r="I46" s="737"/>
      <c r="J46" s="693"/>
      <c r="K46" s="693"/>
      <c r="L46" s="738"/>
    </row>
    <row r="47" spans="1:30">
      <c r="A47" s="171" t="s">
        <v>148</v>
      </c>
      <c r="B47" s="84">
        <v>10.57371725481703</v>
      </c>
      <c r="D47">
        <v>7.3776208520511186E-2</v>
      </c>
      <c r="H47" s="81"/>
      <c r="I47" s="737"/>
      <c r="J47" s="693"/>
      <c r="K47" s="693"/>
      <c r="L47" s="738"/>
    </row>
    <row r="48" spans="1:30" ht="15" thickBot="1">
      <c r="A48" s="177" t="s">
        <v>149</v>
      </c>
      <c r="B48" s="233">
        <v>10.534996828082004</v>
      </c>
      <c r="C48" s="115"/>
      <c r="D48" s="115">
        <v>9.6309791257796429E-2</v>
      </c>
      <c r="E48" s="115"/>
      <c r="F48" s="115"/>
      <c r="G48" s="115"/>
      <c r="H48" s="116"/>
      <c r="I48" s="739"/>
      <c r="J48" s="791"/>
      <c r="K48" s="791"/>
      <c r="L48" s="740"/>
    </row>
  </sheetData>
  <mergeCells count="40">
    <mergeCell ref="W34:X34"/>
    <mergeCell ref="Y34:Z34"/>
    <mergeCell ref="AA34:AB34"/>
    <mergeCell ref="AC34:AD34"/>
    <mergeCell ref="W31:X31"/>
    <mergeCell ref="Y31:Z31"/>
    <mergeCell ref="AA31:AB31"/>
    <mergeCell ref="AC31:AD31"/>
    <mergeCell ref="W33:X33"/>
    <mergeCell ref="Y33:Z33"/>
    <mergeCell ref="AA33:AB33"/>
    <mergeCell ref="AC33:AD33"/>
    <mergeCell ref="W32:X32"/>
    <mergeCell ref="Y32:Z32"/>
    <mergeCell ref="AA32:AB32"/>
    <mergeCell ref="AC32:AD32"/>
    <mergeCell ref="I33:L40"/>
    <mergeCell ref="I41:L48"/>
    <mergeCell ref="L20:N20"/>
    <mergeCell ref="O20:Q20"/>
    <mergeCell ref="R20:T20"/>
    <mergeCell ref="A32:H32"/>
    <mergeCell ref="A7:H7"/>
    <mergeCell ref="L8:N8"/>
    <mergeCell ref="O8:Q8"/>
    <mergeCell ref="L14:N14"/>
    <mergeCell ref="O14:Q14"/>
    <mergeCell ref="V30:AD30"/>
    <mergeCell ref="R4:S6"/>
    <mergeCell ref="T4:T6"/>
    <mergeCell ref="R3:S3"/>
    <mergeCell ref="A1:H1"/>
    <mergeCell ref="I1:K1"/>
    <mergeCell ref="L2:N2"/>
    <mergeCell ref="O2:Q2"/>
    <mergeCell ref="R2:T2"/>
    <mergeCell ref="A19:H19"/>
    <mergeCell ref="AC8:AE8"/>
    <mergeCell ref="R8:T8"/>
    <mergeCell ref="R14:T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9"/>
  <sheetViews>
    <sheetView topLeftCell="V4" zoomScaleNormal="100" workbookViewId="0">
      <selection activeCell="Y6" sqref="Y6"/>
    </sheetView>
  </sheetViews>
  <sheetFormatPr baseColWidth="10" defaultColWidth="11.5546875" defaultRowHeight="14.4"/>
  <cols>
    <col min="1" max="1" width="12.6640625" style="104" customWidth="1"/>
    <col min="2" max="2" width="18" style="104" customWidth="1"/>
    <col min="3" max="19" width="12.6640625" style="104" customWidth="1"/>
    <col min="32" max="32" width="14.21875" customWidth="1"/>
  </cols>
  <sheetData>
    <row r="1" spans="1:39" ht="15" thickBot="1">
      <c r="A1" s="807" t="s">
        <v>156</v>
      </c>
      <c r="B1" s="807"/>
      <c r="C1" s="807"/>
      <c r="D1" s="807"/>
      <c r="E1" s="807"/>
      <c r="F1" s="807"/>
      <c r="G1" s="807"/>
      <c r="H1" s="808"/>
    </row>
    <row r="2" spans="1:39" ht="15" customHeight="1">
      <c r="A2" s="250" t="s">
        <v>133</v>
      </c>
      <c r="B2" s="251" t="s">
        <v>41</v>
      </c>
      <c r="C2" s="251" t="s">
        <v>59</v>
      </c>
      <c r="D2" s="251" t="s">
        <v>122</v>
      </c>
      <c r="E2" s="251" t="s">
        <v>31</v>
      </c>
      <c r="F2" s="239" t="s">
        <v>32</v>
      </c>
      <c r="G2" s="239" t="s">
        <v>11</v>
      </c>
      <c r="H2" s="257" t="s">
        <v>133</v>
      </c>
      <c r="I2" s="257"/>
      <c r="J2" s="257"/>
      <c r="K2" s="777" t="s">
        <v>159</v>
      </c>
      <c r="L2" s="778"/>
      <c r="M2" s="779"/>
      <c r="N2" s="777" t="s">
        <v>160</v>
      </c>
      <c r="O2" s="778"/>
      <c r="P2" s="779"/>
      <c r="Q2" s="777" t="s">
        <v>161</v>
      </c>
      <c r="R2" s="778"/>
      <c r="S2" s="806"/>
      <c r="T2" s="735" t="s">
        <v>157</v>
      </c>
      <c r="U2" s="790"/>
      <c r="V2" s="790"/>
      <c r="W2" s="736"/>
      <c r="Y2" s="268" t="s">
        <v>225</v>
      </c>
      <c r="Z2" s="167" t="s">
        <v>297</v>
      </c>
      <c r="AA2" s="165" t="s">
        <v>116</v>
      </c>
      <c r="AB2" s="268" t="s">
        <v>225</v>
      </c>
      <c r="AC2" s="167" t="s">
        <v>293</v>
      </c>
      <c r="AD2" s="167" t="s">
        <v>116</v>
      </c>
      <c r="AE2" s="250" t="s">
        <v>225</v>
      </c>
      <c r="AF2" s="337" t="s">
        <v>298</v>
      </c>
      <c r="AG2" s="240" t="s">
        <v>116</v>
      </c>
      <c r="AH2" s="811" t="s">
        <v>234</v>
      </c>
      <c r="AI2" s="812"/>
      <c r="AJ2" s="813"/>
      <c r="AK2" s="735" t="s">
        <v>166</v>
      </c>
      <c r="AL2" s="790"/>
      <c r="AM2" s="736"/>
    </row>
    <row r="3" spans="1:39" ht="15" thickBot="1">
      <c r="A3" s="169" t="s">
        <v>134</v>
      </c>
      <c r="B3" s="136">
        <v>37.536900000000003</v>
      </c>
      <c r="C3" s="136">
        <v>2.9285000000000001</v>
      </c>
      <c r="D3" s="136">
        <v>40.124200000000002</v>
      </c>
      <c r="E3" s="139">
        <v>2.587299999999999</v>
      </c>
      <c r="F3" s="157">
        <v>0.34120000000000106</v>
      </c>
      <c r="G3" s="84">
        <v>11.651015878436095</v>
      </c>
      <c r="H3" s="104" t="s">
        <v>31</v>
      </c>
      <c r="I3" s="104" t="s">
        <v>32</v>
      </c>
      <c r="J3" s="104" t="s">
        <v>11</v>
      </c>
      <c r="K3" s="135" t="s">
        <v>127</v>
      </c>
      <c r="L3" s="136" t="s">
        <v>113</v>
      </c>
      <c r="M3" s="139" t="s">
        <v>112</v>
      </c>
      <c r="N3" s="135" t="s">
        <v>127</v>
      </c>
      <c r="O3" s="136" t="s">
        <v>113</v>
      </c>
      <c r="P3" s="139" t="s">
        <v>112</v>
      </c>
      <c r="Q3" s="135" t="s">
        <v>127</v>
      </c>
      <c r="R3" s="136" t="s">
        <v>113</v>
      </c>
      <c r="S3" s="253" t="s">
        <v>112</v>
      </c>
      <c r="T3" s="737"/>
      <c r="U3" s="693"/>
      <c r="V3" s="693"/>
      <c r="W3" s="738"/>
      <c r="Y3" s="135" t="s">
        <v>126</v>
      </c>
      <c r="Z3" s="158">
        <v>13.057495969908922</v>
      </c>
      <c r="AA3" s="235">
        <v>0.67390242312094339</v>
      </c>
      <c r="AB3" s="135" t="s">
        <v>126</v>
      </c>
      <c r="AC3" s="158">
        <v>11.904872930753301</v>
      </c>
      <c r="AD3" s="247">
        <v>0.43868921461665444</v>
      </c>
      <c r="AE3" s="169" t="s">
        <v>126</v>
      </c>
      <c r="AF3" s="158">
        <v>13.583054092867419</v>
      </c>
      <c r="AG3" s="283">
        <v>0.34247225412535293</v>
      </c>
      <c r="AH3" s="277" t="s">
        <v>170</v>
      </c>
      <c r="AI3" s="167" t="s">
        <v>297</v>
      </c>
      <c r="AJ3" s="242" t="s">
        <v>116</v>
      </c>
      <c r="AK3" s="737"/>
      <c r="AL3" s="693"/>
      <c r="AM3" s="738"/>
    </row>
    <row r="4" spans="1:39" ht="15" thickBot="1">
      <c r="A4" s="171" t="s">
        <v>135</v>
      </c>
      <c r="B4" s="104">
        <v>39.572299999999998</v>
      </c>
      <c r="C4" s="104">
        <v>2.0508999999999999</v>
      </c>
      <c r="D4" s="104">
        <v>41.368000000000002</v>
      </c>
      <c r="E4" s="106">
        <v>1.7957000000000036</v>
      </c>
      <c r="F4" s="157">
        <v>0.25519999999999632</v>
      </c>
      <c r="G4" s="84">
        <v>12.443317567896841</v>
      </c>
      <c r="H4" s="104">
        <v>2.1106666666666669</v>
      </c>
      <c r="I4" s="104">
        <v>0.29073333333333312</v>
      </c>
      <c r="J4" s="258">
        <v>12.163651122408263</v>
      </c>
      <c r="K4" s="135">
        <v>0.26279489336240441</v>
      </c>
      <c r="L4" s="136">
        <v>0.13176089172050318</v>
      </c>
      <c r="M4" s="259">
        <v>0.36298883139912608</v>
      </c>
      <c r="N4" s="135">
        <v>0.27783440999999992</v>
      </c>
      <c r="O4" s="136">
        <v>0.1439574066666667</v>
      </c>
      <c r="P4" s="259">
        <v>0.37941719342521457</v>
      </c>
      <c r="Q4" s="135">
        <v>0.26279489336240441</v>
      </c>
      <c r="R4" s="136">
        <v>0.13176089172050318</v>
      </c>
      <c r="S4" s="260">
        <v>2.9842094922503701</v>
      </c>
      <c r="T4" s="737"/>
      <c r="U4" s="693"/>
      <c r="V4" s="693"/>
      <c r="W4" s="738"/>
      <c r="Y4" s="103" t="s">
        <v>130</v>
      </c>
      <c r="Z4" s="158">
        <v>12.654918667699718</v>
      </c>
      <c r="AA4" s="165" t="s">
        <v>294</v>
      </c>
      <c r="AB4" s="103" t="s">
        <v>130</v>
      </c>
      <c r="AC4" s="158">
        <v>12.726419521351474</v>
      </c>
      <c r="AD4" s="167" t="s">
        <v>294</v>
      </c>
      <c r="AE4" s="171" t="s">
        <v>130</v>
      </c>
      <c r="AF4" s="158">
        <v>13.052573413324641</v>
      </c>
      <c r="AG4" s="280">
        <v>0.41944113683394296</v>
      </c>
      <c r="AH4" s="169" t="s">
        <v>134</v>
      </c>
      <c r="AI4" s="158">
        <v>12.721311475409891</v>
      </c>
      <c r="AJ4" s="283">
        <v>0.37887272644749148</v>
      </c>
      <c r="AK4" s="737"/>
      <c r="AL4" s="693"/>
      <c r="AM4" s="738"/>
    </row>
    <row r="5" spans="1:39" ht="15" thickBot="1">
      <c r="A5" s="175" t="s">
        <v>136</v>
      </c>
      <c r="B5" s="108">
        <v>37.0242</v>
      </c>
      <c r="C5" s="108">
        <v>2.2248000000000001</v>
      </c>
      <c r="D5" s="108">
        <v>38.973199999999999</v>
      </c>
      <c r="E5" s="109">
        <v>1.9489999999999981</v>
      </c>
      <c r="F5" s="157">
        <v>0.27580000000000204</v>
      </c>
      <c r="G5" s="84">
        <v>12.396619920891856</v>
      </c>
      <c r="K5" s="103">
        <v>7.8213320732215888E-2</v>
      </c>
      <c r="M5" s="106"/>
      <c r="N5" s="103">
        <v>0.12285025000000017</v>
      </c>
      <c r="P5" s="106"/>
      <c r="Q5" s="103">
        <v>7.8213320732215888E-2</v>
      </c>
      <c r="S5" s="261"/>
      <c r="T5" s="737"/>
      <c r="U5" s="693"/>
      <c r="V5" s="693"/>
      <c r="W5" s="738"/>
      <c r="Y5" s="107" t="s">
        <v>131</v>
      </c>
      <c r="Z5" s="158">
        <v>11.469809548210785</v>
      </c>
      <c r="AA5" s="236">
        <f>(AA3/Z3)*100</f>
        <v>5.16103872192613</v>
      </c>
      <c r="AB5" s="103" t="s">
        <v>131</v>
      </c>
      <c r="AC5" s="55">
        <v>12.915490306794863</v>
      </c>
      <c r="AD5" s="269">
        <f>(AD3/AC5)*100</f>
        <v>3.3966129368380171</v>
      </c>
      <c r="AE5" s="177" t="s">
        <v>131</v>
      </c>
      <c r="AF5" s="270">
        <v>12.755021350624634</v>
      </c>
      <c r="AG5" s="242" t="s">
        <v>294</v>
      </c>
      <c r="AH5" s="171" t="s">
        <v>135</v>
      </c>
      <c r="AI5" s="158">
        <v>12.173913043478359</v>
      </c>
      <c r="AJ5" s="280">
        <f>_xlfn.STDEV.S(AI4:AI6,AI8:AI10)</f>
        <v>0.41503427739755044</v>
      </c>
      <c r="AK5" s="737"/>
      <c r="AL5" s="693"/>
      <c r="AM5" s="738"/>
    </row>
    <row r="6" spans="1:39" ht="15" thickBot="1">
      <c r="A6" s="177"/>
      <c r="B6" s="179" t="s">
        <v>83</v>
      </c>
      <c r="C6" s="179">
        <v>2.4014000000000002</v>
      </c>
      <c r="D6" s="178"/>
      <c r="E6" s="178"/>
      <c r="F6" s="178"/>
      <c r="G6" s="178"/>
      <c r="H6" s="178"/>
      <c r="I6" s="178"/>
      <c r="J6" s="178"/>
      <c r="K6" s="262">
        <v>5.4274461066889212E-2</v>
      </c>
      <c r="L6" s="178"/>
      <c r="M6" s="263">
        <f>_xlfn.STDEV.S(G3:G5)</f>
        <v>0.44456870962850586</v>
      </c>
      <c r="N6" s="262">
        <v>3.1187560000000031E-2</v>
      </c>
      <c r="O6" s="178"/>
      <c r="P6" s="264"/>
      <c r="Q6" s="262">
        <v>5.4274461066889212E-2</v>
      </c>
      <c r="R6" s="178"/>
      <c r="S6" s="265"/>
      <c r="T6" s="739"/>
      <c r="U6" s="791"/>
      <c r="V6" s="791"/>
      <c r="W6" s="740"/>
      <c r="Y6" s="268" t="s">
        <v>170</v>
      </c>
      <c r="Z6" s="104"/>
      <c r="AA6" s="165" t="s">
        <v>116</v>
      </c>
      <c r="AB6" s="268" t="s">
        <v>170</v>
      </c>
      <c r="AC6" s="257"/>
      <c r="AD6" s="167" t="s">
        <v>116</v>
      </c>
      <c r="AE6" s="91"/>
      <c r="AG6" s="282">
        <f>(AG3/AF3)*100</f>
        <v>2.521319960767793</v>
      </c>
      <c r="AH6" s="171" t="s">
        <v>136</v>
      </c>
      <c r="AI6" s="55">
        <v>11.764125825855785</v>
      </c>
      <c r="AJ6" s="242" t="s">
        <v>294</v>
      </c>
      <c r="AK6" s="739"/>
      <c r="AL6" s="791"/>
      <c r="AM6" s="740"/>
    </row>
    <row r="7" spans="1:39" ht="15" thickBot="1">
      <c r="A7" s="809" t="s">
        <v>158</v>
      </c>
      <c r="B7" s="809"/>
      <c r="C7" s="809"/>
      <c r="D7" s="809"/>
      <c r="E7" s="809"/>
      <c r="F7" s="809"/>
      <c r="G7" s="809"/>
      <c r="H7" s="810"/>
      <c r="Y7" s="135" t="s">
        <v>134</v>
      </c>
      <c r="Z7" s="158">
        <v>12.721311475409891</v>
      </c>
      <c r="AA7" s="247">
        <v>0.39211321702911062</v>
      </c>
      <c r="AB7" s="169" t="s">
        <v>134</v>
      </c>
      <c r="AC7" s="158">
        <v>11.651015878436095</v>
      </c>
      <c r="AD7" s="247">
        <v>0.36298883139912608</v>
      </c>
      <c r="AE7" s="163"/>
      <c r="AF7" s="115"/>
      <c r="AG7" s="281">
        <f>AG4/AF3*100</f>
        <v>3.0879736910875968</v>
      </c>
      <c r="AH7" s="277" t="s">
        <v>170</v>
      </c>
      <c r="AI7" s="337" t="s">
        <v>293</v>
      </c>
      <c r="AJ7" s="282">
        <f>(AJ4/AI4)*100</f>
        <v>2.9782521022289794</v>
      </c>
    </row>
    <row r="8" spans="1:39" ht="15" customHeight="1" thickBot="1">
      <c r="A8" s="250" t="s">
        <v>120</v>
      </c>
      <c r="B8" s="251" t="s">
        <v>41</v>
      </c>
      <c r="C8" s="251" t="s">
        <v>59</v>
      </c>
      <c r="D8" s="251" t="s">
        <v>122</v>
      </c>
      <c r="E8" s="251" t="s">
        <v>31</v>
      </c>
      <c r="F8" s="251" t="s">
        <v>32</v>
      </c>
      <c r="G8" s="251" t="s">
        <v>11</v>
      </c>
      <c r="H8" s="257" t="s">
        <v>120</v>
      </c>
      <c r="I8" s="257"/>
      <c r="J8" s="257"/>
      <c r="K8" s="777" t="s">
        <v>159</v>
      </c>
      <c r="L8" s="778"/>
      <c r="M8" s="779"/>
      <c r="N8" s="777" t="s">
        <v>160</v>
      </c>
      <c r="O8" s="778"/>
      <c r="P8" s="779"/>
      <c r="Q8" s="777" t="s">
        <v>161</v>
      </c>
      <c r="R8" s="778"/>
      <c r="S8" s="806"/>
      <c r="T8" s="735" t="s">
        <v>162</v>
      </c>
      <c r="U8" s="790"/>
      <c r="V8" s="790"/>
      <c r="W8" s="736"/>
      <c r="Y8" s="103" t="s">
        <v>135</v>
      </c>
      <c r="Z8" s="158">
        <v>12.173913043478359</v>
      </c>
      <c r="AA8" s="165" t="s">
        <v>294</v>
      </c>
      <c r="AB8" s="171" t="s">
        <v>135</v>
      </c>
      <c r="AC8" s="158">
        <v>12.443317567896841</v>
      </c>
      <c r="AD8" s="167" t="s">
        <v>294</v>
      </c>
      <c r="AE8" s="277" t="s">
        <v>170</v>
      </c>
      <c r="AF8" s="167" t="s">
        <v>293</v>
      </c>
      <c r="AG8" s="242" t="s">
        <v>116</v>
      </c>
      <c r="AH8" s="169" t="s">
        <v>134</v>
      </c>
      <c r="AI8" s="158">
        <v>11.651015878436095</v>
      </c>
      <c r="AJ8" s="281">
        <f>(AJ5/AI4)*100</f>
        <v>3.2625117166559878</v>
      </c>
      <c r="AK8" s="735" t="s">
        <v>166</v>
      </c>
      <c r="AL8" s="790"/>
      <c r="AM8" s="736"/>
    </row>
    <row r="9" spans="1:39" ht="15" thickBot="1">
      <c r="A9" s="169" t="s">
        <v>126</v>
      </c>
      <c r="B9" s="136">
        <v>36.4009</v>
      </c>
      <c r="C9" s="136">
        <v>2.5068000000000001</v>
      </c>
      <c r="D9" s="136">
        <v>38.5672</v>
      </c>
      <c r="E9" s="136">
        <v>2.1662999999999997</v>
      </c>
      <c r="F9" s="1">
        <v>0.34050000000000047</v>
      </c>
      <c r="G9" s="84">
        <v>13.583054092867419</v>
      </c>
      <c r="H9" s="104" t="s">
        <v>31</v>
      </c>
      <c r="I9" s="104" t="s">
        <v>32</v>
      </c>
      <c r="J9" s="104" t="s">
        <v>11</v>
      </c>
      <c r="K9" s="135" t="s">
        <v>127</v>
      </c>
      <c r="L9" s="136" t="s">
        <v>113</v>
      </c>
      <c r="M9" s="139" t="s">
        <v>112</v>
      </c>
      <c r="N9" s="135" t="s">
        <v>127</v>
      </c>
      <c r="O9" s="136" t="s">
        <v>113</v>
      </c>
      <c r="P9" s="139" t="s">
        <v>112</v>
      </c>
      <c r="Q9" s="135" t="s">
        <v>127</v>
      </c>
      <c r="R9" s="136" t="s">
        <v>113</v>
      </c>
      <c r="S9" s="253" t="s">
        <v>112</v>
      </c>
      <c r="T9" s="737"/>
      <c r="U9" s="693"/>
      <c r="V9" s="693"/>
      <c r="W9" s="738"/>
      <c r="Y9" s="107" t="s">
        <v>136</v>
      </c>
      <c r="Z9" s="158">
        <v>11.764125825855785</v>
      </c>
      <c r="AA9" s="117">
        <f>(AA7/Z7)*100</f>
        <v>3.0823332781927375</v>
      </c>
      <c r="AB9" s="177" t="s">
        <v>136</v>
      </c>
      <c r="AC9" s="270">
        <v>12.396619920891856</v>
      </c>
      <c r="AD9" s="272">
        <f>(AD7/AC8)*100</f>
        <v>2.9171386924626894</v>
      </c>
      <c r="AE9" s="169" t="s">
        <v>134</v>
      </c>
      <c r="AF9" s="158">
        <v>11.651015878436095</v>
      </c>
      <c r="AG9" s="283">
        <v>0.36298883139912608</v>
      </c>
      <c r="AH9" s="171" t="s">
        <v>135</v>
      </c>
      <c r="AI9" s="158">
        <v>12.443317567896841</v>
      </c>
      <c r="AJ9" s="81"/>
      <c r="AK9" s="737"/>
      <c r="AL9" s="693"/>
      <c r="AM9" s="738"/>
    </row>
    <row r="10" spans="1:39" ht="15" thickBot="1">
      <c r="A10" s="171" t="s">
        <v>130</v>
      </c>
      <c r="B10" s="104">
        <v>36.057899999999997</v>
      </c>
      <c r="C10" s="104">
        <v>2.5335999999999999</v>
      </c>
      <c r="D10" s="104">
        <v>38.260800000000003</v>
      </c>
      <c r="E10" s="104">
        <v>2.2029000000000067</v>
      </c>
      <c r="F10" s="1">
        <v>0.33069999999999311</v>
      </c>
      <c r="G10" s="84">
        <v>13.052573413324641</v>
      </c>
      <c r="H10" s="104">
        <v>2.1919333333333362</v>
      </c>
      <c r="I10" s="104">
        <v>0.33126666666666393</v>
      </c>
      <c r="J10" s="258">
        <v>13.130216285605565</v>
      </c>
      <c r="K10" s="135">
        <v>0.2050620796857244</v>
      </c>
      <c r="L10" s="136">
        <v>0.1172872448457003</v>
      </c>
      <c r="M10" s="266">
        <v>0.34247225412535293</v>
      </c>
      <c r="N10" s="135">
        <v>2.6895999999998444E-4</v>
      </c>
      <c r="O10" s="136">
        <v>1.3770666666666369E-4</v>
      </c>
      <c r="P10" s="266">
        <v>1.173484838703354E-2</v>
      </c>
      <c r="Q10" s="135">
        <v>0.2050620796857244</v>
      </c>
      <c r="R10" s="136">
        <v>0.1172872448457003</v>
      </c>
      <c r="S10" s="260">
        <v>2.6082758019820242</v>
      </c>
      <c r="T10" s="737"/>
      <c r="U10" s="693"/>
      <c r="V10" s="693"/>
      <c r="W10" s="738"/>
      <c r="Y10" s="268" t="s">
        <v>219</v>
      </c>
      <c r="Z10" s="104"/>
      <c r="AA10" s="165" t="s">
        <v>116</v>
      </c>
      <c r="AB10" s="268" t="s">
        <v>219</v>
      </c>
      <c r="AC10" s="104"/>
      <c r="AD10" s="167" t="s">
        <v>116</v>
      </c>
      <c r="AE10" s="171" t="s">
        <v>135</v>
      </c>
      <c r="AF10" s="158">
        <v>12.443317567896841</v>
      </c>
      <c r="AG10" s="280">
        <v>0.44456870962850586</v>
      </c>
      <c r="AH10" s="177" t="s">
        <v>136</v>
      </c>
      <c r="AI10" s="270">
        <v>12.396619920891856</v>
      </c>
      <c r="AJ10" s="116"/>
      <c r="AK10" s="737"/>
      <c r="AL10" s="693"/>
      <c r="AM10" s="738"/>
    </row>
    <row r="11" spans="1:39" ht="15" thickBot="1">
      <c r="A11" s="175" t="s">
        <v>131</v>
      </c>
      <c r="B11" s="108">
        <v>36.6858</v>
      </c>
      <c r="C11" s="108">
        <v>2.5291999999999999</v>
      </c>
      <c r="D11" s="108">
        <v>38.892400000000002</v>
      </c>
      <c r="E11" s="108">
        <v>2.2066000000000017</v>
      </c>
      <c r="F11" s="1">
        <v>0.32259999999999822</v>
      </c>
      <c r="G11" s="84">
        <v>12.755021350624634</v>
      </c>
      <c r="K11" s="103">
        <v>6.0284156160318649E-3</v>
      </c>
      <c r="N11" s="103">
        <v>1.0816000000000388E-4</v>
      </c>
      <c r="Q11" s="103">
        <v>6.0284156160318649E-3</v>
      </c>
      <c r="S11" s="261"/>
      <c r="T11" s="737"/>
      <c r="U11" s="693"/>
      <c r="V11" s="693"/>
      <c r="W11" s="738"/>
      <c r="Y11" s="135" t="s">
        <v>138</v>
      </c>
      <c r="Z11" s="158">
        <v>11.509207365892724</v>
      </c>
      <c r="AA11" s="235">
        <v>0.8589971888632475</v>
      </c>
      <c r="AB11" s="135" t="s">
        <v>138</v>
      </c>
      <c r="AC11" s="158">
        <v>11.005559073956707</v>
      </c>
      <c r="AD11" s="247">
        <v>0.10553775522126717</v>
      </c>
      <c r="AE11" s="177" t="s">
        <v>136</v>
      </c>
      <c r="AF11" s="270">
        <v>12.396619920891856</v>
      </c>
      <c r="AG11" s="242" t="s">
        <v>294</v>
      </c>
      <c r="AK11" s="737"/>
      <c r="AL11" s="693"/>
      <c r="AM11" s="738"/>
    </row>
    <row r="12" spans="1:39" ht="15" thickBot="1">
      <c r="B12" s="179" t="s">
        <v>83</v>
      </c>
      <c r="C12" s="179">
        <v>2.5231999999999997</v>
      </c>
      <c r="D12" s="178"/>
      <c r="E12" s="178"/>
      <c r="F12" s="178"/>
      <c r="G12" s="178"/>
      <c r="H12" s="178"/>
      <c r="I12" s="178"/>
      <c r="J12" s="178"/>
      <c r="K12" s="262">
        <v>0.14077123923534465</v>
      </c>
      <c r="L12" s="178"/>
      <c r="M12" s="267">
        <f>_xlfn.STDEV.S(G9:G11)</f>
        <v>0.41944113683394296</v>
      </c>
      <c r="N12" s="262">
        <v>3.6000000000002732E-5</v>
      </c>
      <c r="O12" s="178"/>
      <c r="P12" s="178"/>
      <c r="Q12" s="262">
        <v>0.14077123923534465</v>
      </c>
      <c r="R12" s="178"/>
      <c r="S12" s="265"/>
      <c r="T12" s="739"/>
      <c r="U12" s="791"/>
      <c r="V12" s="791"/>
      <c r="W12" s="740"/>
      <c r="Y12" s="103" t="s">
        <v>139</v>
      </c>
      <c r="Z12" s="158">
        <v>11.281774903439878</v>
      </c>
      <c r="AA12" s="165" t="s">
        <v>294</v>
      </c>
      <c r="AB12" s="103" t="s">
        <v>139</v>
      </c>
      <c r="AC12" s="158">
        <v>11.238490373767011</v>
      </c>
      <c r="AD12" s="167" t="s">
        <v>294</v>
      </c>
      <c r="AE12" s="91"/>
      <c r="AG12" s="282">
        <f>(AG9/AF10)*100</f>
        <v>2.9171386924626894</v>
      </c>
      <c r="AK12" s="739"/>
      <c r="AL12" s="791"/>
      <c r="AM12" s="740"/>
    </row>
    <row r="13" spans="1:39" ht="15" customHeight="1" thickBot="1">
      <c r="A13" s="250" t="s">
        <v>137</v>
      </c>
      <c r="B13" s="251" t="s">
        <v>41</v>
      </c>
      <c r="C13" s="251" t="s">
        <v>59</v>
      </c>
      <c r="D13" s="251" t="s">
        <v>122</v>
      </c>
      <c r="E13" s="251" t="s">
        <v>31</v>
      </c>
      <c r="F13" s="239" t="s">
        <v>32</v>
      </c>
      <c r="G13" s="239" t="s">
        <v>11</v>
      </c>
      <c r="H13" s="78" t="s">
        <v>137</v>
      </c>
      <c r="I13" s="78"/>
      <c r="J13" s="78"/>
      <c r="K13" s="777" t="s">
        <v>159</v>
      </c>
      <c r="L13" s="778"/>
      <c r="M13" s="779"/>
      <c r="N13" s="777" t="s">
        <v>160</v>
      </c>
      <c r="O13" s="778"/>
      <c r="P13" s="779"/>
      <c r="Q13" s="777" t="s">
        <v>161</v>
      </c>
      <c r="R13" s="778"/>
      <c r="S13" s="806"/>
      <c r="T13" s="735" t="s">
        <v>157</v>
      </c>
      <c r="U13" s="790"/>
      <c r="V13" s="790"/>
      <c r="W13" s="736"/>
      <c r="Y13" s="107" t="s">
        <v>140</v>
      </c>
      <c r="Z13" s="158">
        <v>9.5839590142212057</v>
      </c>
      <c r="AA13" s="236">
        <f>(AA11/Z11)*100</f>
        <v>7.4635651401057057</v>
      </c>
      <c r="AB13" s="107" t="s">
        <v>140</v>
      </c>
      <c r="AC13" s="158">
        <v>11.219128983159072</v>
      </c>
      <c r="AD13" s="271">
        <f>(AD11/AC12)*100</f>
        <v>0.93907412571722604</v>
      </c>
      <c r="AE13" s="163"/>
      <c r="AF13" s="115"/>
      <c r="AG13" s="281">
        <f>AG10/AF10*100</f>
        <v>3.5727506527316453</v>
      </c>
    </row>
    <row r="14" spans="1:39">
      <c r="A14" s="169" t="s">
        <v>138</v>
      </c>
      <c r="B14" s="136">
        <v>36.598199999999999</v>
      </c>
      <c r="C14" s="136">
        <v>2.5057</v>
      </c>
      <c r="D14" s="183">
        <v>38.838299999999997</v>
      </c>
      <c r="E14" s="229">
        <v>2.2400999999999982</v>
      </c>
      <c r="F14" s="252">
        <v>0.26560000000000183</v>
      </c>
      <c r="G14" s="184">
        <v>10.599832382168728</v>
      </c>
      <c r="H14" s="104" t="s">
        <v>31</v>
      </c>
      <c r="I14" s="104" t="s">
        <v>32</v>
      </c>
      <c r="J14" s="104" t="s">
        <v>11</v>
      </c>
      <c r="K14" s="135" t="s">
        <v>127</v>
      </c>
      <c r="L14" s="136" t="s">
        <v>113</v>
      </c>
      <c r="M14" s="139" t="s">
        <v>112</v>
      </c>
      <c r="N14" s="135" t="s">
        <v>127</v>
      </c>
      <c r="O14" s="136" t="s">
        <v>113</v>
      </c>
      <c r="P14" s="139" t="s">
        <v>112</v>
      </c>
      <c r="Q14" s="135" t="s">
        <v>127</v>
      </c>
      <c r="R14" s="136" t="s">
        <v>113</v>
      </c>
      <c r="S14" s="253" t="s">
        <v>112</v>
      </c>
      <c r="T14" s="737"/>
      <c r="U14" s="693"/>
      <c r="V14" s="693"/>
      <c r="W14" s="738"/>
      <c r="AE14" s="277" t="s">
        <v>219</v>
      </c>
      <c r="AF14" s="337" t="s">
        <v>298</v>
      </c>
      <c r="AG14" s="242" t="s">
        <v>116</v>
      </c>
      <c r="AK14" s="735" t="s">
        <v>166</v>
      </c>
      <c r="AL14" s="790"/>
      <c r="AM14" s="736"/>
    </row>
    <row r="15" spans="1:39" ht="15" thickBot="1">
      <c r="A15" s="171" t="s">
        <v>139</v>
      </c>
      <c r="B15" s="104">
        <v>35.606299999999997</v>
      </c>
      <c r="C15" s="104">
        <v>2.5165999999999999</v>
      </c>
      <c r="D15">
        <v>37.857199999999999</v>
      </c>
      <c r="E15" s="176">
        <v>2.2509000000000015</v>
      </c>
      <c r="F15" s="252">
        <v>0.26569999999999849</v>
      </c>
      <c r="G15" s="184">
        <v>10.557895573392614</v>
      </c>
      <c r="H15">
        <v>2.2454333333333332</v>
      </c>
      <c r="I15">
        <v>0.26499999999999996</v>
      </c>
      <c r="J15" s="172">
        <v>10.555963789093047</v>
      </c>
      <c r="K15" s="185">
        <v>1.9244534584396699E-3</v>
      </c>
      <c r="L15" s="183">
        <v>1.3419532722449298E-3</v>
      </c>
      <c r="M15" s="214">
        <v>3.6632680385755692E-2</v>
      </c>
      <c r="N15" s="185">
        <v>2.2404444444443712E-5</v>
      </c>
      <c r="O15" s="183">
        <v>2.0828888888888654E-5</v>
      </c>
      <c r="P15" s="214">
        <v>4.5638677554119215E-3</v>
      </c>
      <c r="Q15" s="185">
        <v>1.9244534584396699E-3</v>
      </c>
      <c r="R15" s="183">
        <v>1.3419532722449298E-3</v>
      </c>
      <c r="S15" s="254">
        <v>0.34703302434218675</v>
      </c>
      <c r="T15" s="737"/>
      <c r="U15" s="693"/>
      <c r="V15" s="693"/>
      <c r="W15" s="738"/>
      <c r="AE15" s="169" t="s">
        <v>138</v>
      </c>
      <c r="AF15" s="158">
        <v>10.599832382168728</v>
      </c>
      <c r="AG15" s="283">
        <v>3.6632680385755692E-2</v>
      </c>
      <c r="AK15" s="737"/>
      <c r="AL15" s="693"/>
      <c r="AM15" s="738"/>
    </row>
    <row r="16" spans="1:39" ht="15" thickBot="1">
      <c r="A16" s="175" t="s">
        <v>140</v>
      </c>
      <c r="B16" s="108">
        <v>36.619</v>
      </c>
      <c r="C16" s="108">
        <v>2.5089999999999999</v>
      </c>
      <c r="D16" s="187">
        <v>38.8643</v>
      </c>
      <c r="E16" s="189">
        <v>2.2453000000000003</v>
      </c>
      <c r="F16" s="252">
        <v>0.2636999999999996</v>
      </c>
      <c r="G16" s="184">
        <v>10.5101634117178</v>
      </c>
      <c r="H16"/>
      <c r="I16"/>
      <c r="J16"/>
      <c r="K16" s="173">
        <v>3.7317905800517496E-6</v>
      </c>
      <c r="L16"/>
      <c r="M16"/>
      <c r="N16" s="173">
        <v>3.8027777777777615E-5</v>
      </c>
      <c r="O16"/>
      <c r="P16"/>
      <c r="Q16" s="173">
        <v>3.7317905800517496E-6</v>
      </c>
      <c r="R16"/>
      <c r="S16" s="81"/>
      <c r="T16" s="737"/>
      <c r="U16" s="693"/>
      <c r="V16" s="693"/>
      <c r="W16" s="738"/>
      <c r="AE16" s="171" t="s">
        <v>139</v>
      </c>
      <c r="AF16" s="158">
        <v>10.557895573392614</v>
      </c>
      <c r="AG16" s="280">
        <v>4.4865687427781541E-2</v>
      </c>
      <c r="AK16" s="737"/>
      <c r="AL16" s="693"/>
      <c r="AM16" s="738"/>
    </row>
    <row r="17" spans="1:39" ht="15" thickBot="1">
      <c r="B17" s="179" t="s">
        <v>83</v>
      </c>
      <c r="C17" s="179">
        <v>2.5104333333333333</v>
      </c>
      <c r="D17" s="115"/>
      <c r="E17" s="115"/>
      <c r="F17" s="115"/>
      <c r="G17" s="115"/>
      <c r="H17" s="115"/>
      <c r="I17" s="115"/>
      <c r="J17" s="115"/>
      <c r="K17" s="180">
        <v>2.097674567715068E-3</v>
      </c>
      <c r="L17" s="115"/>
      <c r="M17" s="215">
        <f>_xlfn.STDEV.S(G14:G16)</f>
        <v>4.4865687427781541E-2</v>
      </c>
      <c r="N17" s="180">
        <v>2.0544444444446284E-6</v>
      </c>
      <c r="O17" s="115"/>
      <c r="P17" s="115"/>
      <c r="Q17" s="180">
        <v>2.097674567715068E-3</v>
      </c>
      <c r="R17" s="115"/>
      <c r="S17" s="116"/>
      <c r="T17" s="739"/>
      <c r="U17" s="791"/>
      <c r="V17" s="791"/>
      <c r="W17" s="740"/>
      <c r="AE17" s="177" t="s">
        <v>140</v>
      </c>
      <c r="AF17" s="270">
        <v>10.5101634117178</v>
      </c>
      <c r="AG17" s="242" t="s">
        <v>294</v>
      </c>
      <c r="AK17" s="737"/>
      <c r="AL17" s="693"/>
      <c r="AM17" s="738"/>
    </row>
    <row r="18" spans="1:39" ht="15" thickBot="1">
      <c r="AE18" s="91"/>
      <c r="AG18" s="282">
        <f>(AG15/AF15)*100</f>
        <v>0.34559678931697069</v>
      </c>
      <c r="AK18" s="739"/>
      <c r="AL18" s="791"/>
      <c r="AM18" s="740"/>
    </row>
    <row r="19" spans="1:39" ht="15" thickBot="1">
      <c r="AE19" s="163"/>
      <c r="AF19" s="115"/>
      <c r="AG19" s="281">
        <f>AG16/AF15*100</f>
        <v>0.4232678952853593</v>
      </c>
    </row>
    <row r="20" spans="1:39" ht="15" thickBot="1">
      <c r="A20" s="809" t="s">
        <v>235</v>
      </c>
      <c r="B20" s="809"/>
      <c r="C20" s="809"/>
      <c r="D20" s="809"/>
      <c r="E20" s="809"/>
      <c r="F20" s="809"/>
      <c r="G20"/>
      <c r="H20"/>
    </row>
    <row r="21" spans="1:39">
      <c r="A21" s="387" t="s">
        <v>133</v>
      </c>
      <c r="B21" s="388" t="s">
        <v>32</v>
      </c>
      <c r="C21" s="375" t="s">
        <v>152</v>
      </c>
      <c r="D21" s="812" t="s">
        <v>119</v>
      </c>
      <c r="E21" s="813"/>
      <c r="F21" s="814" t="s">
        <v>159</v>
      </c>
      <c r="G21" s="815"/>
      <c r="H21" s="816"/>
    </row>
    <row r="22" spans="1:39" ht="18">
      <c r="A22" s="169" t="s">
        <v>134</v>
      </c>
      <c r="B22" s="1">
        <v>0.13580000000000059</v>
      </c>
      <c r="C22" s="84">
        <v>12.721311475409891</v>
      </c>
      <c r="D22" s="104" t="s">
        <v>32</v>
      </c>
      <c r="E22" s="261" t="s">
        <v>11</v>
      </c>
      <c r="F22" s="169" t="s">
        <v>127</v>
      </c>
      <c r="G22" s="136" t="s">
        <v>113</v>
      </c>
      <c r="H22" s="253" t="s">
        <v>112</v>
      </c>
      <c r="Y22" s="817" t="s">
        <v>259</v>
      </c>
      <c r="Z22" s="818"/>
      <c r="AA22" s="818"/>
      <c r="AB22" s="818"/>
      <c r="AC22" s="818"/>
      <c r="AD22" s="818"/>
      <c r="AE22" s="818"/>
      <c r="AF22" s="818"/>
      <c r="AG22" s="819"/>
    </row>
    <row r="23" spans="1:39">
      <c r="A23" s="171" t="s">
        <v>135</v>
      </c>
      <c r="B23" s="1">
        <v>0.126000000000001</v>
      </c>
      <c r="C23" s="84">
        <v>12.173913043478359</v>
      </c>
      <c r="D23">
        <f>SUM(B22:B24,B26:B28)/6</f>
        <v>0.20888333333333409</v>
      </c>
      <c r="E23" s="389">
        <f>SUM(C22:C24,C26:C28)/6</f>
        <v>12.191717285328137</v>
      </c>
      <c r="F23" s="91">
        <f>(C22-$E$23)^2</f>
        <v>0.28047000616834922</v>
      </c>
      <c r="G23" s="183">
        <f>SUM(F23:F29)/6</f>
        <v>0.14354454284575571</v>
      </c>
      <c r="H23" s="254">
        <f>SQRT(G23)</f>
        <v>0.37887272644749148</v>
      </c>
      <c r="Y23" s="374"/>
      <c r="Z23" s="803" t="s">
        <v>221</v>
      </c>
      <c r="AA23" s="802"/>
      <c r="AB23" s="801" t="s">
        <v>222</v>
      </c>
      <c r="AC23" s="802"/>
      <c r="AD23" s="803" t="s">
        <v>230</v>
      </c>
      <c r="AE23" s="802"/>
      <c r="AF23" s="803" t="s">
        <v>223</v>
      </c>
      <c r="AG23" s="802"/>
    </row>
    <row r="24" spans="1:39" ht="15" thickBot="1">
      <c r="A24" s="177" t="s">
        <v>136</v>
      </c>
      <c r="B24" s="332">
        <v>0.11930000000000351</v>
      </c>
      <c r="C24" s="233">
        <v>11.764125825855785</v>
      </c>
      <c r="D24" s="115"/>
      <c r="E24" s="116"/>
      <c r="F24" s="91">
        <f t="shared" ref="F24:F29" si="0">(C23-$E$23)^2</f>
        <v>3.1699102784536742E-4</v>
      </c>
      <c r="G24"/>
      <c r="H24" s="81"/>
      <c r="Y24" s="352" t="s">
        <v>225</v>
      </c>
      <c r="Z24" s="797">
        <v>12.394074728606475</v>
      </c>
      <c r="AA24" s="798"/>
      <c r="AB24" s="797">
        <v>12.515594252966546</v>
      </c>
      <c r="AC24" s="798"/>
      <c r="AD24" s="785" t="s">
        <v>108</v>
      </c>
      <c r="AE24" s="789"/>
      <c r="AF24" s="804">
        <v>13.130216285605565</v>
      </c>
      <c r="AG24" s="805"/>
    </row>
    <row r="25" spans="1:39" ht="15" thickBot="1">
      <c r="A25" s="250" t="s">
        <v>133</v>
      </c>
      <c r="B25" s="78"/>
      <c r="C25" s="337" t="s">
        <v>153</v>
      </c>
      <c r="D25" s="78"/>
      <c r="E25" s="79"/>
      <c r="F25" s="163">
        <f t="shared" si="0"/>
        <v>0.18283445621369548</v>
      </c>
      <c r="G25" s="115"/>
      <c r="H25" s="116"/>
      <c r="Y25" s="352" t="s">
        <v>170</v>
      </c>
      <c r="Z25" s="792">
        <v>12.219783448248011</v>
      </c>
      <c r="AA25" s="793"/>
      <c r="AB25" s="799">
        <v>12.163651122408263</v>
      </c>
      <c r="AC25" s="800"/>
      <c r="AD25" s="804">
        <v>12.191717285328137</v>
      </c>
      <c r="AE25" s="805"/>
      <c r="AF25" s="772" t="s">
        <v>108</v>
      </c>
      <c r="AG25" s="780"/>
    </row>
    <row r="26" spans="1:39">
      <c r="A26" s="169" t="s">
        <v>134</v>
      </c>
      <c r="B26" s="1">
        <v>0.34120000000000106</v>
      </c>
      <c r="C26" s="84">
        <v>11.651015878436095</v>
      </c>
      <c r="D26"/>
      <c r="E26" s="81"/>
      <c r="F26" s="91"/>
      <c r="G26"/>
      <c r="H26" s="81"/>
      <c r="Y26" s="352" t="s">
        <v>171</v>
      </c>
      <c r="Z26" s="797">
        <v>10.791647094517936</v>
      </c>
      <c r="AA26" s="798"/>
      <c r="AB26" s="797">
        <v>11.154392810294263</v>
      </c>
      <c r="AC26" s="798"/>
      <c r="AD26" s="772" t="s">
        <v>108</v>
      </c>
      <c r="AE26" s="780"/>
      <c r="AF26" s="804">
        <v>10.555963789093047</v>
      </c>
      <c r="AG26" s="805"/>
    </row>
    <row r="27" spans="1:39">
      <c r="A27" s="171" t="s">
        <v>135</v>
      </c>
      <c r="B27" s="1">
        <v>0.25519999999999632</v>
      </c>
      <c r="C27" s="84">
        <v>12.443317567896841</v>
      </c>
      <c r="D27"/>
      <c r="E27" s="81"/>
      <c r="F27" s="91">
        <f t="shared" si="0"/>
        <v>0.29235801141503376</v>
      </c>
      <c r="G27"/>
      <c r="H27" s="81"/>
    </row>
    <row r="28" spans="1:39" ht="15" thickBot="1">
      <c r="A28" s="177" t="s">
        <v>136</v>
      </c>
      <c r="B28" s="332">
        <v>0.27580000000000204</v>
      </c>
      <c r="C28" s="233">
        <v>12.396619920891856</v>
      </c>
      <c r="D28" s="115"/>
      <c r="E28" s="116"/>
      <c r="F28" s="91">
        <f t="shared" si="0"/>
        <v>6.3302702188651833E-2</v>
      </c>
      <c r="G28"/>
      <c r="H28" s="81"/>
    </row>
    <row r="29" spans="1:39" ht="15" thickBot="1">
      <c r="B29"/>
      <c r="C29"/>
      <c r="D29"/>
      <c r="E29"/>
      <c r="F29" s="163">
        <f t="shared" si="0"/>
        <v>4.1985090060958477E-2</v>
      </c>
      <c r="G29" s="115"/>
      <c r="H29" s="390">
        <f>_xlfn.STDEV.S(C22:C24,C26:C28)</f>
        <v>0.41503427739755044</v>
      </c>
    </row>
  </sheetData>
  <mergeCells count="38">
    <mergeCell ref="AD26:AE26"/>
    <mergeCell ref="A20:F20"/>
    <mergeCell ref="D21:E21"/>
    <mergeCell ref="F21:H21"/>
    <mergeCell ref="T2:W6"/>
    <mergeCell ref="AD25:AE25"/>
    <mergeCell ref="AD23:AE23"/>
    <mergeCell ref="Y22:AG22"/>
    <mergeCell ref="AD24:AE24"/>
    <mergeCell ref="Z25:AA25"/>
    <mergeCell ref="AB25:AC25"/>
    <mergeCell ref="AF26:AG26"/>
    <mergeCell ref="Z26:AA26"/>
    <mergeCell ref="AB26:AC26"/>
    <mergeCell ref="AF25:AG25"/>
    <mergeCell ref="Z23:AA23"/>
    <mergeCell ref="A1:H1"/>
    <mergeCell ref="A7:H7"/>
    <mergeCell ref="AK2:AM6"/>
    <mergeCell ref="AK8:AM12"/>
    <mergeCell ref="K2:M2"/>
    <mergeCell ref="N2:P2"/>
    <mergeCell ref="Q2:S2"/>
    <mergeCell ref="T8:W12"/>
    <mergeCell ref="K8:M8"/>
    <mergeCell ref="N8:P8"/>
    <mergeCell ref="Q8:S8"/>
    <mergeCell ref="AH2:AJ2"/>
    <mergeCell ref="AK14:AM18"/>
    <mergeCell ref="T13:W17"/>
    <mergeCell ref="K13:M13"/>
    <mergeCell ref="N13:P13"/>
    <mergeCell ref="Q13:S13"/>
    <mergeCell ref="AB23:AC23"/>
    <mergeCell ref="AF23:AG23"/>
    <mergeCell ref="Z24:AA24"/>
    <mergeCell ref="AB24:AC24"/>
    <mergeCell ref="AF24:AG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33"/>
  <sheetViews>
    <sheetView topLeftCell="T1" zoomScale="85" zoomScaleNormal="85" workbookViewId="0">
      <selection activeCell="Z6" sqref="Z6"/>
    </sheetView>
  </sheetViews>
  <sheetFormatPr baseColWidth="10" defaultColWidth="11.5546875" defaultRowHeight="14.4"/>
  <sheetData>
    <row r="1" spans="1:40" ht="15" thickBot="1">
      <c r="A1" s="823" t="s">
        <v>163</v>
      </c>
      <c r="B1" s="823"/>
      <c r="C1" s="823"/>
      <c r="D1" s="823"/>
      <c r="E1" s="823"/>
      <c r="F1" s="823"/>
      <c r="G1" s="823"/>
      <c r="H1" s="824"/>
      <c r="I1" s="825" t="s">
        <v>119</v>
      </c>
      <c r="J1" s="826"/>
      <c r="K1" s="827"/>
    </row>
    <row r="2" spans="1:40" ht="15" customHeight="1">
      <c r="A2" s="238" t="s">
        <v>120</v>
      </c>
      <c r="B2" s="239" t="s">
        <v>121</v>
      </c>
      <c r="C2" s="239" t="s">
        <v>41</v>
      </c>
      <c r="D2" s="239" t="s">
        <v>59</v>
      </c>
      <c r="E2" s="239" t="s">
        <v>122</v>
      </c>
      <c r="F2" s="239" t="s">
        <v>31</v>
      </c>
      <c r="G2" s="294" t="s">
        <v>32</v>
      </c>
      <c r="H2" s="239" t="s">
        <v>11</v>
      </c>
      <c r="I2" s="78" t="s">
        <v>120</v>
      </c>
      <c r="J2" s="78"/>
      <c r="K2" s="78"/>
      <c r="L2" s="777" t="s">
        <v>159</v>
      </c>
      <c r="M2" s="778"/>
      <c r="N2" s="779"/>
      <c r="O2" s="777" t="s">
        <v>160</v>
      </c>
      <c r="P2" s="778"/>
      <c r="Q2" s="779"/>
      <c r="R2" s="777" t="s">
        <v>125</v>
      </c>
      <c r="S2" s="778"/>
      <c r="T2" s="806"/>
      <c r="U2" s="735" t="s">
        <v>165</v>
      </c>
      <c r="V2" s="790"/>
      <c r="W2" s="790"/>
      <c r="X2" s="736"/>
      <c r="Z2" s="165" t="s">
        <v>225</v>
      </c>
      <c r="AA2" s="167" t="s">
        <v>297</v>
      </c>
      <c r="AB2" s="165" t="s">
        <v>116</v>
      </c>
      <c r="AC2" s="165" t="s">
        <v>120</v>
      </c>
      <c r="AD2" s="167" t="s">
        <v>293</v>
      </c>
      <c r="AE2" s="165" t="s">
        <v>116</v>
      </c>
      <c r="AF2" s="165" t="s">
        <v>225</v>
      </c>
      <c r="AG2" s="168" t="s">
        <v>295</v>
      </c>
      <c r="AH2" s="167" t="s">
        <v>116</v>
      </c>
      <c r="AI2" s="238" t="s">
        <v>225</v>
      </c>
      <c r="AJ2" s="413" t="s">
        <v>299</v>
      </c>
      <c r="AK2" s="240" t="s">
        <v>116</v>
      </c>
      <c r="AL2" s="790" t="s">
        <v>166</v>
      </c>
      <c r="AM2" s="790"/>
      <c r="AN2" s="736"/>
    </row>
    <row r="3" spans="1:40" ht="15" thickBot="1">
      <c r="A3" s="171" t="s">
        <v>126</v>
      </c>
      <c r="B3" s="104"/>
      <c r="C3" s="104">
        <v>38.308500000000002</v>
      </c>
      <c r="D3" s="104">
        <v>2.5306000000000002</v>
      </c>
      <c r="E3" s="104">
        <v>40.338700000000003</v>
      </c>
      <c r="F3" s="106">
        <v>2.0302000000000007</v>
      </c>
      <c r="G3" s="157">
        <v>0.50039999999999951</v>
      </c>
      <c r="H3" s="84">
        <v>19.773966648225695</v>
      </c>
      <c r="I3" s="104" t="s">
        <v>31</v>
      </c>
      <c r="J3" s="104" t="s">
        <v>32</v>
      </c>
      <c r="K3" s="104" t="s">
        <v>11</v>
      </c>
      <c r="L3" s="167" t="s">
        <v>127</v>
      </c>
      <c r="M3" s="168" t="s">
        <v>113</v>
      </c>
      <c r="N3" s="166" t="s">
        <v>112</v>
      </c>
      <c r="O3" s="167" t="s">
        <v>127</v>
      </c>
      <c r="P3" s="168" t="s">
        <v>113</v>
      </c>
      <c r="Q3" s="166" t="s">
        <v>112</v>
      </c>
      <c r="R3" s="772" t="s">
        <v>128</v>
      </c>
      <c r="S3" s="773"/>
      <c r="T3" s="170" t="s">
        <v>129</v>
      </c>
      <c r="U3" s="737"/>
      <c r="V3" s="693"/>
      <c r="W3" s="693"/>
      <c r="X3" s="738"/>
      <c r="Z3" s="103" t="s">
        <v>126</v>
      </c>
      <c r="AA3" s="158">
        <v>15.88958252048403</v>
      </c>
      <c r="AB3" s="235">
        <v>2.9633728476344059</v>
      </c>
      <c r="AC3" s="103" t="s">
        <v>126</v>
      </c>
      <c r="AD3" s="158">
        <v>18.524389365227986</v>
      </c>
      <c r="AE3" s="235">
        <v>1.2690897351264285</v>
      </c>
      <c r="AF3" s="103" t="s">
        <v>126</v>
      </c>
      <c r="AG3" s="184">
        <v>20.449294989245629</v>
      </c>
      <c r="AH3" s="247">
        <v>6.836469989727803</v>
      </c>
      <c r="AI3" s="171" t="s">
        <v>126</v>
      </c>
      <c r="AJ3" s="52">
        <v>19.773966648225695</v>
      </c>
      <c r="AK3" s="278">
        <v>0.46113520530245478</v>
      </c>
      <c r="AL3" s="693"/>
      <c r="AM3" s="693"/>
      <c r="AN3" s="738"/>
    </row>
    <row r="4" spans="1:40" ht="15" thickBot="1">
      <c r="A4" s="171" t="s">
        <v>130</v>
      </c>
      <c r="B4" s="104"/>
      <c r="C4" s="104">
        <v>35.739600000000003</v>
      </c>
      <c r="D4" s="104">
        <v>2.5194000000000001</v>
      </c>
      <c r="E4" s="104">
        <v>37.745899999999999</v>
      </c>
      <c r="F4" s="106">
        <v>2.006299999999996</v>
      </c>
      <c r="G4" s="157">
        <v>0.51310000000000411</v>
      </c>
      <c r="H4" s="84">
        <v>20.365960149242046</v>
      </c>
      <c r="I4">
        <v>2.0256333333333316</v>
      </c>
      <c r="J4">
        <v>0.49983333333333518</v>
      </c>
      <c r="K4" s="172">
        <v>19.7922618562807</v>
      </c>
      <c r="L4" s="185">
        <v>3.3471463777590181E-4</v>
      </c>
      <c r="M4" s="183">
        <v>0.21264567756933714</v>
      </c>
      <c r="N4" s="186">
        <v>0.46113520530245478</v>
      </c>
      <c r="O4" s="173">
        <v>4.9417290000000273E-2</v>
      </c>
      <c r="P4">
        <v>4.7182703333333596E-2</v>
      </c>
      <c r="Q4" s="174">
        <v>0.21721579899568447</v>
      </c>
      <c r="R4" s="766">
        <v>0.46113520530245478</v>
      </c>
      <c r="S4" s="767"/>
      <c r="T4" s="770">
        <v>2.3298762347170658</v>
      </c>
      <c r="U4" s="737"/>
      <c r="V4" s="693"/>
      <c r="W4" s="693"/>
      <c r="X4" s="738"/>
      <c r="Z4" s="103" t="s">
        <v>130</v>
      </c>
      <c r="AA4" s="158">
        <v>20.510601471224589</v>
      </c>
      <c r="AB4" s="165" t="s">
        <v>294</v>
      </c>
      <c r="AC4" s="103" t="s">
        <v>130</v>
      </c>
      <c r="AD4" s="158">
        <v>21.620953792933104</v>
      </c>
      <c r="AE4" s="165" t="s">
        <v>294</v>
      </c>
      <c r="AF4" s="103" t="s">
        <v>130</v>
      </c>
      <c r="AG4" s="184">
        <v>34.493240540756801</v>
      </c>
      <c r="AH4" s="167" t="s">
        <v>294</v>
      </c>
      <c r="AI4" s="171" t="s">
        <v>130</v>
      </c>
      <c r="AJ4" s="52">
        <v>20.365960149242046</v>
      </c>
      <c r="AK4" s="280">
        <v>0.56477297771228896</v>
      </c>
      <c r="AL4" s="693"/>
      <c r="AM4" s="693"/>
      <c r="AN4" s="738"/>
    </row>
    <row r="5" spans="1:40">
      <c r="A5" s="175" t="s">
        <v>131</v>
      </c>
      <c r="B5" s="108"/>
      <c r="C5" s="108">
        <v>36.165500000000002</v>
      </c>
      <c r="D5" s="108">
        <v>2.5264000000000002</v>
      </c>
      <c r="E5" s="108">
        <v>38.2059</v>
      </c>
      <c r="F5" s="109">
        <v>2.0403999999999982</v>
      </c>
      <c r="G5" s="157">
        <v>0.48600000000000199</v>
      </c>
      <c r="H5" s="84">
        <v>19.236858771374365</v>
      </c>
      <c r="L5" s="173">
        <v>0.32912973134676249</v>
      </c>
      <c r="N5" s="176"/>
      <c r="O5" s="173">
        <v>4.4563210000000214E-2</v>
      </c>
      <c r="Q5" s="176"/>
      <c r="R5" s="768"/>
      <c r="S5" s="769"/>
      <c r="T5" s="771"/>
      <c r="U5" s="737"/>
      <c r="V5" s="693"/>
      <c r="W5" s="693"/>
      <c r="X5" s="738"/>
      <c r="Z5" s="107" t="s">
        <v>131</v>
      </c>
      <c r="AA5" s="158">
        <v>23.047951497336204</v>
      </c>
      <c r="AB5" s="236">
        <f>(AB3/AA5)*100</f>
        <v>12.857424001334355</v>
      </c>
      <c r="AC5" s="107" t="s">
        <v>131</v>
      </c>
      <c r="AD5" s="158">
        <v>20.309559653744856</v>
      </c>
      <c r="AE5" s="236">
        <f>(AE3/AD4)*100</f>
        <v>5.8697213234933026</v>
      </c>
      <c r="AF5" s="107" t="s">
        <v>131</v>
      </c>
      <c r="AG5" s="184">
        <v>19.572303044757046</v>
      </c>
      <c r="AH5" s="276">
        <f>(AH3/AG4)*100</f>
        <v>19.819738251759532</v>
      </c>
      <c r="AI5" s="171" t="s">
        <v>131</v>
      </c>
      <c r="AJ5" s="52">
        <v>19.236858771374365</v>
      </c>
      <c r="AK5" s="242" t="s">
        <v>294</v>
      </c>
      <c r="AL5" s="693"/>
      <c r="AM5" s="693"/>
      <c r="AN5" s="738"/>
    </row>
    <row r="6" spans="1:40" ht="15" thickBot="1">
      <c r="A6" s="177"/>
      <c r="B6" s="178"/>
      <c r="C6" s="179" t="s">
        <v>83</v>
      </c>
      <c r="D6" s="179">
        <v>2.525466666666667</v>
      </c>
      <c r="E6" s="178"/>
      <c r="F6" s="178"/>
      <c r="G6" s="178"/>
      <c r="H6" s="178"/>
      <c r="I6" s="115"/>
      <c r="J6" s="115"/>
      <c r="K6" s="115"/>
      <c r="L6" s="180">
        <v>0.308472586723473</v>
      </c>
      <c r="M6" s="115"/>
      <c r="N6" s="256">
        <f>_xlfn.STDEV.S(H3:H5)</f>
        <v>0.56477297771228896</v>
      </c>
      <c r="O6" s="180">
        <v>4.7567610000000274E-2</v>
      </c>
      <c r="P6" s="115"/>
      <c r="Q6" s="181"/>
      <c r="R6" s="828"/>
      <c r="S6" s="829"/>
      <c r="T6" s="830"/>
      <c r="U6" s="739"/>
      <c r="V6" s="791"/>
      <c r="W6" s="791"/>
      <c r="X6" s="740"/>
      <c r="Z6" s="268" t="s">
        <v>170</v>
      </c>
      <c r="AA6" s="104"/>
      <c r="AB6" s="165" t="s">
        <v>116</v>
      </c>
      <c r="AC6" s="268" t="s">
        <v>170</v>
      </c>
      <c r="AD6" s="104"/>
      <c r="AE6" s="165" t="s">
        <v>116</v>
      </c>
      <c r="AF6" s="268" t="s">
        <v>170</v>
      </c>
      <c r="AG6" s="136" t="s">
        <v>154</v>
      </c>
      <c r="AH6" s="167" t="s">
        <v>116</v>
      </c>
      <c r="AI6" s="91"/>
      <c r="AK6" s="261">
        <f>(AK3/AJ4)*100</f>
        <v>2.2642448572188565</v>
      </c>
      <c r="AL6" s="791"/>
      <c r="AM6" s="791"/>
      <c r="AN6" s="740"/>
    </row>
    <row r="7" spans="1:40" ht="15" customHeight="1" thickBot="1">
      <c r="A7" s="250" t="s">
        <v>133</v>
      </c>
      <c r="B7" s="251" t="s">
        <v>121</v>
      </c>
      <c r="C7" s="251" t="s">
        <v>41</v>
      </c>
      <c r="D7" s="251" t="s">
        <v>59</v>
      </c>
      <c r="E7" s="251" t="s">
        <v>122</v>
      </c>
      <c r="F7" s="251" t="s">
        <v>31</v>
      </c>
      <c r="G7" s="239" t="s">
        <v>32</v>
      </c>
      <c r="H7" s="239" t="s">
        <v>11</v>
      </c>
      <c r="I7" s="78" t="s">
        <v>133</v>
      </c>
      <c r="J7" s="78"/>
      <c r="K7" s="78"/>
      <c r="L7" s="777" t="s">
        <v>123</v>
      </c>
      <c r="M7" s="778"/>
      <c r="N7" s="778"/>
      <c r="O7" s="778"/>
      <c r="P7" s="778"/>
      <c r="Q7" s="779"/>
      <c r="R7" s="273"/>
      <c r="S7" s="274"/>
      <c r="T7" s="275"/>
      <c r="U7" s="735" t="s">
        <v>164</v>
      </c>
      <c r="V7" s="790"/>
      <c r="W7" s="790"/>
      <c r="X7" s="736"/>
      <c r="Z7" s="135" t="s">
        <v>134</v>
      </c>
      <c r="AA7" s="158">
        <v>17.836593785961327</v>
      </c>
      <c r="AB7" s="235">
        <v>1.8796247932881753</v>
      </c>
      <c r="AC7" s="135" t="s">
        <v>134</v>
      </c>
      <c r="AD7" s="158">
        <v>15.196036191296585</v>
      </c>
      <c r="AE7" s="235">
        <v>2.3130040399610738</v>
      </c>
      <c r="AF7" s="135" t="s">
        <v>134</v>
      </c>
      <c r="AG7" s="158">
        <v>23.085842383952304</v>
      </c>
      <c r="AH7" s="247">
        <v>1.5594664622567707</v>
      </c>
      <c r="AI7" s="163"/>
      <c r="AJ7" s="115"/>
      <c r="AK7" s="281">
        <f>AK4/AJ4*100</f>
        <v>2.773122276453575</v>
      </c>
    </row>
    <row r="8" spans="1:40">
      <c r="A8" s="169" t="s">
        <v>134</v>
      </c>
      <c r="B8" s="136"/>
      <c r="C8" s="136">
        <v>35.607399999999998</v>
      </c>
      <c r="D8" s="136">
        <v>2.5266999999999999</v>
      </c>
      <c r="E8" s="136">
        <v>37.630099999999999</v>
      </c>
      <c r="F8" s="139">
        <v>2.0227000000000004</v>
      </c>
      <c r="G8" s="157">
        <v>0.50399999999999956</v>
      </c>
      <c r="H8" s="84">
        <v>19.946966398860155</v>
      </c>
      <c r="I8" s="104" t="s">
        <v>31</v>
      </c>
      <c r="J8" s="104" t="s">
        <v>32</v>
      </c>
      <c r="K8" s="104" t="s">
        <v>11</v>
      </c>
      <c r="L8" s="135" t="s">
        <v>127</v>
      </c>
      <c r="M8" s="136" t="s">
        <v>113</v>
      </c>
      <c r="N8" s="139" t="s">
        <v>112</v>
      </c>
      <c r="O8" s="135" t="s">
        <v>127</v>
      </c>
      <c r="P8" s="136" t="s">
        <v>113</v>
      </c>
      <c r="Q8" s="139" t="s">
        <v>112</v>
      </c>
      <c r="R8" s="772" t="s">
        <v>128</v>
      </c>
      <c r="S8" s="773"/>
      <c r="T8" s="170" t="s">
        <v>129</v>
      </c>
      <c r="U8" s="737"/>
      <c r="V8" s="693"/>
      <c r="W8" s="693"/>
      <c r="X8" s="738"/>
      <c r="Z8" s="103" t="s">
        <v>135</v>
      </c>
      <c r="AA8" s="158">
        <v>20.886493620765844</v>
      </c>
      <c r="AB8" s="165" t="s">
        <v>294</v>
      </c>
      <c r="AC8" s="103" t="s">
        <v>135</v>
      </c>
      <c r="AD8" s="158">
        <v>19.83058210251939</v>
      </c>
      <c r="AE8" s="165" t="s">
        <v>294</v>
      </c>
      <c r="AF8" s="103" t="s">
        <v>135</v>
      </c>
      <c r="AG8" s="158">
        <v>20.348559605284265</v>
      </c>
      <c r="AH8" s="167" t="s">
        <v>294</v>
      </c>
      <c r="AI8" s="164" t="s">
        <v>170</v>
      </c>
      <c r="AJ8" s="166" t="s">
        <v>299</v>
      </c>
      <c r="AK8" s="242" t="s">
        <v>116</v>
      </c>
      <c r="AL8" s="790" t="s">
        <v>166</v>
      </c>
      <c r="AM8" s="790"/>
      <c r="AN8" s="736"/>
    </row>
    <row r="9" spans="1:40" ht="15" thickBot="1">
      <c r="A9" s="171" t="s">
        <v>135</v>
      </c>
      <c r="B9" s="104"/>
      <c r="C9" s="104">
        <v>36.6</v>
      </c>
      <c r="D9" s="104">
        <v>2.5310999999999999</v>
      </c>
      <c r="E9" s="104">
        <v>38.646000000000001</v>
      </c>
      <c r="F9" s="106">
        <v>2.0459999999999994</v>
      </c>
      <c r="G9" s="157">
        <v>0.48510000000000053</v>
      </c>
      <c r="H9" s="84">
        <v>19.165580182529357</v>
      </c>
      <c r="I9">
        <v>2.0437333333333334</v>
      </c>
      <c r="J9">
        <v>0.48410000000000003</v>
      </c>
      <c r="K9" s="172">
        <v>19.15067227575398</v>
      </c>
      <c r="L9" s="185">
        <v>0.63408433049343305</v>
      </c>
      <c r="M9" s="183">
        <v>0.43078510315393226</v>
      </c>
      <c r="N9" s="214">
        <v>0.65634221497168099</v>
      </c>
      <c r="O9" s="185">
        <v>1.2844444444451681E-6</v>
      </c>
      <c r="P9" s="183">
        <v>5.5022222222219776E-6</v>
      </c>
      <c r="Q9" s="186">
        <v>2.3456816114345055E-3</v>
      </c>
      <c r="R9" s="766">
        <v>0.65634221497168099</v>
      </c>
      <c r="S9" s="767"/>
      <c r="T9" s="770">
        <v>3.427254174270705</v>
      </c>
      <c r="U9" s="737"/>
      <c r="V9" s="693"/>
      <c r="W9" s="693"/>
      <c r="X9" s="738"/>
      <c r="Z9" s="107" t="s">
        <v>136</v>
      </c>
      <c r="AA9" s="158">
        <v>22.34852133705802</v>
      </c>
      <c r="AB9" s="236">
        <f>(AB7/AA9)*100</f>
        <v>8.4105107668640535</v>
      </c>
      <c r="AC9" s="107" t="s">
        <v>136</v>
      </c>
      <c r="AD9" s="158">
        <v>20.335663261387442</v>
      </c>
      <c r="AE9" s="236">
        <f>(AE7/AD9)*100</f>
        <v>11.374126381965199</v>
      </c>
      <c r="AF9" s="103" t="s">
        <v>136</v>
      </c>
      <c r="AG9" s="55">
        <v>19.409784115666422</v>
      </c>
      <c r="AH9" s="269">
        <f>(AH7/AG7)*100</f>
        <v>6.7550771434738932</v>
      </c>
      <c r="AI9" s="171" t="s">
        <v>134</v>
      </c>
      <c r="AJ9" s="52">
        <v>19.946966398860155</v>
      </c>
      <c r="AK9" s="278">
        <v>0.65634221497168099</v>
      </c>
      <c r="AL9" s="693"/>
      <c r="AM9" s="693"/>
      <c r="AN9" s="738"/>
    </row>
    <row r="10" spans="1:40" ht="15" thickBot="1">
      <c r="A10" s="175" t="s">
        <v>136</v>
      </c>
      <c r="B10" s="108"/>
      <c r="C10" s="108">
        <v>36.619999999999997</v>
      </c>
      <c r="D10" s="108">
        <v>2.5257000000000001</v>
      </c>
      <c r="E10" s="108">
        <v>38.682499999999997</v>
      </c>
      <c r="F10" s="109">
        <v>2.0625</v>
      </c>
      <c r="G10" s="157">
        <v>0.46320000000000006</v>
      </c>
      <c r="H10" s="84">
        <v>18.339470245872434</v>
      </c>
      <c r="L10" s="173">
        <v>2.2224568442334502E-4</v>
      </c>
      <c r="O10" s="173">
        <v>1.0671111111108761E-5</v>
      </c>
      <c r="Q10" s="176"/>
      <c r="R10" s="768"/>
      <c r="S10" s="769"/>
      <c r="T10" s="771"/>
      <c r="U10" s="737"/>
      <c r="V10" s="693"/>
      <c r="W10" s="693"/>
      <c r="X10" s="738"/>
      <c r="Z10" s="268" t="s">
        <v>219</v>
      </c>
      <c r="AA10" s="104"/>
      <c r="AB10" s="165" t="s">
        <v>116</v>
      </c>
      <c r="AC10" s="268" t="s">
        <v>219</v>
      </c>
      <c r="AD10" s="104"/>
      <c r="AE10" s="167" t="s">
        <v>116</v>
      </c>
      <c r="AF10" s="238" t="s">
        <v>225</v>
      </c>
      <c r="AG10" s="413" t="s">
        <v>299</v>
      </c>
      <c r="AH10" s="337" t="s">
        <v>116</v>
      </c>
      <c r="AI10" s="171" t="s">
        <v>135</v>
      </c>
      <c r="AJ10" s="52">
        <v>19.165580182529357</v>
      </c>
      <c r="AK10" s="280">
        <v>0.80385176166436212</v>
      </c>
      <c r="AL10" s="693"/>
      <c r="AM10" s="693"/>
      <c r="AN10" s="738"/>
    </row>
    <row r="11" spans="1:40" ht="15" thickBot="1">
      <c r="A11" s="177"/>
      <c r="B11" s="178"/>
      <c r="C11" s="179" t="s">
        <v>83</v>
      </c>
      <c r="D11" s="179">
        <v>2.5278333333333336</v>
      </c>
      <c r="E11" s="178"/>
      <c r="F11" s="178"/>
      <c r="G11" s="178"/>
      <c r="H11" s="178"/>
      <c r="I11" s="115"/>
      <c r="J11" s="115"/>
      <c r="K11" s="115"/>
      <c r="L11" s="180">
        <v>0.65804873328394042</v>
      </c>
      <c r="M11" s="115"/>
      <c r="N11" s="215">
        <f>_xlfn.STDEV.S(H8:H10)</f>
        <v>0.80385176166436212</v>
      </c>
      <c r="O11" s="180">
        <v>4.5511111111120037E-6</v>
      </c>
      <c r="P11" s="115"/>
      <c r="Q11" s="181"/>
      <c r="R11" s="828"/>
      <c r="S11" s="829"/>
      <c r="T11" s="830"/>
      <c r="U11" s="739"/>
      <c r="V11" s="791"/>
      <c r="W11" s="791"/>
      <c r="X11" s="740"/>
      <c r="Z11" s="135" t="s">
        <v>138</v>
      </c>
      <c r="AA11" s="158">
        <v>15.658362989323743</v>
      </c>
      <c r="AB11" s="235">
        <v>1.9891805366952868</v>
      </c>
      <c r="AC11" s="135" t="s">
        <v>138</v>
      </c>
      <c r="AD11" s="158">
        <v>15.541558263727214</v>
      </c>
      <c r="AE11" s="247">
        <v>1.3676836831821377</v>
      </c>
      <c r="AF11" s="171" t="s">
        <v>126</v>
      </c>
      <c r="AG11" s="52">
        <v>19.773966648225695</v>
      </c>
      <c r="AH11" s="491">
        <v>0.46113520530245478</v>
      </c>
      <c r="AI11" s="171" t="s">
        <v>136</v>
      </c>
      <c r="AJ11" s="52">
        <v>18.339470245872434</v>
      </c>
      <c r="AK11" s="242" t="s">
        <v>294</v>
      </c>
      <c r="AL11" s="693"/>
      <c r="AM11" s="693"/>
      <c r="AN11" s="738"/>
    </row>
    <row r="12" spans="1:40" ht="15" customHeight="1" thickBot="1">
      <c r="A12" s="250" t="s">
        <v>137</v>
      </c>
      <c r="B12" s="251" t="s">
        <v>121</v>
      </c>
      <c r="C12" s="251" t="s">
        <v>41</v>
      </c>
      <c r="D12" s="251" t="s">
        <v>59</v>
      </c>
      <c r="E12" s="251" t="s">
        <v>122</v>
      </c>
      <c r="F12" s="251" t="s">
        <v>31</v>
      </c>
      <c r="G12" s="239" t="s">
        <v>32</v>
      </c>
      <c r="H12" s="239" t="s">
        <v>11</v>
      </c>
      <c r="I12" s="78" t="s">
        <v>137</v>
      </c>
      <c r="J12" s="78"/>
      <c r="K12" s="78"/>
      <c r="L12" s="777" t="s">
        <v>159</v>
      </c>
      <c r="M12" s="778"/>
      <c r="N12" s="779"/>
      <c r="O12" s="777" t="s">
        <v>160</v>
      </c>
      <c r="P12" s="778"/>
      <c r="Q12" s="779"/>
      <c r="R12" s="255"/>
      <c r="S12" s="78"/>
      <c r="T12" s="79"/>
      <c r="U12" s="735" t="s">
        <v>164</v>
      </c>
      <c r="V12" s="790"/>
      <c r="W12" s="790"/>
      <c r="X12" s="736"/>
      <c r="Z12" s="103" t="s">
        <v>139</v>
      </c>
      <c r="AA12" s="158">
        <v>19.420508401550961</v>
      </c>
      <c r="AB12" s="165" t="s">
        <v>294</v>
      </c>
      <c r="AC12" s="103" t="s">
        <v>139</v>
      </c>
      <c r="AD12" s="158">
        <v>18.462839424973922</v>
      </c>
      <c r="AE12" s="167" t="s">
        <v>294</v>
      </c>
      <c r="AF12" s="171" t="s">
        <v>130</v>
      </c>
      <c r="AG12" s="52">
        <v>20.365960149242046</v>
      </c>
      <c r="AH12" s="334">
        <v>0.56477297771228896</v>
      </c>
      <c r="AI12" s="91"/>
      <c r="AK12" s="279">
        <f>(AK9/AJ9)*100</f>
        <v>3.2904362590653728</v>
      </c>
      <c r="AL12" s="791"/>
      <c r="AM12" s="791"/>
      <c r="AN12" s="740"/>
    </row>
    <row r="13" spans="1:40" ht="15" thickBot="1">
      <c r="A13" s="169" t="s">
        <v>138</v>
      </c>
      <c r="B13" s="136"/>
      <c r="C13" s="136">
        <v>34.526800000000001</v>
      </c>
      <c r="D13" s="136">
        <v>2.5257000000000001</v>
      </c>
      <c r="E13" s="136">
        <v>36.615400000000001</v>
      </c>
      <c r="F13" s="139">
        <v>2.0885999999999996</v>
      </c>
      <c r="G13" s="157">
        <v>0.43710000000000049</v>
      </c>
      <c r="H13" s="84">
        <v>17.306093360256579</v>
      </c>
      <c r="I13" s="104" t="s">
        <v>31</v>
      </c>
      <c r="J13" s="104" t="s">
        <v>32</v>
      </c>
      <c r="K13" s="104" t="s">
        <v>11</v>
      </c>
      <c r="L13" s="135" t="s">
        <v>127</v>
      </c>
      <c r="M13" s="136" t="s">
        <v>113</v>
      </c>
      <c r="N13" s="139" t="s">
        <v>112</v>
      </c>
      <c r="O13" s="135" t="s">
        <v>127</v>
      </c>
      <c r="P13" s="136" t="s">
        <v>113</v>
      </c>
      <c r="Q13" s="139" t="s">
        <v>112</v>
      </c>
      <c r="R13" s="772" t="s">
        <v>128</v>
      </c>
      <c r="S13" s="773"/>
      <c r="T13" s="170" t="s">
        <v>129</v>
      </c>
      <c r="U13" s="737"/>
      <c r="V13" s="693"/>
      <c r="W13" s="693"/>
      <c r="X13" s="738"/>
      <c r="Z13" s="107" t="s">
        <v>140</v>
      </c>
      <c r="AA13" s="158">
        <v>20.220941402497537</v>
      </c>
      <c r="AB13" s="236">
        <f>(AB11/AA13)*100</f>
        <v>9.8372301125881236</v>
      </c>
      <c r="AC13" s="107" t="s">
        <v>140</v>
      </c>
      <c r="AD13" s="158">
        <v>18.422445738485802</v>
      </c>
      <c r="AE13" s="271">
        <f>(AE11/AD12)*100</f>
        <v>7.4077646005637057</v>
      </c>
      <c r="AF13" s="171" t="s">
        <v>131</v>
      </c>
      <c r="AG13" s="52">
        <v>19.236858771374365</v>
      </c>
      <c r="AH13" s="167" t="s">
        <v>294</v>
      </c>
      <c r="AI13" s="163"/>
      <c r="AJ13" s="115"/>
      <c r="AK13" s="281">
        <f>AK10/AJ9*100</f>
        <v>4.0299449329312411</v>
      </c>
    </row>
    <row r="14" spans="1:40" ht="15" thickBot="1">
      <c r="A14" s="171" t="s">
        <v>139</v>
      </c>
      <c r="B14" s="104"/>
      <c r="C14" s="104">
        <v>36.685499999999998</v>
      </c>
      <c r="D14" s="104">
        <v>2.508</v>
      </c>
      <c r="E14" s="104">
        <v>38.750900000000001</v>
      </c>
      <c r="F14" s="106">
        <v>2.0654000000000039</v>
      </c>
      <c r="G14" s="157">
        <v>0.44259999999999611</v>
      </c>
      <c r="H14" s="84">
        <v>17.64752791068565</v>
      </c>
      <c r="I14">
        <v>2.0865666666666698</v>
      </c>
      <c r="J14">
        <v>0.42609999999999698</v>
      </c>
      <c r="K14" s="172">
        <v>16.956748226226896</v>
      </c>
      <c r="L14" s="173">
        <v>0.12204202267021713</v>
      </c>
      <c r="M14">
        <v>0.56035941105558396</v>
      </c>
      <c r="N14" s="174">
        <v>0.74857158044877981</v>
      </c>
      <c r="O14" s="173">
        <v>1.6986777777778088E-4</v>
      </c>
      <c r="P14">
        <v>8.721555555555494E-5</v>
      </c>
      <c r="Q14" s="174">
        <v>9.338926895289144E-3</v>
      </c>
      <c r="R14" s="766">
        <v>0.74857158044877981</v>
      </c>
      <c r="S14" s="767"/>
      <c r="T14" s="770">
        <v>4.4145939449107869</v>
      </c>
      <c r="U14" s="737"/>
      <c r="V14" s="693"/>
      <c r="W14" s="693"/>
      <c r="X14" s="738"/>
      <c r="AF14" s="91"/>
      <c r="AH14" s="104">
        <f>(AH11/AG12)*100</f>
        <v>2.2642448572188565</v>
      </c>
      <c r="AI14" s="164" t="s">
        <v>219</v>
      </c>
      <c r="AJ14" s="168" t="s">
        <v>299</v>
      </c>
      <c r="AK14" s="242" t="s">
        <v>116</v>
      </c>
      <c r="AL14" s="790" t="s">
        <v>166</v>
      </c>
      <c r="AM14" s="790"/>
      <c r="AN14" s="736"/>
    </row>
    <row r="15" spans="1:40" ht="15" thickBot="1">
      <c r="A15" s="175" t="s">
        <v>140</v>
      </c>
      <c r="B15" s="108"/>
      <c r="C15" s="108">
        <v>37.171799999999998</v>
      </c>
      <c r="D15" s="108">
        <v>2.5043000000000002</v>
      </c>
      <c r="E15" s="108">
        <v>39.277500000000003</v>
      </c>
      <c r="F15" s="109">
        <v>2.1057000000000059</v>
      </c>
      <c r="G15" s="157">
        <v>0.39859999999999429</v>
      </c>
      <c r="H15" s="84">
        <v>15.916623407738461</v>
      </c>
      <c r="L15" s="173">
        <v>0.47717657246093531</v>
      </c>
      <c r="N15" s="176"/>
      <c r="O15" s="173">
        <v>2.1777777777777125E-5</v>
      </c>
      <c r="Q15" s="176"/>
      <c r="R15" s="768"/>
      <c r="S15" s="769"/>
      <c r="T15" s="771"/>
      <c r="U15" s="737"/>
      <c r="V15" s="693"/>
      <c r="W15" s="693"/>
      <c r="X15" s="738"/>
      <c r="AF15" s="163"/>
      <c r="AG15" s="115"/>
      <c r="AH15" s="492">
        <f>AH12/AG12*100</f>
        <v>2.773122276453575</v>
      </c>
      <c r="AI15" s="171" t="s">
        <v>138</v>
      </c>
      <c r="AJ15" s="52">
        <v>17.306093360256579</v>
      </c>
      <c r="AK15" s="278">
        <v>0.74857158044877981</v>
      </c>
      <c r="AL15" s="693"/>
      <c r="AM15" s="693"/>
      <c r="AN15" s="738"/>
    </row>
    <row r="16" spans="1:40" ht="15" thickBot="1">
      <c r="A16" s="177"/>
      <c r="B16" s="115"/>
      <c r="C16" s="179" t="s">
        <v>83</v>
      </c>
      <c r="D16" s="179">
        <v>2.5126666666666666</v>
      </c>
      <c r="E16" s="115"/>
      <c r="F16" s="115"/>
      <c r="G16" s="115"/>
      <c r="H16" s="115"/>
      <c r="I16" s="115"/>
      <c r="J16" s="115"/>
      <c r="K16" s="115"/>
      <c r="L16" s="180">
        <v>1.0818596380355996</v>
      </c>
      <c r="M16" s="115"/>
      <c r="N16" s="256">
        <f>_xlfn.STDEV.S(H13:H15)</f>
        <v>0.91680920402413935</v>
      </c>
      <c r="O16" s="180">
        <v>7.0001111111106843E-5</v>
      </c>
      <c r="P16" s="115"/>
      <c r="Q16" s="181"/>
      <c r="R16" s="828"/>
      <c r="S16" s="829"/>
      <c r="T16" s="830"/>
      <c r="U16" s="739"/>
      <c r="V16" s="791"/>
      <c r="W16" s="791"/>
      <c r="X16" s="740"/>
      <c r="AF16" s="277" t="s">
        <v>170</v>
      </c>
      <c r="AG16" s="257" t="s">
        <v>299</v>
      </c>
      <c r="AH16" s="167" t="s">
        <v>116</v>
      </c>
      <c r="AI16" s="171" t="s">
        <v>139</v>
      </c>
      <c r="AJ16" s="52">
        <v>17.64752791068565</v>
      </c>
      <c r="AK16" s="280">
        <v>0.91680920402413935</v>
      </c>
      <c r="AL16" s="693"/>
      <c r="AM16" s="693"/>
      <c r="AN16" s="738"/>
    </row>
    <row r="17" spans="25:40" ht="15" thickBot="1">
      <c r="AF17" s="171" t="s">
        <v>134</v>
      </c>
      <c r="AG17" s="52">
        <v>19.946966398860155</v>
      </c>
      <c r="AH17" s="491">
        <v>0.65634221497168099</v>
      </c>
      <c r="AI17" s="171" t="s">
        <v>140</v>
      </c>
      <c r="AJ17" s="52">
        <v>15.916623407738461</v>
      </c>
      <c r="AK17" s="242" t="s">
        <v>294</v>
      </c>
      <c r="AL17" s="693"/>
      <c r="AM17" s="693"/>
      <c r="AN17" s="738"/>
    </row>
    <row r="18" spans="25:40" ht="15" thickBot="1">
      <c r="AF18" s="171" t="s">
        <v>135</v>
      </c>
      <c r="AG18" s="52">
        <v>19.165580182529357</v>
      </c>
      <c r="AH18" s="334">
        <v>0.80385176166436212</v>
      </c>
      <c r="AI18" s="91"/>
      <c r="AK18" s="279">
        <f>(AK15/AJ16)*100</f>
        <v>4.2417928688783473</v>
      </c>
      <c r="AL18" s="791"/>
      <c r="AM18" s="791"/>
      <c r="AN18" s="740"/>
    </row>
    <row r="19" spans="25:40" ht="15" thickBot="1">
      <c r="AF19" s="171" t="s">
        <v>136</v>
      </c>
      <c r="AG19" s="52">
        <v>18.339470245872434</v>
      </c>
      <c r="AH19" s="167" t="s">
        <v>294</v>
      </c>
      <c r="AI19" s="163"/>
      <c r="AJ19" s="115"/>
      <c r="AK19" s="281">
        <f>AK16/AJ16*100</f>
        <v>5.19511406166417</v>
      </c>
    </row>
    <row r="20" spans="25:40" ht="15" thickBot="1">
      <c r="AF20" s="91"/>
      <c r="AH20" s="279">
        <f>(AH17/AG17)*100</f>
        <v>3.2904362590653728</v>
      </c>
    </row>
    <row r="21" spans="25:40" ht="15" thickBot="1">
      <c r="AF21" s="163"/>
      <c r="AG21" s="115"/>
      <c r="AH21" s="281">
        <f>AH18/AG17*100</f>
        <v>4.0299449329312411</v>
      </c>
    </row>
    <row r="22" spans="25:40">
      <c r="AF22" s="277" t="s">
        <v>219</v>
      </c>
      <c r="AG22" s="257" t="s">
        <v>299</v>
      </c>
      <c r="AH22" s="242" t="s">
        <v>116</v>
      </c>
    </row>
    <row r="23" spans="25:40" ht="15" thickBot="1">
      <c r="AF23" s="171" t="s">
        <v>138</v>
      </c>
      <c r="AG23" s="52">
        <v>17.306093360256579</v>
      </c>
      <c r="AH23" s="278">
        <v>0.74857158044877981</v>
      </c>
    </row>
    <row r="24" spans="25:40" ht="15" thickBot="1">
      <c r="AF24" s="171" t="s">
        <v>139</v>
      </c>
      <c r="AG24" s="52">
        <v>17.64752791068565</v>
      </c>
      <c r="AH24" s="280">
        <v>0.91680920402413935</v>
      </c>
    </row>
    <row r="25" spans="25:40">
      <c r="AF25" s="171" t="s">
        <v>140</v>
      </c>
      <c r="AG25" s="52">
        <v>15.916623407738461</v>
      </c>
      <c r="AH25" s="242" t="s">
        <v>294</v>
      </c>
    </row>
    <row r="26" spans="25:40" ht="15" customHeight="1" thickBot="1">
      <c r="AF26" s="91"/>
      <c r="AH26" s="279">
        <f>(AH23/AG24)*100</f>
        <v>4.2417928688783473</v>
      </c>
    </row>
    <row r="27" spans="25:40" ht="15" thickBot="1">
      <c r="AF27" s="163"/>
      <c r="AG27" s="115"/>
      <c r="AH27" s="281">
        <f>AH24/AG24*100</f>
        <v>5.19511406166417</v>
      </c>
    </row>
    <row r="29" spans="25:40" ht="18">
      <c r="Y29" s="817" t="s">
        <v>260</v>
      </c>
      <c r="Z29" s="818"/>
      <c r="AA29" s="818"/>
      <c r="AB29" s="818"/>
      <c r="AC29" s="818"/>
      <c r="AD29" s="818"/>
      <c r="AE29" s="818"/>
      <c r="AF29" s="818"/>
      <c r="AG29" s="819"/>
    </row>
    <row r="30" spans="25:40">
      <c r="Y30" s="314"/>
      <c r="Z30" s="795" t="s">
        <v>221</v>
      </c>
      <c r="AA30" s="796"/>
      <c r="AB30" s="822" t="s">
        <v>222</v>
      </c>
      <c r="AC30" s="796"/>
      <c r="AD30" s="795" t="s">
        <v>223</v>
      </c>
      <c r="AE30" s="796"/>
      <c r="AF30" s="795" t="s">
        <v>226</v>
      </c>
      <c r="AG30" s="796"/>
    </row>
    <row r="31" spans="25:40">
      <c r="Y31" s="352" t="s">
        <v>225</v>
      </c>
      <c r="Z31" s="797">
        <v>19.816045163014937</v>
      </c>
      <c r="AA31" s="798"/>
      <c r="AB31" s="797">
        <v>20.151634270635316</v>
      </c>
      <c r="AC31" s="798"/>
      <c r="AD31" s="797">
        <v>24.838279524919827</v>
      </c>
      <c r="AE31" s="798"/>
      <c r="AF31" s="794">
        <v>19.7922618562807</v>
      </c>
      <c r="AG31" s="794"/>
    </row>
    <row r="32" spans="25:40">
      <c r="Y32" s="352" t="s">
        <v>170</v>
      </c>
      <c r="Z32" s="797">
        <v>20.357202914595064</v>
      </c>
      <c r="AA32" s="798"/>
      <c r="AB32" s="797">
        <v>18.45409385173447</v>
      </c>
      <c r="AC32" s="798"/>
      <c r="AD32" s="797">
        <v>20.948062034967663</v>
      </c>
      <c r="AE32" s="798"/>
      <c r="AF32" s="794">
        <v>19.15067227575398</v>
      </c>
      <c r="AG32" s="794"/>
    </row>
    <row r="33" spans="25:33">
      <c r="Y33" s="352" t="s">
        <v>171</v>
      </c>
      <c r="Z33" s="797">
        <v>18.433270931124081</v>
      </c>
      <c r="AA33" s="798"/>
      <c r="AB33" s="797">
        <v>17.475614475728978</v>
      </c>
      <c r="AC33" s="798"/>
      <c r="AD33" s="820" t="s">
        <v>108</v>
      </c>
      <c r="AE33" s="821"/>
      <c r="AF33" s="794">
        <v>16.956748226226896</v>
      </c>
      <c r="AG33" s="794"/>
    </row>
  </sheetData>
  <mergeCells count="40">
    <mergeCell ref="T9:T11"/>
    <mergeCell ref="L12:N12"/>
    <mergeCell ref="O12:Q12"/>
    <mergeCell ref="U12:X16"/>
    <mergeCell ref="R13:S13"/>
    <mergeCell ref="R14:S16"/>
    <mergeCell ref="T14:T16"/>
    <mergeCell ref="AL2:AN6"/>
    <mergeCell ref="AL8:AN12"/>
    <mergeCell ref="AL14:AN18"/>
    <mergeCell ref="A1:H1"/>
    <mergeCell ref="I1:K1"/>
    <mergeCell ref="U2:X6"/>
    <mergeCell ref="R3:S3"/>
    <mergeCell ref="R4:S6"/>
    <mergeCell ref="T4:T6"/>
    <mergeCell ref="L7:Q7"/>
    <mergeCell ref="L2:N2"/>
    <mergeCell ref="O2:Q2"/>
    <mergeCell ref="R2:T2"/>
    <mergeCell ref="U7:X11"/>
    <mergeCell ref="R8:S8"/>
    <mergeCell ref="R9:S11"/>
    <mergeCell ref="Z33:AA33"/>
    <mergeCell ref="AB33:AC33"/>
    <mergeCell ref="AD33:AE33"/>
    <mergeCell ref="AF33:AG33"/>
    <mergeCell ref="Z30:AA30"/>
    <mergeCell ref="AB30:AC30"/>
    <mergeCell ref="AD30:AE30"/>
    <mergeCell ref="AF30:AG30"/>
    <mergeCell ref="Z31:AA31"/>
    <mergeCell ref="AB31:AC31"/>
    <mergeCell ref="AD31:AE31"/>
    <mergeCell ref="AF31:AG31"/>
    <mergeCell ref="Y29:AG29"/>
    <mergeCell ref="Z32:AA32"/>
    <mergeCell ref="AB32:AC32"/>
    <mergeCell ref="AD32:AE32"/>
    <mergeCell ref="AF32:AG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27"/>
  <sheetViews>
    <sheetView topLeftCell="K1" zoomScale="70" zoomScaleNormal="70" workbookViewId="0">
      <selection activeCell="V6" sqref="V6"/>
    </sheetView>
  </sheetViews>
  <sheetFormatPr baseColWidth="10" defaultColWidth="11.5546875" defaultRowHeight="14.4"/>
  <sheetData>
    <row r="1" spans="1:33" ht="15" thickBot="1">
      <c r="A1" s="774" t="s">
        <v>167</v>
      </c>
      <c r="B1" s="775"/>
      <c r="C1" s="775"/>
      <c r="D1" s="775"/>
      <c r="E1" s="775"/>
      <c r="F1" s="775"/>
      <c r="G1" s="775"/>
      <c r="H1" s="776"/>
      <c r="I1" s="777" t="s">
        <v>119</v>
      </c>
      <c r="J1" s="778"/>
      <c r="K1" s="779"/>
      <c r="L1" s="78"/>
      <c r="M1" s="78"/>
      <c r="N1" s="78"/>
      <c r="O1" s="78"/>
      <c r="P1" s="78"/>
      <c r="Q1" s="78"/>
      <c r="R1" s="78"/>
      <c r="S1" s="78"/>
      <c r="T1" s="79"/>
    </row>
    <row r="2" spans="1:33">
      <c r="A2" s="164" t="s">
        <v>120</v>
      </c>
      <c r="B2" s="165" t="s">
        <v>121</v>
      </c>
      <c r="C2" s="165" t="s">
        <v>41</v>
      </c>
      <c r="D2" s="165" t="s">
        <v>59</v>
      </c>
      <c r="E2" s="165" t="s">
        <v>122</v>
      </c>
      <c r="F2" s="165" t="s">
        <v>31</v>
      </c>
      <c r="G2" s="166" t="s">
        <v>32</v>
      </c>
      <c r="H2" s="165" t="s">
        <v>11</v>
      </c>
      <c r="I2" t="s">
        <v>120</v>
      </c>
      <c r="L2" s="834" t="s">
        <v>123</v>
      </c>
      <c r="M2" s="835"/>
      <c r="N2" s="836"/>
      <c r="O2" s="772" t="s">
        <v>124</v>
      </c>
      <c r="P2" s="773"/>
      <c r="Q2" s="780"/>
      <c r="R2" s="772" t="s">
        <v>125</v>
      </c>
      <c r="S2" s="773"/>
      <c r="T2" s="781"/>
      <c r="V2" s="165" t="s">
        <v>225</v>
      </c>
      <c r="W2" s="167" t="s">
        <v>297</v>
      </c>
      <c r="X2" s="165" t="s">
        <v>116</v>
      </c>
      <c r="Y2" s="165" t="s">
        <v>225</v>
      </c>
      <c r="Z2" s="167" t="s">
        <v>293</v>
      </c>
      <c r="AA2" s="167" t="s">
        <v>116</v>
      </c>
      <c r="AB2" s="238" t="s">
        <v>225</v>
      </c>
      <c r="AC2" s="413" t="s">
        <v>295</v>
      </c>
      <c r="AD2" s="240" t="s">
        <v>116</v>
      </c>
      <c r="AE2" s="790" t="s">
        <v>166</v>
      </c>
      <c r="AF2" s="790"/>
      <c r="AG2" s="736"/>
    </row>
    <row r="3" spans="1:33" ht="15" thickBot="1">
      <c r="A3" s="169" t="s">
        <v>126</v>
      </c>
      <c r="B3" s="136"/>
      <c r="C3" s="136">
        <v>36.941099999999999</v>
      </c>
      <c r="D3" s="136">
        <v>2.5436000000000001</v>
      </c>
      <c r="E3" s="136">
        <v>38.809699999999999</v>
      </c>
      <c r="F3" s="139">
        <f>E3-C3</f>
        <v>1.8686000000000007</v>
      </c>
      <c r="G3" s="157">
        <f>D3-F3</f>
        <v>0.67499999999999938</v>
      </c>
      <c r="H3" s="84">
        <f>(G3/D3)*100</f>
        <v>26.537191382292789</v>
      </c>
      <c r="I3" s="104" t="s">
        <v>31</v>
      </c>
      <c r="J3" s="104" t="s">
        <v>32</v>
      </c>
      <c r="K3" s="104" t="s">
        <v>11</v>
      </c>
      <c r="L3" s="135" t="s">
        <v>127</v>
      </c>
      <c r="M3" s="136" t="s">
        <v>113</v>
      </c>
      <c r="N3" s="139" t="s">
        <v>112</v>
      </c>
      <c r="O3" s="135" t="s">
        <v>127</v>
      </c>
      <c r="P3" s="136" t="s">
        <v>113</v>
      </c>
      <c r="Q3" s="139" t="s">
        <v>112</v>
      </c>
      <c r="R3" s="772" t="s">
        <v>128</v>
      </c>
      <c r="S3" s="773"/>
      <c r="T3" s="170" t="s">
        <v>129</v>
      </c>
      <c r="V3" s="135" t="s">
        <v>126</v>
      </c>
      <c r="W3" s="158">
        <v>16.26626626626642</v>
      </c>
      <c r="X3" s="235">
        <v>4.3922662114864801</v>
      </c>
      <c r="Y3" s="135" t="s">
        <v>126</v>
      </c>
      <c r="Z3" s="158">
        <v>18.025862388380364</v>
      </c>
      <c r="AA3" s="247">
        <v>3.4447378727619724</v>
      </c>
      <c r="AB3" s="171" t="s">
        <v>126</v>
      </c>
      <c r="AC3" s="52">
        <v>26.537191382292789</v>
      </c>
      <c r="AD3" s="278">
        <v>0.26772077354881468</v>
      </c>
      <c r="AE3" s="693"/>
      <c r="AF3" s="693"/>
      <c r="AG3" s="738"/>
    </row>
    <row r="4" spans="1:33" ht="15" thickBot="1">
      <c r="A4" s="171" t="s">
        <v>130</v>
      </c>
      <c r="B4" s="104"/>
      <c r="C4" s="104">
        <v>37.021799999999999</v>
      </c>
      <c r="D4" s="104">
        <v>2.5299</v>
      </c>
      <c r="E4" s="104">
        <v>38.865200000000002</v>
      </c>
      <c r="F4" s="106">
        <f t="shared" ref="F4:F5" si="0">E4-C4</f>
        <v>1.8434000000000026</v>
      </c>
      <c r="G4" s="157">
        <f t="shared" ref="G4:G5" si="1">D4-F4</f>
        <v>0.68649999999999745</v>
      </c>
      <c r="H4" s="84">
        <f t="shared" ref="H4:H5" si="2">(G4/D4)*100</f>
        <v>27.135459899600672</v>
      </c>
      <c r="I4">
        <f>SUM(F3:F5)/3</f>
        <v>1.8517333333333355</v>
      </c>
      <c r="J4">
        <f>SUM(G3:G5)/3</f>
        <v>0.67653333333333121</v>
      </c>
      <c r="K4" s="172">
        <f>SUM(H3:H5)/3</f>
        <v>26.7588007757229</v>
      </c>
      <c r="L4" s="173">
        <f>(H3-$K$4)^2</f>
        <v>4.9110723256461569E-2</v>
      </c>
      <c r="M4">
        <f>SUM(L4:L6)/3</f>
        <v>7.1674412589575701E-2</v>
      </c>
      <c r="N4" s="174">
        <f>SQRT(M4)</f>
        <v>0.26772077354881468</v>
      </c>
      <c r="O4" s="173">
        <f>($D$6-D3)^2</f>
        <v>2.3511111111111381E-4</v>
      </c>
      <c r="P4">
        <f>SUM(O4:O6)/3</f>
        <v>1.7521555555555799E-4</v>
      </c>
      <c r="Q4" s="174">
        <f>SQRT(P4)</f>
        <v>1.3236901282232106E-2</v>
      </c>
      <c r="R4" s="766">
        <v>0.26772077354881468</v>
      </c>
      <c r="S4" s="767"/>
      <c r="T4" s="770">
        <f>(R4/K4)*100</f>
        <v>1.00049615747992</v>
      </c>
      <c r="V4" s="103" t="s">
        <v>130</v>
      </c>
      <c r="W4" s="158">
        <v>24.71081994062833</v>
      </c>
      <c r="X4" s="165" t="s">
        <v>294</v>
      </c>
      <c r="Y4" s="103" t="s">
        <v>130</v>
      </c>
      <c r="Z4" s="158">
        <v>25.907823632671096</v>
      </c>
      <c r="AA4" s="167" t="s">
        <v>294</v>
      </c>
      <c r="AB4" s="171" t="s">
        <v>130</v>
      </c>
      <c r="AC4" s="52">
        <v>27.135459899600672</v>
      </c>
      <c r="AD4" s="280">
        <v>0.32788964436889978</v>
      </c>
      <c r="AE4" s="693"/>
      <c r="AF4" s="693"/>
      <c r="AG4" s="738"/>
    </row>
    <row r="5" spans="1:33">
      <c r="A5" s="175" t="s">
        <v>131</v>
      </c>
      <c r="B5" s="108"/>
      <c r="C5" s="108">
        <v>38.074399999999997</v>
      </c>
      <c r="D5" s="108">
        <v>2.5112999999999999</v>
      </c>
      <c r="E5" s="108">
        <v>39.9176</v>
      </c>
      <c r="F5" s="109">
        <f t="shared" si="0"/>
        <v>1.8432000000000031</v>
      </c>
      <c r="G5" s="157">
        <f t="shared" si="1"/>
        <v>0.66809999999999681</v>
      </c>
      <c r="H5" s="84">
        <f t="shared" si="2"/>
        <v>26.603751045275231</v>
      </c>
      <c r="L5" s="173">
        <f t="shared" ref="L5:L6" si="3">(H4-$K$4)^2</f>
        <v>0.14187209560037087</v>
      </c>
      <c r="N5" s="176"/>
      <c r="O5" s="173">
        <f t="shared" ref="O5:O6" si="4">($D$6-D4)^2</f>
        <v>2.6677777777779153E-6</v>
      </c>
      <c r="Q5" s="176"/>
      <c r="R5" s="768"/>
      <c r="S5" s="769"/>
      <c r="T5" s="771"/>
      <c r="V5" s="107" t="s">
        <v>131</v>
      </c>
      <c r="W5" s="158">
        <v>26.261856368563141</v>
      </c>
      <c r="X5" s="236">
        <f>(X3/W5)*100</f>
        <v>16.724888560217167</v>
      </c>
      <c r="Y5" s="107" t="s">
        <v>131</v>
      </c>
      <c r="Z5" s="158">
        <v>24.57529097086675</v>
      </c>
      <c r="AA5" s="271">
        <f>(AA3/Z4)*100</f>
        <v>13.296129854836517</v>
      </c>
      <c r="AB5" s="171" t="s">
        <v>131</v>
      </c>
      <c r="AC5" s="52">
        <v>26.603751045275231</v>
      </c>
      <c r="AD5" s="242" t="s">
        <v>294</v>
      </c>
      <c r="AE5" s="693"/>
      <c r="AF5" s="693"/>
      <c r="AG5" s="738"/>
    </row>
    <row r="6" spans="1:33" ht="15" thickBot="1">
      <c r="A6" s="171"/>
      <c r="B6" s="104"/>
      <c r="C6" s="138" t="s">
        <v>83</v>
      </c>
      <c r="D6" s="138">
        <f>SUM(D3:D5)/3</f>
        <v>2.5282666666666667</v>
      </c>
      <c r="E6" s="104"/>
      <c r="F6" s="104"/>
      <c r="G6" s="104"/>
      <c r="H6" s="104"/>
      <c r="L6" s="188">
        <f t="shared" si="3"/>
        <v>2.4040418911894682E-2</v>
      </c>
      <c r="M6" s="187"/>
      <c r="N6" s="286">
        <f>_xlfn.STDEV.S(H3:H5)</f>
        <v>0.32788964436889978</v>
      </c>
      <c r="O6" s="188">
        <f t="shared" si="4"/>
        <v>2.878677777777822E-4</v>
      </c>
      <c r="P6" s="187"/>
      <c r="Q6" s="189"/>
      <c r="R6" s="831"/>
      <c r="S6" s="832"/>
      <c r="T6" s="833"/>
      <c r="V6" s="268" t="s">
        <v>170</v>
      </c>
      <c r="W6" s="104"/>
      <c r="X6" s="165" t="s">
        <v>116</v>
      </c>
      <c r="Y6" s="268" t="s">
        <v>170</v>
      </c>
      <c r="Z6" s="104"/>
      <c r="AA6" s="167" t="s">
        <v>116</v>
      </c>
      <c r="AB6" s="91"/>
      <c r="AD6" s="287">
        <f>(AD3/AC4)*100</f>
        <v>0.98660857247071942</v>
      </c>
      <c r="AE6" s="791"/>
      <c r="AF6" s="791"/>
      <c r="AG6" s="740"/>
    </row>
    <row r="7" spans="1:33" ht="15" thickBot="1">
      <c r="A7" s="277" t="s">
        <v>133</v>
      </c>
      <c r="B7" s="268" t="s">
        <v>121</v>
      </c>
      <c r="C7" s="268" t="s">
        <v>41</v>
      </c>
      <c r="D7" s="268" t="s">
        <v>59</v>
      </c>
      <c r="E7" s="268" t="s">
        <v>122</v>
      </c>
      <c r="F7" s="268" t="s">
        <v>31</v>
      </c>
      <c r="G7" s="165" t="s">
        <v>32</v>
      </c>
      <c r="H7" s="165" t="s">
        <v>11</v>
      </c>
      <c r="I7" t="s">
        <v>133</v>
      </c>
      <c r="L7" s="173"/>
      <c r="N7" s="176"/>
      <c r="O7" s="173"/>
      <c r="Q7" s="176"/>
      <c r="R7" s="230"/>
      <c r="S7" s="231"/>
      <c r="T7" s="285"/>
      <c r="V7" s="135" t="s">
        <v>134</v>
      </c>
      <c r="W7" s="158">
        <v>17.552897884084604</v>
      </c>
      <c r="X7" s="235">
        <v>4.2732071378166596</v>
      </c>
      <c r="Y7" s="135" t="s">
        <v>134</v>
      </c>
      <c r="Z7" s="158">
        <v>20.024354973742113</v>
      </c>
      <c r="AA7" s="247">
        <v>3.5747302369587035</v>
      </c>
      <c r="AB7" s="91"/>
      <c r="AD7" s="493">
        <f>AD4/AC4*100</f>
        <v>1.2083437892044904</v>
      </c>
    </row>
    <row r="8" spans="1:33">
      <c r="A8" s="169" t="s">
        <v>134</v>
      </c>
      <c r="B8" s="136"/>
      <c r="C8" s="136">
        <v>35.654000000000003</v>
      </c>
      <c r="D8" s="136">
        <v>2.5627</v>
      </c>
      <c r="E8" s="136">
        <v>37.4756</v>
      </c>
      <c r="F8" s="139">
        <f>E8-C8</f>
        <v>1.8215999999999966</v>
      </c>
      <c r="G8" s="157">
        <f>D8-F8</f>
        <v>0.74110000000000342</v>
      </c>
      <c r="H8" s="84">
        <f>(G8/D8)*100</f>
        <v>28.918718539040988</v>
      </c>
      <c r="I8" s="104" t="s">
        <v>31</v>
      </c>
      <c r="J8" s="104" t="s">
        <v>32</v>
      </c>
      <c r="K8" s="104" t="s">
        <v>11</v>
      </c>
      <c r="L8" s="135" t="s">
        <v>127</v>
      </c>
      <c r="M8" s="136" t="s">
        <v>113</v>
      </c>
      <c r="N8" s="139" t="s">
        <v>112</v>
      </c>
      <c r="O8" s="135" t="s">
        <v>127</v>
      </c>
      <c r="P8" s="136" t="s">
        <v>113</v>
      </c>
      <c r="Q8" s="139" t="s">
        <v>112</v>
      </c>
      <c r="R8" s="772" t="s">
        <v>128</v>
      </c>
      <c r="S8" s="773"/>
      <c r="T8" s="170" t="s">
        <v>129</v>
      </c>
      <c r="V8" s="103" t="s">
        <v>135</v>
      </c>
      <c r="W8" s="158">
        <v>25.116627790736025</v>
      </c>
      <c r="X8" s="165" t="s">
        <v>294</v>
      </c>
      <c r="Y8" s="103" t="s">
        <v>135</v>
      </c>
      <c r="Z8" s="158">
        <v>27.317929219069921</v>
      </c>
      <c r="AA8" s="167" t="s">
        <v>294</v>
      </c>
      <c r="AB8" s="164" t="s">
        <v>170</v>
      </c>
      <c r="AC8" s="168" t="s">
        <v>295</v>
      </c>
      <c r="AD8" s="242" t="s">
        <v>116</v>
      </c>
      <c r="AE8" s="790" t="s">
        <v>166</v>
      </c>
      <c r="AF8" s="790"/>
      <c r="AG8" s="736"/>
    </row>
    <row r="9" spans="1:33" ht="15" thickBot="1">
      <c r="A9" s="171" t="s">
        <v>135</v>
      </c>
      <c r="B9" s="104"/>
      <c r="C9" s="104">
        <v>36.674799999999998</v>
      </c>
      <c r="D9" s="104">
        <v>2.5413000000000001</v>
      </c>
      <c r="E9" s="104">
        <v>38.523600000000002</v>
      </c>
      <c r="F9" s="106">
        <f>E9-C9</f>
        <v>1.8488000000000042</v>
      </c>
      <c r="G9" s="157">
        <f t="shared" ref="G9:G10" si="5">D9-F9</f>
        <v>0.6924999999999959</v>
      </c>
      <c r="H9" s="84">
        <f>(G9/D9)*100</f>
        <v>27.249832762759059</v>
      </c>
      <c r="I9">
        <f>SUM(F8:F10)/3</f>
        <v>1.8551000000000002</v>
      </c>
      <c r="J9">
        <f>SUM(G8:G10)/3</f>
        <v>0.69423333333333315</v>
      </c>
      <c r="K9" s="172">
        <f>SUM(H8:H10)/3</f>
        <v>27.227829469572765</v>
      </c>
      <c r="L9" s="173">
        <f>(H8-$K$9)^2</f>
        <v>2.8591058452471145</v>
      </c>
      <c r="M9">
        <f>SUM(L9:L11)/3</f>
        <v>1.9311967453994445</v>
      </c>
      <c r="N9" s="174">
        <f>SQRT(M9)</f>
        <v>1.3896750502903348</v>
      </c>
      <c r="O9" s="173">
        <f>($D$11-D8)^2</f>
        <v>1.7866777777777998E-4</v>
      </c>
      <c r="P9">
        <f>SUM(O9:O11)/3</f>
        <v>9.0548888888887939E-5</v>
      </c>
      <c r="Q9" s="174">
        <f>SQRT(P9)</f>
        <v>9.5157179912441683E-3</v>
      </c>
      <c r="R9" s="766">
        <v>1.3896750502903348</v>
      </c>
      <c r="S9" s="767"/>
      <c r="T9" s="770">
        <f>(R9/K9)*100</f>
        <v>5.1038774568619347</v>
      </c>
      <c r="V9" s="107" t="s">
        <v>136</v>
      </c>
      <c r="W9" s="158">
        <v>27.600849256899977</v>
      </c>
      <c r="X9" s="236">
        <f>(X7/W9)*100</f>
        <v>15.48215816855126</v>
      </c>
      <c r="Y9" s="107" t="s">
        <v>136</v>
      </c>
      <c r="Z9" s="158">
        <v>27.867207425680444</v>
      </c>
      <c r="AA9" s="271">
        <f>(AA7/Z9)*100</f>
        <v>12.827730394199763</v>
      </c>
      <c r="AB9" s="171" t="s">
        <v>134</v>
      </c>
      <c r="AC9" s="52">
        <v>28.918718539040988</v>
      </c>
      <c r="AD9" s="278">
        <v>1.3896750502903348</v>
      </c>
      <c r="AE9" s="693"/>
      <c r="AF9" s="693"/>
      <c r="AG9" s="738"/>
    </row>
    <row r="10" spans="1:33" ht="15" thickBot="1">
      <c r="A10" s="175" t="s">
        <v>136</v>
      </c>
      <c r="B10" s="108"/>
      <c r="C10" s="108">
        <v>36.133200000000002</v>
      </c>
      <c r="D10" s="108">
        <v>2.544</v>
      </c>
      <c r="E10" s="108">
        <v>38.028100000000002</v>
      </c>
      <c r="F10" s="109">
        <f>E10-C10</f>
        <v>1.8948999999999998</v>
      </c>
      <c r="G10" s="157">
        <f t="shared" si="5"/>
        <v>0.64910000000000023</v>
      </c>
      <c r="H10" s="84">
        <f>(G10/D10)*100</f>
        <v>25.514937106918246</v>
      </c>
      <c r="L10" s="173">
        <f t="shared" ref="L10:L11" si="6">(H9-$K$9)^2</f>
        <v>4.8414491104203705E-4</v>
      </c>
      <c r="N10" s="176"/>
      <c r="O10" s="173">
        <f t="shared" ref="O10:O11" si="7">($D$11-D9)^2</f>
        <v>6.4534444444440929E-5</v>
      </c>
      <c r="Q10" s="176"/>
      <c r="R10" s="768"/>
      <c r="S10" s="769"/>
      <c r="T10" s="771"/>
      <c r="V10" s="268" t="s">
        <v>219</v>
      </c>
      <c r="W10" s="104"/>
      <c r="X10" s="165" t="s">
        <v>116</v>
      </c>
      <c r="Y10" s="268" t="s">
        <v>219</v>
      </c>
      <c r="Z10" s="104"/>
      <c r="AA10" s="167" t="s">
        <v>116</v>
      </c>
      <c r="AB10" s="171" t="s">
        <v>135</v>
      </c>
      <c r="AC10" s="52">
        <v>27.249832762759059</v>
      </c>
      <c r="AD10" s="280">
        <v>1.7019973907439361</v>
      </c>
      <c r="AE10" s="693"/>
      <c r="AF10" s="693"/>
      <c r="AG10" s="738"/>
    </row>
    <row r="11" spans="1:33">
      <c r="A11" s="171"/>
      <c r="B11" s="104"/>
      <c r="C11" s="138" t="s">
        <v>83</v>
      </c>
      <c r="D11" s="138">
        <f>SUM(D8:D10)/3</f>
        <v>2.5493333333333332</v>
      </c>
      <c r="E11" s="104"/>
      <c r="F11" s="104"/>
      <c r="G11" s="104"/>
      <c r="H11" s="104"/>
      <c r="L11" s="188">
        <f t="shared" si="6"/>
        <v>2.9340002460401768</v>
      </c>
      <c r="M11" s="187"/>
      <c r="N11" s="286">
        <f>_xlfn.STDEV.S(H8:H10)</f>
        <v>1.7019973907439361</v>
      </c>
      <c r="O11" s="188">
        <f t="shared" si="7"/>
        <v>2.8444444444442916E-5</v>
      </c>
      <c r="P11" s="187"/>
      <c r="Q11" s="189"/>
      <c r="R11" s="831"/>
      <c r="S11" s="832"/>
      <c r="T11" s="833"/>
      <c r="V11" s="135" t="s">
        <v>138</v>
      </c>
      <c r="W11" s="158">
        <v>17.506158158497989</v>
      </c>
      <c r="X11" s="235">
        <v>3.640877952935313</v>
      </c>
      <c r="Y11" s="135" t="s">
        <v>138</v>
      </c>
      <c r="Z11" s="158">
        <v>18.411146039507919</v>
      </c>
      <c r="AA11" s="247">
        <v>2.3694522908723799</v>
      </c>
      <c r="AB11" s="171" t="s">
        <v>136</v>
      </c>
      <c r="AC11" s="52">
        <v>25.514937106918246</v>
      </c>
      <c r="AD11" s="242" t="s">
        <v>294</v>
      </c>
      <c r="AE11" s="693"/>
      <c r="AF11" s="693"/>
      <c r="AG11" s="738"/>
    </row>
    <row r="12" spans="1:33" ht="15" thickBot="1">
      <c r="A12" s="277" t="s">
        <v>137</v>
      </c>
      <c r="B12" s="268" t="s">
        <v>121</v>
      </c>
      <c r="C12" s="268" t="s">
        <v>41</v>
      </c>
      <c r="D12" s="268" t="s">
        <v>59</v>
      </c>
      <c r="E12" s="268" t="s">
        <v>122</v>
      </c>
      <c r="F12" s="268" t="s">
        <v>31</v>
      </c>
      <c r="G12" s="165" t="s">
        <v>32</v>
      </c>
      <c r="H12" s="165" t="s">
        <v>11</v>
      </c>
      <c r="I12" t="s">
        <v>137</v>
      </c>
      <c r="L12" s="173"/>
      <c r="N12" s="176"/>
      <c r="O12" s="173"/>
      <c r="Q12" s="176"/>
      <c r="R12" s="173"/>
      <c r="T12" s="81"/>
      <c r="V12" s="103" t="s">
        <v>139</v>
      </c>
      <c r="W12" s="158">
        <v>24.271587497792581</v>
      </c>
      <c r="X12" s="165" t="s">
        <v>294</v>
      </c>
      <c r="Y12" s="103" t="s">
        <v>139</v>
      </c>
      <c r="Z12" s="158">
        <v>24.203386744355317</v>
      </c>
      <c r="AA12" s="167" t="s">
        <v>294</v>
      </c>
      <c r="AB12" s="91"/>
      <c r="AD12" s="287">
        <f>(AD9/AC9)*100</f>
        <v>4.8054516952894675</v>
      </c>
      <c r="AE12" s="791"/>
      <c r="AF12" s="791"/>
      <c r="AG12" s="740"/>
    </row>
    <row r="13" spans="1:33" ht="15" thickBot="1">
      <c r="A13" s="169" t="s">
        <v>138</v>
      </c>
      <c r="B13" s="136"/>
      <c r="C13" s="136">
        <v>35.2547</v>
      </c>
      <c r="D13" s="136">
        <v>2.5242</v>
      </c>
      <c r="E13" s="136">
        <v>37.241599999999998</v>
      </c>
      <c r="F13" s="139">
        <f>E13-C13</f>
        <v>1.9868999999999986</v>
      </c>
      <c r="G13" s="157">
        <f>D13-F13</f>
        <v>0.53730000000000144</v>
      </c>
      <c r="H13" s="84">
        <f>(G13/D13)*100</f>
        <v>21.285951984787317</v>
      </c>
      <c r="I13" s="104" t="s">
        <v>31</v>
      </c>
      <c r="J13" s="104" t="s">
        <v>32</v>
      </c>
      <c r="K13" s="104" t="s">
        <v>11</v>
      </c>
      <c r="L13" s="135" t="s">
        <v>127</v>
      </c>
      <c r="M13" s="136" t="s">
        <v>113</v>
      </c>
      <c r="N13" s="139" t="s">
        <v>112</v>
      </c>
      <c r="O13" s="135" t="s">
        <v>127</v>
      </c>
      <c r="P13" s="136" t="s">
        <v>113</v>
      </c>
      <c r="Q13" s="139" t="s">
        <v>112</v>
      </c>
      <c r="R13" s="772" t="s">
        <v>128</v>
      </c>
      <c r="S13" s="773"/>
      <c r="T13" s="170" t="s">
        <v>129</v>
      </c>
      <c r="V13" s="107" t="s">
        <v>140</v>
      </c>
      <c r="W13" s="158">
        <v>25.921137685843647</v>
      </c>
      <c r="X13" s="236">
        <f>(X11/W13)*100</f>
        <v>14.045980531648162</v>
      </c>
      <c r="Y13" s="107" t="s">
        <v>140</v>
      </c>
      <c r="Z13" s="158">
        <v>21.626373626373812</v>
      </c>
      <c r="AA13" s="271">
        <f>(AA11/Z12)*100</f>
        <v>9.7897551111312158</v>
      </c>
      <c r="AB13" s="91"/>
      <c r="AD13" s="493">
        <f>AD10/AC9*100</f>
        <v>5.8854523185257923</v>
      </c>
    </row>
    <row r="14" spans="1:33">
      <c r="A14" s="171" t="s">
        <v>139</v>
      </c>
      <c r="B14" s="104"/>
      <c r="C14" s="104">
        <v>36.9514</v>
      </c>
      <c r="D14" s="104">
        <v>2.5045999999999999</v>
      </c>
      <c r="E14" s="104">
        <v>38.872799999999998</v>
      </c>
      <c r="F14" s="106">
        <f t="shared" ref="F14:F15" si="8">E14-C14</f>
        <v>1.9213999999999984</v>
      </c>
      <c r="G14" s="157">
        <f t="shared" ref="G14:G15" si="9">D14-F14</f>
        <v>0.58320000000000149</v>
      </c>
      <c r="H14" s="84">
        <f t="shared" ref="H14:H15" si="10">(G14/D14)*100</f>
        <v>23.285155314221893</v>
      </c>
      <c r="I14">
        <f>SUM(F13:F15)/3</f>
        <v>1.9671333333333318</v>
      </c>
      <c r="J14">
        <f>SUM(G13:G15)/3</f>
        <v>0.54666666666666819</v>
      </c>
      <c r="K14" s="172">
        <f>SUM(H13:H15)/3</f>
        <v>21.748967099086034</v>
      </c>
      <c r="L14" s="173">
        <f>(H13-$K$14)^2</f>
        <v>0.21438299606905367</v>
      </c>
      <c r="M14">
        <f>SUM(L14:L16)/3</f>
        <v>1.2419859109172542</v>
      </c>
      <c r="N14" s="174">
        <f>SQRT(M14)</f>
        <v>1.1144442161531702</v>
      </c>
      <c r="O14" s="173">
        <f>($D$16-D13)^2</f>
        <v>1.0815999999999465E-4</v>
      </c>
      <c r="P14">
        <f>SUM(O14:O16)/3</f>
        <v>6.4746666666667081E-5</v>
      </c>
      <c r="Q14" s="174">
        <f>SQRT(P14)</f>
        <v>8.0465313437944851E-3</v>
      </c>
      <c r="R14" s="766">
        <v>1.1144442161531702</v>
      </c>
      <c r="S14" s="767"/>
      <c r="T14" s="770">
        <f>(R14/K14)*100</f>
        <v>5.1241247967127732</v>
      </c>
      <c r="AB14" s="164" t="s">
        <v>219</v>
      </c>
      <c r="AC14" s="168" t="s">
        <v>295</v>
      </c>
      <c r="AD14" s="242" t="s">
        <v>116</v>
      </c>
      <c r="AE14" s="790" t="s">
        <v>166</v>
      </c>
      <c r="AF14" s="790"/>
      <c r="AG14" s="736"/>
    </row>
    <row r="15" spans="1:33" ht="15" thickBot="1">
      <c r="A15" s="175" t="s">
        <v>140</v>
      </c>
      <c r="B15" s="108"/>
      <c r="C15" s="108">
        <v>36.619700000000002</v>
      </c>
      <c r="D15" s="108">
        <v>2.5125999999999999</v>
      </c>
      <c r="E15" s="108">
        <v>38.6128</v>
      </c>
      <c r="F15" s="109">
        <f t="shared" si="8"/>
        <v>1.9930999999999983</v>
      </c>
      <c r="G15" s="157">
        <f t="shared" si="9"/>
        <v>0.51950000000000163</v>
      </c>
      <c r="H15" s="84">
        <f t="shared" si="10"/>
        <v>20.675793998248889</v>
      </c>
      <c r="L15" s="173">
        <f t="shared" ref="L15:L16" si="11">(H14-$K$14)^2</f>
        <v>2.3598742323222948</v>
      </c>
      <c r="N15" s="176"/>
      <c r="O15" s="173">
        <f t="shared" ref="O15:O16" si="12">($D$16-D14)^2</f>
        <v>8.4640000000005871E-5</v>
      </c>
      <c r="Q15" s="176"/>
      <c r="R15" s="768"/>
      <c r="S15" s="769"/>
      <c r="T15" s="771"/>
      <c r="AB15" s="171" t="s">
        <v>138</v>
      </c>
      <c r="AC15" s="52">
        <v>21.285951984787317</v>
      </c>
      <c r="AD15" s="278">
        <v>1.1144442161531702</v>
      </c>
      <c r="AE15" s="693"/>
      <c r="AF15" s="693"/>
      <c r="AG15" s="738"/>
    </row>
    <row r="16" spans="1:33" ht="15" thickBot="1">
      <c r="A16" s="171"/>
      <c r="C16" s="138" t="s">
        <v>83</v>
      </c>
      <c r="D16" s="138">
        <f>SUM(D13:D15)/3</f>
        <v>2.5138000000000003</v>
      </c>
      <c r="L16" s="188">
        <f t="shared" si="11"/>
        <v>1.151700504360414</v>
      </c>
      <c r="M16" s="187"/>
      <c r="N16" s="286">
        <f>_xlfn.STDEV.S(H13:H15)</f>
        <v>1.3649098381856148</v>
      </c>
      <c r="O16" s="188">
        <f t="shared" si="12"/>
        <v>1.4400000000007485E-6</v>
      </c>
      <c r="P16" s="187"/>
      <c r="Q16" s="189"/>
      <c r="R16" s="831"/>
      <c r="S16" s="832"/>
      <c r="T16" s="833"/>
      <c r="AB16" s="171" t="s">
        <v>139</v>
      </c>
      <c r="AC16" s="52">
        <v>23.285155314221893</v>
      </c>
      <c r="AD16" s="280">
        <v>1.3649098381856148</v>
      </c>
      <c r="AE16" s="693"/>
      <c r="AF16" s="693"/>
      <c r="AG16" s="738"/>
    </row>
    <row r="17" spans="22:33">
      <c r="AB17" s="171" t="s">
        <v>140</v>
      </c>
      <c r="AC17" s="52">
        <v>20.675793998248889</v>
      </c>
      <c r="AD17" s="242" t="s">
        <v>294</v>
      </c>
      <c r="AE17" s="693"/>
      <c r="AF17" s="693"/>
      <c r="AG17" s="738"/>
    </row>
    <row r="18" spans="22:33" ht="15" thickBot="1">
      <c r="AB18" s="91"/>
      <c r="AD18" s="287">
        <f>(AD15/AC16)*100</f>
        <v>4.7860716457085442</v>
      </c>
      <c r="AE18" s="791"/>
      <c r="AF18" s="791"/>
      <c r="AG18" s="740"/>
    </row>
    <row r="19" spans="22:33" ht="15" thickBot="1">
      <c r="AB19" s="163"/>
      <c r="AC19" s="115"/>
      <c r="AD19" s="281">
        <f>AD16/AC16*100</f>
        <v>5.8617167021942427</v>
      </c>
    </row>
    <row r="23" spans="22:33" ht="18">
      <c r="V23" s="817" t="s">
        <v>275</v>
      </c>
      <c r="W23" s="818"/>
      <c r="X23" s="818"/>
      <c r="Y23" s="818"/>
      <c r="Z23" s="818"/>
      <c r="AA23" s="818"/>
      <c r="AB23" s="819"/>
    </row>
    <row r="24" spans="22:33">
      <c r="V24" s="314"/>
      <c r="W24" s="795" t="s">
        <v>221</v>
      </c>
      <c r="X24" s="796"/>
      <c r="Y24" s="822" t="s">
        <v>222</v>
      </c>
      <c r="Z24" s="796"/>
      <c r="AA24" s="795" t="s">
        <v>223</v>
      </c>
      <c r="AB24" s="796"/>
    </row>
    <row r="25" spans="22:33">
      <c r="V25" s="352" t="s">
        <v>225</v>
      </c>
      <c r="W25" s="797">
        <v>22.412980858485966</v>
      </c>
      <c r="X25" s="798"/>
      <c r="Y25" s="797">
        <v>22.836325663972733</v>
      </c>
      <c r="Z25" s="798"/>
      <c r="AA25" s="799">
        <v>26.7588007757229</v>
      </c>
      <c r="AB25" s="800"/>
    </row>
    <row r="26" spans="22:33">
      <c r="V26" s="352" t="s">
        <v>170</v>
      </c>
      <c r="W26" s="797">
        <v>23.423458310573537</v>
      </c>
      <c r="X26" s="798"/>
      <c r="Y26" s="797">
        <v>25.069830539497492</v>
      </c>
      <c r="Z26" s="798"/>
      <c r="AA26" s="799">
        <v>27.227829469572765</v>
      </c>
      <c r="AB26" s="800"/>
    </row>
    <row r="27" spans="22:33">
      <c r="V27" s="352" t="s">
        <v>171</v>
      </c>
      <c r="W27" s="797">
        <v>22.566294447378073</v>
      </c>
      <c r="X27" s="798"/>
      <c r="Y27" s="797">
        <v>21.413635470079015</v>
      </c>
      <c r="Z27" s="798"/>
      <c r="AA27" s="799">
        <v>21.748967099086034</v>
      </c>
      <c r="AB27" s="800"/>
    </row>
  </sheetData>
  <mergeCells count="30">
    <mergeCell ref="A1:H1"/>
    <mergeCell ref="I1:K1"/>
    <mergeCell ref="L2:N2"/>
    <mergeCell ref="O2:Q2"/>
    <mergeCell ref="R2:T2"/>
    <mergeCell ref="R14:S16"/>
    <mergeCell ref="T14:T16"/>
    <mergeCell ref="AE2:AG6"/>
    <mergeCell ref="AE8:AG12"/>
    <mergeCell ref="AE14:AG18"/>
    <mergeCell ref="R4:S6"/>
    <mergeCell ref="T4:T6"/>
    <mergeCell ref="R8:S8"/>
    <mergeCell ref="R9:S11"/>
    <mergeCell ref="T9:T11"/>
    <mergeCell ref="R13:S13"/>
    <mergeCell ref="R3:S3"/>
    <mergeCell ref="W27:X27"/>
    <mergeCell ref="Y27:Z27"/>
    <mergeCell ref="AA27:AB27"/>
    <mergeCell ref="V23:AB23"/>
    <mergeCell ref="W26:X26"/>
    <mergeCell ref="Y26:Z26"/>
    <mergeCell ref="AA26:AB26"/>
    <mergeCell ref="W24:X24"/>
    <mergeCell ref="Y24:Z24"/>
    <mergeCell ref="AA24:AB24"/>
    <mergeCell ref="W25:X25"/>
    <mergeCell ref="Y25:Z25"/>
    <mergeCell ref="AA25:AB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75"/>
  <sheetViews>
    <sheetView topLeftCell="V1" zoomScale="70" zoomScaleNormal="70" workbookViewId="0">
      <selection activeCell="AP2" sqref="AP2:AR25"/>
    </sheetView>
  </sheetViews>
  <sheetFormatPr baseColWidth="10" defaultColWidth="11.5546875" defaultRowHeight="14.4"/>
  <cols>
    <col min="7" max="7" width="12.6640625" customWidth="1"/>
    <col min="8" max="8" width="16.33203125" customWidth="1"/>
    <col min="15" max="15" width="12" bestFit="1" customWidth="1"/>
    <col min="43" max="43" width="34" customWidth="1"/>
  </cols>
  <sheetData>
    <row r="1" spans="1:44" ht="15" thickBot="1">
      <c r="A1" s="807" t="s">
        <v>168</v>
      </c>
      <c r="B1" s="807"/>
      <c r="C1" s="807"/>
      <c r="D1" s="807"/>
      <c r="E1" s="807"/>
      <c r="F1" s="807"/>
      <c r="G1" s="807"/>
      <c r="H1" s="808"/>
      <c r="I1" s="772" t="s">
        <v>119</v>
      </c>
      <c r="J1" s="773"/>
      <c r="K1" s="780"/>
      <c r="AC1" s="78"/>
      <c r="AD1" s="79"/>
    </row>
    <row r="2" spans="1:44" ht="18.600000000000001" thickBot="1">
      <c r="A2" s="165" t="s">
        <v>120</v>
      </c>
      <c r="B2" s="165" t="s">
        <v>121</v>
      </c>
      <c r="C2" s="165" t="s">
        <v>41</v>
      </c>
      <c r="D2" s="165" t="s">
        <v>59</v>
      </c>
      <c r="E2" s="165" t="s">
        <v>122</v>
      </c>
      <c r="F2" s="165" t="s">
        <v>31</v>
      </c>
      <c r="G2" s="166" t="s">
        <v>32</v>
      </c>
      <c r="H2" s="165" t="s">
        <v>11</v>
      </c>
      <c r="I2" t="s">
        <v>120</v>
      </c>
      <c r="L2" s="834" t="s">
        <v>159</v>
      </c>
      <c r="M2" s="835"/>
      <c r="N2" s="836"/>
      <c r="O2" s="772" t="s">
        <v>160</v>
      </c>
      <c r="P2" s="773"/>
      <c r="Q2" s="780"/>
      <c r="R2" s="772" t="s">
        <v>125</v>
      </c>
      <c r="S2" s="773"/>
      <c r="T2" s="780"/>
      <c r="V2" s="238" t="s">
        <v>225</v>
      </c>
      <c r="W2" s="239" t="s">
        <v>297</v>
      </c>
      <c r="X2" s="240" t="s">
        <v>300</v>
      </c>
      <c r="Y2" s="238" t="s">
        <v>225</v>
      </c>
      <c r="Z2" s="239" t="s">
        <v>293</v>
      </c>
      <c r="AA2" s="337" t="s">
        <v>300</v>
      </c>
      <c r="AB2" s="238" t="s">
        <v>225</v>
      </c>
      <c r="AC2" s="337" t="s">
        <v>295</v>
      </c>
      <c r="AD2" s="240" t="s">
        <v>300</v>
      </c>
      <c r="AE2" s="839" t="s">
        <v>236</v>
      </c>
      <c r="AF2" s="839"/>
      <c r="AG2" s="839"/>
      <c r="AH2" s="238" t="s">
        <v>225</v>
      </c>
      <c r="AI2" s="239" t="s">
        <v>303</v>
      </c>
      <c r="AJ2" s="240" t="s">
        <v>300</v>
      </c>
      <c r="AP2" s="238" t="s">
        <v>225</v>
      </c>
      <c r="AQ2" s="375" t="s">
        <v>301</v>
      </c>
      <c r="AR2" s="240" t="s">
        <v>302</v>
      </c>
    </row>
    <row r="3" spans="1:44">
      <c r="A3" s="135" t="s">
        <v>126</v>
      </c>
      <c r="B3" s="136"/>
      <c r="C3" s="136">
        <v>38.250399999999999</v>
      </c>
      <c r="D3" s="136">
        <v>2.5076999999999998</v>
      </c>
      <c r="E3" s="136">
        <v>39.950400000000002</v>
      </c>
      <c r="F3" s="139">
        <f>E3-C3</f>
        <v>1.7000000000000028</v>
      </c>
      <c r="G3" s="157">
        <f>D3-F3</f>
        <v>0.80769999999999698</v>
      </c>
      <c r="H3" s="84">
        <f>(G3/D3)*100</f>
        <v>32.208796905530846</v>
      </c>
      <c r="I3" s="104" t="s">
        <v>31</v>
      </c>
      <c r="J3" s="104" t="s">
        <v>32</v>
      </c>
      <c r="K3" s="104" t="s">
        <v>11</v>
      </c>
      <c r="L3" s="135" t="s">
        <v>127</v>
      </c>
      <c r="M3" s="136" t="s">
        <v>113</v>
      </c>
      <c r="N3" s="139" t="s">
        <v>112</v>
      </c>
      <c r="O3" s="135" t="s">
        <v>127</v>
      </c>
      <c r="P3" s="136" t="s">
        <v>113</v>
      </c>
      <c r="Q3" s="139" t="s">
        <v>112</v>
      </c>
      <c r="R3" s="772" t="s">
        <v>128</v>
      </c>
      <c r="S3" s="773"/>
      <c r="T3" s="166" t="s">
        <v>129</v>
      </c>
      <c r="V3" s="169" t="s">
        <v>126</v>
      </c>
      <c r="W3" s="84">
        <v>23.590479405807155</v>
      </c>
      <c r="X3" s="248">
        <v>3.7859044312529342</v>
      </c>
      <c r="Y3" s="169" t="s">
        <v>126</v>
      </c>
      <c r="Z3" s="84">
        <v>20.740641472348621</v>
      </c>
      <c r="AA3" s="247">
        <v>3.8298077767270522</v>
      </c>
      <c r="AB3" s="169" t="s">
        <v>126</v>
      </c>
      <c r="AC3" s="158">
        <v>32.208796905530846</v>
      </c>
      <c r="AD3" s="248">
        <v>0.87767680814504745</v>
      </c>
      <c r="AE3" s="139" t="s">
        <v>170</v>
      </c>
      <c r="AF3" s="337" t="s">
        <v>295</v>
      </c>
      <c r="AG3" s="337" t="s">
        <v>300</v>
      </c>
      <c r="AH3" s="169" t="s">
        <v>126</v>
      </c>
      <c r="AI3" s="84">
        <v>33.488390585241511</v>
      </c>
      <c r="AJ3" s="248">
        <v>1.1124773076882215</v>
      </c>
      <c r="AP3" s="164" t="s">
        <v>16</v>
      </c>
      <c r="AQ3" s="84">
        <v>32.208796905530846</v>
      </c>
      <c r="AR3" s="278">
        <v>1.083540016646757</v>
      </c>
    </row>
    <row r="4" spans="1:44">
      <c r="A4" s="103" t="s">
        <v>130</v>
      </c>
      <c r="B4" s="104"/>
      <c r="C4" s="104">
        <v>35.662500000000001</v>
      </c>
      <c r="D4" s="104">
        <v>2.5234999999999999</v>
      </c>
      <c r="E4" s="104">
        <v>37.387799999999999</v>
      </c>
      <c r="F4" s="106">
        <f t="shared" ref="F4:F5" si="0">E4-C4</f>
        <v>1.7252999999999972</v>
      </c>
      <c r="G4" s="157">
        <f t="shared" ref="G4:G5" si="1">D4-F4</f>
        <v>0.79820000000000269</v>
      </c>
      <c r="H4" s="84">
        <f t="shared" ref="H4:H5" si="2">(G4/D4)*100</f>
        <v>31.630671686150297</v>
      </c>
      <c r="I4">
        <f>SUM(F3:F5)/3</f>
        <v>1.7310333333333314</v>
      </c>
      <c r="J4">
        <f>SUM(G3:G5)/3</f>
        <v>0.78936666666666844</v>
      </c>
      <c r="K4" s="172">
        <f>SUM(H3:H5)/3</f>
        <v>31.321983601706702</v>
      </c>
      <c r="L4" s="173">
        <f>(H3-$K$4)^2</f>
        <v>0.78643783583949456</v>
      </c>
      <c r="M4">
        <f>SUM(L4:L6)/3</f>
        <v>0.77031657955567845</v>
      </c>
      <c r="N4" s="174">
        <f>SQRT(M4)</f>
        <v>0.87767680814504745</v>
      </c>
      <c r="O4" s="173">
        <f>($D$6-D3)^2</f>
        <v>1.6129000000000395E-4</v>
      </c>
      <c r="P4">
        <f>SUM(O4:O6)/3</f>
        <v>8.7686666666666655E-5</v>
      </c>
      <c r="Q4" s="174">
        <f>SQRT(P4)</f>
        <v>9.3641159041666418E-3</v>
      </c>
      <c r="R4" s="766">
        <v>0.87767680814504745</v>
      </c>
      <c r="S4" s="767"/>
      <c r="T4" s="850">
        <f>(R4/K4)*100</f>
        <v>2.8021111922720747</v>
      </c>
      <c r="V4" s="171" t="s">
        <v>130</v>
      </c>
      <c r="W4" s="84">
        <v>31.63324897800231</v>
      </c>
      <c r="X4" s="242" t="s">
        <v>294</v>
      </c>
      <c r="Y4" s="171" t="s">
        <v>130</v>
      </c>
      <c r="Z4" s="84">
        <v>28.260674961954972</v>
      </c>
      <c r="AA4" s="167" t="s">
        <v>294</v>
      </c>
      <c r="AB4" s="171" t="s">
        <v>130</v>
      </c>
      <c r="AC4" s="158">
        <v>31.630671686150297</v>
      </c>
      <c r="AD4" s="371">
        <v>1.0749301695149867</v>
      </c>
      <c r="AE4" s="104" t="s">
        <v>134</v>
      </c>
      <c r="AF4" s="84">
        <v>31.007081038552386</v>
      </c>
      <c r="AG4" s="247">
        <v>0.78293796467791321</v>
      </c>
      <c r="AH4" s="171" t="s">
        <v>130</v>
      </c>
      <c r="AI4" s="84">
        <v>32.18782168025966</v>
      </c>
      <c r="AJ4" s="366">
        <v>1.3625008771306721</v>
      </c>
      <c r="AP4" s="164" t="s">
        <v>17</v>
      </c>
      <c r="AQ4" s="84">
        <v>31.630671686150297</v>
      </c>
      <c r="AR4" s="366">
        <v>1.186958618153904</v>
      </c>
    </row>
    <row r="5" spans="1:44" ht="15" thickBot="1">
      <c r="A5" s="107" t="s">
        <v>131</v>
      </c>
      <c r="B5" s="108"/>
      <c r="C5" s="108">
        <v>35.532200000000003</v>
      </c>
      <c r="D5" s="108">
        <v>2.5299999999999998</v>
      </c>
      <c r="E5" s="108">
        <v>37.299999999999997</v>
      </c>
      <c r="F5" s="109">
        <f t="shared" si="0"/>
        <v>1.767799999999994</v>
      </c>
      <c r="G5" s="157">
        <f t="shared" si="1"/>
        <v>0.76220000000000576</v>
      </c>
      <c r="H5" s="84">
        <f t="shared" si="2"/>
        <v>30.126482213438965</v>
      </c>
      <c r="L5" s="173">
        <f t="shared" ref="L5:L6" si="3">(H4-$K$4)^2</f>
        <v>9.5288333477456216E-2</v>
      </c>
      <c r="N5" s="176"/>
      <c r="O5" s="173">
        <f t="shared" ref="O5:O6" si="4">($D$6-D4)^2</f>
        <v>9.6099999999992592E-6</v>
      </c>
      <c r="Q5" s="176"/>
      <c r="R5" s="768"/>
      <c r="S5" s="769"/>
      <c r="T5" s="851"/>
      <c r="V5" s="175" t="s">
        <v>131</v>
      </c>
      <c r="W5" s="84">
        <v>31.609891060003736</v>
      </c>
      <c r="X5" s="306">
        <f>(X3/W4)*100</f>
        <v>11.968117577444048</v>
      </c>
      <c r="Y5" s="175" t="s">
        <v>131</v>
      </c>
      <c r="Z5" s="84">
        <v>29.357637367452394</v>
      </c>
      <c r="AA5" s="271">
        <f>(AA3/Z5)*100</f>
        <v>13.045354191114175</v>
      </c>
      <c r="AB5" s="175" t="s">
        <v>131</v>
      </c>
      <c r="AC5" s="158">
        <v>30.126482213438965</v>
      </c>
      <c r="AD5" s="242" t="s">
        <v>294</v>
      </c>
      <c r="AE5" s="104" t="s">
        <v>135</v>
      </c>
      <c r="AF5" s="84">
        <v>30.699818740641316</v>
      </c>
      <c r="AG5" s="213">
        <v>0.87535125559257165</v>
      </c>
      <c r="AH5" s="175" t="s">
        <v>131</v>
      </c>
      <c r="AI5" s="84">
        <v>30.764313396460075</v>
      </c>
      <c r="AJ5" s="242" t="s">
        <v>294</v>
      </c>
      <c r="AP5" s="164" t="s">
        <v>18</v>
      </c>
      <c r="AQ5" s="84">
        <v>30.126482213438965</v>
      </c>
      <c r="AR5" s="284" t="s">
        <v>155</v>
      </c>
    </row>
    <row r="6" spans="1:44">
      <c r="A6" s="103"/>
      <c r="B6" s="104"/>
      <c r="C6" s="138" t="s">
        <v>83</v>
      </c>
      <c r="D6" s="138">
        <f>SUM(D3:D5)/3</f>
        <v>2.5204</v>
      </c>
      <c r="E6" s="104"/>
      <c r="F6" s="104"/>
      <c r="G6" s="104"/>
      <c r="H6" s="104"/>
      <c r="L6" s="188">
        <f t="shared" si="3"/>
        <v>1.4292235693500848</v>
      </c>
      <c r="M6" s="187"/>
      <c r="N6" s="286">
        <f>_xlfn.STDEV.S(H3:H5)</f>
        <v>1.0749301695149867</v>
      </c>
      <c r="O6" s="188">
        <f t="shared" si="4"/>
        <v>9.2159999999996759E-5</v>
      </c>
      <c r="P6" s="187"/>
      <c r="Q6" s="189"/>
      <c r="R6" s="831"/>
      <c r="S6" s="832"/>
      <c r="T6" s="852"/>
      <c r="V6" s="277" t="s">
        <v>170</v>
      </c>
      <c r="W6" s="167"/>
      <c r="X6" s="240" t="s">
        <v>300</v>
      </c>
      <c r="Y6" s="268" t="s">
        <v>170</v>
      </c>
      <c r="Z6" s="104"/>
      <c r="AA6" s="337" t="s">
        <v>300</v>
      </c>
      <c r="AB6" s="91"/>
      <c r="AD6" s="249">
        <f>(AD3/AC3)*100</f>
        <v>2.7249599254492307</v>
      </c>
      <c r="AE6" s="108" t="s">
        <v>136</v>
      </c>
      <c r="AF6" s="84">
        <v>28.962910465390916</v>
      </c>
      <c r="AG6" s="167" t="s">
        <v>294</v>
      </c>
      <c r="AH6" s="91"/>
      <c r="AJ6" s="249">
        <f>(AJ3/AI3)*100</f>
        <v>3.3219790149559931</v>
      </c>
      <c r="AP6" s="164" t="s">
        <v>174</v>
      </c>
      <c r="AQ6" s="84">
        <v>33.488390585241511</v>
      </c>
      <c r="AR6" s="249">
        <f>(AR3/AQ6)*100</f>
        <v>3.2355690963670201</v>
      </c>
    </row>
    <row r="7" spans="1:44" ht="15" thickBot="1">
      <c r="A7" s="268" t="s">
        <v>133</v>
      </c>
      <c r="B7" s="268" t="s">
        <v>121</v>
      </c>
      <c r="C7" s="268" t="s">
        <v>41</v>
      </c>
      <c r="D7" s="268" t="s">
        <v>59</v>
      </c>
      <c r="E7" s="268" t="s">
        <v>122</v>
      </c>
      <c r="F7" s="268" t="s">
        <v>31</v>
      </c>
      <c r="G7" s="165" t="s">
        <v>32</v>
      </c>
      <c r="H7" s="165" t="s">
        <v>11</v>
      </c>
      <c r="I7" t="s">
        <v>133</v>
      </c>
      <c r="L7" s="173"/>
      <c r="N7" s="176"/>
      <c r="O7" s="173"/>
      <c r="Q7" s="176"/>
      <c r="R7" s="230"/>
      <c r="S7" s="231"/>
      <c r="T7" s="232"/>
      <c r="V7" s="169" t="s">
        <v>134</v>
      </c>
      <c r="W7" s="84">
        <v>23.158551810237288</v>
      </c>
      <c r="X7" s="248">
        <v>4.2820761391381028</v>
      </c>
      <c r="Y7" s="171" t="s">
        <v>134</v>
      </c>
      <c r="Z7" s="84">
        <v>23.080578103345921</v>
      </c>
      <c r="AA7" s="247">
        <v>3.0788243571035308</v>
      </c>
      <c r="AB7" s="91"/>
      <c r="AD7" s="495">
        <f>AD4/AC3*100</f>
        <v>3.3373806934415522</v>
      </c>
      <c r="AE7" s="139" t="s">
        <v>170</v>
      </c>
      <c r="AF7" s="165" t="s">
        <v>299</v>
      </c>
      <c r="AG7" s="117">
        <f>(AG4/AF4)*100</f>
        <v>2.5250295689054192</v>
      </c>
      <c r="AH7" s="91"/>
      <c r="AJ7" s="245">
        <f>AJ4/AI3*100</f>
        <v>4.0685767614378356</v>
      </c>
      <c r="AP7" s="164" t="s">
        <v>175</v>
      </c>
      <c r="AQ7" s="84">
        <v>32.18782168025966</v>
      </c>
      <c r="AR7" s="367">
        <f>AR4/AQ6*100</f>
        <v>3.5443883608936475</v>
      </c>
    </row>
    <row r="8" spans="1:44" ht="15" customHeight="1" thickBot="1">
      <c r="A8" s="135" t="s">
        <v>134</v>
      </c>
      <c r="B8" s="136"/>
      <c r="C8" s="136">
        <v>38.250399999999999</v>
      </c>
      <c r="D8" s="136">
        <v>2.5419999999999998</v>
      </c>
      <c r="E8" s="136">
        <v>40.004199999999997</v>
      </c>
      <c r="F8" s="139">
        <f>E8-C8</f>
        <v>1.7537999999999982</v>
      </c>
      <c r="G8" s="157">
        <f>D8-F8</f>
        <v>0.78820000000000157</v>
      </c>
      <c r="H8" s="84">
        <f>(G8/D8)*100</f>
        <v>31.007081038552386</v>
      </c>
      <c r="I8" s="104" t="s">
        <v>31</v>
      </c>
      <c r="J8" s="104" t="s">
        <v>32</v>
      </c>
      <c r="K8" s="104" t="s">
        <v>11</v>
      </c>
      <c r="L8" s="135" t="s">
        <v>127</v>
      </c>
      <c r="M8" s="136" t="s">
        <v>113</v>
      </c>
      <c r="N8" s="139" t="s">
        <v>112</v>
      </c>
      <c r="O8" s="135" t="s">
        <v>127</v>
      </c>
      <c r="P8" s="136" t="s">
        <v>113</v>
      </c>
      <c r="Q8" s="139" t="s">
        <v>112</v>
      </c>
      <c r="R8" s="772" t="s">
        <v>128</v>
      </c>
      <c r="S8" s="773"/>
      <c r="T8" s="166" t="s">
        <v>129</v>
      </c>
      <c r="V8" s="171" t="s">
        <v>135</v>
      </c>
      <c r="W8" s="84">
        <v>32.082280765066713</v>
      </c>
      <c r="X8" s="242" t="s">
        <v>294</v>
      </c>
      <c r="Y8" s="171" t="s">
        <v>135</v>
      </c>
      <c r="Z8" s="84">
        <v>28.067001675041702</v>
      </c>
      <c r="AA8" s="167" t="s">
        <v>294</v>
      </c>
      <c r="AB8" s="277" t="s">
        <v>170</v>
      </c>
      <c r="AC8" s="167" t="s">
        <v>295</v>
      </c>
      <c r="AD8" s="242" t="s">
        <v>300</v>
      </c>
      <c r="AE8" s="104" t="s">
        <v>135</v>
      </c>
      <c r="AF8" s="84">
        <v>29.561365344302398</v>
      </c>
      <c r="AG8" s="494">
        <f>(AG5/AF4)*100</f>
        <v>2.8230688806347533</v>
      </c>
      <c r="AH8" s="277" t="s">
        <v>170</v>
      </c>
      <c r="AI8" s="165" t="s">
        <v>303</v>
      </c>
      <c r="AJ8" s="242" t="s">
        <v>300</v>
      </c>
      <c r="AK8" s="790" t="s">
        <v>231</v>
      </c>
      <c r="AL8" s="790"/>
      <c r="AM8" s="790"/>
      <c r="AN8" s="790"/>
      <c r="AO8" s="790"/>
      <c r="AP8" s="164" t="s">
        <v>176</v>
      </c>
      <c r="AQ8" s="84">
        <v>30.764313396460075</v>
      </c>
      <c r="AR8" s="81"/>
    </row>
    <row r="9" spans="1:44" ht="15" thickBot="1">
      <c r="A9" s="103" t="s">
        <v>135</v>
      </c>
      <c r="B9" s="104"/>
      <c r="C9" s="104">
        <v>37.042499999999997</v>
      </c>
      <c r="D9" s="104">
        <v>2.5377999999999998</v>
      </c>
      <c r="E9" s="104">
        <v>38.801200000000001</v>
      </c>
      <c r="F9" s="106">
        <f>E9-C9</f>
        <v>1.7587000000000046</v>
      </c>
      <c r="G9" s="157">
        <f t="shared" ref="G9:G10" si="5">D9-F9</f>
        <v>0.77909999999999524</v>
      </c>
      <c r="H9" s="84">
        <f>(G9/D9)*100</f>
        <v>30.699818740641316</v>
      </c>
      <c r="I9">
        <f>SUM(F8:F10)/3</f>
        <v>1.7722333333333349</v>
      </c>
      <c r="J9">
        <f>SUM(G8:G10)/3</f>
        <v>0.76763333333333172</v>
      </c>
      <c r="K9" s="172">
        <f>SUM(H8:H10)/3</f>
        <v>30.223270081528209</v>
      </c>
      <c r="L9" s="173">
        <f>(H8-$K$9)^2</f>
        <v>0.6143596163511551</v>
      </c>
      <c r="M9">
        <f>SUM(L9:L11)/3</f>
        <v>0.80998820094780022</v>
      </c>
      <c r="N9" s="174">
        <f>SQRT(M9)</f>
        <v>0.89999344494712863</v>
      </c>
      <c r="O9" s="173">
        <f>($D$11-D8)^2</f>
        <v>4.5511111111101089E-6</v>
      </c>
      <c r="P9">
        <f>SUM(O9:O11)/3</f>
        <v>2.942222222222186E-6</v>
      </c>
      <c r="Q9" s="174">
        <f>SQRT(P9)</f>
        <v>1.7152907107024704E-3</v>
      </c>
      <c r="R9" s="766">
        <v>0.89999344494712863</v>
      </c>
      <c r="S9" s="767"/>
      <c r="T9" s="850">
        <f>(R9/K9)*100</f>
        <v>2.9778162406628015</v>
      </c>
      <c r="V9" s="175" t="s">
        <v>136</v>
      </c>
      <c r="W9" s="84">
        <v>32.394103377496251</v>
      </c>
      <c r="X9" s="306">
        <f>(X7/W9)*100</f>
        <v>13.218690109240077</v>
      </c>
      <c r="Y9" s="175" t="s">
        <v>136</v>
      </c>
      <c r="Z9" s="84">
        <v>30.473575840768675</v>
      </c>
      <c r="AA9" s="271">
        <f>(AA7/Z9)*100</f>
        <v>10.103259207882543</v>
      </c>
      <c r="AB9" s="171" t="s">
        <v>134</v>
      </c>
      <c r="AC9" s="158">
        <v>31.007081038552386</v>
      </c>
      <c r="AD9" s="248">
        <v>0.89999344494712863</v>
      </c>
      <c r="AE9" s="178" t="s">
        <v>136</v>
      </c>
      <c r="AF9" s="233">
        <v>29.438917628332838</v>
      </c>
      <c r="AG9" s="115"/>
      <c r="AH9" s="164" t="s">
        <v>135</v>
      </c>
      <c r="AI9" s="184">
        <v>32.398429361326855</v>
      </c>
      <c r="AJ9" s="368">
        <v>2.4504609418797383</v>
      </c>
      <c r="AK9" s="693"/>
      <c r="AL9" s="693"/>
      <c r="AM9" s="693"/>
      <c r="AN9" s="693"/>
      <c r="AO9" s="693"/>
      <c r="AP9" s="268" t="s">
        <v>170</v>
      </c>
      <c r="AQ9" s="375" t="s">
        <v>301</v>
      </c>
      <c r="AR9" s="240" t="s">
        <v>302</v>
      </c>
    </row>
    <row r="10" spans="1:44">
      <c r="A10" s="107" t="s">
        <v>136</v>
      </c>
      <c r="B10" s="108"/>
      <c r="C10" s="108">
        <v>36.499699999999997</v>
      </c>
      <c r="D10" s="108">
        <v>2.5398000000000001</v>
      </c>
      <c r="E10" s="108">
        <v>38.303899999999999</v>
      </c>
      <c r="F10" s="109">
        <f>E10-C10</f>
        <v>1.8042000000000016</v>
      </c>
      <c r="G10" s="157">
        <f t="shared" si="5"/>
        <v>0.73559999999999848</v>
      </c>
      <c r="H10" s="84">
        <f>(G10/D10)*100</f>
        <v>28.962910465390916</v>
      </c>
      <c r="L10" s="173">
        <f t="shared" ref="L10:L11" si="6">(H9-$K$9)^2</f>
        <v>0.22709862450249979</v>
      </c>
      <c r="N10" s="176"/>
      <c r="O10" s="173">
        <f t="shared" ref="O10:O11" si="7">($D$11-D9)^2</f>
        <v>4.2711111111120055E-6</v>
      </c>
      <c r="Q10" s="176"/>
      <c r="R10" s="768"/>
      <c r="S10" s="769"/>
      <c r="T10" s="851"/>
      <c r="V10" s="277" t="s">
        <v>219</v>
      </c>
      <c r="W10" s="167"/>
      <c r="X10" s="240" t="s">
        <v>300</v>
      </c>
      <c r="Y10" s="277" t="s">
        <v>219</v>
      </c>
      <c r="Z10" s="104"/>
      <c r="AA10" s="337" t="s">
        <v>300</v>
      </c>
      <c r="AB10" s="171" t="s">
        <v>135</v>
      </c>
      <c r="AC10" s="158">
        <v>30.699818740641316</v>
      </c>
      <c r="AD10" s="371">
        <v>1.1022623559850442</v>
      </c>
      <c r="AE10" s="397" t="s">
        <v>219</v>
      </c>
      <c r="AF10" s="337" t="s">
        <v>295</v>
      </c>
      <c r="AG10" s="337" t="s">
        <v>300</v>
      </c>
      <c r="AH10" s="164" t="s">
        <v>136</v>
      </c>
      <c r="AI10" s="184">
        <v>27.497507477567378</v>
      </c>
      <c r="AJ10" s="369">
        <v>3.4654750980718743</v>
      </c>
      <c r="AK10" s="693"/>
      <c r="AL10" s="693"/>
      <c r="AM10" s="693"/>
      <c r="AN10" s="693"/>
      <c r="AO10" s="693"/>
      <c r="AP10" s="164" t="s">
        <v>134</v>
      </c>
      <c r="AQ10" s="84">
        <v>31.007081038552386</v>
      </c>
      <c r="AR10" s="278">
        <v>1.4674932432392447</v>
      </c>
    </row>
    <row r="11" spans="1:44">
      <c r="A11" s="103"/>
      <c r="B11" s="104"/>
      <c r="C11" s="138" t="s">
        <v>83</v>
      </c>
      <c r="D11" s="138">
        <f>SUM(D8:D10)/3</f>
        <v>2.5398666666666667</v>
      </c>
      <c r="E11" s="104"/>
      <c r="F11" s="104"/>
      <c r="G11" s="104"/>
      <c r="H11" s="104"/>
      <c r="L11" s="188">
        <f t="shared" si="6"/>
        <v>1.5885063619897457</v>
      </c>
      <c r="M11" s="187"/>
      <c r="N11" s="286">
        <f>_xlfn.STDEV.S(H8:H10)</f>
        <v>1.1022623559850442</v>
      </c>
      <c r="O11" s="188">
        <f t="shared" si="7"/>
        <v>4.4444444444434657E-9</v>
      </c>
      <c r="P11" s="187"/>
      <c r="Q11" s="189"/>
      <c r="R11" s="831"/>
      <c r="S11" s="832"/>
      <c r="T11" s="852"/>
      <c r="V11" s="169" t="s">
        <v>138</v>
      </c>
      <c r="W11" s="84">
        <v>21.010686469842476</v>
      </c>
      <c r="X11" s="248">
        <v>4.7976702085488334</v>
      </c>
      <c r="Y11" s="171" t="s">
        <v>138</v>
      </c>
      <c r="Z11" s="84">
        <v>23.262757871878559</v>
      </c>
      <c r="AA11" s="247">
        <v>1.9883572062978081</v>
      </c>
      <c r="AB11" s="175" t="s">
        <v>136</v>
      </c>
      <c r="AC11" s="158">
        <v>28.962910465390916</v>
      </c>
      <c r="AD11" s="242" t="s">
        <v>294</v>
      </c>
      <c r="AE11" s="104" t="s">
        <v>138</v>
      </c>
      <c r="AF11" s="84">
        <v>28.518884714257702</v>
      </c>
      <c r="AG11" s="247">
        <v>0.75389585339802445</v>
      </c>
      <c r="AH11" s="91"/>
      <c r="AJ11" s="242" t="s">
        <v>294</v>
      </c>
      <c r="AK11" s="693"/>
      <c r="AL11" s="693"/>
      <c r="AM11" s="693"/>
      <c r="AN11" s="693"/>
      <c r="AO11" s="693"/>
      <c r="AP11" s="164" t="s">
        <v>135</v>
      </c>
      <c r="AQ11" s="84">
        <v>30.699818740641316</v>
      </c>
      <c r="AR11" s="366">
        <v>1.585073864349853</v>
      </c>
    </row>
    <row r="12" spans="1:44">
      <c r="A12" s="268" t="s">
        <v>137</v>
      </c>
      <c r="B12" s="268" t="s">
        <v>121</v>
      </c>
      <c r="C12" s="268" t="s">
        <v>41</v>
      </c>
      <c r="D12" s="268" t="s">
        <v>59</v>
      </c>
      <c r="E12" s="268" t="s">
        <v>122</v>
      </c>
      <c r="F12" s="268" t="s">
        <v>31</v>
      </c>
      <c r="G12" s="165" t="s">
        <v>32</v>
      </c>
      <c r="H12" s="165" t="s">
        <v>11</v>
      </c>
      <c r="I12" t="s">
        <v>137</v>
      </c>
      <c r="L12" s="173"/>
      <c r="N12" s="176"/>
      <c r="O12" s="173"/>
      <c r="Q12" s="176"/>
      <c r="R12" s="173"/>
      <c r="T12" s="176"/>
      <c r="V12" s="171" t="s">
        <v>139</v>
      </c>
      <c r="W12" s="84">
        <v>30.75497915701758</v>
      </c>
      <c r="X12" s="242" t="s">
        <v>294</v>
      </c>
      <c r="Y12" s="171" t="s">
        <v>139</v>
      </c>
      <c r="Z12" s="84">
        <v>27.82366545523184</v>
      </c>
      <c r="AA12" s="167" t="s">
        <v>294</v>
      </c>
      <c r="AB12" s="91"/>
      <c r="AD12" s="249">
        <f>(AD9/AC9)*100</f>
        <v>2.9025416608165391</v>
      </c>
      <c r="AE12" s="104" t="s">
        <v>139</v>
      </c>
      <c r="AF12" s="84">
        <v>27.389231851215008</v>
      </c>
      <c r="AG12" s="213">
        <v>0.84288118807659929</v>
      </c>
      <c r="AH12" s="91"/>
      <c r="AJ12" s="249">
        <f>(AJ9/AI9)*100</f>
        <v>7.5635177080676286</v>
      </c>
      <c r="AK12" s="693"/>
      <c r="AL12" s="693"/>
      <c r="AM12" s="693"/>
      <c r="AN12" s="693"/>
      <c r="AO12" s="693"/>
      <c r="AP12" s="164" t="s">
        <v>136</v>
      </c>
      <c r="AQ12" s="84">
        <v>28.962910465390916</v>
      </c>
      <c r="AR12" s="284" t="s">
        <v>155</v>
      </c>
    </row>
    <row r="13" spans="1:44" ht="15" thickBot="1">
      <c r="A13" s="135" t="s">
        <v>138</v>
      </c>
      <c r="B13" s="136"/>
      <c r="C13" s="136">
        <v>36.498800000000003</v>
      </c>
      <c r="D13" s="136">
        <v>2.5285000000000002</v>
      </c>
      <c r="E13" s="136">
        <v>38.306199999999997</v>
      </c>
      <c r="F13" s="139">
        <f>E13-C13</f>
        <v>1.8073999999999941</v>
      </c>
      <c r="G13" s="157">
        <f>D13-F13</f>
        <v>0.72110000000000607</v>
      </c>
      <c r="H13" s="84">
        <f>(G13/D13)*100</f>
        <v>28.518884714257702</v>
      </c>
      <c r="I13" s="104" t="s">
        <v>31</v>
      </c>
      <c r="J13" s="104" t="s">
        <v>32</v>
      </c>
      <c r="K13" s="104" t="s">
        <v>11</v>
      </c>
      <c r="L13" s="135" t="s">
        <v>127</v>
      </c>
      <c r="M13" s="136" t="s">
        <v>113</v>
      </c>
      <c r="N13" s="139" t="s">
        <v>112</v>
      </c>
      <c r="O13" s="135" t="s">
        <v>127</v>
      </c>
      <c r="P13" s="136" t="s">
        <v>113</v>
      </c>
      <c r="Q13" s="139" t="s">
        <v>112</v>
      </c>
      <c r="R13" s="772" t="s">
        <v>128</v>
      </c>
      <c r="S13" s="773"/>
      <c r="T13" s="166" t="s">
        <v>129</v>
      </c>
      <c r="V13" s="177" t="s">
        <v>140</v>
      </c>
      <c r="W13" s="233">
        <v>31.571940604198794</v>
      </c>
      <c r="X13" s="373">
        <f>(X11/W13)*100</f>
        <v>15.195994027401612</v>
      </c>
      <c r="Y13" s="177" t="s">
        <v>140</v>
      </c>
      <c r="Z13" s="233">
        <v>27.022951918244114</v>
      </c>
      <c r="AA13" s="486">
        <f>(AA11/Z12)*100</f>
        <v>7.146280598784033</v>
      </c>
      <c r="AB13" s="91"/>
      <c r="AD13" s="495">
        <f>AD10/AC9*100</f>
        <v>3.5548730130854813</v>
      </c>
      <c r="AE13" s="108" t="s">
        <v>140</v>
      </c>
      <c r="AF13" s="84">
        <v>26.912876538811876</v>
      </c>
      <c r="AG13" s="167" t="s">
        <v>294</v>
      </c>
      <c r="AH13" s="91"/>
      <c r="AJ13" s="245">
        <f>AJ10/AI9*100</f>
        <v>10.696429321998306</v>
      </c>
      <c r="AK13" s="791"/>
      <c r="AL13" s="791"/>
      <c r="AM13" s="791"/>
      <c r="AN13" s="791"/>
      <c r="AO13" s="791"/>
      <c r="AP13" s="164" t="s">
        <v>144</v>
      </c>
      <c r="AQ13" s="84">
        <v>29.561365344302398</v>
      </c>
      <c r="AR13" s="249">
        <f>(AR10/AQ15)*100</f>
        <v>4.5295197087268448</v>
      </c>
    </row>
    <row r="14" spans="1:44">
      <c r="A14" s="103" t="s">
        <v>139</v>
      </c>
      <c r="B14" s="104"/>
      <c r="C14" s="104">
        <v>38.249699999999997</v>
      </c>
      <c r="D14" s="104">
        <v>2.5594000000000001</v>
      </c>
      <c r="E14" s="104">
        <v>40.1081</v>
      </c>
      <c r="F14" s="106">
        <f t="shared" ref="F14:F15" si="8">E14-C14</f>
        <v>1.8584000000000032</v>
      </c>
      <c r="G14" s="157">
        <f t="shared" ref="G14:G15" si="9">D14-F14</f>
        <v>0.70099999999999696</v>
      </c>
      <c r="H14" s="84">
        <f t="shared" ref="H14:H15" si="10">(G14/D14)*100</f>
        <v>27.389231851215008</v>
      </c>
      <c r="I14">
        <f>SUM(F13:F15)/3</f>
        <v>1.8373999999999977</v>
      </c>
      <c r="J14">
        <f>SUM(G13:G15)/3</f>
        <v>0.7006666666666691</v>
      </c>
      <c r="K14" s="172">
        <f>SUM(H13:H15)/3</f>
        <v>27.606997701428195</v>
      </c>
      <c r="L14" s="173">
        <f>(H13-$K$14)^2</f>
        <v>0.83153792416712047</v>
      </c>
      <c r="M14">
        <f>SUM(L14:L16)/3</f>
        <v>0.4535880260260079</v>
      </c>
      <c r="N14" s="174">
        <f>SQRT(M14)</f>
        <v>0.67348944017408907</v>
      </c>
      <c r="O14" s="173">
        <f>($D$16-D13)^2</f>
        <v>9.1521111111112193E-5</v>
      </c>
      <c r="P14">
        <f>SUM(O14:O16)/3</f>
        <v>2.2836222222222279E-4</v>
      </c>
      <c r="Q14" s="174">
        <f>SQRT(P14)</f>
        <v>1.5111658486818143E-2</v>
      </c>
      <c r="R14" s="766">
        <v>0.67348944017408907</v>
      </c>
      <c r="S14" s="847"/>
      <c r="T14" s="850">
        <f>(R14/K14)*100</f>
        <v>2.4395606050970455</v>
      </c>
      <c r="AB14" s="277" t="s">
        <v>219</v>
      </c>
      <c r="AC14" s="167" t="s">
        <v>295</v>
      </c>
      <c r="AD14" s="242" t="s">
        <v>300</v>
      </c>
      <c r="AE14" s="139" t="s">
        <v>219</v>
      </c>
      <c r="AF14" s="165" t="s">
        <v>299</v>
      </c>
      <c r="AG14" s="117">
        <f>(AG11/AF11)*100</f>
        <v>2.6434969703465385</v>
      </c>
      <c r="AH14" s="277" t="s">
        <v>219</v>
      </c>
      <c r="AI14" s="165" t="s">
        <v>303</v>
      </c>
      <c r="AJ14" s="242" t="s">
        <v>300</v>
      </c>
      <c r="AP14" s="164" t="s">
        <v>145</v>
      </c>
      <c r="AQ14" s="84">
        <v>29.438917628332838</v>
      </c>
      <c r="AR14" s="367">
        <f>AR11/AQ15*100</f>
        <v>4.8924404534310959</v>
      </c>
    </row>
    <row r="15" spans="1:44">
      <c r="A15" s="107" t="s">
        <v>140</v>
      </c>
      <c r="B15" s="108"/>
      <c r="C15" s="108">
        <v>37.041800000000002</v>
      </c>
      <c r="D15" s="108">
        <v>2.5263</v>
      </c>
      <c r="E15" s="108">
        <v>38.888199999999998</v>
      </c>
      <c r="F15" s="109">
        <f t="shared" si="8"/>
        <v>1.8463999999999956</v>
      </c>
      <c r="G15" s="157">
        <f t="shared" si="9"/>
        <v>0.67990000000000439</v>
      </c>
      <c r="H15" s="84">
        <f t="shared" si="10"/>
        <v>26.912876538811876</v>
      </c>
      <c r="L15" s="173">
        <f t="shared" ref="L15:L16" si="11">(H14-$K$14)^2</f>
        <v>4.7421965519072178E-2</v>
      </c>
      <c r="N15" s="176"/>
      <c r="O15" s="173">
        <f t="shared" ref="O15:O16" si="12">($D$16-D14)^2</f>
        <v>4.5511111111110563E-4</v>
      </c>
      <c r="Q15" s="176"/>
      <c r="R15" s="768"/>
      <c r="S15" s="848"/>
      <c r="T15" s="851"/>
      <c r="AB15" s="171" t="s">
        <v>138</v>
      </c>
      <c r="AC15" s="84">
        <v>28.518884714257702</v>
      </c>
      <c r="AD15" s="248">
        <v>0.67348944017408907</v>
      </c>
      <c r="AE15" s="104" t="s">
        <v>139</v>
      </c>
      <c r="AF15" s="84">
        <v>26.254996003197633</v>
      </c>
      <c r="AG15" s="417">
        <f>(AG12/AF11)*100</f>
        <v>2.9555194620048035</v>
      </c>
      <c r="AH15" s="164" t="s">
        <v>138</v>
      </c>
      <c r="AI15" s="365">
        <v>29.54626794448631</v>
      </c>
      <c r="AJ15" s="368">
        <v>0.75146632126265189</v>
      </c>
      <c r="AP15" s="164" t="s">
        <v>177</v>
      </c>
      <c r="AQ15" s="84">
        <v>32.398429361326855</v>
      </c>
      <c r="AR15" s="81"/>
    </row>
    <row r="16" spans="1:44" ht="15" thickBot="1">
      <c r="A16" s="104"/>
      <c r="C16" s="138" t="s">
        <v>83</v>
      </c>
      <c r="D16" s="138">
        <f>SUM(D13:D15)/3</f>
        <v>2.5380666666666669</v>
      </c>
      <c r="L16" s="188">
        <f t="shared" si="11"/>
        <v>0.48180418839183109</v>
      </c>
      <c r="M16" s="187"/>
      <c r="N16" s="286">
        <f>_xlfn.STDEV.S(H13:H15)</f>
        <v>0.82485273778960799</v>
      </c>
      <c r="O16" s="188">
        <f t="shared" si="12"/>
        <v>1.3845444444445052E-4</v>
      </c>
      <c r="P16" s="187"/>
      <c r="Q16" s="189"/>
      <c r="R16" s="831"/>
      <c r="S16" s="849"/>
      <c r="T16" s="852"/>
      <c r="AB16" s="171" t="s">
        <v>139</v>
      </c>
      <c r="AC16" s="84">
        <v>27.389231851215008</v>
      </c>
      <c r="AD16" s="366">
        <v>0.82485273778960799</v>
      </c>
      <c r="AE16" s="178" t="s">
        <v>140</v>
      </c>
      <c r="AF16" s="233">
        <v>27.639974477588318</v>
      </c>
      <c r="AG16" s="484"/>
      <c r="AH16" s="164" t="s">
        <v>139</v>
      </c>
      <c r="AI16" s="365">
        <v>28.759188239053852</v>
      </c>
      <c r="AJ16" s="369">
        <v>0.92035452298993714</v>
      </c>
      <c r="AP16" s="164" t="s">
        <v>178</v>
      </c>
      <c r="AQ16" s="84">
        <v>27.497507477567378</v>
      </c>
      <c r="AR16" s="116"/>
    </row>
    <row r="17" spans="1:44">
      <c r="AB17" s="175" t="s">
        <v>140</v>
      </c>
      <c r="AC17" s="84">
        <v>26.912876538811876</v>
      </c>
      <c r="AD17" s="242" t="s">
        <v>294</v>
      </c>
      <c r="AH17" s="164" t="s">
        <v>140</v>
      </c>
      <c r="AI17" s="365">
        <v>27.711708835501668</v>
      </c>
      <c r="AJ17" s="242" t="s">
        <v>294</v>
      </c>
      <c r="AP17" s="277" t="s">
        <v>219</v>
      </c>
      <c r="AQ17" s="375" t="s">
        <v>301</v>
      </c>
      <c r="AR17" s="240" t="s">
        <v>302</v>
      </c>
    </row>
    <row r="18" spans="1:44" ht="15" thickBot="1">
      <c r="AB18" s="91"/>
      <c r="AD18" s="249">
        <f>(AD15/AC15)*100</f>
        <v>2.361556024795687</v>
      </c>
      <c r="AH18" s="91"/>
      <c r="AJ18" s="249">
        <f>(AJ15/AI15)*100</f>
        <v>2.5433544523273186</v>
      </c>
      <c r="AP18" s="164" t="s">
        <v>138</v>
      </c>
      <c r="AQ18" s="84">
        <v>28.518884714257702</v>
      </c>
      <c r="AR18" s="278">
        <v>0.99049082315580139</v>
      </c>
    </row>
    <row r="19" spans="1:44" ht="15" thickBot="1">
      <c r="A19" s="774" t="s">
        <v>239</v>
      </c>
      <c r="B19" s="775"/>
      <c r="C19" s="775"/>
      <c r="D19" s="775"/>
      <c r="E19" s="775"/>
      <c r="F19" s="775"/>
      <c r="G19" s="775"/>
      <c r="H19" s="776"/>
      <c r="I19" s="78"/>
      <c r="J19" s="78"/>
      <c r="K19" s="78"/>
      <c r="L19" s="78"/>
      <c r="M19" s="78"/>
      <c r="N19" s="78"/>
      <c r="O19" s="78"/>
      <c r="P19" s="78"/>
      <c r="Q19" s="78"/>
      <c r="R19" s="78"/>
      <c r="S19" s="78"/>
      <c r="T19" s="79"/>
      <c r="U19" s="391" t="s">
        <v>112</v>
      </c>
      <c r="AB19" s="163"/>
      <c r="AC19" s="115"/>
      <c r="AD19" s="372">
        <f>AD16/AC15*100</f>
        <v>2.8923036298724258</v>
      </c>
      <c r="AH19" s="163"/>
      <c r="AI19" s="115"/>
      <c r="AJ19" s="370">
        <f>AJ16/AI15*100</f>
        <v>3.1149603216188471</v>
      </c>
      <c r="AP19" s="164" t="s">
        <v>139</v>
      </c>
      <c r="AQ19" s="84">
        <v>27.389231851215008</v>
      </c>
      <c r="AR19" s="366">
        <v>1.0588792299979162</v>
      </c>
    </row>
    <row r="20" spans="1:44">
      <c r="A20" s="277" t="s">
        <v>133</v>
      </c>
      <c r="B20" s="268" t="s">
        <v>121</v>
      </c>
      <c r="C20" s="268" t="s">
        <v>41</v>
      </c>
      <c r="D20" s="268" t="s">
        <v>59</v>
      </c>
      <c r="E20" s="268" t="s">
        <v>122</v>
      </c>
      <c r="F20" s="268" t="s">
        <v>31</v>
      </c>
      <c r="G20" s="165" t="s">
        <v>32</v>
      </c>
      <c r="H20" s="165" t="s">
        <v>11</v>
      </c>
      <c r="I20" s="230" t="s">
        <v>133</v>
      </c>
      <c r="J20" s="231"/>
      <c r="K20" s="285"/>
      <c r="L20" s="230"/>
      <c r="M20" s="231"/>
      <c r="N20" s="285"/>
      <c r="O20" s="230"/>
      <c r="P20" s="231"/>
      <c r="Q20" s="285"/>
      <c r="R20" s="230"/>
      <c r="S20" s="231"/>
      <c r="T20" s="285"/>
      <c r="U20" s="392">
        <v>1.8058078003539535</v>
      </c>
      <c r="AP20" s="164" t="s">
        <v>140</v>
      </c>
      <c r="AQ20" s="84">
        <v>26.912876538811876</v>
      </c>
      <c r="AR20" s="284" t="s">
        <v>155</v>
      </c>
    </row>
    <row r="21" spans="1:44" ht="15" thickBot="1">
      <c r="A21" s="169" t="s">
        <v>134</v>
      </c>
      <c r="B21" s="136"/>
      <c r="C21" s="136">
        <v>34.871299999999998</v>
      </c>
      <c r="D21" s="136">
        <v>2.5232999999999999</v>
      </c>
      <c r="E21" s="136">
        <v>36.553600000000003</v>
      </c>
      <c r="F21" s="139">
        <f>E21-C21</f>
        <v>1.682300000000005</v>
      </c>
      <c r="G21" s="157">
        <f>D21-F21</f>
        <v>0.84099999999999486</v>
      </c>
      <c r="H21" s="292">
        <f>(G21/D21)*100</f>
        <v>33.329370269091861</v>
      </c>
      <c r="I21" s="104" t="s">
        <v>31</v>
      </c>
      <c r="J21" s="104" t="s">
        <v>32</v>
      </c>
      <c r="K21" s="104" t="s">
        <v>11</v>
      </c>
      <c r="L21" s="135" t="s">
        <v>127</v>
      </c>
      <c r="M21" s="136" t="s">
        <v>113</v>
      </c>
      <c r="N21" s="139" t="s">
        <v>112</v>
      </c>
      <c r="O21" s="135" t="s">
        <v>127</v>
      </c>
      <c r="P21" s="136" t="s">
        <v>113</v>
      </c>
      <c r="Q21" s="139" t="s">
        <v>112</v>
      </c>
      <c r="R21" s="772" t="s">
        <v>128</v>
      </c>
      <c r="S21" s="773"/>
      <c r="T21" s="170" t="s">
        <v>129</v>
      </c>
      <c r="U21" s="393">
        <v>2.211653842202431</v>
      </c>
      <c r="AP21" s="164" t="s">
        <v>148</v>
      </c>
      <c r="AQ21" s="84">
        <v>26.254996003197633</v>
      </c>
      <c r="AR21" s="249">
        <f>(AR18/AQ23)*100</f>
        <v>3.3523381870658184</v>
      </c>
    </row>
    <row r="22" spans="1:44">
      <c r="A22" s="171" t="s">
        <v>135</v>
      </c>
      <c r="B22" s="104"/>
      <c r="C22" s="104">
        <v>37.932099999999998</v>
      </c>
      <c r="D22" s="104">
        <v>2.5283000000000002</v>
      </c>
      <c r="E22" s="104">
        <v>39.713000000000001</v>
      </c>
      <c r="F22" s="106">
        <f>E22-C22</f>
        <v>1.7809000000000026</v>
      </c>
      <c r="G22" s="157">
        <f t="shared" ref="G22:G23" si="13">D22-F22</f>
        <v>0.74739999999999762</v>
      </c>
      <c r="H22" s="84">
        <f>(G22/D22)*100</f>
        <v>29.561365344302398</v>
      </c>
      <c r="I22">
        <f>SUM(F21:F23)/3</f>
        <v>1.7454666666666678</v>
      </c>
      <c r="J22">
        <f>SUM(G21:G23)/3</f>
        <v>0.77606666666666557</v>
      </c>
      <c r="K22" s="398">
        <f>SUM(H21:H23)/3</f>
        <v>30.7765510805757</v>
      </c>
      <c r="L22" s="295">
        <f>(H21-$K$22)^2</f>
        <v>6.5168858092563076</v>
      </c>
      <c r="M22">
        <f>SUM(L22:L24)/3</f>
        <v>3.2609418118191837</v>
      </c>
      <c r="N22" s="174">
        <f>SQRT(M22)</f>
        <v>1.8058078003539535</v>
      </c>
      <c r="O22" s="173">
        <f>($D$53-D21)^2</f>
        <v>4.5369000000000409E-4</v>
      </c>
      <c r="P22">
        <f>SUM(O22:O24)/3</f>
        <v>4.2212666666667655E-4</v>
      </c>
      <c r="Q22" s="174">
        <f>SQRT(P22)</f>
        <v>2.0545721371289852E-2</v>
      </c>
      <c r="R22" s="766">
        <v>6.1223857984780139E-2</v>
      </c>
      <c r="S22" s="767"/>
      <c r="T22" s="770">
        <f>(R22/K22)*100</f>
        <v>0.19893021094043556</v>
      </c>
      <c r="U22" s="394" t="s">
        <v>155</v>
      </c>
      <c r="AP22" s="164" t="s">
        <v>149</v>
      </c>
      <c r="AQ22" s="84">
        <v>27.639974477588318</v>
      </c>
      <c r="AR22" s="367">
        <f>AR19/AQ23*100</f>
        <v>3.5838002687426243</v>
      </c>
    </row>
    <row r="23" spans="1:44">
      <c r="A23" s="175" t="s">
        <v>136</v>
      </c>
      <c r="B23" s="108"/>
      <c r="C23" s="108">
        <v>37.364400000000003</v>
      </c>
      <c r="D23" s="108">
        <v>2.5129999999999999</v>
      </c>
      <c r="E23" s="108">
        <v>39.137599999999999</v>
      </c>
      <c r="F23" s="109">
        <f>E23-C23</f>
        <v>1.7731999999999957</v>
      </c>
      <c r="G23" s="157">
        <f t="shared" si="13"/>
        <v>0.73980000000000423</v>
      </c>
      <c r="H23" s="84">
        <f>(G23/D23)*100</f>
        <v>29.438917628332838</v>
      </c>
      <c r="L23" s="173">
        <f t="shared" ref="L23:L24" si="14">(H22-$K$22)^2</f>
        <v>1.4766763736420867</v>
      </c>
      <c r="N23" s="176"/>
      <c r="O23" s="173">
        <f t="shared" ref="O23:O24" si="15">($D$53-D22)^2</f>
        <v>6.9169000000002289E-4</v>
      </c>
      <c r="Q23" s="176"/>
      <c r="R23" s="768"/>
      <c r="S23" s="769"/>
      <c r="T23" s="771"/>
      <c r="U23" s="396">
        <f>U20/H21*100</f>
        <v>5.4180675655566688</v>
      </c>
      <c r="AP23" s="164" t="s">
        <v>179</v>
      </c>
      <c r="AQ23" s="84">
        <v>29.54626794448631</v>
      </c>
      <c r="AR23" s="81"/>
    </row>
    <row r="24" spans="1:44" ht="18.600000000000001" customHeight="1" thickBot="1">
      <c r="A24" s="177"/>
      <c r="B24" s="178"/>
      <c r="C24" s="179" t="s">
        <v>83</v>
      </c>
      <c r="D24" s="179">
        <f>SUM(D21:D23)/3</f>
        <v>2.5215333333333336</v>
      </c>
      <c r="E24" s="178"/>
      <c r="F24" s="178"/>
      <c r="G24" s="178"/>
      <c r="H24" s="178"/>
      <c r="I24" s="115"/>
      <c r="J24" s="115"/>
      <c r="K24" s="115"/>
      <c r="L24" s="180">
        <f t="shared" si="14"/>
        <v>1.7892632525591572</v>
      </c>
      <c r="M24" s="115"/>
      <c r="N24" s="256">
        <f>_xlfn.STDEV.S(H21:H23)</f>
        <v>2.211653842202431</v>
      </c>
      <c r="O24" s="180">
        <f t="shared" si="15"/>
        <v>1.2100000000000266E-4</v>
      </c>
      <c r="P24" s="115"/>
      <c r="Q24" s="181"/>
      <c r="R24" s="828"/>
      <c r="S24" s="829"/>
      <c r="T24" s="830"/>
      <c r="U24" s="395">
        <f>U21/H21*100</f>
        <v>6.6357504637686411</v>
      </c>
      <c r="W24" s="817" t="s">
        <v>304</v>
      </c>
      <c r="X24" s="818"/>
      <c r="Y24" s="818"/>
      <c r="Z24" s="818"/>
      <c r="AA24" s="818"/>
      <c r="AB24" s="818"/>
      <c r="AC24" s="818"/>
      <c r="AD24" s="818"/>
      <c r="AE24" s="819"/>
      <c r="AP24" s="164" t="s">
        <v>180</v>
      </c>
      <c r="AQ24" s="84">
        <v>28.759188239053852</v>
      </c>
      <c r="AR24" s="81"/>
    </row>
    <row r="25" spans="1:44" ht="15" thickBot="1">
      <c r="A25" s="91"/>
      <c r="H25" s="132" t="s">
        <v>11</v>
      </c>
      <c r="I25" s="104" t="s">
        <v>31</v>
      </c>
      <c r="J25" s="104" t="s">
        <v>32</v>
      </c>
      <c r="K25" s="104" t="s">
        <v>11</v>
      </c>
      <c r="L25" s="103" t="s">
        <v>127</v>
      </c>
      <c r="M25" s="104" t="s">
        <v>113</v>
      </c>
      <c r="N25" s="106" t="s">
        <v>112</v>
      </c>
      <c r="T25" s="81"/>
      <c r="W25" s="314"/>
      <c r="X25" s="840" t="s">
        <v>221</v>
      </c>
      <c r="Y25" s="840"/>
      <c r="Z25" s="840" t="s">
        <v>222</v>
      </c>
      <c r="AA25" s="840"/>
      <c r="AB25" s="840" t="s">
        <v>223</v>
      </c>
      <c r="AC25" s="840"/>
      <c r="AD25" s="840" t="s">
        <v>226</v>
      </c>
      <c r="AE25" s="840"/>
      <c r="AP25" s="400" t="s">
        <v>181</v>
      </c>
      <c r="AQ25" s="233">
        <v>27.711708835501668</v>
      </c>
      <c r="AR25" s="116"/>
    </row>
    <row r="26" spans="1:44">
      <c r="A26" s="91"/>
      <c r="H26" s="84">
        <v>29.561365344302398</v>
      </c>
      <c r="I26">
        <f>SUM(F22:F23)/2</f>
        <v>1.7770499999999991</v>
      </c>
      <c r="J26">
        <f>SUM(G22:G23)/2</f>
        <v>0.74360000000000093</v>
      </c>
      <c r="K26" s="172">
        <f>SUM(H26:H27)/2</f>
        <v>29.500141486317617</v>
      </c>
      <c r="L26" s="173">
        <f>(H26-$K$26)^2</f>
        <v>3.7483607865407445E-3</v>
      </c>
      <c r="M26">
        <f>SUM(L26:L27)/2</f>
        <v>3.7483607865405268E-3</v>
      </c>
      <c r="N26" s="174">
        <f>SQRT(M26)</f>
        <v>6.1223857984780139E-2</v>
      </c>
      <c r="T26" s="81"/>
      <c r="W26" s="352" t="s">
        <v>225</v>
      </c>
      <c r="X26" s="841">
        <v>28.944539814604401</v>
      </c>
      <c r="Y26" s="841"/>
      <c r="Z26" s="841">
        <v>26.119651267251996</v>
      </c>
      <c r="AA26" s="841"/>
      <c r="AB26" s="794">
        <v>31.321983601706702</v>
      </c>
      <c r="AC26" s="794"/>
      <c r="AD26" s="857" t="s">
        <v>108</v>
      </c>
      <c r="AE26" s="857"/>
    </row>
    <row r="27" spans="1:44">
      <c r="A27" s="91"/>
      <c r="H27" s="84">
        <v>29.438917628332838</v>
      </c>
      <c r="L27" s="173">
        <f>(H27-$K$26)^2</f>
        <v>3.7483607865403091E-3</v>
      </c>
      <c r="N27" s="176"/>
      <c r="T27" s="81"/>
      <c r="W27" s="352" t="s">
        <v>170</v>
      </c>
      <c r="X27" s="841">
        <v>29.211645317600084</v>
      </c>
      <c r="Y27" s="841"/>
      <c r="Z27" s="841">
        <v>27.207051873052098</v>
      </c>
      <c r="AA27" s="841"/>
      <c r="AB27" s="842">
        <v>30.223270081528209</v>
      </c>
      <c r="AC27" s="842"/>
      <c r="AD27" s="843">
        <v>30.7765510805757</v>
      </c>
      <c r="AE27" s="843"/>
    </row>
    <row r="28" spans="1:44" ht="15" thickBot="1">
      <c r="A28" s="163"/>
      <c r="B28" s="115"/>
      <c r="C28" s="115"/>
      <c r="D28" s="115"/>
      <c r="E28" s="115"/>
      <c r="F28" s="115"/>
      <c r="G28" s="115"/>
      <c r="H28" s="115"/>
      <c r="I28" s="115"/>
      <c r="J28" s="115"/>
      <c r="K28" s="115"/>
      <c r="L28" s="180"/>
      <c r="M28" s="115"/>
      <c r="N28" s="256">
        <f>_xlfn.STDEV.S(H26:H27)</f>
        <v>8.6583610302880379E-2</v>
      </c>
      <c r="O28" s="115"/>
      <c r="P28" s="115"/>
      <c r="Q28" s="115"/>
      <c r="R28" s="115"/>
      <c r="S28" s="115"/>
      <c r="T28" s="116"/>
      <c r="W28" s="352" t="s">
        <v>219</v>
      </c>
      <c r="X28" s="841">
        <v>27.779202077019619</v>
      </c>
      <c r="Y28" s="841"/>
      <c r="Z28" s="841">
        <v>26.036458415118172</v>
      </c>
      <c r="AA28" s="841"/>
      <c r="AB28" s="842">
        <v>27.606997701428195</v>
      </c>
      <c r="AC28" s="842"/>
      <c r="AD28" s="843">
        <v>24.784250122311267</v>
      </c>
      <c r="AE28" s="843"/>
    </row>
    <row r="29" spans="1:44" ht="18">
      <c r="A29" s="250" t="s">
        <v>137</v>
      </c>
      <c r="B29" s="251" t="s">
        <v>121</v>
      </c>
      <c r="C29" s="251" t="s">
        <v>41</v>
      </c>
      <c r="D29" s="251" t="s">
        <v>59</v>
      </c>
      <c r="E29" s="251" t="s">
        <v>122</v>
      </c>
      <c r="F29" s="251" t="s">
        <v>31</v>
      </c>
      <c r="G29" s="239" t="s">
        <v>32</v>
      </c>
      <c r="H29" s="239" t="s">
        <v>11</v>
      </c>
      <c r="I29" s="78" t="s">
        <v>137</v>
      </c>
      <c r="J29" s="78"/>
      <c r="K29" s="78"/>
      <c r="L29" s="255"/>
      <c r="M29" s="78"/>
      <c r="N29" s="288"/>
      <c r="O29" s="255"/>
      <c r="P29" s="78"/>
      <c r="Q29" s="288"/>
      <c r="R29" s="255"/>
      <c r="S29" s="78"/>
      <c r="T29" s="79"/>
      <c r="U29" s="391" t="s">
        <v>112</v>
      </c>
      <c r="W29" s="817" t="s">
        <v>304</v>
      </c>
      <c r="X29" s="818"/>
      <c r="Y29" s="818"/>
      <c r="Z29" s="818"/>
      <c r="AA29" s="818"/>
      <c r="AB29" s="818"/>
      <c r="AC29" s="818"/>
      <c r="AD29" s="818"/>
      <c r="AE29" s="819"/>
    </row>
    <row r="30" spans="1:44" ht="15.6" customHeight="1">
      <c r="A30" s="169" t="s">
        <v>138</v>
      </c>
      <c r="B30" s="136"/>
      <c r="C30" s="136">
        <v>36.973399999999998</v>
      </c>
      <c r="D30" s="136">
        <v>2.5295999999999998</v>
      </c>
      <c r="E30" s="136">
        <v>38.985500000000002</v>
      </c>
      <c r="F30" s="139">
        <f>E30-C30</f>
        <v>2.0121000000000038</v>
      </c>
      <c r="G30" s="157">
        <f>D30-F30</f>
        <v>0.51749999999999607</v>
      </c>
      <c r="H30" s="292">
        <f>(G30/D30)*100</f>
        <v>20.457779886147854</v>
      </c>
      <c r="I30" s="104" t="s">
        <v>31</v>
      </c>
      <c r="J30" s="104" t="s">
        <v>32</v>
      </c>
      <c r="K30" s="104" t="s">
        <v>11</v>
      </c>
      <c r="L30" s="135" t="s">
        <v>127</v>
      </c>
      <c r="M30" s="136" t="s">
        <v>113</v>
      </c>
      <c r="N30" s="139" t="s">
        <v>112</v>
      </c>
      <c r="O30" s="135" t="s">
        <v>127</v>
      </c>
      <c r="P30" s="136" t="s">
        <v>113</v>
      </c>
      <c r="Q30" s="139" t="s">
        <v>112</v>
      </c>
      <c r="R30" s="167" t="s">
        <v>128</v>
      </c>
      <c r="S30" s="168"/>
      <c r="T30" s="170" t="s">
        <v>129</v>
      </c>
      <c r="U30" s="392">
        <v>3.1110876846034965</v>
      </c>
      <c r="W30" s="173"/>
      <c r="X30" s="840" t="s">
        <v>224</v>
      </c>
      <c r="Y30" s="840"/>
      <c r="Z30" s="840" t="s">
        <v>303</v>
      </c>
      <c r="AA30" s="840"/>
      <c r="AB30" s="844" t="s">
        <v>305</v>
      </c>
      <c r="AC30" s="845"/>
      <c r="AD30" s="845"/>
      <c r="AE30" s="846"/>
    </row>
    <row r="31" spans="1:44" ht="15" thickBot="1">
      <c r="A31" s="171" t="s">
        <v>139</v>
      </c>
      <c r="B31" s="104"/>
      <c r="C31" s="104">
        <v>38.193800000000003</v>
      </c>
      <c r="D31" s="104">
        <v>2.5019999999999998</v>
      </c>
      <c r="E31" s="104">
        <v>40.038899999999998</v>
      </c>
      <c r="F31" s="106">
        <f t="shared" ref="F31:F32" si="16">E31-C31</f>
        <v>1.8450999999999951</v>
      </c>
      <c r="G31" s="157">
        <f t="shared" ref="G31:G32" si="17">D31-F31</f>
        <v>0.6569000000000047</v>
      </c>
      <c r="H31" s="84">
        <f t="shared" ref="H31:H32" si="18">(G31/D31)*100</f>
        <v>26.254996003197633</v>
      </c>
      <c r="I31">
        <f>SUM(F31:F32)/2</f>
        <v>1.8297999999999952</v>
      </c>
      <c r="J31">
        <f>SUM(G31:G32)/2</f>
        <v>0.67500000000000471</v>
      </c>
      <c r="K31" s="398">
        <f>SUM(H30:H32)/3</f>
        <v>24.784250122311267</v>
      </c>
      <c r="L31" s="295">
        <f>(H30-$K$31)^2</f>
        <v>18.718344704407897</v>
      </c>
      <c r="M31">
        <f>SUM(L31:L33)/3</f>
        <v>9.678866581291544</v>
      </c>
      <c r="N31" s="174">
        <f>SQRT(M31)</f>
        <v>3.1110876846034965</v>
      </c>
      <c r="O31" s="173">
        <f>($D$73-D30)^2</f>
        <v>6.9695999999998715E-4</v>
      </c>
      <c r="P31">
        <f>SUM(O31:O33)/3</f>
        <v>2.3925333333332918E-4</v>
      </c>
      <c r="Q31" s="174">
        <f>SQRT(P31)</f>
        <v>1.5467816049246552E-2</v>
      </c>
      <c r="R31" s="766">
        <v>0.69248923719534261</v>
      </c>
      <c r="S31" s="767"/>
      <c r="T31" s="770">
        <f>(R31/K31)*100</f>
        <v>2.794069757115428</v>
      </c>
      <c r="U31" s="393">
        <v>3.8102886861676639</v>
      </c>
      <c r="W31" s="352" t="s">
        <v>225</v>
      </c>
      <c r="X31" s="838" t="s">
        <v>108</v>
      </c>
      <c r="Y31" s="838"/>
      <c r="Z31" s="837">
        <v>32.146841887320413</v>
      </c>
      <c r="AA31" s="837"/>
      <c r="AB31" s="804">
        <v>31.734412744513559</v>
      </c>
      <c r="AC31" s="862"/>
      <c r="AD31" s="862"/>
      <c r="AE31" s="805"/>
    </row>
    <row r="32" spans="1:44">
      <c r="A32" s="175" t="s">
        <v>140</v>
      </c>
      <c r="B32" s="108"/>
      <c r="C32" s="108">
        <v>35.529800000000002</v>
      </c>
      <c r="D32" s="108">
        <v>2.5076000000000001</v>
      </c>
      <c r="E32" s="108">
        <v>37.344299999999997</v>
      </c>
      <c r="F32" s="109">
        <f t="shared" si="16"/>
        <v>1.8144999999999953</v>
      </c>
      <c r="G32" s="157">
        <f t="shared" si="17"/>
        <v>0.69310000000000471</v>
      </c>
      <c r="H32" s="84">
        <f t="shared" si="18"/>
        <v>27.639974477588318</v>
      </c>
      <c r="L32" s="173">
        <f>(H31-$K$31)^2</f>
        <v>2.1630934461442113</v>
      </c>
      <c r="N32" s="176"/>
      <c r="O32" s="173">
        <f t="shared" ref="O32:O33" si="19">($D$73-D31)^2</f>
        <v>1.4400000000007485E-6</v>
      </c>
      <c r="Q32" s="176"/>
      <c r="R32" s="768"/>
      <c r="S32" s="769"/>
      <c r="T32" s="771"/>
      <c r="U32" s="394" t="s">
        <v>155</v>
      </c>
      <c r="W32" s="352" t="s">
        <v>170</v>
      </c>
      <c r="X32" s="794">
        <v>29.93401864344397</v>
      </c>
      <c r="Y32" s="794"/>
      <c r="Z32" s="837">
        <v>29.947968419447115</v>
      </c>
      <c r="AA32" s="837"/>
      <c r="AB32" s="804">
        <v>29.938004293730586</v>
      </c>
      <c r="AC32" s="862"/>
      <c r="AD32" s="862"/>
      <c r="AE32" s="805"/>
    </row>
    <row r="33" spans="1:31" ht="15" customHeight="1" thickBot="1">
      <c r="A33" s="177"/>
      <c r="B33" s="115"/>
      <c r="C33" s="179" t="s">
        <v>83</v>
      </c>
      <c r="D33" s="179">
        <f>SUM(D30:D32)/3</f>
        <v>2.5130666666666666</v>
      </c>
      <c r="E33" s="115"/>
      <c r="F33" s="115"/>
      <c r="G33" s="115"/>
      <c r="H33" s="115"/>
      <c r="I33" s="115"/>
      <c r="J33" s="115"/>
      <c r="K33" s="115"/>
      <c r="L33" s="180">
        <f>(H32-$K$31)^2</f>
        <v>8.1551615933225268</v>
      </c>
      <c r="M33" s="115"/>
      <c r="N33" s="256">
        <f>_xlfn.STDEV.S(H30:H32)</f>
        <v>3.8102886861676639</v>
      </c>
      <c r="O33" s="180">
        <f t="shared" si="19"/>
        <v>1.9359999999999645E-5</v>
      </c>
      <c r="P33" s="115"/>
      <c r="Q33" s="181"/>
      <c r="R33" s="828"/>
      <c r="S33" s="829"/>
      <c r="T33" s="830"/>
      <c r="U33" s="396">
        <f>U30/H32*100</f>
        <v>11.255754548999676</v>
      </c>
      <c r="W33" s="352" t="s">
        <v>219</v>
      </c>
      <c r="X33" s="794">
        <v>27.343192717014109</v>
      </c>
      <c r="Y33" s="794"/>
      <c r="Z33" s="837">
        <v>28.672388339680609</v>
      </c>
      <c r="AA33" s="837"/>
      <c r="AB33" s="863">
        <v>27.841641075514048</v>
      </c>
      <c r="AC33" s="864"/>
      <c r="AD33" s="864"/>
      <c r="AE33" s="865"/>
    </row>
    <row r="34" spans="1:31" ht="15" thickBot="1">
      <c r="A34" s="160"/>
      <c r="B34" s="78"/>
      <c r="C34" s="78"/>
      <c r="D34" s="78"/>
      <c r="E34" s="78"/>
      <c r="F34" s="78"/>
      <c r="G34" s="78"/>
      <c r="H34" s="239" t="s">
        <v>11</v>
      </c>
      <c r="I34" s="257" t="s">
        <v>31</v>
      </c>
      <c r="J34" s="257" t="s">
        <v>32</v>
      </c>
      <c r="K34" s="257" t="s">
        <v>11</v>
      </c>
      <c r="L34" s="331" t="s">
        <v>127</v>
      </c>
      <c r="M34" s="257" t="s">
        <v>113</v>
      </c>
      <c r="N34" s="397" t="s">
        <v>112</v>
      </c>
      <c r="O34" s="78"/>
      <c r="P34" s="78"/>
      <c r="Q34" s="78"/>
      <c r="R34" s="78"/>
      <c r="S34" s="78"/>
      <c r="T34" s="79"/>
      <c r="U34" s="395">
        <f>U31/H32*100</f>
        <v>13.785427657529894</v>
      </c>
    </row>
    <row r="35" spans="1:31">
      <c r="A35" s="91"/>
      <c r="H35" s="84">
        <v>26.254996003197633</v>
      </c>
      <c r="I35">
        <f>SUM(F30:F32)/3</f>
        <v>1.8905666666666647</v>
      </c>
      <c r="J35">
        <f>SUM(G31:G32)/3</f>
        <v>0.45000000000000312</v>
      </c>
      <c r="K35" s="172">
        <f>SUM(H35:H36)/2</f>
        <v>26.947485240392975</v>
      </c>
      <c r="L35" s="173">
        <f>(H35-$K$35)^2</f>
        <v>0.47954134363138751</v>
      </c>
      <c r="M35">
        <f>SUM(L35:L37)/2</f>
        <v>0.47954134363138751</v>
      </c>
      <c r="N35" s="174">
        <f>SQRT(M35)</f>
        <v>0.69248923719534261</v>
      </c>
      <c r="T35" s="81"/>
    </row>
    <row r="36" spans="1:31" ht="15" thickBot="1">
      <c r="A36" s="163"/>
      <c r="B36" s="115"/>
      <c r="C36" s="115"/>
      <c r="D36" s="115"/>
      <c r="E36" s="115"/>
      <c r="F36" s="115"/>
      <c r="G36" s="115"/>
      <c r="H36" s="233">
        <v>27.639974477588318</v>
      </c>
      <c r="I36" s="115"/>
      <c r="J36" s="115"/>
      <c r="K36" s="115"/>
      <c r="L36" s="180">
        <f>(H36-$K$35)^2</f>
        <v>0.47954134363138751</v>
      </c>
      <c r="M36" s="115"/>
      <c r="N36" s="181"/>
      <c r="O36" s="115"/>
      <c r="P36" s="115"/>
      <c r="Q36" s="115"/>
      <c r="R36" s="115"/>
      <c r="S36" s="115"/>
      <c r="T36" s="116"/>
    </row>
    <row r="37" spans="1:31">
      <c r="L37" s="173"/>
    </row>
    <row r="38" spans="1:31" ht="15" thickBot="1"/>
    <row r="39" spans="1:31" ht="21">
      <c r="A39" s="774" t="s">
        <v>238</v>
      </c>
      <c r="B39" s="775"/>
      <c r="C39" s="775"/>
      <c r="D39" s="775"/>
      <c r="E39" s="775"/>
      <c r="F39" s="775"/>
      <c r="G39" s="775"/>
      <c r="H39" s="776"/>
      <c r="I39" s="777" t="s">
        <v>119</v>
      </c>
      <c r="J39" s="778"/>
      <c r="K39" s="779"/>
      <c r="L39" s="78"/>
      <c r="M39" s="78"/>
      <c r="N39" s="78"/>
      <c r="O39" s="78"/>
      <c r="P39" s="78"/>
      <c r="Q39" s="78"/>
      <c r="R39" s="78"/>
      <c r="S39" s="78"/>
      <c r="T39" s="79"/>
      <c r="V39" s="858" t="s">
        <v>172</v>
      </c>
      <c r="W39" s="859"/>
      <c r="X39" s="860"/>
    </row>
    <row r="40" spans="1:31" ht="15" customHeight="1">
      <c r="A40" s="277" t="s">
        <v>133</v>
      </c>
      <c r="B40" s="268" t="s">
        <v>121</v>
      </c>
      <c r="C40" s="268" t="s">
        <v>41</v>
      </c>
      <c r="D40" s="268" t="s">
        <v>59</v>
      </c>
      <c r="E40" s="268" t="s">
        <v>122</v>
      </c>
      <c r="F40" s="268" t="s">
        <v>31</v>
      </c>
      <c r="G40" s="165" t="s">
        <v>32</v>
      </c>
      <c r="H40" s="165" t="s">
        <v>11</v>
      </c>
      <c r="I40" t="s">
        <v>133</v>
      </c>
      <c r="L40" s="834" t="s">
        <v>159</v>
      </c>
      <c r="M40" s="835"/>
      <c r="N40" s="836"/>
      <c r="O40" s="772" t="s">
        <v>160</v>
      </c>
      <c r="P40" s="773"/>
      <c r="Q40" s="780"/>
      <c r="R40" s="772" t="s">
        <v>125</v>
      </c>
      <c r="S40" s="773"/>
      <c r="T40" s="780"/>
      <c r="V40" s="185"/>
      <c r="W40" s="136" t="s">
        <v>11</v>
      </c>
      <c r="X40" s="229" t="s">
        <v>173</v>
      </c>
      <c r="Y40" s="135" t="s">
        <v>127</v>
      </c>
      <c r="Z40" s="136" t="s">
        <v>113</v>
      </c>
      <c r="AA40" s="139" t="s">
        <v>112</v>
      </c>
      <c r="AB40" s="861" t="s">
        <v>117</v>
      </c>
      <c r="AC40" s="689" t="s">
        <v>182</v>
      </c>
      <c r="AD40" s="690"/>
      <c r="AE40" s="691"/>
    </row>
    <row r="41" spans="1:31">
      <c r="A41" s="169" t="s">
        <v>134</v>
      </c>
      <c r="B41" s="136"/>
      <c r="C41" s="136">
        <v>38.250399999999999</v>
      </c>
      <c r="D41" s="136">
        <v>2.5419999999999998</v>
      </c>
      <c r="E41" s="136">
        <v>40.004199999999997</v>
      </c>
      <c r="F41" s="139">
        <f>E41-C41</f>
        <v>1.7537999999999982</v>
      </c>
      <c r="G41" s="157">
        <f>D41-F41</f>
        <v>0.78820000000000157</v>
      </c>
      <c r="H41" s="84">
        <f>(G41/D41)*100</f>
        <v>31.007081038552386</v>
      </c>
      <c r="I41" s="104" t="s">
        <v>31</v>
      </c>
      <c r="J41" s="104" t="s">
        <v>32</v>
      </c>
      <c r="K41" s="104" t="s">
        <v>11</v>
      </c>
      <c r="L41" s="135" t="s">
        <v>127</v>
      </c>
      <c r="M41" s="136" t="s">
        <v>113</v>
      </c>
      <c r="N41" s="139" t="s">
        <v>112</v>
      </c>
      <c r="O41" s="135" t="s">
        <v>127</v>
      </c>
      <c r="P41" s="136" t="s">
        <v>113</v>
      </c>
      <c r="Q41" s="139" t="s">
        <v>112</v>
      </c>
      <c r="R41" s="772" t="s">
        <v>128</v>
      </c>
      <c r="S41" s="773"/>
      <c r="T41" s="170" t="s">
        <v>129</v>
      </c>
      <c r="V41" s="103" t="s">
        <v>16</v>
      </c>
      <c r="W41" s="104">
        <v>32.208796905530846</v>
      </c>
      <c r="X41" s="176">
        <v>31.734412744513559</v>
      </c>
      <c r="Y41" s="103">
        <v>0.22504033222407546</v>
      </c>
      <c r="Z41" s="104">
        <v>1.1740589676748543</v>
      </c>
      <c r="AA41" s="234">
        <v>1.083540016646757</v>
      </c>
      <c r="AB41" s="861"/>
      <c r="AC41" s="692"/>
      <c r="AD41" s="693"/>
      <c r="AE41" s="694"/>
    </row>
    <row r="42" spans="1:31">
      <c r="A42" s="171" t="s">
        <v>135</v>
      </c>
      <c r="B42" s="104"/>
      <c r="C42" s="104">
        <v>37.042499999999997</v>
      </c>
      <c r="D42" s="104">
        <v>2.5377999999999998</v>
      </c>
      <c r="E42" s="104">
        <v>38.801200000000001</v>
      </c>
      <c r="F42" s="106">
        <f>E42-C42</f>
        <v>1.7587000000000046</v>
      </c>
      <c r="G42" s="157">
        <f t="shared" ref="G42:G45" si="20">D42-F42</f>
        <v>0.77909999999999524</v>
      </c>
      <c r="H42" s="84">
        <f>(G42/D42)*100</f>
        <v>30.699818740641316</v>
      </c>
      <c r="I42">
        <f>SUM(F41:F45)/5</f>
        <v>1.7741600000000006</v>
      </c>
      <c r="J42">
        <f>SUM(G41:G45)/5</f>
        <v>0.75801999999999947</v>
      </c>
      <c r="K42" s="172">
        <f>SUM(H41:H45)/5</f>
        <v>29.93401864344397</v>
      </c>
      <c r="L42" s="173">
        <f>(H41-$K$42)^2</f>
        <v>1.1514629037958093</v>
      </c>
      <c r="M42">
        <f>SUM(L42:L46)/5</f>
        <v>0.61299185653399335</v>
      </c>
      <c r="N42" s="174">
        <f>SQRT(M42)</f>
        <v>0.78293796467791321</v>
      </c>
      <c r="O42" s="173">
        <f>($D$48-D41)^2</f>
        <v>9.6432399999998823E-5</v>
      </c>
      <c r="P42">
        <f>SUM(O42:O46)/5</f>
        <v>1.1380159999999952E-4</v>
      </c>
      <c r="Q42" s="174">
        <f>SQRT(P42)</f>
        <v>1.0667783274888909E-2</v>
      </c>
      <c r="R42" s="766">
        <v>0.78293796467791321</v>
      </c>
      <c r="S42" s="767"/>
      <c r="T42" s="770">
        <f>(R42/K42)*100</f>
        <v>2.6155457909069928</v>
      </c>
      <c r="V42" s="103" t="s">
        <v>17</v>
      </c>
      <c r="W42" s="104">
        <v>31.630671686150297</v>
      </c>
      <c r="X42" s="176"/>
      <c r="Y42" s="103">
        <v>1.076220719032975E-2</v>
      </c>
      <c r="Z42" s="104"/>
      <c r="AA42" s="106"/>
      <c r="AB42" s="249">
        <v>3.2355690963670201</v>
      </c>
      <c r="AC42" s="692"/>
      <c r="AD42" s="693"/>
      <c r="AE42" s="694"/>
    </row>
    <row r="43" spans="1:31">
      <c r="A43" s="175" t="s">
        <v>136</v>
      </c>
      <c r="B43" s="108"/>
      <c r="C43" s="108">
        <v>36.499699999999997</v>
      </c>
      <c r="D43" s="108">
        <v>2.5398000000000001</v>
      </c>
      <c r="E43" s="108">
        <v>38.303899999999999</v>
      </c>
      <c r="F43" s="109">
        <f>E43-C43</f>
        <v>1.8042000000000016</v>
      </c>
      <c r="G43" s="157">
        <f t="shared" si="20"/>
        <v>0.73559999999999848</v>
      </c>
      <c r="H43" s="84">
        <f>(G43/D43)*100</f>
        <v>28.962910465390916</v>
      </c>
      <c r="L43" s="173">
        <f>(H42-$K$42)^2</f>
        <v>0.58644978886746424</v>
      </c>
      <c r="N43" s="176"/>
      <c r="O43" s="173">
        <f>($D$48-D42)^2</f>
        <v>3.1584399999999534E-5</v>
      </c>
      <c r="Q43" s="176"/>
      <c r="R43" s="768"/>
      <c r="S43" s="769"/>
      <c r="T43" s="771"/>
      <c r="V43" s="103" t="s">
        <v>18</v>
      </c>
      <c r="W43" s="104">
        <v>30.126482213438965</v>
      </c>
      <c r="X43" s="176"/>
      <c r="Y43" s="103">
        <v>2.5854405927618251</v>
      </c>
      <c r="Z43" s="104"/>
      <c r="AA43" s="106"/>
      <c r="AC43" s="692"/>
      <c r="AD43" s="693"/>
      <c r="AE43" s="694"/>
    </row>
    <row r="44" spans="1:31">
      <c r="A44" s="171" t="s">
        <v>144</v>
      </c>
      <c r="B44" s="104"/>
      <c r="C44" s="104">
        <v>37.932099999999998</v>
      </c>
      <c r="D44" s="104">
        <v>2.5283000000000002</v>
      </c>
      <c r="E44" s="104">
        <v>39.713000000000001</v>
      </c>
      <c r="F44" s="106">
        <f>E44-C44</f>
        <v>1.7809000000000026</v>
      </c>
      <c r="G44" s="157">
        <f t="shared" si="20"/>
        <v>0.74739999999999762</v>
      </c>
      <c r="H44" s="84">
        <f>(G44/D44)*100</f>
        <v>29.561365344302398</v>
      </c>
      <c r="L44" s="173">
        <f>(H43-$K$42)^2</f>
        <v>0.94305109348152238</v>
      </c>
      <c r="O44" s="173">
        <f>($D$48-D43)^2</f>
        <v>5.8064400000002778E-5</v>
      </c>
      <c r="Q44" s="176"/>
      <c r="R44" s="831"/>
      <c r="S44" s="832"/>
      <c r="T44" s="833"/>
      <c r="V44" s="103" t="s">
        <v>174</v>
      </c>
      <c r="W44" s="104">
        <v>33.488390585241511</v>
      </c>
      <c r="X44" s="176"/>
      <c r="Y44" s="103">
        <v>3.0764382657646889</v>
      </c>
      <c r="Z44" s="104"/>
      <c r="AA44" s="106"/>
      <c r="AC44" s="692"/>
      <c r="AD44" s="693"/>
      <c r="AE44" s="694"/>
    </row>
    <row r="45" spans="1:31">
      <c r="A45" s="175" t="s">
        <v>145</v>
      </c>
      <c r="B45" s="108"/>
      <c r="C45" s="108">
        <v>37.364400000000003</v>
      </c>
      <c r="D45" s="108">
        <v>2.5129999999999999</v>
      </c>
      <c r="E45" s="108">
        <v>39.137599999999999</v>
      </c>
      <c r="F45" s="109">
        <f>E45-C45</f>
        <v>1.7731999999999957</v>
      </c>
      <c r="G45" s="157">
        <f t="shared" si="20"/>
        <v>0.73980000000000423</v>
      </c>
      <c r="H45" s="84">
        <f>(G45/D45)*100</f>
        <v>29.438917628332838</v>
      </c>
      <c r="I45" s="104"/>
      <c r="J45" s="104"/>
      <c r="K45" s="104"/>
      <c r="L45" s="173">
        <f>(H44-$K$42)^2</f>
        <v>0.13887048136109767</v>
      </c>
      <c r="M45" s="104"/>
      <c r="N45" s="106"/>
      <c r="O45" s="173">
        <f>($D$48-D44)^2</f>
        <v>1.5054399999997374E-5</v>
      </c>
      <c r="Q45" s="176"/>
      <c r="R45" s="772"/>
      <c r="S45" s="773"/>
      <c r="T45" s="170"/>
      <c r="V45" s="103" t="s">
        <v>175</v>
      </c>
      <c r="W45" s="104">
        <v>32.18782168025966</v>
      </c>
      <c r="X45" s="176"/>
      <c r="Y45" s="103">
        <v>0.20557966301441161</v>
      </c>
      <c r="Z45" s="104"/>
      <c r="AA45" s="106"/>
      <c r="AC45" s="692"/>
      <c r="AD45" s="693"/>
      <c r="AE45" s="694"/>
    </row>
    <row r="46" spans="1:31">
      <c r="A46" s="171"/>
      <c r="B46" s="104"/>
      <c r="C46" s="104"/>
      <c r="D46" s="104"/>
      <c r="E46" s="104"/>
      <c r="F46" s="106"/>
      <c r="L46" s="173">
        <f>(H45-$K$42)^2</f>
        <v>0.24512501516407328</v>
      </c>
      <c r="O46" s="188">
        <f>($D$48-D45)^2</f>
        <v>3.6787239999999904E-4</v>
      </c>
      <c r="P46" s="187"/>
      <c r="Q46" s="189"/>
      <c r="R46" s="766"/>
      <c r="S46" s="767"/>
      <c r="T46" s="770"/>
      <c r="V46" s="107" t="s">
        <v>176</v>
      </c>
      <c r="W46" s="108">
        <v>30.764313396460075</v>
      </c>
      <c r="X46" s="189"/>
      <c r="Y46" s="107">
        <v>0.94109274509379481</v>
      </c>
      <c r="Z46" s="108"/>
      <c r="AA46" s="399">
        <f>_xlfn.STDEV.S(W41:W46)</f>
        <v>1.186958618153904</v>
      </c>
      <c r="AC46" s="695"/>
      <c r="AD46" s="696"/>
      <c r="AE46" s="697"/>
    </row>
    <row r="47" spans="1:31" ht="21.6" thickBot="1">
      <c r="A47" s="175"/>
      <c r="B47" s="108"/>
      <c r="C47" s="108"/>
      <c r="D47" s="108"/>
      <c r="E47" s="108"/>
      <c r="F47" s="109"/>
      <c r="L47" s="173"/>
      <c r="N47" s="300">
        <f>_xlfn.STDEV.S(H41:H45)</f>
        <v>0.87535125559257165</v>
      </c>
      <c r="O47" s="173"/>
      <c r="Q47" s="176"/>
      <c r="R47" s="768"/>
      <c r="S47" s="769"/>
      <c r="T47" s="771"/>
      <c r="V47" s="853" t="s">
        <v>172</v>
      </c>
      <c r="W47" s="854"/>
      <c r="X47" s="855"/>
    </row>
    <row r="48" spans="1:31" ht="15" customHeight="1" thickBot="1">
      <c r="A48" s="177"/>
      <c r="B48" s="178"/>
      <c r="C48" s="179" t="s">
        <v>83</v>
      </c>
      <c r="D48" s="179">
        <f>SUM(D41:D45)/5</f>
        <v>2.5321799999999999</v>
      </c>
      <c r="E48" s="178"/>
      <c r="F48" s="178"/>
      <c r="G48" s="178"/>
      <c r="H48" s="178"/>
      <c r="I48" s="115"/>
      <c r="J48" s="115"/>
      <c r="K48" s="115"/>
      <c r="L48" s="289"/>
      <c r="M48" s="290"/>
      <c r="N48" s="291"/>
      <c r="O48" s="115"/>
      <c r="P48" s="115"/>
      <c r="Q48" s="181"/>
      <c r="R48" s="828"/>
      <c r="S48" s="829"/>
      <c r="T48" s="830"/>
      <c r="V48" s="185"/>
      <c r="W48" s="136" t="s">
        <v>11</v>
      </c>
      <c r="X48" s="229" t="s">
        <v>173</v>
      </c>
      <c r="Y48" s="136" t="s">
        <v>127</v>
      </c>
      <c r="Z48" s="136" t="s">
        <v>113</v>
      </c>
      <c r="AA48" s="139" t="s">
        <v>112</v>
      </c>
      <c r="AB48" s="856" t="s">
        <v>117</v>
      </c>
    </row>
    <row r="49" spans="1:28">
      <c r="A49" s="250" t="s">
        <v>137</v>
      </c>
      <c r="B49" s="251" t="s">
        <v>121</v>
      </c>
      <c r="C49" s="251" t="s">
        <v>41</v>
      </c>
      <c r="D49" s="251" t="s">
        <v>59</v>
      </c>
      <c r="E49" s="251" t="s">
        <v>122</v>
      </c>
      <c r="F49" s="251" t="s">
        <v>31</v>
      </c>
      <c r="G49" s="239" t="s">
        <v>32</v>
      </c>
      <c r="H49" s="239" t="s">
        <v>11</v>
      </c>
      <c r="I49" s="78" t="s">
        <v>137</v>
      </c>
      <c r="J49" s="78"/>
      <c r="K49" s="78"/>
      <c r="L49" s="255"/>
      <c r="M49" s="78"/>
      <c r="N49" s="288"/>
      <c r="O49" s="255"/>
      <c r="P49" s="78"/>
      <c r="Q49" s="288"/>
      <c r="R49" s="255"/>
      <c r="S49" s="78"/>
      <c r="T49" s="79"/>
      <c r="V49" s="103" t="s">
        <v>134</v>
      </c>
      <c r="W49" s="104">
        <v>31.007081038552386</v>
      </c>
      <c r="X49" s="176">
        <v>29.938004293730586</v>
      </c>
      <c r="Y49" s="104">
        <v>1.1429250863187754</v>
      </c>
      <c r="Z49" s="104">
        <v>2.1535364189528368</v>
      </c>
      <c r="AA49" s="234">
        <v>1.4674932432392447</v>
      </c>
      <c r="AB49" s="856"/>
    </row>
    <row r="50" spans="1:28">
      <c r="A50" s="169" t="s">
        <v>138</v>
      </c>
      <c r="B50" s="136"/>
      <c r="C50" s="136">
        <v>36.498800000000003</v>
      </c>
      <c r="D50" s="136">
        <v>2.5285000000000002</v>
      </c>
      <c r="E50" s="136">
        <v>38.306199999999997</v>
      </c>
      <c r="F50" s="139">
        <f>E50-C50</f>
        <v>1.8073999999999941</v>
      </c>
      <c r="G50" s="157">
        <f>D50-F50</f>
        <v>0.72110000000000607</v>
      </c>
      <c r="H50" s="84">
        <f>(G50/D50)*100</f>
        <v>28.518884714257702</v>
      </c>
      <c r="I50" s="104" t="s">
        <v>31</v>
      </c>
      <c r="J50" s="104" t="s">
        <v>32</v>
      </c>
      <c r="K50" s="104" t="s">
        <v>11</v>
      </c>
      <c r="L50" s="135" t="s">
        <v>127</v>
      </c>
      <c r="M50" s="136" t="s">
        <v>113</v>
      </c>
      <c r="N50" s="139" t="s">
        <v>112</v>
      </c>
      <c r="O50" s="136" t="s">
        <v>127</v>
      </c>
      <c r="P50" s="136" t="s">
        <v>113</v>
      </c>
      <c r="Q50" s="139" t="s">
        <v>112</v>
      </c>
      <c r="R50" s="772" t="s">
        <v>128</v>
      </c>
      <c r="S50" s="773"/>
      <c r="T50" s="170" t="s">
        <v>129</v>
      </c>
      <c r="V50" s="103" t="s">
        <v>135</v>
      </c>
      <c r="W50" s="104">
        <v>30.699818740641316</v>
      </c>
      <c r="X50" s="176"/>
      <c r="Y50" s="104">
        <v>0.58036125152190143</v>
      </c>
      <c r="Z50" s="104"/>
      <c r="AA50" s="106"/>
      <c r="AB50" s="249">
        <v>4.5295197087268448</v>
      </c>
    </row>
    <row r="51" spans="1:28">
      <c r="A51" s="171" t="s">
        <v>139</v>
      </c>
      <c r="B51" s="104"/>
      <c r="C51" s="104">
        <v>38.249699999999997</v>
      </c>
      <c r="D51" s="104">
        <v>2.5594000000000001</v>
      </c>
      <c r="E51" s="104">
        <v>40.1081</v>
      </c>
      <c r="F51" s="106">
        <f t="shared" ref="F51:F54" si="21">E51-C51</f>
        <v>1.8584000000000032</v>
      </c>
      <c r="G51" s="157">
        <f t="shared" ref="G51:G54" si="22">D51-F51</f>
        <v>0.70099999999999696</v>
      </c>
      <c r="H51" s="84">
        <f t="shared" ref="H51:H54" si="23">(G51/D51)*100</f>
        <v>27.389231851215008</v>
      </c>
      <c r="I51">
        <f>SUM(F50:F54)/5</f>
        <v>1.8343599999999967</v>
      </c>
      <c r="J51">
        <f>SUM(G50:G54)/5</f>
        <v>0.69040000000000334</v>
      </c>
      <c r="K51" s="172">
        <f>SUM(H50:H54)/5</f>
        <v>27.343192717014109</v>
      </c>
      <c r="L51" s="173">
        <f>(H50-$K$51)^2</f>
        <v>1.3822516723826288</v>
      </c>
      <c r="M51">
        <f>SUM(L51:L55)/5</f>
        <v>0.56835895777073564</v>
      </c>
      <c r="N51" s="174">
        <f>SQRT(M51)</f>
        <v>0.75389585339802445</v>
      </c>
      <c r="O51">
        <f>($D$55-D50)^2</f>
        <v>1.3987600000003894E-5</v>
      </c>
      <c r="P51">
        <f>SUM(O51:O53)/3</f>
        <v>4.0542960000001198E-4</v>
      </c>
      <c r="Q51" s="174">
        <f>SQRT(P51)</f>
        <v>2.0135282466357703E-2</v>
      </c>
      <c r="R51" s="766">
        <v>0.75389585339802445</v>
      </c>
      <c r="S51" s="847"/>
      <c r="T51" s="770">
        <f>(R51/K51)*100</f>
        <v>2.75716102797651</v>
      </c>
      <c r="V51" s="103" t="s">
        <v>136</v>
      </c>
      <c r="W51" s="104">
        <v>28.962910465390916</v>
      </c>
      <c r="X51" s="176"/>
      <c r="Y51" s="104">
        <v>0.95080797406611373</v>
      </c>
      <c r="Z51" s="104"/>
      <c r="AA51" s="106"/>
    </row>
    <row r="52" spans="1:28">
      <c r="A52" s="175" t="s">
        <v>140</v>
      </c>
      <c r="B52" s="108"/>
      <c r="C52" s="108">
        <v>37.041800000000002</v>
      </c>
      <c r="D52" s="108">
        <v>2.5263</v>
      </c>
      <c r="E52" s="108">
        <v>38.888199999999998</v>
      </c>
      <c r="F52" s="109">
        <f t="shared" si="21"/>
        <v>1.8463999999999956</v>
      </c>
      <c r="G52" s="157">
        <f t="shared" si="22"/>
        <v>0.67990000000000439</v>
      </c>
      <c r="H52" s="84">
        <f t="shared" si="23"/>
        <v>26.912876538811876</v>
      </c>
      <c r="L52" s="173">
        <f>(H51-$K$51)^2</f>
        <v>2.1196018779684493E-3</v>
      </c>
      <c r="N52" s="176"/>
      <c r="O52">
        <f>($D$55-D51)^2</f>
        <v>1.199929600000031E-3</v>
      </c>
      <c r="Q52" s="176"/>
      <c r="R52" s="768"/>
      <c r="S52" s="848"/>
      <c r="T52" s="771"/>
      <c r="V52" s="103" t="s">
        <v>144</v>
      </c>
      <c r="W52" s="104">
        <v>29.561365344302398</v>
      </c>
      <c r="X52" s="176"/>
      <c r="Y52" s="104">
        <v>0.14185689822636874</v>
      </c>
      <c r="Z52" s="104"/>
      <c r="AA52" s="106"/>
    </row>
    <row r="53" spans="1:28">
      <c r="A53" s="169" t="s">
        <v>148</v>
      </c>
      <c r="B53" s="136"/>
      <c r="C53" s="136">
        <v>38.193800000000003</v>
      </c>
      <c r="D53" s="136">
        <v>2.5019999999999998</v>
      </c>
      <c r="E53" s="136">
        <v>40.038899999999998</v>
      </c>
      <c r="F53" s="139">
        <f t="shared" si="21"/>
        <v>1.8450999999999951</v>
      </c>
      <c r="G53" s="157">
        <f t="shared" si="22"/>
        <v>0.6569000000000047</v>
      </c>
      <c r="H53" s="84">
        <f t="shared" si="23"/>
        <v>26.254996003197633</v>
      </c>
      <c r="L53" s="173">
        <f>(H52-$K$51)^2</f>
        <v>0.18517201322257584</v>
      </c>
      <c r="N53" s="176"/>
      <c r="O53">
        <f>($D$55-D52)^2</f>
        <v>2.371600000000982E-6</v>
      </c>
      <c r="P53" s="187"/>
      <c r="Q53" s="189"/>
      <c r="R53" s="831"/>
      <c r="S53" s="849"/>
      <c r="T53" s="833"/>
      <c r="V53" s="103" t="s">
        <v>145</v>
      </c>
      <c r="W53" s="104">
        <v>29.438917628332838</v>
      </c>
      <c r="X53" s="176"/>
      <c r="Y53" s="104">
        <v>0.24908749957784337</v>
      </c>
      <c r="Z53" s="104"/>
      <c r="AA53" s="106"/>
    </row>
    <row r="54" spans="1:28">
      <c r="A54" s="175" t="s">
        <v>149</v>
      </c>
      <c r="B54" s="108"/>
      <c r="C54" s="108">
        <v>35.529800000000002</v>
      </c>
      <c r="D54" s="108">
        <v>2.5076000000000001</v>
      </c>
      <c r="E54" s="108">
        <v>37.344299999999997</v>
      </c>
      <c r="F54" s="109">
        <f t="shared" si="21"/>
        <v>1.8144999999999953</v>
      </c>
      <c r="G54" s="157">
        <f t="shared" si="22"/>
        <v>0.69310000000000471</v>
      </c>
      <c r="H54" s="84">
        <f t="shared" si="23"/>
        <v>27.639974477588318</v>
      </c>
      <c r="L54" s="173">
        <f>(H53-$K$51)^2</f>
        <v>1.1841720879609776</v>
      </c>
      <c r="N54" s="176"/>
      <c r="O54" s="231"/>
      <c r="P54" s="231"/>
      <c r="Q54" s="232"/>
      <c r="T54" s="81"/>
      <c r="V54" s="103" t="s">
        <v>177</v>
      </c>
      <c r="W54" s="104">
        <v>32.398429361326855</v>
      </c>
      <c r="X54" s="176"/>
      <c r="Y54" s="104">
        <v>6.053691513256104</v>
      </c>
      <c r="Z54" s="104"/>
      <c r="AA54" s="106"/>
    </row>
    <row r="55" spans="1:28" ht="15" thickBot="1">
      <c r="A55" s="163"/>
      <c r="B55" s="115"/>
      <c r="C55" s="179" t="s">
        <v>83</v>
      </c>
      <c r="D55" s="179">
        <f>SUM(D50:D54)/5</f>
        <v>2.5247599999999997</v>
      </c>
      <c r="E55" s="115"/>
      <c r="F55" s="115"/>
      <c r="G55" s="115"/>
      <c r="H55" s="115"/>
      <c r="I55" s="115"/>
      <c r="J55" s="115"/>
      <c r="K55" s="115"/>
      <c r="L55" s="180">
        <f>(H54-$K$51)^2</f>
        <v>8.8079413409527199E-2</v>
      </c>
      <c r="M55" s="115"/>
      <c r="N55" s="256">
        <f>_xlfn.STDEV.S(H50:H54)</f>
        <v>0.84288118807659929</v>
      </c>
      <c r="O55" s="115"/>
      <c r="P55" s="115"/>
      <c r="Q55" s="115"/>
      <c r="R55" s="115"/>
      <c r="S55" s="115"/>
      <c r="T55" s="116"/>
      <c r="V55" s="107" t="s">
        <v>178</v>
      </c>
      <c r="W55" s="187">
        <v>27.497507477567378</v>
      </c>
      <c r="X55" s="189"/>
      <c r="Y55" s="108">
        <v>5.9560247097027537</v>
      </c>
      <c r="Z55" s="187"/>
      <c r="AA55" s="286">
        <f>_xlfn.STDEV.S(W49:W55)</f>
        <v>1.585073864349853</v>
      </c>
    </row>
    <row r="56" spans="1:28" ht="21">
      <c r="V56" s="853" t="s">
        <v>172</v>
      </c>
      <c r="W56" s="854"/>
      <c r="X56" s="855"/>
    </row>
    <row r="57" spans="1:28" ht="15" customHeight="1" thickBot="1">
      <c r="V57" s="185"/>
      <c r="W57" s="136" t="s">
        <v>11</v>
      </c>
      <c r="X57" s="183" t="s">
        <v>173</v>
      </c>
      <c r="Y57" s="135" t="s">
        <v>127</v>
      </c>
      <c r="Z57" s="136" t="s">
        <v>113</v>
      </c>
      <c r="AA57" s="139" t="s">
        <v>112</v>
      </c>
      <c r="AB57" s="856" t="s">
        <v>117</v>
      </c>
    </row>
    <row r="58" spans="1:28">
      <c r="A58" s="774" t="s">
        <v>169</v>
      </c>
      <c r="B58" s="775"/>
      <c r="C58" s="775"/>
      <c r="D58" s="775"/>
      <c r="E58" s="775"/>
      <c r="F58" s="775"/>
      <c r="G58" s="775"/>
      <c r="H58" s="776"/>
      <c r="I58" s="777" t="s">
        <v>119</v>
      </c>
      <c r="J58" s="778"/>
      <c r="K58" s="779"/>
      <c r="L58" s="78"/>
      <c r="M58" s="78"/>
      <c r="N58" s="78"/>
      <c r="O58" s="78"/>
      <c r="P58" s="78"/>
      <c r="Q58" s="78"/>
      <c r="R58" s="78"/>
      <c r="S58" s="78"/>
      <c r="T58" s="79"/>
      <c r="V58" s="103" t="s">
        <v>138</v>
      </c>
      <c r="W58">
        <v>28.518884714257702</v>
      </c>
      <c r="X58">
        <v>27.841641075514048</v>
      </c>
      <c r="Y58" s="103">
        <v>0.45865894621874526</v>
      </c>
      <c r="Z58" s="104">
        <v>0.98107207075585712</v>
      </c>
      <c r="AA58" s="234">
        <v>0.99049082315580139</v>
      </c>
      <c r="AB58" s="856"/>
    </row>
    <row r="59" spans="1:28">
      <c r="A59" s="164" t="s">
        <v>120</v>
      </c>
      <c r="B59" s="165" t="s">
        <v>121</v>
      </c>
      <c r="C59" s="165" t="s">
        <v>41</v>
      </c>
      <c r="D59" s="165" t="s">
        <v>59</v>
      </c>
      <c r="E59" s="165" t="s">
        <v>122</v>
      </c>
      <c r="F59" s="165" t="s">
        <v>31</v>
      </c>
      <c r="G59" s="166" t="s">
        <v>32</v>
      </c>
      <c r="H59" s="165" t="s">
        <v>11</v>
      </c>
      <c r="I59" t="s">
        <v>120</v>
      </c>
      <c r="L59" s="772" t="s">
        <v>159</v>
      </c>
      <c r="M59" s="773"/>
      <c r="N59" s="780"/>
      <c r="O59" s="772" t="s">
        <v>160</v>
      </c>
      <c r="P59" s="773"/>
      <c r="Q59" s="780"/>
      <c r="R59" s="772" t="s">
        <v>125</v>
      </c>
      <c r="S59" s="773"/>
      <c r="T59" s="781"/>
      <c r="V59" s="103" t="s">
        <v>139</v>
      </c>
      <c r="W59">
        <v>27.389231851215008</v>
      </c>
      <c r="Y59" s="103">
        <v>0.20467410623085835</v>
      </c>
      <c r="Z59" s="104"/>
      <c r="AA59" s="106"/>
      <c r="AB59" s="249">
        <v>3.3523381870658202</v>
      </c>
    </row>
    <row r="60" spans="1:28">
      <c r="A60" s="169" t="s">
        <v>126</v>
      </c>
      <c r="B60" s="136"/>
      <c r="C60" s="136">
        <v>36.414499999999997</v>
      </c>
      <c r="D60" s="136">
        <v>2.5152000000000001</v>
      </c>
      <c r="E60" s="136">
        <v>38.087400000000002</v>
      </c>
      <c r="F60" s="139">
        <f>E60-C60</f>
        <v>1.6729000000000056</v>
      </c>
      <c r="G60" s="157">
        <f>D60-F60</f>
        <v>0.8422999999999945</v>
      </c>
      <c r="H60" s="84">
        <f>(G60/D60)*100</f>
        <v>33.488390585241511</v>
      </c>
      <c r="I60" s="104" t="s">
        <v>31</v>
      </c>
      <c r="J60" s="104" t="s">
        <v>32</v>
      </c>
      <c r="K60" s="104" t="s">
        <v>11</v>
      </c>
      <c r="L60" s="135" t="s">
        <v>127</v>
      </c>
      <c r="M60" s="136" t="s">
        <v>113</v>
      </c>
      <c r="N60" s="139" t="s">
        <v>112</v>
      </c>
      <c r="O60" s="135" t="s">
        <v>127</v>
      </c>
      <c r="P60" s="136" t="s">
        <v>113</v>
      </c>
      <c r="Q60" s="139" t="s">
        <v>112</v>
      </c>
      <c r="R60" s="772" t="s">
        <v>128</v>
      </c>
      <c r="S60" s="773"/>
      <c r="T60" s="170" t="s">
        <v>129</v>
      </c>
      <c r="V60" s="103" t="s">
        <v>140</v>
      </c>
      <c r="W60">
        <v>26.912876538811876</v>
      </c>
      <c r="Y60" s="103">
        <v>0.86260356463559973</v>
      </c>
      <c r="Z60" s="104"/>
      <c r="AA60" s="106"/>
    </row>
    <row r="61" spans="1:28">
      <c r="A61" s="171" t="s">
        <v>130</v>
      </c>
      <c r="B61" s="104"/>
      <c r="C61" s="104">
        <v>36.3476</v>
      </c>
      <c r="D61" s="104">
        <v>2.5257999999999998</v>
      </c>
      <c r="E61" s="104">
        <v>38.060400000000001</v>
      </c>
      <c r="F61" s="106">
        <f t="shared" ref="F61:F62" si="24">E61-C61</f>
        <v>1.7128000000000014</v>
      </c>
      <c r="G61" s="157">
        <f t="shared" ref="G61:G62" si="25">D61-F61</f>
        <v>0.81299999999999839</v>
      </c>
      <c r="H61" s="84">
        <f t="shared" ref="H61:H62" si="26">(G61/D61)*100</f>
        <v>32.18782168025966</v>
      </c>
      <c r="I61">
        <f>SUM(F60:F62)/3</f>
        <v>1.7062000000000026</v>
      </c>
      <c r="J61">
        <f>SUM(G60:G62)/3</f>
        <v>0.80843333333333067</v>
      </c>
      <c r="K61" s="172">
        <f>SUM(H60:H62)/3</f>
        <v>32.146841887320413</v>
      </c>
      <c r="L61" s="173">
        <f>(H60-$K$61)^2</f>
        <v>1.799752908893794</v>
      </c>
      <c r="M61">
        <f>SUM(L61:L63)/3</f>
        <v>1.2376057601212338</v>
      </c>
      <c r="N61" s="174">
        <f>SQRT(M61)</f>
        <v>1.1124773076882215</v>
      </c>
      <c r="O61" s="173">
        <f>($D$63-D60)^2</f>
        <v>3.2111111111078873E-7</v>
      </c>
      <c r="P61">
        <f>SUM(O61:O63)/3</f>
        <v>8.7562222222221689E-5</v>
      </c>
      <c r="Q61" s="174">
        <f>SQRT(P61)</f>
        <v>9.357468793547841E-3</v>
      </c>
      <c r="R61" s="766">
        <v>1.1124773076882215</v>
      </c>
      <c r="S61" s="767"/>
      <c r="T61" s="770">
        <f>(R61/K61)*100</f>
        <v>3.4606115013960754</v>
      </c>
      <c r="V61" s="103" t="s">
        <v>148</v>
      </c>
      <c r="W61">
        <v>26.254996003197633</v>
      </c>
      <c r="Y61" s="103">
        <v>2.5174425855059614</v>
      </c>
      <c r="Z61" s="104"/>
      <c r="AA61" s="106"/>
    </row>
    <row r="62" spans="1:28">
      <c r="A62" s="175" t="s">
        <v>131</v>
      </c>
      <c r="B62" s="108"/>
      <c r="C62" s="108">
        <v>37.708500000000001</v>
      </c>
      <c r="D62" s="108">
        <v>2.5028999999999999</v>
      </c>
      <c r="E62" s="108">
        <v>39.441400000000002</v>
      </c>
      <c r="F62" s="109">
        <f t="shared" si="24"/>
        <v>1.7329000000000008</v>
      </c>
      <c r="G62" s="157">
        <f t="shared" si="25"/>
        <v>0.76999999999999913</v>
      </c>
      <c r="H62" s="84">
        <f t="shared" si="26"/>
        <v>30.764313396460075</v>
      </c>
      <c r="L62" s="173">
        <f>(H61-$K$61)^2</f>
        <v>1.6793434293435423E-3</v>
      </c>
      <c r="N62" s="176"/>
      <c r="O62" s="173">
        <f>($D$63-D61)^2</f>
        <v>1.2469444444443184E-4</v>
      </c>
      <c r="Q62" s="176"/>
      <c r="R62" s="768"/>
      <c r="S62" s="769"/>
      <c r="T62" s="771"/>
      <c r="V62" s="103" t="s">
        <v>149</v>
      </c>
      <c r="W62">
        <v>27.639974477588318</v>
      </c>
      <c r="Y62" s="103">
        <v>4.0669416718937937E-2</v>
      </c>
      <c r="Z62" s="104"/>
      <c r="AA62" s="106"/>
    </row>
    <row r="63" spans="1:28">
      <c r="A63" s="171"/>
      <c r="B63" s="104"/>
      <c r="C63" s="138" t="s">
        <v>83</v>
      </c>
      <c r="D63" s="138">
        <f>SUM(D60:D62)/3</f>
        <v>2.5146333333333337</v>
      </c>
      <c r="E63" s="104"/>
      <c r="F63" s="104"/>
      <c r="G63" s="104"/>
      <c r="H63" s="104"/>
      <c r="L63" s="188">
        <f>(H62-$K$61)^2</f>
        <v>1.9113850280405635</v>
      </c>
      <c r="M63" s="187"/>
      <c r="N63" s="286">
        <f>_xlfn.STDEV.S(H60:H62)</f>
        <v>1.3625008771306721</v>
      </c>
      <c r="O63" s="188">
        <f>($D$63-D62)^2</f>
        <v>1.3767111111112246E-4</v>
      </c>
      <c r="P63" s="187"/>
      <c r="Q63" s="189"/>
      <c r="R63" s="831"/>
      <c r="S63" s="832"/>
      <c r="T63" s="833"/>
      <c r="V63" s="103" t="s">
        <v>179</v>
      </c>
      <c r="W63">
        <v>29.54626794448631</v>
      </c>
      <c r="Y63" s="103">
        <v>2.9057527624221784</v>
      </c>
      <c r="Z63" s="104"/>
      <c r="AA63" s="106"/>
    </row>
    <row r="64" spans="1:28">
      <c r="A64" s="866" t="s">
        <v>169</v>
      </c>
      <c r="B64" s="807"/>
      <c r="C64" s="807"/>
      <c r="D64" s="807"/>
      <c r="E64" s="807"/>
      <c r="F64" s="807"/>
      <c r="G64" s="807"/>
      <c r="H64" s="808"/>
      <c r="I64" s="772" t="s">
        <v>119</v>
      </c>
      <c r="J64" s="773"/>
      <c r="K64" s="780"/>
      <c r="T64" s="81"/>
      <c r="V64" s="103" t="s">
        <v>180</v>
      </c>
      <c r="W64">
        <v>28.759188239053852</v>
      </c>
      <c r="Y64" s="103">
        <v>0.84189279731994116</v>
      </c>
      <c r="AA64" s="176"/>
    </row>
    <row r="65" spans="1:27">
      <c r="A65" s="164" t="s">
        <v>170</v>
      </c>
      <c r="B65" s="165" t="s">
        <v>121</v>
      </c>
      <c r="C65" s="165" t="s">
        <v>41</v>
      </c>
      <c r="D65" s="165" t="s">
        <v>59</v>
      </c>
      <c r="E65" s="165" t="s">
        <v>122</v>
      </c>
      <c r="F65" s="165" t="s">
        <v>31</v>
      </c>
      <c r="G65" s="166" t="s">
        <v>32</v>
      </c>
      <c r="H65" s="165" t="s">
        <v>11</v>
      </c>
      <c r="I65" t="s">
        <v>120</v>
      </c>
      <c r="L65" s="772" t="s">
        <v>159</v>
      </c>
      <c r="M65" s="773"/>
      <c r="N65" s="780"/>
      <c r="O65" s="772" t="s">
        <v>160</v>
      </c>
      <c r="P65" s="773"/>
      <c r="Q65" s="780"/>
      <c r="R65" s="772" t="s">
        <v>125</v>
      </c>
      <c r="S65" s="773"/>
      <c r="T65" s="781"/>
      <c r="V65" s="107" t="s">
        <v>181</v>
      </c>
      <c r="W65" s="187">
        <v>27.711708835501668</v>
      </c>
      <c r="X65" s="187"/>
      <c r="Y65" s="107">
        <v>1.6882386994634697E-2</v>
      </c>
      <c r="Z65" s="187"/>
      <c r="AA65" s="286">
        <f>_xlfn.STDEV.S(W58:W65)</f>
        <v>1.0588792299979162</v>
      </c>
    </row>
    <row r="66" spans="1:27">
      <c r="A66" s="364" t="s">
        <v>134</v>
      </c>
      <c r="B66" s="361"/>
      <c r="C66" s="361">
        <v>38.008200000000002</v>
      </c>
      <c r="D66" s="361">
        <v>2.5019999999999998</v>
      </c>
      <c r="E66" s="361">
        <v>39.6571</v>
      </c>
      <c r="F66" s="362">
        <f>E66-C66</f>
        <v>1.6488999999999976</v>
      </c>
      <c r="G66" s="363">
        <f>D66-F66</f>
        <v>0.85310000000000219</v>
      </c>
      <c r="H66" s="292">
        <f>(G66/D66)*100</f>
        <v>34.096722621902572</v>
      </c>
      <c r="I66" s="104" t="s">
        <v>31</v>
      </c>
      <c r="J66" s="104" t="s">
        <v>32</v>
      </c>
      <c r="K66" s="104" t="s">
        <v>11</v>
      </c>
      <c r="L66" s="135" t="s">
        <v>127</v>
      </c>
      <c r="M66" s="136" t="s">
        <v>113</v>
      </c>
      <c r="N66" s="139" t="s">
        <v>112</v>
      </c>
      <c r="O66" s="135" t="s">
        <v>127</v>
      </c>
      <c r="P66" s="136" t="s">
        <v>113</v>
      </c>
      <c r="Q66" s="139" t="s">
        <v>112</v>
      </c>
      <c r="R66" s="167" t="s">
        <v>128</v>
      </c>
      <c r="S66" s="168"/>
      <c r="T66" s="170" t="s">
        <v>129</v>
      </c>
    </row>
    <row r="67" spans="1:27">
      <c r="A67" s="171" t="s">
        <v>135</v>
      </c>
      <c r="B67" s="104"/>
      <c r="C67" s="104">
        <v>37.393799999999999</v>
      </c>
      <c r="D67" s="104">
        <v>2.4958</v>
      </c>
      <c r="E67" s="104">
        <v>39.081000000000003</v>
      </c>
      <c r="F67" s="106">
        <f t="shared" ref="F67:F68" si="27">E67-C67</f>
        <v>1.6872000000000043</v>
      </c>
      <c r="G67" s="157">
        <f t="shared" ref="G67:G68" si="28">D67-F67</f>
        <v>0.80859999999999577</v>
      </c>
      <c r="H67" s="84">
        <f t="shared" ref="H67:H68" si="29">(G67/D67)*100</f>
        <v>32.398429361326855</v>
      </c>
      <c r="I67">
        <f>SUM(F66:F68)/3</f>
        <v>1.7180333333333333</v>
      </c>
      <c r="J67">
        <f>SUM(G66:G68)/3</f>
        <v>0.78373333333333328</v>
      </c>
      <c r="K67" s="172">
        <f>SUM(H67:H68)/2</f>
        <v>29.947968419447115</v>
      </c>
      <c r="L67" s="173">
        <f>(H66-$K$67)^2</f>
        <v>17.212161432391817</v>
      </c>
      <c r="M67">
        <f>SUM(L68:L69)/2</f>
        <v>6.0047588276781338</v>
      </c>
      <c r="N67" s="174">
        <f>SQRT(M67)</f>
        <v>2.4504609418797383</v>
      </c>
      <c r="O67" s="173">
        <f>($D$69-D66)^2</f>
        <v>5.4444444444328831E-8</v>
      </c>
      <c r="P67">
        <f>SUM(O67:O69)/3</f>
        <v>2.2842222222221506E-5</v>
      </c>
      <c r="Q67" s="174">
        <f>SQRT(P67)</f>
        <v>4.7793537452485669E-3</v>
      </c>
      <c r="R67" s="766">
        <v>2.4504609418797383</v>
      </c>
      <c r="S67" s="767"/>
      <c r="T67" s="770">
        <f>(R67/K67)*100</f>
        <v>8.1823945703391985</v>
      </c>
    </row>
    <row r="68" spans="1:27">
      <c r="A68" s="175" t="s">
        <v>136</v>
      </c>
      <c r="B68" s="108"/>
      <c r="C68" s="108">
        <v>36.9726</v>
      </c>
      <c r="D68" s="108">
        <v>2.5074999999999998</v>
      </c>
      <c r="E68" s="108">
        <v>38.790599999999998</v>
      </c>
      <c r="F68" s="109">
        <f t="shared" si="27"/>
        <v>1.8179999999999978</v>
      </c>
      <c r="G68" s="157">
        <f t="shared" si="28"/>
        <v>0.689500000000002</v>
      </c>
      <c r="H68" s="84">
        <f t="shared" si="29"/>
        <v>27.497507477567378</v>
      </c>
      <c r="L68" s="173">
        <f>(H67-$K$67)^2</f>
        <v>6.0047588276781427</v>
      </c>
      <c r="N68" s="176"/>
      <c r="O68" s="173">
        <f>($D$69-D67)^2</f>
        <v>3.5601111111111218E-5</v>
      </c>
      <c r="Q68" s="176"/>
      <c r="R68" s="768"/>
      <c r="S68" s="769"/>
      <c r="T68" s="771"/>
    </row>
    <row r="69" spans="1:27">
      <c r="A69" s="171"/>
      <c r="B69" s="104"/>
      <c r="C69" s="138" t="s">
        <v>83</v>
      </c>
      <c r="D69" s="138">
        <f>SUM(D66:D68)/3</f>
        <v>2.5017666666666667</v>
      </c>
      <c r="E69" s="104"/>
      <c r="F69" s="104"/>
      <c r="G69" s="104"/>
      <c r="H69" s="104"/>
      <c r="L69" s="188">
        <f>(H68-$K$67)^2</f>
        <v>6.004758827678125</v>
      </c>
      <c r="M69" s="187"/>
      <c r="N69" s="286">
        <f>_xlfn.STDEV.S(H67:H68)</f>
        <v>3.4654750980718743</v>
      </c>
      <c r="O69" s="188">
        <f>($D$69-D68)^2</f>
        <v>3.2871111111108965E-5</v>
      </c>
      <c r="P69" s="187"/>
      <c r="Q69" s="189"/>
      <c r="R69" s="831"/>
      <c r="S69" s="832"/>
      <c r="T69" s="833"/>
    </row>
    <row r="70" spans="1:27">
      <c r="A70" s="866" t="s">
        <v>169</v>
      </c>
      <c r="B70" s="807"/>
      <c r="C70" s="807"/>
      <c r="D70" s="807"/>
      <c r="E70" s="807"/>
      <c r="F70" s="807"/>
      <c r="G70" s="807"/>
      <c r="H70" s="808"/>
      <c r="I70" s="772" t="s">
        <v>119</v>
      </c>
      <c r="J70" s="773"/>
      <c r="K70" s="780"/>
      <c r="T70" s="81"/>
    </row>
    <row r="71" spans="1:27">
      <c r="A71" s="164" t="s">
        <v>171</v>
      </c>
      <c r="B71" s="165" t="s">
        <v>121</v>
      </c>
      <c r="C71" s="165" t="s">
        <v>41</v>
      </c>
      <c r="D71" s="165" t="s">
        <v>59</v>
      </c>
      <c r="E71" s="165" t="s">
        <v>122</v>
      </c>
      <c r="F71" s="165" t="s">
        <v>31</v>
      </c>
      <c r="G71" s="166" t="s">
        <v>32</v>
      </c>
      <c r="H71" s="165" t="s">
        <v>11</v>
      </c>
      <c r="I71" t="s">
        <v>120</v>
      </c>
      <c r="L71" s="772" t="s">
        <v>159</v>
      </c>
      <c r="M71" s="773"/>
      <c r="N71" s="780"/>
      <c r="O71" s="772" t="s">
        <v>160</v>
      </c>
      <c r="P71" s="773"/>
      <c r="Q71" s="780"/>
      <c r="R71" s="772" t="s">
        <v>125</v>
      </c>
      <c r="S71" s="773"/>
      <c r="T71" s="781"/>
    </row>
    <row r="72" spans="1:27">
      <c r="A72" s="169" t="s">
        <v>138</v>
      </c>
      <c r="B72" s="136"/>
      <c r="C72" s="136">
        <v>35.5578</v>
      </c>
      <c r="D72" s="136">
        <v>2.5146999999999999</v>
      </c>
      <c r="E72" s="136">
        <v>37.329500000000003</v>
      </c>
      <c r="F72" s="139">
        <f>E72-C72</f>
        <v>1.7717000000000027</v>
      </c>
      <c r="G72" s="157">
        <f>D72-F72</f>
        <v>0.74299999999999722</v>
      </c>
      <c r="H72" s="84">
        <f>(G72/D72)*100</f>
        <v>29.54626794448631</v>
      </c>
      <c r="I72" s="104" t="s">
        <v>31</v>
      </c>
      <c r="J72" s="104" t="s">
        <v>32</v>
      </c>
      <c r="K72" s="104" t="s">
        <v>11</v>
      </c>
      <c r="L72" s="135" t="s">
        <v>127</v>
      </c>
      <c r="M72" s="136" t="s">
        <v>113</v>
      </c>
      <c r="N72" s="139" t="s">
        <v>112</v>
      </c>
      <c r="O72" s="135" t="s">
        <v>127</v>
      </c>
      <c r="P72" s="136" t="s">
        <v>113</v>
      </c>
      <c r="Q72" s="139" t="s">
        <v>112</v>
      </c>
      <c r="R72" s="772" t="s">
        <v>128</v>
      </c>
      <c r="S72" s="773"/>
      <c r="T72" s="170" t="s">
        <v>129</v>
      </c>
    </row>
    <row r="73" spans="1:27">
      <c r="A73" s="171" t="s">
        <v>139</v>
      </c>
      <c r="B73" s="104"/>
      <c r="C73" s="104">
        <v>36.549799999999998</v>
      </c>
      <c r="D73" s="104">
        <v>2.5032000000000001</v>
      </c>
      <c r="E73" s="104">
        <v>38.333100000000002</v>
      </c>
      <c r="F73" s="106">
        <f t="shared" ref="F73:F74" si="30">E73-C73</f>
        <v>1.7833000000000041</v>
      </c>
      <c r="G73" s="157">
        <f t="shared" ref="G73:G74" si="31">D73-F73</f>
        <v>0.71989999999999599</v>
      </c>
      <c r="H73" s="84">
        <f t="shared" ref="H73:H74" si="32">(G73/D73)*100</f>
        <v>28.759188239053852</v>
      </c>
      <c r="I73">
        <f>SUM(F72:F74)/3</f>
        <v>1.7888000000000019</v>
      </c>
      <c r="J73">
        <f>SUM(G72:G74)/3</f>
        <v>0.71909999999999796</v>
      </c>
      <c r="K73" s="172">
        <f>SUM(H72:H74)/3</f>
        <v>28.672388339680609</v>
      </c>
      <c r="L73" s="173">
        <f>(H72-$K$73)^2</f>
        <v>0.76366556369536842</v>
      </c>
      <c r="M73">
        <f>SUM(L73:L75)/3</f>
        <v>0.56470163199202317</v>
      </c>
      <c r="N73" s="174">
        <f>SQRT(M73)</f>
        <v>0.75146632126265189</v>
      </c>
      <c r="O73" s="173">
        <f>($D$75-D72)^2</f>
        <v>4.6240000000001895E-5</v>
      </c>
      <c r="P73">
        <f>SUM(O73:O75)/3</f>
        <v>2.4246666666666364E-5</v>
      </c>
      <c r="Q73" s="174">
        <f>SQRT(P73)</f>
        <v>4.9240904405449711E-3</v>
      </c>
      <c r="R73" s="766">
        <v>0.75146632126265189</v>
      </c>
      <c r="S73" s="767"/>
      <c r="T73" s="770">
        <f>(R73/K73)*100</f>
        <v>2.6208710357855831</v>
      </c>
    </row>
    <row r="74" spans="1:27">
      <c r="A74" s="175" t="s">
        <v>140</v>
      </c>
      <c r="B74" s="108"/>
      <c r="C74" s="108">
        <v>37.1629</v>
      </c>
      <c r="D74" s="108">
        <v>2.5057999999999998</v>
      </c>
      <c r="E74" s="108">
        <v>38.974299999999999</v>
      </c>
      <c r="F74" s="109">
        <f t="shared" si="30"/>
        <v>1.811399999999999</v>
      </c>
      <c r="G74" s="157">
        <f t="shared" si="31"/>
        <v>0.69440000000000079</v>
      </c>
      <c r="H74" s="84">
        <f t="shared" si="32"/>
        <v>27.711708835501668</v>
      </c>
      <c r="L74" s="173">
        <f>(H73-$K$73)^2</f>
        <v>7.534222531205198E-3</v>
      </c>
      <c r="N74" s="176"/>
      <c r="O74" s="173">
        <f>($D$75-D73)^2</f>
        <v>2.2089999999997222E-5</v>
      </c>
      <c r="Q74" s="176"/>
      <c r="R74" s="768"/>
      <c r="S74" s="769"/>
      <c r="T74" s="771"/>
    </row>
    <row r="75" spans="1:27" ht="15" thickBot="1">
      <c r="A75" s="177"/>
      <c r="B75" s="178"/>
      <c r="C75" s="179" t="s">
        <v>83</v>
      </c>
      <c r="D75" s="179">
        <f>SUM(D72:D74)/3</f>
        <v>2.5078999999999998</v>
      </c>
      <c r="E75" s="178"/>
      <c r="F75" s="178"/>
      <c r="G75" s="178"/>
      <c r="H75" s="178"/>
      <c r="I75" s="115"/>
      <c r="J75" s="115"/>
      <c r="K75" s="115"/>
      <c r="L75" s="180">
        <f>(H74-$K$73)^2</f>
        <v>0.92290510974949613</v>
      </c>
      <c r="M75" s="115"/>
      <c r="N75" s="256">
        <f>_xlfn.STDEV.S(H72:H74)</f>
        <v>0.92035452298993714</v>
      </c>
      <c r="O75" s="180">
        <f>($D$75-D74)^2</f>
        <v>4.4099999999999612E-6</v>
      </c>
      <c r="P75" s="115"/>
      <c r="Q75" s="181"/>
      <c r="R75" s="828"/>
      <c r="S75" s="829"/>
      <c r="T75" s="830"/>
    </row>
  </sheetData>
  <mergeCells count="96">
    <mergeCell ref="R31:S33"/>
    <mergeCell ref="T31:T33"/>
    <mergeCell ref="A19:H19"/>
    <mergeCell ref="R21:S21"/>
    <mergeCell ref="R22:S24"/>
    <mergeCell ref="T22:T24"/>
    <mergeCell ref="L71:N71"/>
    <mergeCell ref="O71:Q71"/>
    <mergeCell ref="R71:T71"/>
    <mergeCell ref="T51:T53"/>
    <mergeCell ref="T42:T44"/>
    <mergeCell ref="A64:H64"/>
    <mergeCell ref="A70:H70"/>
    <mergeCell ref="T67:T69"/>
    <mergeCell ref="L59:N59"/>
    <mergeCell ref="O59:Q59"/>
    <mergeCell ref="R59:T59"/>
    <mergeCell ref="I64:K64"/>
    <mergeCell ref="I70:K70"/>
    <mergeCell ref="L65:N65"/>
    <mergeCell ref="O65:Q65"/>
    <mergeCell ref="R65:T65"/>
    <mergeCell ref="T61:T63"/>
    <mergeCell ref="R61:S63"/>
    <mergeCell ref="R67:S69"/>
    <mergeCell ref="AC40:AE46"/>
    <mergeCell ref="V47:X47"/>
    <mergeCell ref="AB48:AB49"/>
    <mergeCell ref="X26:Y26"/>
    <mergeCell ref="Z26:AA26"/>
    <mergeCell ref="AB26:AC26"/>
    <mergeCell ref="AD26:AE26"/>
    <mergeCell ref="X27:Y27"/>
    <mergeCell ref="Z27:AA27"/>
    <mergeCell ref="AB27:AC27"/>
    <mergeCell ref="V39:X39"/>
    <mergeCell ref="AB40:AB41"/>
    <mergeCell ref="AB31:AE31"/>
    <mergeCell ref="AB32:AE32"/>
    <mergeCell ref="AB33:AE33"/>
    <mergeCell ref="X33:Y33"/>
    <mergeCell ref="R73:S75"/>
    <mergeCell ref="R60:S60"/>
    <mergeCell ref="R72:S72"/>
    <mergeCell ref="V56:X56"/>
    <mergeCell ref="AB57:AB58"/>
    <mergeCell ref="T73:T75"/>
    <mergeCell ref="A58:H58"/>
    <mergeCell ref="I58:K58"/>
    <mergeCell ref="I39:K39"/>
    <mergeCell ref="L40:N40"/>
    <mergeCell ref="R46:S48"/>
    <mergeCell ref="R50:S50"/>
    <mergeCell ref="R51:S53"/>
    <mergeCell ref="O40:Q40"/>
    <mergeCell ref="A39:H39"/>
    <mergeCell ref="R41:S41"/>
    <mergeCell ref="R42:S44"/>
    <mergeCell ref="R45:S45"/>
    <mergeCell ref="R40:T40"/>
    <mergeCell ref="T46:T48"/>
    <mergeCell ref="R3:S3"/>
    <mergeCell ref="A1:H1"/>
    <mergeCell ref="I1:K1"/>
    <mergeCell ref="L2:N2"/>
    <mergeCell ref="O2:Q2"/>
    <mergeCell ref="R2:T2"/>
    <mergeCell ref="R14:S16"/>
    <mergeCell ref="T14:T16"/>
    <mergeCell ref="R4:S6"/>
    <mergeCell ref="T4:T6"/>
    <mergeCell ref="R8:S8"/>
    <mergeCell ref="R9:S11"/>
    <mergeCell ref="T9:T11"/>
    <mergeCell ref="R13:S13"/>
    <mergeCell ref="AK8:AO13"/>
    <mergeCell ref="Z30:AA30"/>
    <mergeCell ref="X28:Y28"/>
    <mergeCell ref="Z28:AA28"/>
    <mergeCell ref="AB28:AC28"/>
    <mergeCell ref="AD28:AE28"/>
    <mergeCell ref="AD27:AE27"/>
    <mergeCell ref="Z25:AA25"/>
    <mergeCell ref="AB25:AC25"/>
    <mergeCell ref="AD25:AE25"/>
    <mergeCell ref="AB30:AE30"/>
    <mergeCell ref="W24:AE24"/>
    <mergeCell ref="W29:AE29"/>
    <mergeCell ref="X30:Y30"/>
    <mergeCell ref="X25:Y25"/>
    <mergeCell ref="Z31:AA31"/>
    <mergeCell ref="Z32:AA32"/>
    <mergeCell ref="Z33:AA33"/>
    <mergeCell ref="X31:Y31"/>
    <mergeCell ref="AE2:AG2"/>
    <mergeCell ref="X32:Y32"/>
  </mergeCell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79"/>
  <sheetViews>
    <sheetView topLeftCell="T28" zoomScale="70" zoomScaleNormal="70" workbookViewId="0">
      <selection activeCell="AG28" sqref="AG28"/>
    </sheetView>
  </sheetViews>
  <sheetFormatPr baseColWidth="10" defaultColWidth="11.5546875" defaultRowHeight="14.4"/>
  <cols>
    <col min="2" max="2" width="17" customWidth="1"/>
    <col min="6" max="6" width="13.44140625" customWidth="1"/>
    <col min="8" max="8" width="14.44140625" customWidth="1"/>
    <col min="12" max="12" width="13.109375" customWidth="1"/>
    <col min="15" max="15" width="12" bestFit="1" customWidth="1"/>
    <col min="30" max="30" width="12.88671875" customWidth="1"/>
    <col min="33" max="33" width="20" customWidth="1"/>
  </cols>
  <sheetData>
    <row r="1" spans="1:31" ht="15" thickBot="1"/>
    <row r="2" spans="1:31" ht="18.600000000000001" thickBot="1">
      <c r="W2" s="867" t="s">
        <v>277</v>
      </c>
      <c r="X2" s="839"/>
      <c r="Y2" s="839"/>
      <c r="Z2" s="839"/>
      <c r="AA2" s="839"/>
      <c r="AB2" s="839"/>
      <c r="AC2" s="839"/>
      <c r="AD2" s="839"/>
      <c r="AE2" s="868"/>
    </row>
    <row r="3" spans="1:31" ht="15" thickBot="1">
      <c r="A3" s="104"/>
      <c r="W3" s="435"/>
      <c r="X3" s="803" t="s">
        <v>221</v>
      </c>
      <c r="Y3" s="802"/>
      <c r="Z3" s="801" t="s">
        <v>222</v>
      </c>
      <c r="AA3" s="802"/>
      <c r="AB3" s="803" t="s">
        <v>223</v>
      </c>
      <c r="AC3" s="802"/>
      <c r="AE3" s="81"/>
    </row>
    <row r="4" spans="1:31">
      <c r="A4" s="774" t="s">
        <v>200</v>
      </c>
      <c r="B4" s="775"/>
      <c r="C4" s="775"/>
      <c r="D4" s="775"/>
      <c r="E4" s="775"/>
      <c r="F4" s="775"/>
      <c r="G4" s="775"/>
      <c r="H4" s="776"/>
      <c r="I4" s="777" t="s">
        <v>119</v>
      </c>
      <c r="J4" s="778"/>
      <c r="K4" s="779"/>
      <c r="L4" s="78"/>
      <c r="M4" s="78"/>
      <c r="N4" s="78"/>
      <c r="O4" s="78"/>
      <c r="P4" s="78"/>
      <c r="Q4" s="78"/>
      <c r="R4" s="78"/>
      <c r="S4" s="78"/>
      <c r="T4" s="79"/>
      <c r="W4" s="436" t="s">
        <v>225</v>
      </c>
      <c r="X4" s="869">
        <v>31.088068345007958</v>
      </c>
      <c r="Y4" s="870"/>
      <c r="Z4" s="869">
        <v>33.202113625225735</v>
      </c>
      <c r="AA4" s="870"/>
      <c r="AB4" s="804">
        <v>33.825100445260489</v>
      </c>
      <c r="AC4" s="805"/>
      <c r="AE4" s="81"/>
    </row>
    <row r="5" spans="1:31">
      <c r="A5" s="164" t="s">
        <v>120</v>
      </c>
      <c r="B5" s="165" t="s">
        <v>121</v>
      </c>
      <c r="C5" s="165" t="s">
        <v>41</v>
      </c>
      <c r="D5" s="165" t="s">
        <v>59</v>
      </c>
      <c r="E5" s="165" t="s">
        <v>122</v>
      </c>
      <c r="F5" s="165" t="s">
        <v>31</v>
      </c>
      <c r="G5" s="166" t="s">
        <v>32</v>
      </c>
      <c r="H5" s="165" t="s">
        <v>11</v>
      </c>
      <c r="I5" t="s">
        <v>120</v>
      </c>
      <c r="L5" s="834" t="s">
        <v>159</v>
      </c>
      <c r="M5" s="835"/>
      <c r="N5" s="836"/>
      <c r="O5" s="772" t="s">
        <v>160</v>
      </c>
      <c r="P5" s="773"/>
      <c r="Q5" s="780"/>
      <c r="R5" s="772" t="s">
        <v>125</v>
      </c>
      <c r="S5" s="773"/>
      <c r="T5" s="781"/>
      <c r="W5" s="436" t="s">
        <v>170</v>
      </c>
      <c r="X5" s="869">
        <v>33.022385165096743</v>
      </c>
      <c r="Y5" s="870"/>
      <c r="Z5" s="869">
        <v>34.503039508744166</v>
      </c>
      <c r="AA5" s="870"/>
      <c r="AB5" s="869">
        <v>35.40225328593116</v>
      </c>
      <c r="AC5" s="870"/>
      <c r="AE5" s="81"/>
    </row>
    <row r="6" spans="1:31">
      <c r="A6" s="169" t="s">
        <v>126</v>
      </c>
      <c r="B6" s="136"/>
      <c r="C6" s="136">
        <v>35.683900000000001</v>
      </c>
      <c r="D6" s="136">
        <v>2.5253999999999999</v>
      </c>
      <c r="E6" s="136">
        <v>37.375599999999999</v>
      </c>
      <c r="F6" s="139">
        <f>E6-C6</f>
        <v>1.6916999999999973</v>
      </c>
      <c r="G6" s="157">
        <f>D6-F6</f>
        <v>0.83370000000000255</v>
      </c>
      <c r="H6" s="84">
        <f>(G6/D6)*100</f>
        <v>33.012592064623533</v>
      </c>
      <c r="I6" s="104" t="s">
        <v>31</v>
      </c>
      <c r="J6" s="104" t="s">
        <v>32</v>
      </c>
      <c r="K6" s="104" t="s">
        <v>11</v>
      </c>
      <c r="L6" s="135" t="s">
        <v>127</v>
      </c>
      <c r="M6" s="136" t="s">
        <v>113</v>
      </c>
      <c r="N6" s="139" t="s">
        <v>112</v>
      </c>
      <c r="O6" s="135" t="s">
        <v>127</v>
      </c>
      <c r="P6" s="136" t="s">
        <v>113</v>
      </c>
      <c r="Q6" s="139" t="s">
        <v>112</v>
      </c>
      <c r="R6" s="772" t="s">
        <v>128</v>
      </c>
      <c r="S6" s="773"/>
      <c r="T6" s="170" t="s">
        <v>129</v>
      </c>
      <c r="W6" s="436" t="s">
        <v>219</v>
      </c>
      <c r="X6" s="869">
        <v>35.219327231165998</v>
      </c>
      <c r="Y6" s="870"/>
      <c r="Z6" s="869">
        <v>33.003085307459877</v>
      </c>
      <c r="AA6" s="870"/>
      <c r="AB6" s="887">
        <v>33.682272257360971</v>
      </c>
      <c r="AC6" s="888"/>
      <c r="AE6" s="81"/>
    </row>
    <row r="7" spans="1:31">
      <c r="A7" s="171" t="s">
        <v>130</v>
      </c>
      <c r="B7" s="104"/>
      <c r="C7" s="104">
        <v>35.882899999999999</v>
      </c>
      <c r="D7" s="104">
        <v>2.5053999999999998</v>
      </c>
      <c r="E7" s="104">
        <v>37.545000000000002</v>
      </c>
      <c r="F7" s="106">
        <f t="shared" ref="F7:F8" si="0">E7-C7</f>
        <v>1.6621000000000024</v>
      </c>
      <c r="G7" s="157">
        <f t="shared" ref="G7:G8" si="1">D7-F7</f>
        <v>0.8432999999999975</v>
      </c>
      <c r="H7" s="84">
        <f t="shared" ref="H7:H8" si="2">(G7/D7)*100</f>
        <v>33.659295920810948</v>
      </c>
      <c r="I7">
        <f>SUM(F6:F8)/3</f>
        <v>1.6629333333333325</v>
      </c>
      <c r="J7">
        <f>SUM(G6:G8)/3</f>
        <v>0.84993333333333398</v>
      </c>
      <c r="K7" s="172">
        <f>SUM(H6:H8)/3</f>
        <v>33.825100445260489</v>
      </c>
      <c r="L7" s="173">
        <f>(H6-$K$7)^2</f>
        <v>0.66016986860528848</v>
      </c>
      <c r="M7">
        <f>SUM(L7:L9)/3</f>
        <v>0.54825238306400748</v>
      </c>
      <c r="N7" s="174">
        <f>SQRT(M7)</f>
        <v>0.74044066815917631</v>
      </c>
      <c r="O7" s="173">
        <f>($D$9-D6)^2</f>
        <v>1.5708444444445437E-4</v>
      </c>
      <c r="P7">
        <f>SUM(O7:O9)/3</f>
        <v>7.950222222222177E-5</v>
      </c>
      <c r="Q7" s="174">
        <f>SQRT(P7)</f>
        <v>8.9164018652269014E-3</v>
      </c>
      <c r="R7" s="766">
        <v>0.74044066815917631</v>
      </c>
      <c r="S7" s="767"/>
      <c r="T7" s="770">
        <f>(R7/K7)*100</f>
        <v>2.1890272561272632</v>
      </c>
      <c r="W7" s="91"/>
      <c r="X7" s="803" t="s">
        <v>226</v>
      </c>
      <c r="Y7" s="802"/>
      <c r="Z7" s="803" t="s">
        <v>227</v>
      </c>
      <c r="AA7" s="802"/>
      <c r="AB7" s="803" t="s">
        <v>228</v>
      </c>
      <c r="AC7" s="802"/>
      <c r="AD7" s="795" t="s">
        <v>224</v>
      </c>
      <c r="AE7" s="872"/>
    </row>
    <row r="8" spans="1:31">
      <c r="A8" s="175" t="s">
        <v>131</v>
      </c>
      <c r="B8" s="108"/>
      <c r="C8" s="108">
        <v>36.654299999999999</v>
      </c>
      <c r="D8" s="108">
        <v>2.5078</v>
      </c>
      <c r="E8" s="108">
        <v>38.289299999999997</v>
      </c>
      <c r="F8" s="109">
        <f t="shared" si="0"/>
        <v>1.634999999999998</v>
      </c>
      <c r="G8" s="157">
        <f t="shared" si="1"/>
        <v>0.87280000000000202</v>
      </c>
      <c r="H8" s="84">
        <f t="shared" si="2"/>
        <v>34.803413350346993</v>
      </c>
      <c r="L8" s="173">
        <f t="shared" ref="L8:L9" si="3">(H7-$K$7)^2</f>
        <v>2.7491140327938503E-2</v>
      </c>
      <c r="N8" s="176"/>
      <c r="O8" s="173">
        <f t="shared" ref="O8:O9" si="4">($D$9-D7)^2</f>
        <v>5.575111111110546E-5</v>
      </c>
      <c r="Q8" s="176"/>
      <c r="R8" s="768"/>
      <c r="S8" s="769"/>
      <c r="T8" s="771"/>
      <c r="W8" s="436" t="s">
        <v>225</v>
      </c>
      <c r="X8" s="857" t="s">
        <v>108</v>
      </c>
      <c r="Y8" s="857"/>
      <c r="Z8" s="857" t="s">
        <v>108</v>
      </c>
      <c r="AA8" s="857"/>
      <c r="AB8" s="857" t="s">
        <v>108</v>
      </c>
      <c r="AC8" s="857"/>
      <c r="AD8" s="857" t="s">
        <v>108</v>
      </c>
      <c r="AE8" s="873"/>
    </row>
    <row r="9" spans="1:31">
      <c r="A9" s="171"/>
      <c r="B9" s="104"/>
      <c r="C9" s="138" t="s">
        <v>83</v>
      </c>
      <c r="D9" s="138">
        <f>SUM(D6:D8)/3</f>
        <v>2.5128666666666661</v>
      </c>
      <c r="E9" s="104"/>
      <c r="F9" s="104"/>
      <c r="G9" s="104"/>
      <c r="H9" s="104"/>
      <c r="L9" s="188">
        <f t="shared" si="3"/>
        <v>0.95709614025879552</v>
      </c>
      <c r="M9" s="187"/>
      <c r="N9" s="286">
        <f>_xlfn.STDEV.S(H6:H8)</f>
        <v>0.90685091089771275</v>
      </c>
      <c r="O9" s="188">
        <f t="shared" si="4"/>
        <v>2.5671111111105456E-5</v>
      </c>
      <c r="P9" s="187"/>
      <c r="Q9" s="189"/>
      <c r="R9" s="831"/>
      <c r="S9" s="832"/>
      <c r="T9" s="833"/>
      <c r="W9" s="436" t="s">
        <v>170</v>
      </c>
      <c r="X9" s="871">
        <v>38.250542463370401</v>
      </c>
      <c r="Y9" s="871"/>
      <c r="Z9" s="843">
        <v>34.303295569647247</v>
      </c>
      <c r="AA9" s="843"/>
      <c r="AB9" s="843">
        <v>38.125046432555614</v>
      </c>
      <c r="AC9" s="843"/>
      <c r="AD9" s="794">
        <v>35.114588827230754</v>
      </c>
      <c r="AE9" s="886"/>
    </row>
    <row r="10" spans="1:31" ht="15" thickBot="1">
      <c r="A10" s="277" t="s">
        <v>137</v>
      </c>
      <c r="B10" s="268" t="s">
        <v>121</v>
      </c>
      <c r="C10" s="268" t="s">
        <v>41</v>
      </c>
      <c r="D10" s="268" t="s">
        <v>59</v>
      </c>
      <c r="E10" s="268" t="s">
        <v>122</v>
      </c>
      <c r="F10" s="268" t="s">
        <v>31</v>
      </c>
      <c r="G10" s="165" t="s">
        <v>32</v>
      </c>
      <c r="H10" s="165" t="s">
        <v>11</v>
      </c>
      <c r="I10" t="s">
        <v>137</v>
      </c>
      <c r="L10" s="299"/>
      <c r="M10" s="213"/>
      <c r="N10" s="300"/>
      <c r="O10" s="173"/>
      <c r="Q10" s="176"/>
      <c r="R10" s="173"/>
      <c r="T10" s="81"/>
      <c r="W10" s="437" t="s">
        <v>219</v>
      </c>
      <c r="X10" s="889">
        <v>34.635414128487362</v>
      </c>
      <c r="Y10" s="889"/>
      <c r="Z10" s="890" t="s">
        <v>108</v>
      </c>
      <c r="AA10" s="890"/>
      <c r="AB10" s="890" t="s">
        <v>108</v>
      </c>
      <c r="AC10" s="890"/>
      <c r="AD10" s="891">
        <v>33.731382136837269</v>
      </c>
      <c r="AE10" s="892"/>
    </row>
    <row r="11" spans="1:31">
      <c r="A11" s="169" t="s">
        <v>138</v>
      </c>
      <c r="B11" s="136"/>
      <c r="C11" s="136">
        <v>36.014600000000002</v>
      </c>
      <c r="D11" s="136">
        <v>2.5244</v>
      </c>
      <c r="E11" s="136">
        <v>37.736499999999999</v>
      </c>
      <c r="F11" s="139">
        <f>E11-C11</f>
        <v>1.721899999999998</v>
      </c>
      <c r="G11" s="157">
        <f>D11-F11</f>
        <v>0.80250000000000199</v>
      </c>
      <c r="H11" s="84">
        <f>(G11/D11)*100</f>
        <v>31.789732213595389</v>
      </c>
      <c r="I11" s="104" t="s">
        <v>31</v>
      </c>
      <c r="J11" s="104" t="s">
        <v>32</v>
      </c>
      <c r="K11" s="104" t="s">
        <v>11</v>
      </c>
      <c r="L11" s="135" t="s">
        <v>127</v>
      </c>
      <c r="M11" s="136" t="s">
        <v>113</v>
      </c>
      <c r="N11" s="139" t="s">
        <v>112</v>
      </c>
      <c r="O11" s="135" t="s">
        <v>127</v>
      </c>
      <c r="P11" s="136" t="s">
        <v>113</v>
      </c>
      <c r="Q11" s="139" t="s">
        <v>112</v>
      </c>
      <c r="R11" s="772" t="s">
        <v>128</v>
      </c>
      <c r="S11" s="773"/>
      <c r="T11" s="170" t="s">
        <v>129</v>
      </c>
    </row>
    <row r="12" spans="1:31">
      <c r="A12" s="171" t="s">
        <v>139</v>
      </c>
      <c r="B12" s="104"/>
      <c r="C12" s="104">
        <v>36.700699999999998</v>
      </c>
      <c r="D12" s="104">
        <v>2.5316000000000001</v>
      </c>
      <c r="E12" s="104">
        <v>38.3506</v>
      </c>
      <c r="F12" s="106">
        <f t="shared" ref="F12:F13" si="5">E12-C12</f>
        <v>1.6499000000000024</v>
      </c>
      <c r="G12" s="157">
        <f t="shared" ref="G12:G13" si="6">D12-F12</f>
        <v>0.88169999999999771</v>
      </c>
      <c r="H12" s="84">
        <f t="shared" ref="H12:H13" si="7">(G12/D12)*100</f>
        <v>34.827776899984109</v>
      </c>
      <c r="I12">
        <f>SUM(F11:F13)/3</f>
        <v>1.6710333333333338</v>
      </c>
      <c r="J12">
        <f>SUM(G11:G13)/3</f>
        <v>0.84866666666666613</v>
      </c>
      <c r="K12" s="172">
        <f>SUM(H11:H13)/3</f>
        <v>33.682272257360971</v>
      </c>
      <c r="L12" s="173">
        <f>(H11-$K$12)^2</f>
        <v>3.58170781725623</v>
      </c>
      <c r="M12">
        <f>SUM(L12:L14)/3</f>
        <v>1.8173168646958129</v>
      </c>
      <c r="N12" s="174">
        <f>SQRT(M12)</f>
        <v>1.3480789534355222</v>
      </c>
      <c r="O12" s="173">
        <f>($D$14-D11)^2</f>
        <v>2.2090000000001396E-5</v>
      </c>
      <c r="P12">
        <f>SUM(O12:O14)/3</f>
        <v>1.4642000000000181E-4</v>
      </c>
      <c r="Q12" s="174">
        <f>SQRT(P12)</f>
        <v>1.2100413216084887E-2</v>
      </c>
      <c r="R12" s="766">
        <v>1.3480789534355222</v>
      </c>
      <c r="S12" s="847"/>
      <c r="T12" s="770">
        <f>(R12/K12)*100</f>
        <v>4.0023396970817817</v>
      </c>
    </row>
    <row r="13" spans="1:31">
      <c r="A13" s="175" t="s">
        <v>140</v>
      </c>
      <c r="B13" s="108"/>
      <c r="C13" s="108">
        <v>35.254300000000001</v>
      </c>
      <c r="D13" s="108">
        <v>2.5030999999999999</v>
      </c>
      <c r="E13" s="108">
        <v>36.895600000000002</v>
      </c>
      <c r="F13" s="109">
        <f t="shared" si="5"/>
        <v>1.6413000000000011</v>
      </c>
      <c r="G13" s="157">
        <f t="shared" si="6"/>
        <v>0.86179999999999879</v>
      </c>
      <c r="H13" s="84">
        <f t="shared" si="7"/>
        <v>34.429307658503411</v>
      </c>
      <c r="L13" s="173">
        <f t="shared" ref="L13:L14" si="8">(H12-$K$12)^2</f>
        <v>1.3121808862711624</v>
      </c>
      <c r="N13" s="176"/>
      <c r="O13" s="173">
        <f t="shared" ref="O13:O14" si="9">($D$14-D12)^2</f>
        <v>1.4161000000000579E-4</v>
      </c>
      <c r="Q13" s="176"/>
      <c r="R13" s="768"/>
      <c r="S13" s="848"/>
      <c r="T13" s="771"/>
    </row>
    <row r="14" spans="1:31">
      <c r="A14" s="171"/>
      <c r="C14" s="138" t="s">
        <v>83</v>
      </c>
      <c r="D14" s="138">
        <f>SUM(D11:D13)/3</f>
        <v>2.5196999999999998</v>
      </c>
      <c r="L14" s="173">
        <f t="shared" si="8"/>
        <v>0.55806189056004696</v>
      </c>
      <c r="M14" s="187"/>
      <c r="N14" s="286">
        <f>_xlfn.STDEV.S(H11:H13)</f>
        <v>1.6510527844510967</v>
      </c>
      <c r="O14" s="173">
        <f t="shared" si="9"/>
        <v>2.7555999999999826E-4</v>
      </c>
      <c r="P14" s="187"/>
      <c r="Q14" s="189"/>
      <c r="R14" s="831"/>
      <c r="S14" s="849"/>
      <c r="T14" s="833"/>
    </row>
    <row r="15" spans="1:31">
      <c r="A15" s="171"/>
      <c r="L15" s="297"/>
      <c r="M15" s="298"/>
      <c r="N15" s="182"/>
      <c r="O15" s="230"/>
      <c r="P15" s="231"/>
      <c r="Q15" s="232"/>
      <c r="T15" s="81"/>
    </row>
    <row r="16" spans="1:31">
      <c r="A16" s="91"/>
      <c r="T16" s="81"/>
    </row>
    <row r="17" spans="1:42">
      <c r="A17" s="91"/>
      <c r="T17" s="81"/>
    </row>
    <row r="18" spans="1:42" ht="15" thickBot="1">
      <c r="A18" s="163"/>
      <c r="B18" s="115"/>
      <c r="C18" s="115"/>
      <c r="D18" s="115"/>
      <c r="E18" s="115"/>
      <c r="F18" s="115"/>
      <c r="G18" s="115"/>
      <c r="H18" s="115"/>
      <c r="I18" s="115"/>
      <c r="J18" s="115"/>
      <c r="K18" s="115"/>
      <c r="L18" s="115"/>
      <c r="M18" s="115"/>
      <c r="N18" s="115"/>
      <c r="O18" s="115"/>
      <c r="P18" s="115"/>
      <c r="Q18" s="115"/>
      <c r="R18" s="115"/>
      <c r="S18" s="115"/>
      <c r="T18" s="116"/>
    </row>
    <row r="20" spans="1:42" ht="15" thickBot="1">
      <c r="A20" s="104"/>
    </row>
    <row r="21" spans="1:42">
      <c r="A21" s="774" t="s">
        <v>201</v>
      </c>
      <c r="B21" s="775"/>
      <c r="C21" s="775"/>
      <c r="D21" s="775"/>
      <c r="E21" s="775"/>
      <c r="F21" s="775"/>
      <c r="G21" s="775"/>
      <c r="H21" s="776"/>
      <c r="I21" s="777" t="s">
        <v>119</v>
      </c>
      <c r="J21" s="778"/>
      <c r="K21" s="779"/>
      <c r="L21" s="78"/>
      <c r="M21" s="78"/>
      <c r="N21" s="78"/>
      <c r="O21" s="78"/>
      <c r="P21" s="78"/>
      <c r="Q21" s="78"/>
      <c r="R21" s="78"/>
      <c r="S21" s="78"/>
      <c r="T21" s="79"/>
    </row>
    <row r="22" spans="1:42">
      <c r="A22" s="277" t="s">
        <v>137</v>
      </c>
      <c r="B22" s="268" t="s">
        <v>121</v>
      </c>
      <c r="C22" s="268" t="s">
        <v>41</v>
      </c>
      <c r="D22" s="268" t="s">
        <v>59</v>
      </c>
      <c r="E22" s="268" t="s">
        <v>122</v>
      </c>
      <c r="F22" s="268" t="s">
        <v>31</v>
      </c>
      <c r="G22" s="165" t="s">
        <v>32</v>
      </c>
      <c r="H22" s="165" t="s">
        <v>11</v>
      </c>
      <c r="I22" t="s">
        <v>137</v>
      </c>
      <c r="L22" s="834" t="s">
        <v>159</v>
      </c>
      <c r="M22" s="835"/>
      <c r="N22" s="836"/>
      <c r="O22" s="230"/>
      <c r="P22" s="231"/>
      <c r="Q22" s="232"/>
      <c r="R22" s="230"/>
      <c r="S22" s="231"/>
      <c r="T22" s="285"/>
    </row>
    <row r="23" spans="1:42">
      <c r="A23" s="169" t="s">
        <v>138</v>
      </c>
      <c r="B23" s="136"/>
      <c r="C23" s="136">
        <v>36.950899999999997</v>
      </c>
      <c r="D23" s="136">
        <v>2.5024000000000002</v>
      </c>
      <c r="E23" s="136">
        <v>38.615000000000002</v>
      </c>
      <c r="F23" s="139">
        <f>E23-C23</f>
        <v>1.6641000000000048</v>
      </c>
      <c r="G23" s="157">
        <f>D23-F23</f>
        <v>0.83829999999999538</v>
      </c>
      <c r="H23" s="84">
        <f>(G23/D23)*100</f>
        <v>33.499840153452496</v>
      </c>
      <c r="I23" s="104" t="s">
        <v>31</v>
      </c>
      <c r="J23" s="104" t="s">
        <v>32</v>
      </c>
      <c r="K23" s="104" t="s">
        <v>11</v>
      </c>
      <c r="L23" s="135" t="s">
        <v>127</v>
      </c>
      <c r="M23" s="136" t="s">
        <v>113</v>
      </c>
      <c r="N23" s="139" t="s">
        <v>112</v>
      </c>
      <c r="O23" s="135" t="s">
        <v>127</v>
      </c>
      <c r="P23" s="136" t="s">
        <v>113</v>
      </c>
      <c r="Q23" s="139" t="s">
        <v>112</v>
      </c>
      <c r="R23" s="772" t="s">
        <v>128</v>
      </c>
      <c r="S23" s="773"/>
      <c r="T23" s="170" t="s">
        <v>129</v>
      </c>
    </row>
    <row r="24" spans="1:42">
      <c r="A24" s="171" t="s">
        <v>139</v>
      </c>
      <c r="B24" s="104"/>
      <c r="C24" s="104">
        <v>36.136200000000002</v>
      </c>
      <c r="D24" s="104">
        <v>2.5055000000000001</v>
      </c>
      <c r="E24" s="104">
        <v>37.732300000000002</v>
      </c>
      <c r="F24" s="106">
        <f t="shared" ref="F24:F25" si="10">E24-C24</f>
        <v>1.5960999999999999</v>
      </c>
      <c r="G24" s="157">
        <f t="shared" ref="G24:G25" si="11">D24-F24</f>
        <v>0.90940000000000021</v>
      </c>
      <c r="H24" s="404">
        <f t="shared" ref="H24:H25" si="12">(G24/D24)*100</f>
        <v>36.29614847335862</v>
      </c>
      <c r="I24">
        <f>SUM(F23:F25)/3</f>
        <v>1.638933333333334</v>
      </c>
      <c r="J24">
        <f>SUM(G23:G25)/3</f>
        <v>0.86843333333333284</v>
      </c>
      <c r="K24" s="172">
        <f>SUM(H23:H25)/3</f>
        <v>34.635414128487362</v>
      </c>
      <c r="L24" s="173">
        <f>(H23-$K$24)^2</f>
        <v>1.2895282527764866</v>
      </c>
      <c r="M24">
        <f>SUM(L24:L26)/3</f>
        <v>1.4411200770193835</v>
      </c>
      <c r="N24" s="174">
        <f>SQRT(M24)</f>
        <v>1.2004666080401334</v>
      </c>
      <c r="O24" s="173">
        <f>($D$26-D23)^2</f>
        <v>2.4667777777774551E-5</v>
      </c>
      <c r="P24">
        <f>SUM(O24:O26)/3</f>
        <v>2.4948888888889187E-5</v>
      </c>
      <c r="Q24" s="174">
        <f>SQRT(P24)</f>
        <v>4.994886273869425E-3</v>
      </c>
      <c r="R24" s="766">
        <v>1.2004666080401334</v>
      </c>
      <c r="S24" s="847"/>
      <c r="T24" s="770">
        <f>(R24/K24)*100</f>
        <v>3.4660091072875576</v>
      </c>
    </row>
    <row r="25" spans="1:42">
      <c r="A25" s="175" t="s">
        <v>140</v>
      </c>
      <c r="B25" s="108"/>
      <c r="C25" s="108">
        <v>36.152000000000001</v>
      </c>
      <c r="D25" s="108">
        <v>2.5142000000000002</v>
      </c>
      <c r="E25" s="108">
        <v>37.808599999999998</v>
      </c>
      <c r="F25" s="109">
        <f t="shared" si="10"/>
        <v>1.6565999999999974</v>
      </c>
      <c r="G25" s="157">
        <f t="shared" si="11"/>
        <v>0.8576000000000028</v>
      </c>
      <c r="H25" s="84">
        <f t="shared" si="12"/>
        <v>34.11025375865097</v>
      </c>
      <c r="L25" s="173">
        <f t="shared" ref="L25:L26" si="13">(H24-$K$24)^2</f>
        <v>2.7580385642349676</v>
      </c>
      <c r="N25" s="176"/>
      <c r="O25" s="173">
        <f t="shared" ref="O25:O26" si="14">($D$26-D24)^2</f>
        <v>3.484444444443677E-6</v>
      </c>
      <c r="Q25" s="176"/>
      <c r="R25" s="768"/>
      <c r="S25" s="848"/>
      <c r="T25" s="771"/>
    </row>
    <row r="26" spans="1:42">
      <c r="A26" s="171"/>
      <c r="C26" s="138" t="s">
        <v>83</v>
      </c>
      <c r="D26" s="138">
        <f>SUM(D23:D25)/3</f>
        <v>2.5073666666666665</v>
      </c>
      <c r="L26" s="188">
        <f t="shared" si="13"/>
        <v>0.27579341404669627</v>
      </c>
      <c r="M26" s="187"/>
      <c r="N26" s="286">
        <f>_xlfn.STDEV.S(H23:H25)</f>
        <v>1.4702653214740105</v>
      </c>
      <c r="O26" s="188">
        <f t="shared" si="14"/>
        <v>4.6694444444449333E-5</v>
      </c>
      <c r="P26" s="187"/>
      <c r="Q26" s="189"/>
      <c r="R26" s="831"/>
      <c r="S26" s="849"/>
      <c r="T26" s="833"/>
    </row>
    <row r="27" spans="1:42">
      <c r="A27" s="277" t="s">
        <v>133</v>
      </c>
      <c r="B27" s="268" t="s">
        <v>121</v>
      </c>
      <c r="C27" s="268" t="s">
        <v>41</v>
      </c>
      <c r="D27" s="268" t="s">
        <v>59</v>
      </c>
      <c r="E27" s="268" t="s">
        <v>122</v>
      </c>
      <c r="F27" s="268" t="s">
        <v>31</v>
      </c>
      <c r="G27" s="165" t="s">
        <v>32</v>
      </c>
      <c r="H27" s="165" t="s">
        <v>11</v>
      </c>
      <c r="I27" t="s">
        <v>133</v>
      </c>
      <c r="L27" s="299"/>
      <c r="M27" s="213"/>
      <c r="N27" s="300"/>
      <c r="O27" s="173"/>
      <c r="Q27" s="176"/>
      <c r="R27" s="230"/>
      <c r="S27" s="231"/>
      <c r="T27" s="285"/>
    </row>
    <row r="28" spans="1:42">
      <c r="A28" s="169" t="s">
        <v>134</v>
      </c>
      <c r="B28" s="136"/>
      <c r="C28" s="136">
        <v>34.511699999999998</v>
      </c>
      <c r="D28" s="136">
        <v>2.5150000000000001</v>
      </c>
      <c r="E28" s="136">
        <v>36.009500000000003</v>
      </c>
      <c r="F28" s="139">
        <f>E28-C28</f>
        <v>1.4978000000000051</v>
      </c>
      <c r="G28" s="157">
        <f>D28-F28</f>
        <v>1.017199999999995</v>
      </c>
      <c r="H28" s="84">
        <f>(G28/D28)*100</f>
        <v>40.445328031808948</v>
      </c>
      <c r="I28" s="104" t="s">
        <v>31</v>
      </c>
      <c r="J28" s="104" t="s">
        <v>32</v>
      </c>
      <c r="K28" s="104" t="s">
        <v>11</v>
      </c>
      <c r="L28" s="135" t="s">
        <v>127</v>
      </c>
      <c r="M28" s="136" t="s">
        <v>113</v>
      </c>
      <c r="N28" s="139" t="s">
        <v>112</v>
      </c>
      <c r="O28" s="135" t="s">
        <v>127</v>
      </c>
      <c r="P28" s="136" t="s">
        <v>113</v>
      </c>
      <c r="Q28" s="139" t="s">
        <v>112</v>
      </c>
      <c r="R28" s="772" t="s">
        <v>128</v>
      </c>
      <c r="S28" s="773"/>
      <c r="T28" s="170" t="s">
        <v>129</v>
      </c>
    </row>
    <row r="29" spans="1:42">
      <c r="A29" s="171" t="s">
        <v>135</v>
      </c>
      <c r="B29" s="104"/>
      <c r="C29" s="104">
        <v>36.950899999999997</v>
      </c>
      <c r="D29" s="104">
        <v>2.5139</v>
      </c>
      <c r="E29" s="104">
        <v>38.4878</v>
      </c>
      <c r="F29" s="106">
        <f>E29-C29</f>
        <v>1.5369000000000028</v>
      </c>
      <c r="G29" s="157">
        <f t="shared" ref="G29:G30" si="15">D29-F29</f>
        <v>0.9769999999999972</v>
      </c>
      <c r="H29" s="84">
        <f>(G29/D29)*100</f>
        <v>38.863916623572827</v>
      </c>
      <c r="I29">
        <f>SUM(F28:F30)/3</f>
        <v>1.5520000000000043</v>
      </c>
      <c r="J29">
        <f>SUM(G28:G30)/3</f>
        <v>0.96143333333332903</v>
      </c>
      <c r="K29" s="172">
        <f>SUM(H28:H30)/3</f>
        <v>38.250542463370401</v>
      </c>
      <c r="L29" s="173">
        <f>(H28-$K$29)^2</f>
        <v>4.8170836914261175</v>
      </c>
      <c r="M29">
        <f>SUM(L29:L31)/3</f>
        <v>4.3596908711303506</v>
      </c>
      <c r="N29" s="174">
        <f>SQRT(M29)</f>
        <v>2.0879872775307686</v>
      </c>
      <c r="O29" s="173">
        <f>($D$31-D28)^2</f>
        <v>2.4544444444445996E-6</v>
      </c>
      <c r="P29">
        <f>SUM(O29:O31)/3</f>
        <v>2.2688888888889225E-6</v>
      </c>
      <c r="Q29" s="174">
        <f>SQRT(P29)</f>
        <v>1.5062831370260116E-3</v>
      </c>
      <c r="R29" s="766">
        <v>2.0879872775307686</v>
      </c>
      <c r="S29" s="767"/>
      <c r="T29" s="770">
        <f>(R29/K29)*100</f>
        <v>5.4587128523216979</v>
      </c>
    </row>
    <row r="30" spans="1:42">
      <c r="A30" s="175" t="s">
        <v>136</v>
      </c>
      <c r="B30" s="108"/>
      <c r="C30" s="108">
        <v>35.528399999999998</v>
      </c>
      <c r="D30" s="108">
        <v>2.5114000000000001</v>
      </c>
      <c r="E30" s="108">
        <v>37.149700000000003</v>
      </c>
      <c r="F30" s="109">
        <f>E30-C30</f>
        <v>1.6213000000000051</v>
      </c>
      <c r="G30" s="157">
        <f t="shared" si="15"/>
        <v>0.89009999999999501</v>
      </c>
      <c r="H30" s="84">
        <f>(G30/D30)*100</f>
        <v>35.442382734729435</v>
      </c>
      <c r="L30" s="173">
        <f t="shared" ref="L30:L31" si="16">(H29-$K$29)^2</f>
        <v>0.37622786040403117</v>
      </c>
      <c r="N30" s="176"/>
      <c r="O30" s="173">
        <f t="shared" ref="O30:O31" si="17">($D$31-D29)^2</f>
        <v>2.1777777777772981E-7</v>
      </c>
      <c r="Q30" s="176"/>
      <c r="R30" s="768"/>
      <c r="S30" s="769"/>
      <c r="T30" s="771"/>
    </row>
    <row r="31" spans="1:42" ht="15" thickBot="1">
      <c r="A31" s="171"/>
      <c r="B31" s="104"/>
      <c r="C31" s="138" t="s">
        <v>83</v>
      </c>
      <c r="D31" s="138">
        <f>SUM(D28:D30)/3</f>
        <v>2.5134333333333334</v>
      </c>
      <c r="E31" s="104"/>
      <c r="F31" s="104"/>
      <c r="G31" s="104"/>
      <c r="H31" s="104"/>
      <c r="L31" s="188">
        <f t="shared" si="16"/>
        <v>7.8857610615609044</v>
      </c>
      <c r="M31" s="187"/>
      <c r="N31" s="301" t="s">
        <v>183</v>
      </c>
      <c r="O31" s="188">
        <f t="shared" si="17"/>
        <v>4.134444444444437E-6</v>
      </c>
      <c r="P31" s="187"/>
      <c r="Q31" s="189"/>
      <c r="R31" s="831"/>
      <c r="S31" s="832"/>
      <c r="T31" s="833"/>
    </row>
    <row r="32" spans="1:42">
      <c r="A32" s="171"/>
      <c r="L32" s="296"/>
      <c r="M32" s="296"/>
      <c r="N32" s="296"/>
      <c r="T32" s="81"/>
      <c r="W32" s="165" t="s">
        <v>225</v>
      </c>
      <c r="X32" s="377" t="s">
        <v>297</v>
      </c>
      <c r="Y32" s="165" t="s">
        <v>116</v>
      </c>
      <c r="Z32" s="165" t="s">
        <v>225</v>
      </c>
      <c r="AA32" s="377" t="s">
        <v>293</v>
      </c>
      <c r="AB32" s="167" t="s">
        <v>116</v>
      </c>
      <c r="AC32" s="238" t="s">
        <v>225</v>
      </c>
      <c r="AD32" s="497" t="s">
        <v>295</v>
      </c>
      <c r="AE32" s="240" t="s">
        <v>116</v>
      </c>
      <c r="AF32" s="238"/>
      <c r="AG32" s="375" t="s">
        <v>299</v>
      </c>
      <c r="AH32" s="240"/>
      <c r="AI32" s="238"/>
      <c r="AJ32" s="375" t="s">
        <v>184</v>
      </c>
      <c r="AK32" s="240"/>
      <c r="AL32" s="238"/>
      <c r="AM32" s="375" t="s">
        <v>188</v>
      </c>
      <c r="AN32" s="240"/>
      <c r="AO32" s="104"/>
      <c r="AP32" s="165" t="s">
        <v>83</v>
      </c>
    </row>
    <row r="33" spans="1:43">
      <c r="A33" s="91"/>
      <c r="T33" s="81"/>
      <c r="W33" s="135" t="s">
        <v>126</v>
      </c>
      <c r="X33" s="158">
        <v>21.280092816397602</v>
      </c>
      <c r="Y33" s="235">
        <v>6.9417563005524068</v>
      </c>
      <c r="Z33" s="135" t="s">
        <v>126</v>
      </c>
      <c r="AA33" s="158">
        <v>31.762073754050363</v>
      </c>
      <c r="AB33" s="247">
        <f>_xlfn.STDEV.S(AA33:AA35)</f>
        <v>2.0940575301288429</v>
      </c>
      <c r="AC33" s="169" t="s">
        <v>126</v>
      </c>
      <c r="AD33" s="158">
        <v>33.012592064623533</v>
      </c>
      <c r="AE33" s="248">
        <v>0.74044066815917631</v>
      </c>
      <c r="AF33" s="302"/>
      <c r="AG33" s="183"/>
      <c r="AH33" s="303"/>
      <c r="AI33" s="302"/>
      <c r="AJ33" s="183"/>
      <c r="AK33" s="303"/>
      <c r="AL33" s="91"/>
      <c r="AN33" s="261"/>
      <c r="AO33" s="166" t="s">
        <v>120</v>
      </c>
      <c r="AP33" s="165">
        <f>AVERAGE(AD33:AD35)</f>
        <v>33.825100445260489</v>
      </c>
    </row>
    <row r="34" spans="1:43">
      <c r="A34" s="91"/>
      <c r="T34" s="81"/>
      <c r="W34" s="103" t="s">
        <v>130</v>
      </c>
      <c r="X34" s="158">
        <v>35.625064519458732</v>
      </c>
      <c r="Y34" s="165" t="s">
        <v>294</v>
      </c>
      <c r="Z34" s="103" t="s">
        <v>130</v>
      </c>
      <c r="AA34" s="158">
        <v>35.604331770465969</v>
      </c>
      <c r="AB34" s="167" t="s">
        <v>294</v>
      </c>
      <c r="AC34" s="171" t="s">
        <v>130</v>
      </c>
      <c r="AD34" s="158">
        <v>33.659295920810948</v>
      </c>
      <c r="AE34" s="369">
        <v>0.90685091089771275</v>
      </c>
      <c r="AF34" s="91"/>
      <c r="AH34" s="81"/>
      <c r="AI34" s="91"/>
      <c r="AK34" s="81"/>
      <c r="AL34" s="91"/>
      <c r="AN34" s="261"/>
      <c r="AO34" s="104"/>
      <c r="AP34" s="104"/>
    </row>
    <row r="35" spans="1:43" ht="15" thickBot="1">
      <c r="A35" s="163"/>
      <c r="B35" s="115"/>
      <c r="C35" s="115"/>
      <c r="D35" s="115"/>
      <c r="E35" s="115"/>
      <c r="F35" s="115"/>
      <c r="G35" s="115"/>
      <c r="H35" s="115"/>
      <c r="I35" s="115"/>
      <c r="J35" s="115"/>
      <c r="K35" s="115"/>
      <c r="L35" s="115"/>
      <c r="M35" s="115"/>
      <c r="N35" s="115"/>
      <c r="O35" s="115"/>
      <c r="P35" s="115"/>
      <c r="Q35" s="115"/>
      <c r="R35" s="115"/>
      <c r="S35" s="115"/>
      <c r="T35" s="116"/>
      <c r="W35" s="107" t="s">
        <v>131</v>
      </c>
      <c r="X35" s="158">
        <v>36.35904769916754</v>
      </c>
      <c r="Y35" s="236">
        <f>(Y33/X35)*100</f>
        <v>19.092239043189632</v>
      </c>
      <c r="Z35" s="107" t="s">
        <v>131</v>
      </c>
      <c r="AA35" s="158">
        <v>32.239935351160888</v>
      </c>
      <c r="AB35" s="271">
        <f>(AB33/AA34)*100</f>
        <v>5.8814684225189628</v>
      </c>
      <c r="AC35" s="175" t="s">
        <v>131</v>
      </c>
      <c r="AD35" s="158">
        <v>34.803413350346993</v>
      </c>
      <c r="AE35" s="242" t="s">
        <v>294</v>
      </c>
      <c r="AF35" s="91"/>
      <c r="AH35" s="81"/>
      <c r="AI35" s="91"/>
      <c r="AK35" s="81"/>
      <c r="AL35" s="91"/>
      <c r="AN35" s="261"/>
      <c r="AO35" s="166" t="s">
        <v>189</v>
      </c>
      <c r="AP35" s="165">
        <f>AVERAGE(AP45:AP51)</f>
        <v>35.114588827230754</v>
      </c>
    </row>
    <row r="36" spans="1:43">
      <c r="W36" s="268" t="s">
        <v>170</v>
      </c>
      <c r="X36" s="104"/>
      <c r="Y36" s="165" t="s">
        <v>116</v>
      </c>
      <c r="Z36" s="268" t="s">
        <v>170</v>
      </c>
      <c r="AA36" s="104"/>
      <c r="AB36" s="167" t="s">
        <v>116</v>
      </c>
      <c r="AC36" s="91"/>
      <c r="AE36" s="498">
        <f>(AE33/AD35)*100</f>
        <v>2.1274943946030915</v>
      </c>
      <c r="AF36" s="277" t="s">
        <v>170</v>
      </c>
      <c r="AG36" s="167" t="s">
        <v>299</v>
      </c>
      <c r="AH36" s="242" t="s">
        <v>116</v>
      </c>
      <c r="AI36" s="277" t="s">
        <v>170</v>
      </c>
      <c r="AJ36" s="167" t="s">
        <v>307</v>
      </c>
      <c r="AK36" s="242" t="s">
        <v>116</v>
      </c>
      <c r="AL36" s="277" t="s">
        <v>170</v>
      </c>
      <c r="AM36" s="135" t="s">
        <v>308</v>
      </c>
      <c r="AN36" s="242" t="s">
        <v>116</v>
      </c>
      <c r="AO36" s="104"/>
      <c r="AP36" s="104"/>
    </row>
    <row r="37" spans="1:43">
      <c r="W37" s="135" t="s">
        <v>134</v>
      </c>
      <c r="X37" s="158">
        <v>24.438573315720209</v>
      </c>
      <c r="Y37" s="235">
        <v>6.1245261675797931</v>
      </c>
      <c r="Z37" s="135" t="s">
        <v>134</v>
      </c>
      <c r="AA37" s="158">
        <v>29.259507750979807</v>
      </c>
      <c r="AB37" s="247">
        <v>3.7486069413104284</v>
      </c>
      <c r="AC37" s="91"/>
      <c r="AE37" s="499">
        <f>AE34/AD35*100</f>
        <v>2.6056378487044904</v>
      </c>
      <c r="AF37" s="164" t="s">
        <v>134</v>
      </c>
      <c r="AG37" s="158">
        <v>40.445328031808948</v>
      </c>
      <c r="AH37" s="248">
        <v>2.0879872775307686</v>
      </c>
      <c r="AI37" s="164" t="s">
        <v>134</v>
      </c>
      <c r="AJ37" s="84">
        <v>33.175919679352297</v>
      </c>
      <c r="AK37" s="248">
        <v>0.80776506628309797</v>
      </c>
      <c r="AL37" s="164" t="s">
        <v>134</v>
      </c>
      <c r="AM37" s="184">
        <v>36.347017446250412</v>
      </c>
      <c r="AN37" s="248">
        <v>1.8660596791105626</v>
      </c>
      <c r="AO37" s="166" t="s">
        <v>190</v>
      </c>
      <c r="AP37" s="165">
        <f>AVERAGE(AG50:AG55)</f>
        <v>33.731382136837269</v>
      </c>
    </row>
    <row r="38" spans="1:43">
      <c r="A38" s="866" t="s">
        <v>202</v>
      </c>
      <c r="B38" s="807"/>
      <c r="C38" s="807"/>
      <c r="D38" s="807"/>
      <c r="E38" s="807"/>
      <c r="F38" s="807"/>
      <c r="G38" s="807"/>
      <c r="H38" s="808"/>
      <c r="I38" s="772" t="s">
        <v>119</v>
      </c>
      <c r="J38" s="773"/>
      <c r="K38" s="780"/>
      <c r="T38" s="81"/>
      <c r="W38" s="103" t="s">
        <v>135</v>
      </c>
      <c r="X38" s="158">
        <v>36.31261161663415</v>
      </c>
      <c r="Y38" s="165" t="s">
        <v>294</v>
      </c>
      <c r="Z38" s="103" t="s">
        <v>135</v>
      </c>
      <c r="AA38" s="158">
        <v>36.448704781467391</v>
      </c>
      <c r="AB38" s="167" t="s">
        <v>294</v>
      </c>
      <c r="AC38" s="277" t="s">
        <v>170</v>
      </c>
      <c r="AD38" s="167" t="s">
        <v>295</v>
      </c>
      <c r="AE38" s="242" t="s">
        <v>116</v>
      </c>
      <c r="AF38" s="164" t="s">
        <v>135</v>
      </c>
      <c r="AG38" s="158">
        <v>38.863916623572827</v>
      </c>
      <c r="AH38" s="242" t="s">
        <v>294</v>
      </c>
      <c r="AI38" s="164" t="s">
        <v>135</v>
      </c>
      <c r="AJ38" s="84">
        <v>34.707314153465603</v>
      </c>
      <c r="AK38" s="369">
        <v>0.98930612221951131</v>
      </c>
      <c r="AL38" s="164" t="s">
        <v>135</v>
      </c>
      <c r="AM38" s="184">
        <v>36.316039980961619</v>
      </c>
      <c r="AN38" s="369">
        <v>2.0780761706159812</v>
      </c>
    </row>
    <row r="39" spans="1:43">
      <c r="A39" s="277" t="s">
        <v>137</v>
      </c>
      <c r="B39" s="268" t="s">
        <v>121</v>
      </c>
      <c r="C39" s="268" t="s">
        <v>41</v>
      </c>
      <c r="D39" s="268" t="s">
        <v>59</v>
      </c>
      <c r="E39" s="268" t="s">
        <v>122</v>
      </c>
      <c r="F39" s="268" t="s">
        <v>31</v>
      </c>
      <c r="G39" s="165" t="s">
        <v>32</v>
      </c>
      <c r="H39" s="165" t="s">
        <v>11</v>
      </c>
      <c r="I39" t="s">
        <v>137</v>
      </c>
      <c r="T39" s="81"/>
      <c r="W39" s="107" t="s">
        <v>136</v>
      </c>
      <c r="X39" s="158">
        <v>38.315970562935853</v>
      </c>
      <c r="Y39" s="236">
        <f>(Y37/X39)*100</f>
        <v>15.984264727210707</v>
      </c>
      <c r="Z39" s="107" t="s">
        <v>136</v>
      </c>
      <c r="AA39" s="158">
        <v>37.800905993785314</v>
      </c>
      <c r="AB39" s="271">
        <f>(AB37/AA39)*100</f>
        <v>9.9167118955474791</v>
      </c>
      <c r="AC39" s="169" t="s">
        <v>134</v>
      </c>
      <c r="AD39" s="158">
        <v>37.943482648862634</v>
      </c>
      <c r="AE39" s="248">
        <v>1.9563691084248622</v>
      </c>
      <c r="AF39" s="164" t="s">
        <v>136</v>
      </c>
      <c r="AG39" s="55">
        <v>35.442382734729435</v>
      </c>
      <c r="AH39" s="306">
        <f>(AH37/AG37)*100</f>
        <v>5.1624931213034886</v>
      </c>
      <c r="AI39" s="164" t="s">
        <v>136</v>
      </c>
      <c r="AJ39" s="84">
        <v>35.026652876123855</v>
      </c>
      <c r="AK39" s="242" t="s">
        <v>294</v>
      </c>
      <c r="AL39" s="164" t="s">
        <v>136</v>
      </c>
      <c r="AM39" s="184">
        <v>40.128205128205174</v>
      </c>
      <c r="AN39" s="242" t="s">
        <v>294</v>
      </c>
    </row>
    <row r="40" spans="1:43">
      <c r="A40" s="169" t="s">
        <v>186</v>
      </c>
      <c r="B40" s="136"/>
      <c r="C40" s="136">
        <v>36.950899999999997</v>
      </c>
      <c r="D40" s="136">
        <v>2.5024000000000002</v>
      </c>
      <c r="E40" s="136">
        <v>38.615000000000002</v>
      </c>
      <c r="F40" s="139">
        <f>E40-C40</f>
        <v>1.6641000000000048</v>
      </c>
      <c r="G40" s="157">
        <f>D40-F40</f>
        <v>0.83829999999999538</v>
      </c>
      <c r="H40" s="84">
        <f>(G40/D40)*100</f>
        <v>33.499840153452496</v>
      </c>
      <c r="I40" s="104" t="s">
        <v>31</v>
      </c>
      <c r="J40" s="104" t="s">
        <v>32</v>
      </c>
      <c r="K40" s="104" t="s">
        <v>11</v>
      </c>
      <c r="L40" s="135" t="s">
        <v>127</v>
      </c>
      <c r="M40" s="136" t="s">
        <v>113</v>
      </c>
      <c r="N40" s="139" t="s">
        <v>112</v>
      </c>
      <c r="O40" s="135" t="s">
        <v>127</v>
      </c>
      <c r="P40" s="136" t="s">
        <v>113</v>
      </c>
      <c r="Q40" s="139" t="s">
        <v>112</v>
      </c>
      <c r="R40" s="773" t="s">
        <v>128</v>
      </c>
      <c r="S40" s="773"/>
      <c r="T40" s="170" t="s">
        <v>129</v>
      </c>
      <c r="W40" s="268" t="s">
        <v>219</v>
      </c>
      <c r="X40" s="104"/>
      <c r="Y40" s="165" t="s">
        <v>116</v>
      </c>
      <c r="Z40" s="268" t="s">
        <v>137</v>
      </c>
      <c r="AA40" s="104"/>
      <c r="AB40" s="167" t="s">
        <v>116</v>
      </c>
      <c r="AC40" s="171" t="s">
        <v>135</v>
      </c>
      <c r="AD40" s="84">
        <v>33.184176137488599</v>
      </c>
      <c r="AE40" s="242" t="s">
        <v>294</v>
      </c>
      <c r="AF40" s="164" t="s">
        <v>137</v>
      </c>
      <c r="AG40" s="167" t="s">
        <v>299</v>
      </c>
      <c r="AH40" s="242" t="s">
        <v>116</v>
      </c>
      <c r="AI40" s="91"/>
      <c r="AK40" s="249">
        <f>(AK37/AJ39)*100</f>
        <v>2.3061440359141945</v>
      </c>
      <c r="AL40" s="164" t="s">
        <v>191</v>
      </c>
      <c r="AM40" s="184">
        <v>39.708923174805243</v>
      </c>
      <c r="AN40" s="249">
        <f>AN37/AM39*100</f>
        <v>4.6502445677515558</v>
      </c>
    </row>
    <row r="41" spans="1:43" ht="15" thickBot="1">
      <c r="A41" s="175" t="s">
        <v>187</v>
      </c>
      <c r="B41" s="108"/>
      <c r="C41" s="108">
        <v>36.152000000000001</v>
      </c>
      <c r="D41" s="108">
        <v>2.5142000000000002</v>
      </c>
      <c r="E41" s="108">
        <v>37.808599999999998</v>
      </c>
      <c r="F41" s="109">
        <f t="shared" ref="F41" si="18">E41-C41</f>
        <v>1.6565999999999974</v>
      </c>
      <c r="G41" s="157">
        <f t="shared" ref="G41" si="19">D41-F41</f>
        <v>0.8576000000000028</v>
      </c>
      <c r="H41" s="84">
        <f t="shared" ref="H41" si="20">(G41/D41)*100</f>
        <v>34.11025375865097</v>
      </c>
      <c r="I41">
        <f>SUM(F40:F44)/5</f>
        <v>1.6667600000000007</v>
      </c>
      <c r="J41">
        <f>SUM(G40:G44)/5</f>
        <v>0.84837999999999936</v>
      </c>
      <c r="K41" s="172">
        <f>SUM(H40:H44)/5</f>
        <v>33.731382136837269</v>
      </c>
      <c r="L41" s="173">
        <f>(H40-$K$41)^2</f>
        <v>5.3611690069754366E-2</v>
      </c>
      <c r="M41">
        <f>SUM(L41:L45)/5</f>
        <v>1.1312682661518934</v>
      </c>
      <c r="N41" s="174">
        <f>SQRT(M41)</f>
        <v>1.0636109562015115</v>
      </c>
      <c r="O41" s="173">
        <f>($D$45-D40)^2</f>
        <v>1.6230759999999933E-4</v>
      </c>
      <c r="P41">
        <f>SUM(O41:O45)/5</f>
        <v>1.3296639999999996E-4</v>
      </c>
      <c r="Q41" s="174">
        <f>SQRT(P41)</f>
        <v>1.1531105757905438E-2</v>
      </c>
      <c r="R41" s="847">
        <v>1.0636109562015115</v>
      </c>
      <c r="S41" s="847"/>
      <c r="T41" s="770">
        <f>(R41/K41)*100</f>
        <v>3.1531792912807042</v>
      </c>
      <c r="W41" s="135" t="s">
        <v>138</v>
      </c>
      <c r="X41" s="158">
        <v>30.807123910571903</v>
      </c>
      <c r="Y41" s="235">
        <v>3.2874571040513687</v>
      </c>
      <c r="Z41" s="135" t="s">
        <v>138</v>
      </c>
      <c r="AA41" s="158">
        <v>31.833603207648853</v>
      </c>
      <c r="AB41" s="247">
        <v>1.9545613306894878</v>
      </c>
      <c r="AC41" s="175" t="s">
        <v>136</v>
      </c>
      <c r="AD41" s="84">
        <v>35.07910107144226</v>
      </c>
      <c r="AE41" s="306">
        <f>(AE39/AD39)*100</f>
        <v>5.1560082835029508</v>
      </c>
      <c r="AF41" s="164" t="s">
        <v>138</v>
      </c>
      <c r="AG41" s="158">
        <v>33.499840153452496</v>
      </c>
      <c r="AH41" s="248">
        <v>1.2004666080401301</v>
      </c>
      <c r="AI41" s="163"/>
      <c r="AJ41" s="115"/>
      <c r="AK41" s="370">
        <f>AK38/AJ39*100</f>
        <v>2.8244380806762104</v>
      </c>
      <c r="AL41" s="91"/>
      <c r="AN41" s="406">
        <f>AN38/AM39*100</f>
        <v>5.1785923740589883</v>
      </c>
    </row>
    <row r="42" spans="1:43" ht="15" thickBot="1">
      <c r="A42" s="169" t="s">
        <v>138</v>
      </c>
      <c r="B42" s="136"/>
      <c r="C42" s="136">
        <v>36.014600000000002</v>
      </c>
      <c r="D42" s="136">
        <v>2.5244</v>
      </c>
      <c r="E42" s="136">
        <v>37.736499999999999</v>
      </c>
      <c r="F42" s="139">
        <f>E42-C42</f>
        <v>1.721899999999998</v>
      </c>
      <c r="G42" s="157">
        <f>D42-F42</f>
        <v>0.80250000000000199</v>
      </c>
      <c r="H42" s="84">
        <f>(G42/D42)*100</f>
        <v>31.789732213595389</v>
      </c>
      <c r="L42" s="173">
        <f t="shared" ref="L42:L45" si="21">(H41-$K$41)^2</f>
        <v>0.14354370581574419</v>
      </c>
      <c r="N42" s="176"/>
      <c r="O42" s="173">
        <f t="shared" ref="O42:O45" si="22">($D$45-D41)^2</f>
        <v>8.8359999999988882E-7</v>
      </c>
      <c r="Q42" s="176"/>
      <c r="R42" s="848"/>
      <c r="S42" s="848"/>
      <c r="T42" s="771"/>
      <c r="W42" s="103" t="s">
        <v>139</v>
      </c>
      <c r="X42" s="158">
        <v>36.156410487431579</v>
      </c>
      <c r="Y42" s="165" t="s">
        <v>294</v>
      </c>
      <c r="Z42" s="103" t="s">
        <v>139</v>
      </c>
      <c r="AA42" s="158">
        <v>35.756858101440656</v>
      </c>
      <c r="AB42" s="167" t="s">
        <v>294</v>
      </c>
      <c r="AC42" s="500" t="s">
        <v>137</v>
      </c>
      <c r="AD42" s="107" t="s">
        <v>306</v>
      </c>
      <c r="AE42" s="284" t="s">
        <v>116</v>
      </c>
      <c r="AF42" s="164" t="s">
        <v>139</v>
      </c>
      <c r="AG42" s="271">
        <v>36.29614847335862</v>
      </c>
      <c r="AH42" s="369">
        <v>1.4702653214740105</v>
      </c>
      <c r="AK42" s="81"/>
      <c r="AL42" s="163"/>
      <c r="AM42" s="115"/>
      <c r="AN42" s="265"/>
    </row>
    <row r="43" spans="1:43">
      <c r="A43" s="171" t="s">
        <v>139</v>
      </c>
      <c r="B43" s="104"/>
      <c r="C43" s="104">
        <v>36.700699999999998</v>
      </c>
      <c r="D43" s="104">
        <v>2.5316000000000001</v>
      </c>
      <c r="E43" s="104">
        <v>38.3506</v>
      </c>
      <c r="F43" s="106">
        <f t="shared" ref="F43:F44" si="23">E43-C43</f>
        <v>1.6499000000000024</v>
      </c>
      <c r="G43" s="157">
        <f t="shared" ref="G43:G44" si="24">D43-F43</f>
        <v>0.88169999999999771</v>
      </c>
      <c r="H43" s="84">
        <f t="shared" ref="H43:H44" si="25">(G43/D43)*100</f>
        <v>34.827776899984109</v>
      </c>
      <c r="L43" s="173">
        <f t="shared" si="21"/>
        <v>3.770004424425196</v>
      </c>
      <c r="N43" s="176"/>
      <c r="O43" s="173">
        <f t="shared" si="22"/>
        <v>8.5747599999996739E-5</v>
      </c>
      <c r="Q43" s="176"/>
      <c r="R43" s="849"/>
      <c r="S43" s="849"/>
      <c r="T43" s="833"/>
      <c r="W43" s="107" t="s">
        <v>140</v>
      </c>
      <c r="X43" s="158">
        <v>38.694447295494506</v>
      </c>
      <c r="Y43" s="236">
        <f>(Y41/X43)*100</f>
        <v>8.4959402028573567</v>
      </c>
      <c r="Z43" s="107" t="s">
        <v>140</v>
      </c>
      <c r="AA43" s="158">
        <v>31.418794613290125</v>
      </c>
      <c r="AB43" s="271">
        <f>(AB41/AA42)*100</f>
        <v>5.4662558022980718</v>
      </c>
      <c r="AC43" s="169" t="s">
        <v>138</v>
      </c>
      <c r="AD43" s="158">
        <v>31.789732213595389</v>
      </c>
      <c r="AE43" s="248">
        <v>1.3480789534355222</v>
      </c>
      <c r="AF43" s="164" t="s">
        <v>140</v>
      </c>
      <c r="AG43" s="158">
        <v>34.11025375865097</v>
      </c>
      <c r="AH43" s="242" t="s">
        <v>294</v>
      </c>
      <c r="AL43" s="811" t="s">
        <v>233</v>
      </c>
      <c r="AM43" s="812"/>
      <c r="AN43" s="812"/>
      <c r="AO43" s="812"/>
      <c r="AP43" s="812"/>
      <c r="AQ43" s="813"/>
    </row>
    <row r="44" spans="1:43">
      <c r="A44" s="175" t="s">
        <v>140</v>
      </c>
      <c r="B44" s="108"/>
      <c r="C44" s="108">
        <v>35.254300000000001</v>
      </c>
      <c r="D44" s="108">
        <v>2.5030999999999999</v>
      </c>
      <c r="E44" s="108">
        <v>36.895600000000002</v>
      </c>
      <c r="F44" s="109">
        <f t="shared" si="23"/>
        <v>1.6413000000000011</v>
      </c>
      <c r="G44" s="157">
        <f t="shared" si="24"/>
        <v>0.86179999999999879</v>
      </c>
      <c r="H44" s="84">
        <f t="shared" si="25"/>
        <v>34.429307658503411</v>
      </c>
      <c r="L44" s="173">
        <f t="shared" si="21"/>
        <v>1.2020814766558154</v>
      </c>
      <c r="N44" s="176"/>
      <c r="O44" s="173">
        <f t="shared" si="22"/>
        <v>2.7093159999999736E-4</v>
      </c>
      <c r="Q44" s="176"/>
      <c r="T44" s="81"/>
      <c r="AC44" s="171" t="s">
        <v>139</v>
      </c>
      <c r="AD44" s="158">
        <v>34.827776899984109</v>
      </c>
      <c r="AE44" s="369">
        <v>1.6510527844510967</v>
      </c>
      <c r="AF44" s="91"/>
      <c r="AH44" s="249">
        <f>(AH41/AG42)*100</f>
        <v>3.3074214717885915</v>
      </c>
      <c r="AL44" s="277" t="s">
        <v>170</v>
      </c>
      <c r="AM44" s="165" t="s">
        <v>307</v>
      </c>
      <c r="AN44" s="167" t="s">
        <v>116</v>
      </c>
      <c r="AO44" s="165" t="s">
        <v>133</v>
      </c>
      <c r="AP44" s="165" t="s">
        <v>307</v>
      </c>
      <c r="AQ44" s="242" t="s">
        <v>116</v>
      </c>
    </row>
    <row r="45" spans="1:43" ht="15" thickBot="1">
      <c r="A45" s="171"/>
      <c r="C45" s="138" t="s">
        <v>83</v>
      </c>
      <c r="D45" s="138">
        <f>SUM(D40:D44)/5</f>
        <v>2.5151400000000002</v>
      </c>
      <c r="L45" s="173">
        <f t="shared" si="21"/>
        <v>0.48710003379295763</v>
      </c>
      <c r="M45" s="187"/>
      <c r="N45" s="286">
        <f>_xlfn.STDEV.S(H40:H44)</f>
        <v>1.1891531998400655</v>
      </c>
      <c r="O45" s="173">
        <f t="shared" si="22"/>
        <v>1.4496160000000656E-4</v>
      </c>
      <c r="P45" s="187"/>
      <c r="Q45" s="189"/>
      <c r="T45" s="81"/>
      <c r="AC45" s="175" t="s">
        <v>140</v>
      </c>
      <c r="AD45" s="158">
        <v>34.429307658503411</v>
      </c>
      <c r="AE45" s="242" t="s">
        <v>294</v>
      </c>
      <c r="AF45" s="163"/>
      <c r="AG45" s="115"/>
      <c r="AH45" s="370">
        <f>AH42/AG42*100</f>
        <v>4.0507474851035106</v>
      </c>
      <c r="AL45" s="164" t="s">
        <v>134</v>
      </c>
      <c r="AM45" s="293">
        <v>33.175919679352297</v>
      </c>
      <c r="AN45" s="247">
        <f>_xlfn.STDEV.S(AM45:AM52)</f>
        <v>2.580411282900577</v>
      </c>
      <c r="AO45" s="165" t="s">
        <v>134</v>
      </c>
      <c r="AP45" s="293">
        <v>33.175919679352297</v>
      </c>
      <c r="AQ45" s="248">
        <f>_xlfn.STDEV.S(AP45:AP51)</f>
        <v>1.3128602964618221</v>
      </c>
    </row>
    <row r="46" spans="1:43">
      <c r="A46" s="877" t="s">
        <v>192</v>
      </c>
      <c r="B46" s="878"/>
      <c r="C46" s="878"/>
      <c r="D46" s="878"/>
      <c r="E46" s="878"/>
      <c r="F46" s="878"/>
      <c r="G46" s="878"/>
      <c r="H46" s="878"/>
      <c r="I46" s="878"/>
      <c r="J46" s="878"/>
      <c r="K46" s="878"/>
      <c r="L46" s="879"/>
      <c r="M46" s="231"/>
      <c r="N46" s="232"/>
      <c r="O46" s="231"/>
      <c r="P46" s="231"/>
      <c r="Q46" s="232"/>
      <c r="T46" s="81"/>
      <c r="AC46" s="91"/>
      <c r="AE46" s="249">
        <f>(AE43/AD44)*100</f>
        <v>3.8707005540630335</v>
      </c>
      <c r="AF46" s="91"/>
      <c r="AH46" s="81"/>
      <c r="AL46" s="164" t="s">
        <v>135</v>
      </c>
      <c r="AM46" s="293">
        <v>34.707314153465603</v>
      </c>
      <c r="AN46" s="410">
        <v>2.580411282900577</v>
      </c>
      <c r="AO46" s="314"/>
      <c r="AP46" s="314"/>
      <c r="AQ46" s="369">
        <f>_xlfn.STDEV.S(AP45:AP48,AP50:AP51)</f>
        <v>1.3128602964618221</v>
      </c>
    </row>
    <row r="47" spans="1:43" ht="15" thickBot="1">
      <c r="A47" s="880"/>
      <c r="B47" s="881"/>
      <c r="C47" s="881"/>
      <c r="D47" s="881"/>
      <c r="E47" s="881"/>
      <c r="F47" s="881"/>
      <c r="G47" s="881"/>
      <c r="H47" s="881"/>
      <c r="I47" s="881"/>
      <c r="J47" s="881"/>
      <c r="K47" s="881"/>
      <c r="L47" s="882"/>
      <c r="M47" s="115"/>
      <c r="N47" s="115"/>
      <c r="O47" s="115"/>
      <c r="P47" s="115"/>
      <c r="Q47" s="115"/>
      <c r="R47" s="115"/>
      <c r="S47" s="115"/>
      <c r="T47" s="116"/>
      <c r="AC47" s="163"/>
      <c r="AD47" s="115"/>
      <c r="AE47" s="370">
        <f>AE44/AD44*100</f>
        <v>4.740620652281283</v>
      </c>
      <c r="AF47" s="91"/>
      <c r="AH47" s="81"/>
      <c r="AL47" s="164" t="s">
        <v>136</v>
      </c>
      <c r="AM47" s="293">
        <v>35.026652876123855</v>
      </c>
      <c r="AN47" s="167" t="s">
        <v>294</v>
      </c>
      <c r="AO47" s="165" t="s">
        <v>135</v>
      </c>
      <c r="AP47" s="293">
        <v>34.707314153465603</v>
      </c>
      <c r="AQ47" s="242" t="s">
        <v>294</v>
      </c>
    </row>
    <row r="48" spans="1:43" ht="15" thickBot="1">
      <c r="AF48" s="811" t="s">
        <v>236</v>
      </c>
      <c r="AG48" s="812"/>
      <c r="AH48" s="813"/>
      <c r="AL48" s="277" t="s">
        <v>170</v>
      </c>
      <c r="AM48" s="165" t="s">
        <v>308</v>
      </c>
      <c r="AN48" s="271">
        <f>AN45/AM51*100</f>
        <v>6.4304178934902474</v>
      </c>
      <c r="AO48" s="165" t="s">
        <v>136</v>
      </c>
      <c r="AP48" s="293">
        <v>35.026652876123855</v>
      </c>
      <c r="AQ48" s="249">
        <f>AQ45/AP50*100</f>
        <v>3.6120165799113124</v>
      </c>
    </row>
    <row r="49" spans="1:43">
      <c r="AF49" s="164" t="s">
        <v>137</v>
      </c>
      <c r="AG49" s="375" t="s">
        <v>295</v>
      </c>
      <c r="AH49" s="242" t="s">
        <v>116</v>
      </c>
      <c r="AL49" s="164" t="s">
        <v>134</v>
      </c>
      <c r="AM49" s="293">
        <v>36.347017446250412</v>
      </c>
      <c r="AN49" s="411">
        <f>AN46/AM49*100</f>
        <v>7.0993755862264685</v>
      </c>
      <c r="AO49" s="165" t="s">
        <v>133</v>
      </c>
      <c r="AP49" s="165" t="s">
        <v>308</v>
      </c>
      <c r="AQ49" s="360">
        <f>AQ46/AP50*100</f>
        <v>3.6120165799113124</v>
      </c>
    </row>
    <row r="50" spans="1:43" ht="15" thickBot="1">
      <c r="AF50" s="164" t="s">
        <v>138</v>
      </c>
      <c r="AG50" s="480">
        <v>31.789732213595389</v>
      </c>
      <c r="AH50" s="307">
        <v>1.0636109562015115</v>
      </c>
      <c r="AL50" s="164" t="s">
        <v>135</v>
      </c>
      <c r="AM50" s="293">
        <v>36.316039980961619</v>
      </c>
      <c r="AO50" s="165" t="s">
        <v>134</v>
      </c>
      <c r="AP50" s="293">
        <v>36.347017446250412</v>
      </c>
      <c r="AQ50" s="81"/>
    </row>
    <row r="51" spans="1:43">
      <c r="A51" s="774" t="s">
        <v>194</v>
      </c>
      <c r="B51" s="775"/>
      <c r="C51" s="775"/>
      <c r="D51" s="775"/>
      <c r="E51" s="775"/>
      <c r="F51" s="775"/>
      <c r="G51" s="775"/>
      <c r="H51" s="776"/>
      <c r="I51" s="777" t="s">
        <v>119</v>
      </c>
      <c r="J51" s="778"/>
      <c r="K51" s="779"/>
      <c r="L51" s="78"/>
      <c r="M51" s="78"/>
      <c r="N51" s="78"/>
      <c r="O51" s="78"/>
      <c r="P51" s="78"/>
      <c r="Q51" s="78"/>
      <c r="R51" s="78"/>
      <c r="S51" s="78"/>
      <c r="T51" s="79"/>
      <c r="AF51" s="164" t="s">
        <v>139</v>
      </c>
      <c r="AG51" s="84">
        <v>34.827776899984109</v>
      </c>
      <c r="AH51" s="246">
        <v>1.1891531998400655</v>
      </c>
      <c r="AL51" s="407" t="s">
        <v>136</v>
      </c>
      <c r="AM51" s="405">
        <v>40.128205128205174</v>
      </c>
      <c r="AO51" s="165" t="s">
        <v>135</v>
      </c>
      <c r="AP51" s="293">
        <v>36.316039980961619</v>
      </c>
      <c r="AQ51" s="81"/>
    </row>
    <row r="52" spans="1:43" ht="15" thickBot="1">
      <c r="A52" s="277" t="s">
        <v>133</v>
      </c>
      <c r="B52" s="268" t="s">
        <v>121</v>
      </c>
      <c r="C52" s="268" t="s">
        <v>41</v>
      </c>
      <c r="D52" s="268" t="s">
        <v>59</v>
      </c>
      <c r="E52" s="268" t="s">
        <v>122</v>
      </c>
      <c r="F52" s="268" t="s">
        <v>31</v>
      </c>
      <c r="G52" s="165" t="s">
        <v>32</v>
      </c>
      <c r="H52" s="165" t="s">
        <v>11</v>
      </c>
      <c r="I52" t="s">
        <v>133</v>
      </c>
      <c r="L52" s="834" t="s">
        <v>159</v>
      </c>
      <c r="M52" s="835"/>
      <c r="N52" s="836"/>
      <c r="O52" s="230"/>
      <c r="P52" s="231"/>
      <c r="Q52" s="232"/>
      <c r="R52" s="230"/>
      <c r="S52" s="231"/>
      <c r="T52" s="285"/>
      <c r="AF52" s="164" t="s">
        <v>140</v>
      </c>
      <c r="AG52" s="84">
        <v>34.429307658503411</v>
      </c>
      <c r="AH52" s="242" t="s">
        <v>294</v>
      </c>
      <c r="AL52" s="408" t="s">
        <v>191</v>
      </c>
      <c r="AM52" s="409">
        <v>39.708923174805243</v>
      </c>
      <c r="AN52" s="115"/>
      <c r="AO52" s="115"/>
      <c r="AP52" s="115"/>
      <c r="AQ52" s="116"/>
    </row>
    <row r="53" spans="1:43">
      <c r="A53" s="169" t="s">
        <v>134</v>
      </c>
      <c r="B53" s="136"/>
      <c r="C53" s="136">
        <v>35.880099999999999</v>
      </c>
      <c r="D53" s="136">
        <v>2.5198999999999998</v>
      </c>
      <c r="E53" s="136">
        <v>37.564</v>
      </c>
      <c r="F53" s="139">
        <f>E53-C53</f>
        <v>1.6839000000000013</v>
      </c>
      <c r="G53" s="157">
        <f>D53-F53</f>
        <v>0.83599999999999852</v>
      </c>
      <c r="H53" s="84">
        <f>(G53/D53)*100</f>
        <v>33.175919679352297</v>
      </c>
      <c r="I53" s="104" t="s">
        <v>31</v>
      </c>
      <c r="J53" s="104" t="s">
        <v>32</v>
      </c>
      <c r="K53" s="104" t="s">
        <v>11</v>
      </c>
      <c r="L53" s="135" t="s">
        <v>127</v>
      </c>
      <c r="M53" s="136" t="s">
        <v>113</v>
      </c>
      <c r="N53" s="139" t="s">
        <v>112</v>
      </c>
      <c r="O53" s="135" t="s">
        <v>127</v>
      </c>
      <c r="P53" s="136" t="s">
        <v>113</v>
      </c>
      <c r="Q53" s="139" t="s">
        <v>112</v>
      </c>
      <c r="R53" s="772" t="s">
        <v>128</v>
      </c>
      <c r="S53" s="773"/>
      <c r="T53" s="170" t="s">
        <v>129</v>
      </c>
      <c r="AF53" s="164" t="s">
        <v>137</v>
      </c>
      <c r="AG53" s="376" t="s">
        <v>299</v>
      </c>
      <c r="AH53" s="308">
        <f>(AH50/AG51)*100</f>
        <v>3.0539157272538886</v>
      </c>
    </row>
    <row r="54" spans="1:43">
      <c r="A54" s="171" t="s">
        <v>135</v>
      </c>
      <c r="B54" s="104"/>
      <c r="C54" s="104">
        <v>35.044800000000002</v>
      </c>
      <c r="D54" s="104">
        <v>2.5061</v>
      </c>
      <c r="E54" s="104">
        <v>36.681100000000001</v>
      </c>
      <c r="F54" s="106">
        <f>E54-C54</f>
        <v>1.6362999999999985</v>
      </c>
      <c r="G54" s="157">
        <f t="shared" ref="G54:G55" si="26">D54-F54</f>
        <v>0.86980000000000146</v>
      </c>
      <c r="H54" s="84">
        <f>(G54/D54)*100</f>
        <v>34.707314153465603</v>
      </c>
      <c r="I54">
        <f>SUM(F53:F55)/3</f>
        <v>1.651166666666666</v>
      </c>
      <c r="J54">
        <f>SUM(G53:G55)/3</f>
        <v>0.86210000000000042</v>
      </c>
      <c r="K54" s="172">
        <f>SUM(H53:H55)/3</f>
        <v>34.303295569647247</v>
      </c>
      <c r="L54" s="173">
        <f>(H53-$K$54)^2</f>
        <v>1.2709763980183302</v>
      </c>
      <c r="M54">
        <f>SUM(L54:L56)/3</f>
        <v>0.65248440230733773</v>
      </c>
      <c r="N54" s="174">
        <f>SQRT(M54)</f>
        <v>0.80776506628309797</v>
      </c>
      <c r="O54" s="173">
        <f>($D$56-D53)^2</f>
        <v>4.4001111111110256E-5</v>
      </c>
      <c r="P54">
        <f>SUM(O54:O56)/3</f>
        <v>3.1882222222221328E-5</v>
      </c>
      <c r="Q54" s="174">
        <f>SQRT(P54)</f>
        <v>5.6464344698421258E-3</v>
      </c>
      <c r="R54" s="766">
        <v>0.80776506628309797</v>
      </c>
      <c r="S54" s="767"/>
      <c r="T54" s="770">
        <f>(R54/K54)*100</f>
        <v>2.3547739448038243</v>
      </c>
      <c r="AF54" s="164" t="s">
        <v>186</v>
      </c>
      <c r="AG54" s="31">
        <v>33.499840153452496</v>
      </c>
      <c r="AH54" s="406">
        <f>AH51/AG51*100</f>
        <v>3.4143815818477008</v>
      </c>
    </row>
    <row r="55" spans="1:43" ht="15" thickBot="1">
      <c r="A55" s="175" t="s">
        <v>136</v>
      </c>
      <c r="B55" s="108"/>
      <c r="C55" s="108">
        <v>36.064700000000002</v>
      </c>
      <c r="D55" s="108">
        <v>2.5137999999999998</v>
      </c>
      <c r="E55" s="108">
        <v>37.698</v>
      </c>
      <c r="F55" s="109">
        <f>E55-C55</f>
        <v>1.6332999999999984</v>
      </c>
      <c r="G55" s="157">
        <f t="shared" si="26"/>
        <v>0.88050000000000139</v>
      </c>
      <c r="H55" s="84">
        <f>(G55/D55)*100</f>
        <v>35.026652876123855</v>
      </c>
      <c r="L55" s="173">
        <f t="shared" ref="L55:L56" si="27">(H54-$K$54)^2</f>
        <v>0.16323101607059004</v>
      </c>
      <c r="N55" s="176"/>
      <c r="O55" s="173">
        <f t="shared" ref="O55:O56" si="28">($D$56-D54)^2</f>
        <v>5.1361111111109346E-5</v>
      </c>
      <c r="Q55" s="176"/>
      <c r="R55" s="768"/>
      <c r="S55" s="769"/>
      <c r="T55" s="771"/>
      <c r="AF55" s="400" t="s">
        <v>187</v>
      </c>
      <c r="AG55" s="233">
        <v>34.11025375865097</v>
      </c>
      <c r="AH55" s="116"/>
    </row>
    <row r="56" spans="1:43" ht="15" thickBot="1">
      <c r="A56" s="171"/>
      <c r="B56" s="104"/>
      <c r="C56" s="138" t="s">
        <v>83</v>
      </c>
      <c r="D56" s="138">
        <f>SUM(D53:D55)/3</f>
        <v>2.5132666666666665</v>
      </c>
      <c r="E56" s="104"/>
      <c r="F56" s="104"/>
      <c r="G56" s="104"/>
      <c r="H56" s="104"/>
      <c r="L56" s="173">
        <f t="shared" si="27"/>
        <v>0.52324579283309292</v>
      </c>
      <c r="M56" s="187"/>
      <c r="N56" s="286">
        <f>_xlfn.STDEV.S(H53:H55)</f>
        <v>0.98930612221951131</v>
      </c>
      <c r="O56" s="188">
        <f t="shared" si="28"/>
        <v>2.8444444444438181E-7</v>
      </c>
      <c r="P56" s="187"/>
      <c r="Q56" s="189"/>
      <c r="R56" s="831"/>
      <c r="S56" s="832"/>
      <c r="T56" s="833"/>
    </row>
    <row r="57" spans="1:43">
      <c r="A57" s="877" t="s">
        <v>193</v>
      </c>
      <c r="B57" s="878"/>
      <c r="C57" s="878"/>
      <c r="D57" s="878"/>
      <c r="E57" s="878"/>
      <c r="F57" s="878"/>
      <c r="G57" s="878"/>
      <c r="H57" s="878"/>
      <c r="I57" s="878"/>
      <c r="J57" s="878"/>
      <c r="K57" s="878"/>
      <c r="L57" s="879"/>
      <c r="T57" s="81"/>
    </row>
    <row r="58" spans="1:43" ht="15" thickBot="1">
      <c r="A58" s="880"/>
      <c r="B58" s="881"/>
      <c r="C58" s="881"/>
      <c r="D58" s="881"/>
      <c r="E58" s="881"/>
      <c r="F58" s="881"/>
      <c r="G58" s="881"/>
      <c r="H58" s="881"/>
      <c r="I58" s="881"/>
      <c r="J58" s="881"/>
      <c r="K58" s="881"/>
      <c r="L58" s="882"/>
      <c r="M58" s="115"/>
      <c r="N58" s="115"/>
      <c r="O58" s="115"/>
      <c r="P58" s="115"/>
      <c r="Q58" s="115"/>
      <c r="R58" s="115"/>
      <c r="S58" s="115"/>
      <c r="T58" s="116"/>
    </row>
    <row r="61" spans="1:43" ht="15" thickBot="1"/>
    <row r="62" spans="1:43">
      <c r="A62" s="774" t="s">
        <v>195</v>
      </c>
      <c r="B62" s="775"/>
      <c r="C62" s="775"/>
      <c r="D62" s="775"/>
      <c r="E62" s="775"/>
      <c r="F62" s="775"/>
      <c r="G62" s="775"/>
      <c r="H62" s="776"/>
      <c r="I62" s="777" t="s">
        <v>119</v>
      </c>
      <c r="J62" s="778"/>
      <c r="K62" s="779"/>
      <c r="L62" s="78"/>
      <c r="M62" s="78"/>
      <c r="N62" s="78"/>
      <c r="O62" s="78"/>
      <c r="P62" s="78"/>
      <c r="Q62" s="78"/>
      <c r="R62" s="78"/>
      <c r="S62" s="78"/>
      <c r="T62" s="79"/>
    </row>
    <row r="63" spans="1:43">
      <c r="A63" s="277" t="s">
        <v>133</v>
      </c>
      <c r="B63" s="268" t="s">
        <v>121</v>
      </c>
      <c r="C63" s="268" t="s">
        <v>41</v>
      </c>
      <c r="D63" s="268" t="s">
        <v>59</v>
      </c>
      <c r="E63" s="268" t="s">
        <v>122</v>
      </c>
      <c r="F63" s="268" t="s">
        <v>31</v>
      </c>
      <c r="G63" s="165" t="s">
        <v>32</v>
      </c>
      <c r="H63" s="165" t="s">
        <v>11</v>
      </c>
      <c r="I63" t="s">
        <v>133</v>
      </c>
      <c r="L63" s="834" t="s">
        <v>159</v>
      </c>
      <c r="M63" s="835"/>
      <c r="N63" s="835"/>
      <c r="O63" s="230"/>
      <c r="P63" s="231"/>
      <c r="Q63" s="232"/>
      <c r="R63" s="231"/>
      <c r="S63" s="231"/>
      <c r="T63" s="285"/>
    </row>
    <row r="64" spans="1:43">
      <c r="A64" s="169" t="s">
        <v>134</v>
      </c>
      <c r="B64" s="136"/>
      <c r="C64" s="136">
        <v>36.792000000000002</v>
      </c>
      <c r="D64" s="136">
        <v>2.5163000000000002</v>
      </c>
      <c r="E64" s="136">
        <v>38.393700000000003</v>
      </c>
      <c r="F64" s="139">
        <f>E64-C64</f>
        <v>1.601700000000001</v>
      </c>
      <c r="G64" s="157">
        <f>D64-F64</f>
        <v>0.91459999999999919</v>
      </c>
      <c r="H64" s="84">
        <f>(G64/D64)*100</f>
        <v>36.347017446250412</v>
      </c>
      <c r="I64" s="104" t="s">
        <v>31</v>
      </c>
      <c r="J64" s="104" t="s">
        <v>32</v>
      </c>
      <c r="K64" s="104" t="s">
        <v>11</v>
      </c>
      <c r="L64" s="135" t="s">
        <v>127</v>
      </c>
      <c r="M64" s="136" t="s">
        <v>113</v>
      </c>
      <c r="N64" s="136" t="s">
        <v>112</v>
      </c>
      <c r="O64" s="103" t="s">
        <v>127</v>
      </c>
      <c r="P64" s="104" t="s">
        <v>113</v>
      </c>
      <c r="Q64" s="106" t="s">
        <v>112</v>
      </c>
      <c r="R64" s="773" t="s">
        <v>128</v>
      </c>
      <c r="S64" s="773"/>
      <c r="T64" s="170" t="s">
        <v>129</v>
      </c>
    </row>
    <row r="65" spans="1:20">
      <c r="A65" s="171" t="s">
        <v>135</v>
      </c>
      <c r="B65" s="104"/>
      <c r="C65" s="104">
        <v>35.744100000000003</v>
      </c>
      <c r="D65" s="104">
        <v>2.5211999999999999</v>
      </c>
      <c r="E65" s="104">
        <v>37.349699999999999</v>
      </c>
      <c r="F65" s="106">
        <f>E65-C65</f>
        <v>1.6055999999999955</v>
      </c>
      <c r="G65" s="157">
        <f t="shared" ref="G65:G67" si="29">D65-F65</f>
        <v>0.91560000000000441</v>
      </c>
      <c r="H65" s="84">
        <f>(G65/D65)*100</f>
        <v>36.316039980961619</v>
      </c>
      <c r="I65">
        <f>SUM(F64:F67)/4</f>
        <v>1.5544749999999983</v>
      </c>
      <c r="J65">
        <f>SUM(G64:G67)/4</f>
        <v>0.95760000000000178</v>
      </c>
      <c r="K65" s="172">
        <f>SUM(H64:H67)/4</f>
        <v>38.125046432555614</v>
      </c>
      <c r="L65" s="173">
        <f>(H64-$K$65)^2</f>
        <v>3.1613870761415037</v>
      </c>
      <c r="M65">
        <f>SUM(L65:L68)/4</f>
        <v>3.2388004281614857</v>
      </c>
      <c r="N65" s="244">
        <f>SQRT(M65)</f>
        <v>1.7996667547525251</v>
      </c>
      <c r="O65" s="173">
        <f>($D$68-D64)^2</f>
        <v>1.7850624999999353E-5</v>
      </c>
      <c r="P65">
        <f>SUM(O65:O67)/3</f>
        <v>1.1984062500000043E-4</v>
      </c>
      <c r="Q65" s="174">
        <f>SQRT(P65)</f>
        <v>1.0947174292939729E-2</v>
      </c>
      <c r="R65" s="847">
        <v>0.80776506628309797</v>
      </c>
      <c r="S65" s="767"/>
      <c r="T65" s="770">
        <f>(R65/K65)*100</f>
        <v>2.1187254623074603</v>
      </c>
    </row>
    <row r="66" spans="1:20">
      <c r="A66" s="175" t="s">
        <v>136</v>
      </c>
      <c r="B66" s="108"/>
      <c r="C66" s="108">
        <v>37.8994</v>
      </c>
      <c r="D66" s="108">
        <v>2.496</v>
      </c>
      <c r="E66" s="108">
        <v>39.393799999999999</v>
      </c>
      <c r="F66" s="109">
        <f>E66-C66</f>
        <v>1.4943999999999988</v>
      </c>
      <c r="G66" s="157">
        <f t="shared" si="29"/>
        <v>1.0016000000000012</v>
      </c>
      <c r="H66" s="84">
        <f>(G66/D66)*100</f>
        <v>40.128205128205174</v>
      </c>
      <c r="L66" s="173">
        <f t="shared" ref="L66:L68" si="30">(H65-$K$65)^2</f>
        <v>3.2725043419086943</v>
      </c>
      <c r="O66" s="173">
        <f t="shared" ref="O66:O68" si="31">($D$68-D65)^2</f>
        <v>8.3265624999992796E-5</v>
      </c>
      <c r="Q66" s="176"/>
      <c r="R66" s="848"/>
      <c r="S66" s="769"/>
      <c r="T66" s="771"/>
    </row>
    <row r="67" spans="1:20">
      <c r="A67" s="175" t="s">
        <v>191</v>
      </c>
      <c r="B67" s="108"/>
      <c r="C67" s="108">
        <v>39.729300000000002</v>
      </c>
      <c r="D67" s="108">
        <v>2.5148000000000001</v>
      </c>
      <c r="E67" s="108">
        <v>41.2455</v>
      </c>
      <c r="F67" s="109">
        <f>E67-C67</f>
        <v>1.5161999999999978</v>
      </c>
      <c r="G67" s="157">
        <f t="shared" si="29"/>
        <v>0.99860000000000237</v>
      </c>
      <c r="H67" s="84">
        <f>(G67/D67)*100</f>
        <v>39.708923174805243</v>
      </c>
      <c r="L67" s="173">
        <f t="shared" si="30"/>
        <v>4.012644759956447</v>
      </c>
      <c r="O67" s="173">
        <f t="shared" si="31"/>
        <v>2.5840562500000912E-4</v>
      </c>
      <c r="Q67" s="176"/>
      <c r="R67" s="849"/>
      <c r="S67" s="832"/>
      <c r="T67" s="833"/>
    </row>
    <row r="68" spans="1:20">
      <c r="A68" s="104"/>
      <c r="C68" s="138" t="s">
        <v>83</v>
      </c>
      <c r="D68" s="138">
        <f>SUM(D64:D67)/4</f>
        <v>2.5120750000000003</v>
      </c>
      <c r="L68" s="188">
        <f t="shared" si="30"/>
        <v>2.5086655346392974</v>
      </c>
      <c r="M68" s="187"/>
      <c r="N68" s="312">
        <f>_xlfn.STDEV.S(H64:H67)</f>
        <v>2.0780761706159812</v>
      </c>
      <c r="O68" s="188">
        <f t="shared" si="31"/>
        <v>7.4256249999992721E-6</v>
      </c>
      <c r="P68" s="187"/>
      <c r="Q68" s="189"/>
    </row>
    <row r="71" spans="1:20">
      <c r="A71" s="883" t="s">
        <v>199</v>
      </c>
      <c r="B71" s="884"/>
      <c r="C71" s="884"/>
      <c r="D71" s="884"/>
      <c r="E71" s="884"/>
      <c r="F71" s="885"/>
      <c r="G71" s="874" t="s">
        <v>196</v>
      </c>
      <c r="H71" s="875"/>
      <c r="I71" s="875"/>
      <c r="J71" s="875"/>
      <c r="K71" s="875"/>
      <c r="L71" s="876"/>
      <c r="M71" s="689" t="s">
        <v>232</v>
      </c>
      <c r="N71" s="690"/>
      <c r="O71" s="690"/>
      <c r="P71" s="691"/>
    </row>
    <row r="72" spans="1:20">
      <c r="A72" s="132" t="s">
        <v>198</v>
      </c>
      <c r="B72" s="132" t="s">
        <v>185</v>
      </c>
      <c r="C72" s="104" t="s">
        <v>11</v>
      </c>
      <c r="D72" s="135" t="s">
        <v>127</v>
      </c>
      <c r="E72" s="136" t="s">
        <v>113</v>
      </c>
      <c r="F72" s="139" t="s">
        <v>112</v>
      </c>
      <c r="G72" s="167" t="s">
        <v>133</v>
      </c>
      <c r="H72" s="168" t="s">
        <v>185</v>
      </c>
      <c r="I72" s="168" t="s">
        <v>11</v>
      </c>
      <c r="J72" s="167" t="s">
        <v>127</v>
      </c>
      <c r="K72" s="168" t="s">
        <v>113</v>
      </c>
      <c r="L72" s="166" t="s">
        <v>112</v>
      </c>
      <c r="M72" s="692"/>
      <c r="N72" s="693"/>
      <c r="O72" s="693"/>
      <c r="P72" s="694"/>
    </row>
    <row r="73" spans="1:20">
      <c r="A73" s="135" t="s">
        <v>134</v>
      </c>
      <c r="B73" s="17">
        <v>33.175919679352297</v>
      </c>
      <c r="C73" s="230">
        <f>SUM(B73:B79)/7</f>
        <v>36.487153205594886</v>
      </c>
      <c r="D73" s="173">
        <f>(($C$73-B73)^2)</f>
        <v>10.964267465312929</v>
      </c>
      <c r="E73">
        <f>SUM(D73:D79)/7</f>
        <v>5.707304904789086</v>
      </c>
      <c r="F73" s="176">
        <f>SQRT(E73)</f>
        <v>2.3889966313892295</v>
      </c>
      <c r="G73" s="135" t="s">
        <v>134</v>
      </c>
      <c r="H73" s="11">
        <v>33.175919679352297</v>
      </c>
      <c r="I73">
        <f>SUM(H73:H77)/5</f>
        <v>35.114588827230754</v>
      </c>
      <c r="J73" s="173">
        <f>(($I$73-H73)^2)</f>
        <v>3.7584380649357825</v>
      </c>
      <c r="K73">
        <f>SUM(J73:J77)/5</f>
        <v>1.378881726420659</v>
      </c>
      <c r="L73" s="354">
        <f>SQRT(K73)</f>
        <v>1.1742579471396644</v>
      </c>
      <c r="M73" s="692"/>
      <c r="N73" s="693"/>
      <c r="O73" s="693"/>
      <c r="P73" s="694"/>
    </row>
    <row r="74" spans="1:20">
      <c r="A74" s="103" t="s">
        <v>135</v>
      </c>
      <c r="B74" s="293">
        <v>34.707314153465603</v>
      </c>
      <c r="D74" s="173">
        <f t="shared" ref="D74:D79" si="32">(($C$73-B74)^2)</f>
        <v>3.1678270514844646</v>
      </c>
      <c r="F74" s="300">
        <f>_xlfn.STDEV.S(B73:B79)</f>
        <v>2.580411282900577</v>
      </c>
      <c r="G74" s="103" t="s">
        <v>135</v>
      </c>
      <c r="H74" s="15">
        <v>34.707314153465603</v>
      </c>
      <c r="J74" s="173">
        <f t="shared" ref="J74:J77" si="33">(($I$73-H74)^2)</f>
        <v>0.16587265989051048</v>
      </c>
      <c r="L74" s="355">
        <f>_xlfn.STDEV.S(H73:H77)</f>
        <v>1.3128602964618221</v>
      </c>
      <c r="M74" s="692"/>
      <c r="N74" s="693"/>
      <c r="O74" s="693"/>
      <c r="P74" s="694"/>
    </row>
    <row r="75" spans="1:20" ht="15" thickBot="1">
      <c r="A75" s="262" t="s">
        <v>136</v>
      </c>
      <c r="B75" s="23">
        <v>35.026652876123855</v>
      </c>
      <c r="D75" s="173">
        <f t="shared" si="32"/>
        <v>2.1330612123849915</v>
      </c>
      <c r="F75" s="176" t="s">
        <v>197</v>
      </c>
      <c r="G75" s="107" t="s">
        <v>136</v>
      </c>
      <c r="H75" s="22">
        <v>35.026652876123855</v>
      </c>
      <c r="J75" s="173">
        <f t="shared" si="33"/>
        <v>7.7327314970750682E-3</v>
      </c>
      <c r="L75" s="314" t="s">
        <v>197</v>
      </c>
      <c r="M75" s="692"/>
      <c r="N75" s="693"/>
      <c r="O75" s="693"/>
      <c r="P75" s="694"/>
    </row>
    <row r="76" spans="1:20">
      <c r="A76" s="103" t="s">
        <v>134</v>
      </c>
      <c r="B76" s="293">
        <v>36.347017446250412</v>
      </c>
      <c r="D76" s="173">
        <f t="shared" si="32"/>
        <v>1.9638031047052418E-2</v>
      </c>
      <c r="F76" s="315">
        <f>F73/B78*100</f>
        <v>5.9534101357303415</v>
      </c>
      <c r="G76" s="135" t="s">
        <v>134</v>
      </c>
      <c r="H76" s="11">
        <v>36.347017446250412</v>
      </c>
      <c r="J76" s="173">
        <f t="shared" si="33"/>
        <v>1.5188803009786997</v>
      </c>
      <c r="L76" s="356">
        <f>L73/H76*100</f>
        <v>3.2306858434151979</v>
      </c>
      <c r="M76" s="692"/>
      <c r="N76" s="693"/>
      <c r="O76" s="693"/>
      <c r="P76" s="694"/>
    </row>
    <row r="77" spans="1:20">
      <c r="A77" s="103" t="s">
        <v>135</v>
      </c>
      <c r="B77" s="293">
        <v>36.316039980961619</v>
      </c>
      <c r="D77" s="173">
        <f t="shared" si="32"/>
        <v>2.9279735644394799E-2</v>
      </c>
      <c r="F77" s="176"/>
      <c r="G77" s="107" t="s">
        <v>135</v>
      </c>
      <c r="H77" s="22">
        <v>36.316039980961619</v>
      </c>
      <c r="I77" s="187"/>
      <c r="J77" s="188">
        <f t="shared" si="33"/>
        <v>1.4434848748012266</v>
      </c>
      <c r="K77" s="187"/>
      <c r="L77" s="351">
        <f>L74/H76*100</f>
        <v>3.6120165799113124</v>
      </c>
      <c r="M77" s="692"/>
      <c r="N77" s="693"/>
      <c r="O77" s="693"/>
      <c r="P77" s="694"/>
    </row>
    <row r="78" spans="1:20">
      <c r="A78" s="309" t="s">
        <v>136</v>
      </c>
      <c r="B78" s="120">
        <v>40.128205128205174</v>
      </c>
      <c r="D78" s="295">
        <f t="shared" si="32"/>
        <v>13.257259103144072</v>
      </c>
      <c r="F78" s="176"/>
      <c r="M78" s="692"/>
      <c r="N78" s="693"/>
      <c r="O78" s="693"/>
      <c r="P78" s="694"/>
    </row>
    <row r="79" spans="1:20">
      <c r="A79" s="310" t="s">
        <v>191</v>
      </c>
      <c r="B79" s="311">
        <v>39.708923174805243</v>
      </c>
      <c r="C79" s="187"/>
      <c r="D79" s="313">
        <f t="shared" si="32"/>
        <v>10.379801734505701</v>
      </c>
      <c r="E79" s="187"/>
      <c r="F79" s="189"/>
      <c r="M79" s="695"/>
      <c r="N79" s="696"/>
      <c r="O79" s="696"/>
      <c r="P79" s="697"/>
    </row>
  </sheetData>
  <mergeCells count="73">
    <mergeCell ref="AF48:AH48"/>
    <mergeCell ref="AL43:AQ43"/>
    <mergeCell ref="R5:T5"/>
    <mergeCell ref="R6:S6"/>
    <mergeCell ref="A21:H21"/>
    <mergeCell ref="I21:K21"/>
    <mergeCell ref="O5:Q5"/>
    <mergeCell ref="AB9:AC9"/>
    <mergeCell ref="AD9:AE9"/>
    <mergeCell ref="X6:Y6"/>
    <mergeCell ref="Z6:AA6"/>
    <mergeCell ref="AB6:AC6"/>
    <mergeCell ref="X10:Y10"/>
    <mergeCell ref="Z10:AA10"/>
    <mergeCell ref="AB10:AC10"/>
    <mergeCell ref="AD10:AE10"/>
    <mergeCell ref="A4:H4"/>
    <mergeCell ref="I4:K4"/>
    <mergeCell ref="L5:N5"/>
    <mergeCell ref="R29:S31"/>
    <mergeCell ref="T29:T31"/>
    <mergeCell ref="R7:S9"/>
    <mergeCell ref="T7:T9"/>
    <mergeCell ref="R11:S11"/>
    <mergeCell ref="R12:S14"/>
    <mergeCell ref="T12:T14"/>
    <mergeCell ref="L22:N22"/>
    <mergeCell ref="R23:S23"/>
    <mergeCell ref="R24:S26"/>
    <mergeCell ref="T24:T26"/>
    <mergeCell ref="R28:S28"/>
    <mergeCell ref="R64:S64"/>
    <mergeCell ref="R65:S67"/>
    <mergeCell ref="M71:P79"/>
    <mergeCell ref="T54:T56"/>
    <mergeCell ref="A38:H38"/>
    <mergeCell ref="I38:K38"/>
    <mergeCell ref="R40:S40"/>
    <mergeCell ref="R41:S43"/>
    <mergeCell ref="T41:T43"/>
    <mergeCell ref="A46:L47"/>
    <mergeCell ref="A51:H51"/>
    <mergeCell ref="I51:K51"/>
    <mergeCell ref="L52:N52"/>
    <mergeCell ref="R53:S53"/>
    <mergeCell ref="R54:S56"/>
    <mergeCell ref="A71:F71"/>
    <mergeCell ref="G71:L71"/>
    <mergeCell ref="A57:L58"/>
    <mergeCell ref="A62:H62"/>
    <mergeCell ref="I62:K62"/>
    <mergeCell ref="L63:N63"/>
    <mergeCell ref="Z3:AA3"/>
    <mergeCell ref="AB3:AC3"/>
    <mergeCell ref="X7:Y7"/>
    <mergeCell ref="Z7:AA7"/>
    <mergeCell ref="T65:T67"/>
    <mergeCell ref="W2:AE2"/>
    <mergeCell ref="X5:Y5"/>
    <mergeCell ref="Z5:AA5"/>
    <mergeCell ref="AB5:AC5"/>
    <mergeCell ref="X9:Y9"/>
    <mergeCell ref="Z9:AA9"/>
    <mergeCell ref="AB7:AC7"/>
    <mergeCell ref="AD7:AE7"/>
    <mergeCell ref="X4:Y4"/>
    <mergeCell ref="Z4:AA4"/>
    <mergeCell ref="AB4:AC4"/>
    <mergeCell ref="X8:Y8"/>
    <mergeCell ref="Z8:AA8"/>
    <mergeCell ref="AB8:AC8"/>
    <mergeCell ref="AD8:AE8"/>
    <mergeCell ref="X3:Y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81"/>
  <sheetViews>
    <sheetView topLeftCell="R1" zoomScale="70" zoomScaleNormal="70" workbookViewId="0">
      <selection activeCell="AA2" sqref="AA2:AK6"/>
    </sheetView>
  </sheetViews>
  <sheetFormatPr baseColWidth="10" defaultColWidth="11.5546875" defaultRowHeight="14.4"/>
  <cols>
    <col min="7" max="7" width="13.6640625" customWidth="1"/>
    <col min="8" max="8" width="14.109375" customWidth="1"/>
    <col min="10" max="10" width="15.5546875" customWidth="1"/>
    <col min="14" max="15" width="13.33203125" customWidth="1"/>
    <col min="16" max="16" width="14.88671875" bestFit="1" customWidth="1"/>
    <col min="17" max="18" width="14.33203125" customWidth="1"/>
    <col min="22" max="22" width="18.109375" customWidth="1"/>
    <col min="23" max="23" width="18.6640625" customWidth="1"/>
    <col min="28" max="28" width="12" customWidth="1"/>
  </cols>
  <sheetData>
    <row r="1" spans="1:40" ht="15" thickBot="1"/>
    <row r="2" spans="1:40" ht="18.600000000000001" thickBot="1">
      <c r="AA2" s="867" t="s">
        <v>278</v>
      </c>
      <c r="AB2" s="894"/>
      <c r="AC2" s="894"/>
      <c r="AD2" s="894"/>
      <c r="AE2" s="894"/>
      <c r="AF2" s="894"/>
      <c r="AG2" s="894"/>
      <c r="AH2" s="894"/>
      <c r="AI2" s="894"/>
      <c r="AJ2" s="894"/>
      <c r="AK2" s="895"/>
    </row>
    <row r="3" spans="1:40">
      <c r="AA3" s="435"/>
      <c r="AB3" s="803" t="s">
        <v>221</v>
      </c>
      <c r="AC3" s="802"/>
      <c r="AD3" s="801" t="s">
        <v>222</v>
      </c>
      <c r="AE3" s="802"/>
      <c r="AF3" s="803" t="s">
        <v>223</v>
      </c>
      <c r="AG3" s="802"/>
      <c r="AH3" s="803" t="s">
        <v>226</v>
      </c>
      <c r="AI3" s="802"/>
      <c r="AJ3" s="803" t="s">
        <v>229</v>
      </c>
      <c r="AK3" s="909"/>
    </row>
    <row r="4" spans="1:40">
      <c r="A4" s="807" t="s">
        <v>204</v>
      </c>
      <c r="B4" s="807"/>
      <c r="C4" s="807"/>
      <c r="D4" s="807"/>
      <c r="E4" s="807"/>
      <c r="F4" s="807"/>
      <c r="G4" s="807"/>
      <c r="H4" s="808"/>
      <c r="I4" s="772" t="s">
        <v>119</v>
      </c>
      <c r="J4" s="773"/>
      <c r="K4" s="780"/>
      <c r="AA4" s="436" t="s">
        <v>225</v>
      </c>
      <c r="AB4" s="869">
        <v>39.146104324591221</v>
      </c>
      <c r="AC4" s="870"/>
      <c r="AD4" s="869">
        <v>37.952404826357423</v>
      </c>
      <c r="AE4" s="870"/>
      <c r="AF4" s="906">
        <v>42.643770249373461</v>
      </c>
      <c r="AG4" s="907"/>
      <c r="AH4" s="857">
        <v>43.377406980704222</v>
      </c>
      <c r="AI4" s="857"/>
      <c r="AJ4" s="837">
        <f>AVERAGE(AK27:AK29,AK31:AK33)</f>
        <v>43.090357961087719</v>
      </c>
      <c r="AK4" s="908"/>
    </row>
    <row r="5" spans="1:40">
      <c r="A5" s="165" t="s">
        <v>120</v>
      </c>
      <c r="B5" s="165" t="s">
        <v>121</v>
      </c>
      <c r="C5" s="165" t="s">
        <v>41</v>
      </c>
      <c r="D5" s="165" t="s">
        <v>59</v>
      </c>
      <c r="E5" s="165" t="s">
        <v>122</v>
      </c>
      <c r="F5" s="165" t="s">
        <v>31</v>
      </c>
      <c r="G5" s="166" t="s">
        <v>32</v>
      </c>
      <c r="H5" s="165" t="s">
        <v>11</v>
      </c>
      <c r="I5" t="s">
        <v>120</v>
      </c>
      <c r="L5" s="834" t="s">
        <v>159</v>
      </c>
      <c r="M5" s="835"/>
      <c r="N5" s="836"/>
      <c r="O5" s="834" t="s">
        <v>160</v>
      </c>
      <c r="P5" s="835"/>
      <c r="Q5" s="836"/>
      <c r="R5" s="772" t="s">
        <v>125</v>
      </c>
      <c r="S5" s="773"/>
      <c r="T5" s="780"/>
      <c r="AA5" s="436" t="s">
        <v>170</v>
      </c>
      <c r="AB5" s="869">
        <v>41.057290471475589</v>
      </c>
      <c r="AC5" s="870"/>
      <c r="AD5" s="869">
        <v>38.335302637501037</v>
      </c>
      <c r="AE5" s="870"/>
      <c r="AF5" s="906">
        <v>40.637296117791415</v>
      </c>
      <c r="AG5" s="907"/>
      <c r="AH5" s="857">
        <v>39.916475155653956</v>
      </c>
      <c r="AI5" s="857"/>
      <c r="AJ5" s="837">
        <f>AVERAGE(AK35:AK37,AK47)</f>
        <v>41.633134300421645</v>
      </c>
      <c r="AK5" s="908"/>
    </row>
    <row r="6" spans="1:40" ht="15" thickBot="1">
      <c r="A6" s="135" t="s">
        <v>126</v>
      </c>
      <c r="B6" s="136"/>
      <c r="C6" s="136">
        <v>38.306800000000003</v>
      </c>
      <c r="D6" s="136">
        <v>2.5581</v>
      </c>
      <c r="E6" s="136">
        <v>39.823500000000003</v>
      </c>
      <c r="F6" s="139">
        <f>E6-C6</f>
        <v>1.5167000000000002</v>
      </c>
      <c r="G6" s="157">
        <f>D6-F6</f>
        <v>1.0413999999999999</v>
      </c>
      <c r="H6" s="84">
        <f>(G6/D6)*100</f>
        <v>40.709901880301778</v>
      </c>
      <c r="I6" s="104" t="s">
        <v>31</v>
      </c>
      <c r="J6" s="104" t="s">
        <v>32</v>
      </c>
      <c r="K6" s="104" t="s">
        <v>11</v>
      </c>
      <c r="L6" s="167" t="s">
        <v>127</v>
      </c>
      <c r="M6" s="168" t="s">
        <v>113</v>
      </c>
      <c r="N6" s="166" t="s">
        <v>112</v>
      </c>
      <c r="O6" s="167" t="s">
        <v>127</v>
      </c>
      <c r="P6" s="168" t="s">
        <v>113</v>
      </c>
      <c r="Q6" s="166" t="s">
        <v>112</v>
      </c>
      <c r="R6" s="772" t="s">
        <v>128</v>
      </c>
      <c r="S6" s="773"/>
      <c r="T6" s="166" t="s">
        <v>129</v>
      </c>
      <c r="AA6" s="437" t="s">
        <v>219</v>
      </c>
      <c r="AB6" s="899">
        <v>40.849764590184407</v>
      </c>
      <c r="AC6" s="900"/>
      <c r="AD6" s="899">
        <v>37.569023693736149</v>
      </c>
      <c r="AE6" s="900"/>
      <c r="AF6" s="901">
        <v>40.535370926800397</v>
      </c>
      <c r="AG6" s="902"/>
      <c r="AH6" s="890" t="s">
        <v>108</v>
      </c>
      <c r="AI6" s="890"/>
      <c r="AJ6" s="890" t="s">
        <v>108</v>
      </c>
      <c r="AK6" s="903"/>
    </row>
    <row r="7" spans="1:40">
      <c r="A7" s="103" t="s">
        <v>130</v>
      </c>
      <c r="B7" s="104"/>
      <c r="C7" s="104">
        <v>35.6541</v>
      </c>
      <c r="D7" s="104">
        <v>2.5634999999999999</v>
      </c>
      <c r="E7" s="104">
        <v>37.086599999999997</v>
      </c>
      <c r="F7" s="106">
        <f t="shared" ref="F7:F8" si="0">E7-C7</f>
        <v>1.4324999999999974</v>
      </c>
      <c r="G7" s="157">
        <f t="shared" ref="G7:G8" si="1">D7-F7</f>
        <v>1.1310000000000024</v>
      </c>
      <c r="H7" s="84">
        <f t="shared" ref="H7:H8" si="2">(G7/D7)*100</f>
        <v>44.119368051492195</v>
      </c>
      <c r="I7">
        <f>SUM(F6:F8)/3</f>
        <v>1.4709666666666668</v>
      </c>
      <c r="J7">
        <f>SUM(G6:G8)/3</f>
        <v>1.093733333333333</v>
      </c>
      <c r="K7" s="172">
        <f>SUM(H6:H8)/3</f>
        <v>42.643770249373461</v>
      </c>
      <c r="L7" s="173">
        <f>(H6-$K$7)^2</f>
        <v>3.7398468688959672</v>
      </c>
      <c r="M7">
        <f>SUM(L7:L9)/3</f>
        <v>2.0424158850163301</v>
      </c>
      <c r="N7" s="174">
        <f>SQRT(M7)</f>
        <v>1.4291311643849665</v>
      </c>
      <c r="O7" s="173">
        <f>($D$9-D6)^2</f>
        <v>4.3559999999996269E-5</v>
      </c>
      <c r="P7">
        <f>SUM(O7:O9)/3</f>
        <v>3.5279999999998802E-5</v>
      </c>
      <c r="Q7" s="174">
        <f>SQRT(P7)</f>
        <v>5.939696961966898E-3</v>
      </c>
      <c r="R7" s="766">
        <v>1.4291311643849665</v>
      </c>
      <c r="S7" s="767"/>
      <c r="T7" s="850">
        <f>(R7/K7)*100</f>
        <v>3.3513246038698088</v>
      </c>
    </row>
    <row r="8" spans="1:40">
      <c r="A8" s="107" t="s">
        <v>131</v>
      </c>
      <c r="B8" s="108"/>
      <c r="C8" s="108">
        <v>38.073399999999999</v>
      </c>
      <c r="D8" s="108">
        <v>2.5724999999999998</v>
      </c>
      <c r="E8" s="108">
        <v>39.537100000000002</v>
      </c>
      <c r="F8" s="109">
        <f t="shared" si="0"/>
        <v>1.4637000000000029</v>
      </c>
      <c r="G8" s="157">
        <f t="shared" si="1"/>
        <v>1.1087999999999969</v>
      </c>
      <c r="H8" s="84">
        <f t="shared" si="2"/>
        <v>43.102040816326415</v>
      </c>
      <c r="L8" s="173">
        <f t="shared" ref="L8:L9" si="3">(H7-$K$7)^2</f>
        <v>2.1773888736176401</v>
      </c>
      <c r="N8" s="176"/>
      <c r="O8" s="173">
        <f t="shared" ref="O8:O9" si="4">($D$9-D7)^2</f>
        <v>1.4399999999996828E-6</v>
      </c>
      <c r="Q8" s="176"/>
      <c r="R8" s="768"/>
      <c r="S8" s="769"/>
      <c r="T8" s="851"/>
    </row>
    <row r="9" spans="1:40">
      <c r="A9" s="103"/>
      <c r="B9" s="104"/>
      <c r="C9" s="138" t="s">
        <v>83</v>
      </c>
      <c r="D9" s="138">
        <f>SUM(D6:D8)/3</f>
        <v>2.5646999999999998</v>
      </c>
      <c r="E9" s="104"/>
      <c r="F9" s="104"/>
      <c r="G9" s="104"/>
      <c r="H9" s="104"/>
      <c r="L9" s="188">
        <f t="shared" si="3"/>
        <v>0.2100119125353824</v>
      </c>
      <c r="M9" s="187"/>
      <c r="N9" s="286">
        <f>_xlfn.STDEV.S(H6:H8)</f>
        <v>1.7503210641263776</v>
      </c>
      <c r="O9" s="188">
        <f t="shared" si="4"/>
        <v>6.0840000000000454E-5</v>
      </c>
      <c r="P9" s="187"/>
      <c r="Q9" s="189"/>
      <c r="R9" s="831"/>
      <c r="S9" s="832"/>
      <c r="T9" s="852"/>
    </row>
    <row r="10" spans="1:40" ht="15" thickBot="1">
      <c r="A10" s="268" t="s">
        <v>133</v>
      </c>
      <c r="B10" s="268" t="s">
        <v>121</v>
      </c>
      <c r="C10" s="268" t="s">
        <v>41</v>
      </c>
      <c r="D10" s="268" t="s">
        <v>59</v>
      </c>
      <c r="E10" s="268" t="s">
        <v>122</v>
      </c>
      <c r="F10" s="268" t="s">
        <v>31</v>
      </c>
      <c r="G10" s="165" t="s">
        <v>32</v>
      </c>
      <c r="H10" s="165" t="s">
        <v>11</v>
      </c>
      <c r="I10" t="s">
        <v>133</v>
      </c>
      <c r="L10" s="299"/>
      <c r="M10" s="213"/>
      <c r="N10" s="300"/>
      <c r="O10" s="173"/>
      <c r="Q10" s="176"/>
      <c r="R10" s="230"/>
      <c r="S10" s="231"/>
      <c r="T10" s="232"/>
    </row>
    <row r="11" spans="1:40">
      <c r="A11" s="135" t="s">
        <v>134</v>
      </c>
      <c r="B11" s="136"/>
      <c r="C11" s="136">
        <v>36.347999999999999</v>
      </c>
      <c r="D11" s="136">
        <v>2.5017</v>
      </c>
      <c r="E11" s="136">
        <v>37.776800000000001</v>
      </c>
      <c r="F11" s="139">
        <f>E11-C11</f>
        <v>1.4288000000000025</v>
      </c>
      <c r="G11" s="157">
        <f>D11-F11</f>
        <v>1.0728999999999975</v>
      </c>
      <c r="H11" s="84">
        <f>(G11/D11)*100</f>
        <v>42.88683695087331</v>
      </c>
      <c r="I11" s="104" t="s">
        <v>31</v>
      </c>
      <c r="J11" s="104" t="s">
        <v>32</v>
      </c>
      <c r="K11" s="104" t="s">
        <v>11</v>
      </c>
      <c r="L11" s="167" t="s">
        <v>127</v>
      </c>
      <c r="M11" s="168" t="s">
        <v>113</v>
      </c>
      <c r="N11" s="166" t="s">
        <v>112</v>
      </c>
      <c r="O11" s="167" t="s">
        <v>127</v>
      </c>
      <c r="P11" s="168" t="s">
        <v>113</v>
      </c>
      <c r="Q11" s="166" t="s">
        <v>112</v>
      </c>
      <c r="R11" s="772" t="s">
        <v>128</v>
      </c>
      <c r="S11" s="773"/>
      <c r="T11" s="166" t="s">
        <v>129</v>
      </c>
      <c r="AA11" s="165" t="s">
        <v>225</v>
      </c>
      <c r="AB11" s="167" t="s">
        <v>297</v>
      </c>
      <c r="AC11" s="165" t="s">
        <v>300</v>
      </c>
      <c r="AD11" s="165" t="s">
        <v>225</v>
      </c>
      <c r="AE11" s="165" t="s">
        <v>293</v>
      </c>
      <c r="AF11" s="167" t="s">
        <v>300</v>
      </c>
      <c r="AG11" s="238" t="s">
        <v>225</v>
      </c>
      <c r="AH11" s="239" t="s">
        <v>295</v>
      </c>
      <c r="AI11" s="240" t="s">
        <v>300</v>
      </c>
      <c r="AJ11" s="238" t="s">
        <v>225</v>
      </c>
      <c r="AK11" s="239" t="s">
        <v>299</v>
      </c>
      <c r="AL11" s="240" t="s">
        <v>300</v>
      </c>
      <c r="AM11" s="104"/>
      <c r="AN11" s="165" t="s">
        <v>83</v>
      </c>
    </row>
    <row r="12" spans="1:40">
      <c r="A12" s="103" t="s">
        <v>135</v>
      </c>
      <c r="B12" s="104"/>
      <c r="C12" s="104">
        <v>38.250799999999998</v>
      </c>
      <c r="D12" s="104">
        <v>2.5049000000000001</v>
      </c>
      <c r="E12" s="104">
        <v>39.761600000000001</v>
      </c>
      <c r="F12" s="106">
        <f>E12-C12</f>
        <v>1.5108000000000033</v>
      </c>
      <c r="G12" s="157">
        <f t="shared" ref="G12:G13" si="5">D12-F12</f>
        <v>0.99409999999999688</v>
      </c>
      <c r="H12" s="84">
        <f>(G12/D12)*100</f>
        <v>39.686215018563487</v>
      </c>
      <c r="I12">
        <f>SUM(F11:F13)/3</f>
        <v>1.4869333333333354</v>
      </c>
      <c r="J12">
        <f>SUM(G11:G13)/3</f>
        <v>1.0178333333333314</v>
      </c>
      <c r="K12" s="172">
        <f>SUM(H11:H13)/3</f>
        <v>40.637296117791415</v>
      </c>
      <c r="L12" s="173">
        <f>(H11-$K$12)^2</f>
        <v>5.0604339597027845</v>
      </c>
      <c r="M12">
        <f>SUM(L12:L14)/3</f>
        <v>2.5503289658171613</v>
      </c>
      <c r="N12" s="174">
        <f>SQRT(M12)</f>
        <v>1.5969749421381543</v>
      </c>
      <c r="O12" s="173">
        <f>($D$14-D11)^2</f>
        <v>9.4044444444450972E-6</v>
      </c>
      <c r="P12">
        <f>SUM(O12:O14)/3</f>
        <v>6.0088888888884737E-6</v>
      </c>
      <c r="Q12" s="174">
        <f>SQRT(P12)</f>
        <v>2.4513035081132799E-3</v>
      </c>
      <c r="R12" s="766">
        <v>1.5969749421381543</v>
      </c>
      <c r="S12" s="767"/>
      <c r="T12" s="850">
        <f>(R12/K12)*100</f>
        <v>3.929825787397756</v>
      </c>
      <c r="AA12" s="135" t="s">
        <v>126</v>
      </c>
      <c r="AB12" s="158">
        <v>34.946419459091913</v>
      </c>
      <c r="AC12" s="235">
        <v>3.0480547768959685</v>
      </c>
      <c r="AD12" s="135" t="s">
        <v>126</v>
      </c>
      <c r="AE12" s="84">
        <v>35.562376671782658</v>
      </c>
      <c r="AF12" s="247">
        <v>2.0217864910745962</v>
      </c>
      <c r="AG12" s="169" t="s">
        <v>126</v>
      </c>
      <c r="AH12" s="84">
        <v>40.709901880301778</v>
      </c>
      <c r="AI12" s="248">
        <v>1.4291311643849665</v>
      </c>
      <c r="AJ12" s="169" t="s">
        <v>126</v>
      </c>
      <c r="AK12" s="84">
        <v>41.9377990430621</v>
      </c>
      <c r="AL12" s="248">
        <v>1.0546055406693209</v>
      </c>
      <c r="AM12" s="166" t="s">
        <v>120</v>
      </c>
      <c r="AN12" s="165">
        <f>AVERAGE(AK25:AK31)</f>
        <v>43.010588615038841</v>
      </c>
    </row>
    <row r="13" spans="1:40">
      <c r="A13" s="107" t="s">
        <v>136</v>
      </c>
      <c r="B13" s="108"/>
      <c r="C13" s="108">
        <v>34.847099999999998</v>
      </c>
      <c r="D13" s="108">
        <v>2.5076999999999998</v>
      </c>
      <c r="E13" s="108">
        <v>36.368299999999998</v>
      </c>
      <c r="F13" s="109">
        <f>E13-C13</f>
        <v>1.5212000000000003</v>
      </c>
      <c r="G13" s="157">
        <f t="shared" si="5"/>
        <v>0.98649999999999949</v>
      </c>
      <c r="H13" s="84">
        <f>(G13/D13)*100</f>
        <v>39.338836383937455</v>
      </c>
      <c r="L13" s="173">
        <f t="shared" ref="L13:L14" si="6">(H12-$K$12)^2</f>
        <v>0.90455525730860287</v>
      </c>
      <c r="N13" s="176"/>
      <c r="O13" s="173">
        <f t="shared" ref="O13:O14" si="7">($D$14-D12)^2</f>
        <v>1.7777777777773863E-8</v>
      </c>
      <c r="Q13" s="176"/>
      <c r="R13" s="768"/>
      <c r="S13" s="769"/>
      <c r="T13" s="851"/>
      <c r="AA13" s="103" t="s">
        <v>130</v>
      </c>
      <c r="AB13" s="158">
        <v>40.404553771091543</v>
      </c>
      <c r="AC13" s="165" t="s">
        <v>294</v>
      </c>
      <c r="AD13" s="103" t="s">
        <v>130</v>
      </c>
      <c r="AE13" s="84">
        <v>40.5065564936233</v>
      </c>
      <c r="AF13" s="167" t="s">
        <v>294</v>
      </c>
      <c r="AG13" s="171" t="s">
        <v>130</v>
      </c>
      <c r="AH13" s="84">
        <v>44.119368051492195</v>
      </c>
      <c r="AI13" s="366">
        <v>1.7503210641263776</v>
      </c>
      <c r="AJ13" s="171" t="s">
        <v>130</v>
      </c>
      <c r="AK13" s="84">
        <v>43.759666864961517</v>
      </c>
      <c r="AL13" s="246">
        <v>1.2916227272759047</v>
      </c>
      <c r="AM13" s="104"/>
      <c r="AN13" s="104"/>
    </row>
    <row r="14" spans="1:40" ht="15" thickBot="1">
      <c r="A14" s="103"/>
      <c r="B14" s="104"/>
      <c r="C14" s="138" t="s">
        <v>83</v>
      </c>
      <c r="D14" s="138">
        <f>SUM(D11:D13)/3</f>
        <v>2.5047666666666668</v>
      </c>
      <c r="E14" s="104"/>
      <c r="F14" s="104"/>
      <c r="G14" s="104"/>
      <c r="H14" s="104"/>
      <c r="L14" s="173">
        <f t="shared" si="6"/>
        <v>1.6859976804400969</v>
      </c>
      <c r="N14" s="286">
        <f>_xlfn.STDEV.S(H11:H13)</f>
        <v>1.9558868701245842</v>
      </c>
      <c r="O14" s="173">
        <f t="shared" si="7"/>
        <v>8.6044444444425485E-6</v>
      </c>
      <c r="Q14" s="176"/>
      <c r="R14" s="768"/>
      <c r="S14" s="769"/>
      <c r="T14" s="851"/>
      <c r="AA14" s="107" t="s">
        <v>131</v>
      </c>
      <c r="AB14" s="158">
        <v>42.087339743590199</v>
      </c>
      <c r="AC14" s="236">
        <f>(AC12/AB14)*100</f>
        <v>7.2422129682363208</v>
      </c>
      <c r="AD14" s="107" t="s">
        <v>131</v>
      </c>
      <c r="AE14" s="84">
        <v>37.78828131366631</v>
      </c>
      <c r="AF14" s="271">
        <f>(AF12/AE13)*100</f>
        <v>4.991257381734914</v>
      </c>
      <c r="AG14" s="175" t="s">
        <v>131</v>
      </c>
      <c r="AH14" s="84">
        <v>43.102040816326415</v>
      </c>
      <c r="AI14" s="242" t="s">
        <v>294</v>
      </c>
      <c r="AJ14" s="175" t="s">
        <v>131</v>
      </c>
      <c r="AK14" s="84">
        <v>44.434755034089051</v>
      </c>
      <c r="AL14" s="242" t="s">
        <v>294</v>
      </c>
      <c r="AM14" s="166" t="s">
        <v>189</v>
      </c>
      <c r="AN14" s="165">
        <f>AVERAGE(AK33:AK37)</f>
        <v>41.45983014257002</v>
      </c>
    </row>
    <row r="15" spans="1:40">
      <c r="A15" s="250" t="s">
        <v>137</v>
      </c>
      <c r="B15" s="251" t="s">
        <v>121</v>
      </c>
      <c r="C15" s="251" t="s">
        <v>41</v>
      </c>
      <c r="D15" s="251" t="s">
        <v>59</v>
      </c>
      <c r="E15" s="251" t="s">
        <v>122</v>
      </c>
      <c r="F15" s="251" t="s">
        <v>31</v>
      </c>
      <c r="G15" s="239" t="s">
        <v>32</v>
      </c>
      <c r="H15" s="239" t="s">
        <v>11</v>
      </c>
      <c r="I15" s="78" t="s">
        <v>137</v>
      </c>
      <c r="J15" s="78"/>
      <c r="K15" s="78"/>
      <c r="L15" s="316"/>
      <c r="M15" s="317"/>
      <c r="N15" s="318"/>
      <c r="O15" s="255"/>
      <c r="P15" s="78"/>
      <c r="Q15" s="288"/>
      <c r="R15" s="255"/>
      <c r="S15" s="78"/>
      <c r="T15" s="79"/>
      <c r="U15" s="735" t="s">
        <v>203</v>
      </c>
      <c r="V15" s="790"/>
      <c r="W15" s="736"/>
      <c r="AA15" s="268" t="s">
        <v>170</v>
      </c>
      <c r="AB15" s="167" t="s">
        <v>297</v>
      </c>
      <c r="AC15" s="165" t="s">
        <v>300</v>
      </c>
      <c r="AD15" s="268" t="s">
        <v>170</v>
      </c>
      <c r="AE15" s="165"/>
      <c r="AF15" s="167" t="s">
        <v>300</v>
      </c>
      <c r="AG15" s="91"/>
      <c r="AI15" s="325">
        <f>(AI12/AH13)*100</f>
        <v>3.2392376126444327</v>
      </c>
      <c r="AJ15" s="91"/>
      <c r="AL15" s="325">
        <f>(AL12/AK14)*100</f>
        <v>2.3733798911691046</v>
      </c>
      <c r="AM15" s="104"/>
      <c r="AN15" s="104"/>
    </row>
    <row r="16" spans="1:40" ht="15" thickBot="1">
      <c r="A16" s="169" t="s">
        <v>138</v>
      </c>
      <c r="B16" s="136"/>
      <c r="C16" s="136">
        <v>34.734499999999997</v>
      </c>
      <c r="D16" s="136">
        <v>2.5179999999999998</v>
      </c>
      <c r="E16" s="136">
        <v>36.215600000000002</v>
      </c>
      <c r="F16" s="139">
        <f>E16-C16</f>
        <v>1.481100000000005</v>
      </c>
      <c r="G16" s="157">
        <f>D16-F16</f>
        <v>1.0368999999999948</v>
      </c>
      <c r="H16" s="84">
        <f>(G16/D16)*100</f>
        <v>41.179507545670965</v>
      </c>
      <c r="I16" s="104" t="s">
        <v>31</v>
      </c>
      <c r="J16" s="104" t="s">
        <v>32</v>
      </c>
      <c r="K16" s="104" t="s">
        <v>11</v>
      </c>
      <c r="L16" s="167" t="s">
        <v>127</v>
      </c>
      <c r="M16" s="168" t="s">
        <v>113</v>
      </c>
      <c r="N16" s="166" t="s">
        <v>112</v>
      </c>
      <c r="O16" s="167" t="s">
        <v>127</v>
      </c>
      <c r="P16" s="168" t="s">
        <v>113</v>
      </c>
      <c r="Q16" s="166" t="s">
        <v>112</v>
      </c>
      <c r="R16" s="772" t="s">
        <v>128</v>
      </c>
      <c r="S16" s="773"/>
      <c r="T16" s="170" t="s">
        <v>129</v>
      </c>
      <c r="U16" s="737"/>
      <c r="V16" s="693"/>
      <c r="W16" s="738"/>
      <c r="AA16" s="135" t="s">
        <v>134</v>
      </c>
      <c r="AB16" s="158">
        <v>37.511606313834854</v>
      </c>
      <c r="AC16" s="235">
        <v>2.6156268740932163</v>
      </c>
      <c r="AD16" s="135" t="s">
        <v>134</v>
      </c>
      <c r="AE16" s="84">
        <v>33.609495738070791</v>
      </c>
      <c r="AF16" s="247">
        <v>3.5061430552314694</v>
      </c>
      <c r="AG16" s="163"/>
      <c r="AH16" s="115"/>
      <c r="AI16" s="372">
        <f>AI13/AH13*100</f>
        <v>3.9672396533050041</v>
      </c>
      <c r="AJ16" s="91"/>
      <c r="AL16" s="245">
        <f>AL13/AK12*100</f>
        <v>3.0798533941889872</v>
      </c>
      <c r="AM16" s="166" t="s">
        <v>137</v>
      </c>
      <c r="AN16" s="165">
        <f>AVERAGE(AH24:AH26)</f>
        <v>40.535370926800397</v>
      </c>
    </row>
    <row r="17" spans="1:38">
      <c r="A17" s="171" t="s">
        <v>139</v>
      </c>
      <c r="B17" s="104"/>
      <c r="C17" s="104">
        <v>37.2181</v>
      </c>
      <c r="D17" s="104">
        <v>2.5103</v>
      </c>
      <c r="E17" s="104">
        <v>38.689</v>
      </c>
      <c r="F17" s="106">
        <f t="shared" ref="F17:F18" si="8">E17-C17</f>
        <v>1.4709000000000003</v>
      </c>
      <c r="G17" s="157">
        <f t="shared" ref="G17:G18" si="9">D17-F17</f>
        <v>1.0393999999999997</v>
      </c>
      <c r="H17" s="84">
        <f t="shared" ref="H17:H18" si="10">(G17/D17)*100</f>
        <v>41.4054097119866</v>
      </c>
      <c r="I17">
        <f>SUM(F16:F18)/3</f>
        <v>1.4961000000000009</v>
      </c>
      <c r="J17">
        <f>SUM(G16:G18)/3</f>
        <v>1.0197999999999992</v>
      </c>
      <c r="K17" s="172">
        <f>SUM(H16:H18)/3</f>
        <v>40.535370926800397</v>
      </c>
      <c r="L17" s="173">
        <f>(H16-$K$17)^2</f>
        <v>0.41491198377000815</v>
      </c>
      <c r="M17">
        <f>SUM(L17:L19)/3</f>
        <v>1.1548688752495864</v>
      </c>
      <c r="N17" s="174">
        <f>SQRT(M17)</f>
        <v>1.0746482565237736</v>
      </c>
      <c r="O17" s="173">
        <f>($D$19-D16)^2</f>
        <v>4.4099999999999612E-6</v>
      </c>
      <c r="P17">
        <f>SUM(O17:O19)/3</f>
        <v>1.6006666666666664E-5</v>
      </c>
      <c r="Q17" s="174">
        <f>SQRT(P17)</f>
        <v>4.0008332465458572E-3</v>
      </c>
      <c r="R17" s="766">
        <v>1.0746482565237736</v>
      </c>
      <c r="S17" s="847"/>
      <c r="T17" s="770">
        <f>(R17/K17)*100</f>
        <v>2.6511370981762949</v>
      </c>
      <c r="U17" s="737"/>
      <c r="V17" s="693"/>
      <c r="W17" s="738"/>
      <c r="AA17" s="103" t="s">
        <v>135</v>
      </c>
      <c r="AB17" s="158">
        <v>43.743011954932513</v>
      </c>
      <c r="AC17" s="165" t="s">
        <v>294</v>
      </c>
      <c r="AD17" s="103" t="s">
        <v>135</v>
      </c>
      <c r="AE17" s="84">
        <v>41.998060135790425</v>
      </c>
      <c r="AF17" s="167" t="s">
        <v>294</v>
      </c>
      <c r="AG17" s="277" t="s">
        <v>170</v>
      </c>
      <c r="AH17" s="239"/>
      <c r="AI17" s="242" t="s">
        <v>300</v>
      </c>
      <c r="AJ17" s="91"/>
      <c r="AL17" s="81"/>
    </row>
    <row r="18" spans="1:38" ht="15" thickBot="1">
      <c r="A18" s="175" t="s">
        <v>140</v>
      </c>
      <c r="B18" s="108"/>
      <c r="C18" s="108">
        <v>36.014000000000003</v>
      </c>
      <c r="D18" s="108">
        <v>2.5194000000000001</v>
      </c>
      <c r="E18" s="108">
        <v>37.5503</v>
      </c>
      <c r="F18" s="109">
        <f t="shared" si="8"/>
        <v>1.5362999999999971</v>
      </c>
      <c r="G18" s="157">
        <f t="shared" si="9"/>
        <v>0.98310000000000297</v>
      </c>
      <c r="H18" s="84">
        <f t="shared" si="10"/>
        <v>39.021195522743632</v>
      </c>
      <c r="L18" s="173">
        <f>(H17-$K$17)^2</f>
        <v>0.75696748772828437</v>
      </c>
      <c r="N18" s="176"/>
      <c r="O18" s="173">
        <f t="shared" ref="O18:O19" si="11">($D$19-D17)^2</f>
        <v>3.1359999999998067E-5</v>
      </c>
      <c r="Q18" s="176"/>
      <c r="R18" s="768"/>
      <c r="S18" s="848"/>
      <c r="T18" s="771"/>
      <c r="U18" s="739"/>
      <c r="V18" s="791"/>
      <c r="W18" s="740"/>
      <c r="AA18" s="107" t="s">
        <v>136</v>
      </c>
      <c r="AB18" s="158">
        <v>41.917253145659416</v>
      </c>
      <c r="AC18" s="236">
        <f>(AC16/AB17)*100</f>
        <v>5.9795308032012988</v>
      </c>
      <c r="AD18" s="107" t="s">
        <v>136</v>
      </c>
      <c r="AE18" s="84">
        <v>39.398352038641896</v>
      </c>
      <c r="AF18" s="271">
        <f>(AF16/AE17)*100</f>
        <v>8.3483452423640898</v>
      </c>
      <c r="AG18" s="169" t="s">
        <v>134</v>
      </c>
      <c r="AH18" s="84">
        <v>42.88683695087331</v>
      </c>
      <c r="AI18" s="248">
        <v>1.5969749421381543</v>
      </c>
      <c r="AJ18" s="91"/>
      <c r="AL18" s="81"/>
    </row>
    <row r="19" spans="1:38">
      <c r="A19" s="171"/>
      <c r="C19" s="138" t="s">
        <v>83</v>
      </c>
      <c r="D19" s="138">
        <f>SUM(D16:D18)/3</f>
        <v>2.5158999999999998</v>
      </c>
      <c r="L19" s="173">
        <f>(H18-$K$17)^2</f>
        <v>2.2927271542504668</v>
      </c>
      <c r="M19" s="187"/>
      <c r="N19" s="286">
        <f>_xlfn.STDEV.S(H16:H18)</f>
        <v>1.3161699407274046</v>
      </c>
      <c r="O19" s="173">
        <f t="shared" si="11"/>
        <v>1.2250000000001965E-5</v>
      </c>
      <c r="P19" s="187"/>
      <c r="Q19" s="189"/>
      <c r="R19" s="831"/>
      <c r="S19" s="849"/>
      <c r="T19" s="833"/>
      <c r="AA19" s="268" t="s">
        <v>219</v>
      </c>
      <c r="AB19" s="167" t="s">
        <v>297</v>
      </c>
      <c r="AC19" s="165" t="s">
        <v>300</v>
      </c>
      <c r="AD19" s="268" t="s">
        <v>219</v>
      </c>
      <c r="AE19" s="165"/>
      <c r="AF19" s="167" t="s">
        <v>300</v>
      </c>
      <c r="AG19" s="171" t="s">
        <v>135</v>
      </c>
      <c r="AH19" s="84">
        <v>39.686215018563487</v>
      </c>
      <c r="AI19" s="366">
        <v>1.9558868701245842</v>
      </c>
      <c r="AJ19" s="91"/>
      <c r="AL19" s="81"/>
    </row>
    <row r="20" spans="1:38" ht="15" thickBot="1">
      <c r="A20" s="177"/>
      <c r="B20" s="115"/>
      <c r="C20" s="115"/>
      <c r="D20" s="115"/>
      <c r="E20" s="115"/>
      <c r="F20" s="115"/>
      <c r="G20" s="115"/>
      <c r="H20" s="115"/>
      <c r="I20" s="115"/>
      <c r="J20" s="115"/>
      <c r="K20" s="115"/>
      <c r="L20" s="319"/>
      <c r="M20" s="320"/>
      <c r="N20" s="321"/>
      <c r="O20" s="322"/>
      <c r="P20" s="323"/>
      <c r="Q20" s="324"/>
      <c r="R20" s="115"/>
      <c r="S20" s="115"/>
      <c r="T20" s="116"/>
      <c r="AA20" s="135" t="s">
        <v>138</v>
      </c>
      <c r="AB20" s="158">
        <v>36.321063969279436</v>
      </c>
      <c r="AC20" s="235">
        <v>3.872143287746157</v>
      </c>
      <c r="AD20" s="135" t="s">
        <v>138</v>
      </c>
      <c r="AE20" s="84">
        <v>36.469038208168556</v>
      </c>
      <c r="AF20" s="247">
        <v>1.4266708614836245</v>
      </c>
      <c r="AG20" s="175" t="s">
        <v>136</v>
      </c>
      <c r="AH20" s="84">
        <v>39.338836383937455</v>
      </c>
      <c r="AI20" s="242" t="s">
        <v>294</v>
      </c>
      <c r="AJ20" s="91"/>
      <c r="AL20" s="81"/>
    </row>
    <row r="21" spans="1:38">
      <c r="AA21" s="103" t="s">
        <v>139</v>
      </c>
      <c r="AB21" s="158">
        <v>40.447957839262308</v>
      </c>
      <c r="AC21" s="165" t="s">
        <v>294</v>
      </c>
      <c r="AD21" s="103" t="s">
        <v>139</v>
      </c>
      <c r="AE21" s="84">
        <v>39.583806035460732</v>
      </c>
      <c r="AF21" s="167" t="s">
        <v>294</v>
      </c>
      <c r="AG21" s="91"/>
      <c r="AI21" s="325">
        <f>(AI18/AH18)*100</f>
        <v>3.723694857626088</v>
      </c>
      <c r="AJ21" s="91"/>
      <c r="AL21" s="81"/>
    </row>
    <row r="22" spans="1:38" ht="15" thickBot="1">
      <c r="AA22" s="107" t="s">
        <v>140</v>
      </c>
      <c r="AB22" s="158">
        <v>45.78027196201149</v>
      </c>
      <c r="AC22" s="236">
        <f>(AC20/AB22)*100</f>
        <v>8.4581045978915643</v>
      </c>
      <c r="AD22" s="107" t="s">
        <v>140</v>
      </c>
      <c r="AE22" s="84">
        <v>36.654226837579159</v>
      </c>
      <c r="AF22" s="271">
        <f>(AF20/AE21)*100</f>
        <v>3.6041780828391197</v>
      </c>
      <c r="AG22" s="163"/>
      <c r="AH22" s="115"/>
      <c r="AI22" s="372">
        <f>AI19/AH18*100</f>
        <v>4.5605761795047846</v>
      </c>
      <c r="AJ22" s="163"/>
      <c r="AK22" s="115"/>
      <c r="AL22" s="116"/>
    </row>
    <row r="23" spans="1:38" ht="15" thickBot="1">
      <c r="AE23" s="835" t="s">
        <v>205</v>
      </c>
      <c r="AF23" s="835"/>
      <c r="AG23" s="277" t="s">
        <v>219</v>
      </c>
      <c r="AH23" s="239"/>
      <c r="AI23" s="242" t="s">
        <v>300</v>
      </c>
      <c r="AJ23" s="894" t="s">
        <v>230</v>
      </c>
      <c r="AK23" s="894"/>
      <c r="AL23" s="895"/>
    </row>
    <row r="24" spans="1:38" ht="15" thickBot="1">
      <c r="A24" s="807" t="s">
        <v>207</v>
      </c>
      <c r="B24" s="807"/>
      <c r="C24" s="807"/>
      <c r="D24" s="807"/>
      <c r="E24" s="807"/>
      <c r="F24" s="807"/>
      <c r="G24" s="807"/>
      <c r="H24" s="808"/>
      <c r="I24" s="772" t="s">
        <v>119</v>
      </c>
      <c r="J24" s="773"/>
      <c r="K24" s="780"/>
      <c r="O24" s="814" t="s">
        <v>241</v>
      </c>
      <c r="P24" s="815"/>
      <c r="Q24" s="815"/>
      <c r="R24" s="815"/>
      <c r="S24" s="816"/>
      <c r="AG24" s="169" t="s">
        <v>138</v>
      </c>
      <c r="AH24" s="84">
        <v>41.179507545670965</v>
      </c>
      <c r="AI24" s="248">
        <v>1.0746482565237736</v>
      </c>
      <c r="AJ24" s="166" t="s">
        <v>225</v>
      </c>
      <c r="AK24" s="239" t="s">
        <v>295</v>
      </c>
      <c r="AL24" s="165" t="s">
        <v>300</v>
      </c>
    </row>
    <row r="25" spans="1:38" ht="15" customHeight="1">
      <c r="A25" s="165" t="s">
        <v>120</v>
      </c>
      <c r="B25" s="165" t="s">
        <v>121</v>
      </c>
      <c r="C25" s="165" t="s">
        <v>41</v>
      </c>
      <c r="D25" s="165" t="s">
        <v>59</v>
      </c>
      <c r="E25" s="165" t="s">
        <v>122</v>
      </c>
      <c r="F25" s="165" t="s">
        <v>31</v>
      </c>
      <c r="G25" s="166" t="s">
        <v>32</v>
      </c>
      <c r="H25" s="165" t="s">
        <v>11</v>
      </c>
      <c r="I25" t="s">
        <v>120</v>
      </c>
      <c r="L25" s="834" t="s">
        <v>159</v>
      </c>
      <c r="M25" s="835"/>
      <c r="N25" s="835"/>
      <c r="O25" s="238" t="s">
        <v>32</v>
      </c>
      <c r="P25" s="239" t="s">
        <v>11</v>
      </c>
      <c r="Q25" s="78" t="s">
        <v>120</v>
      </c>
      <c r="R25" s="78"/>
      <c r="S25" s="78"/>
      <c r="T25" s="814" t="s">
        <v>159</v>
      </c>
      <c r="U25" s="815"/>
      <c r="V25" s="816"/>
      <c r="AG25" s="171" t="s">
        <v>139</v>
      </c>
      <c r="AH25" s="84">
        <v>41.4054097119866</v>
      </c>
      <c r="AI25" s="366">
        <v>1.3161699407274046</v>
      </c>
      <c r="AJ25" s="136" t="s">
        <v>126</v>
      </c>
      <c r="AK25" s="84">
        <v>40.709901880301778</v>
      </c>
      <c r="AL25" s="248">
        <v>1.3083807087781447</v>
      </c>
    </row>
    <row r="26" spans="1:38">
      <c r="A26" s="135" t="s">
        <v>126</v>
      </c>
      <c r="B26" s="136"/>
      <c r="C26" s="136">
        <v>37.511299999999999</v>
      </c>
      <c r="D26" s="136">
        <v>2.508</v>
      </c>
      <c r="E26" s="136">
        <v>38.967500000000001</v>
      </c>
      <c r="F26" s="139">
        <f>E26-C26</f>
        <v>1.4562000000000026</v>
      </c>
      <c r="G26" s="157">
        <f>D26-F26</f>
        <v>1.0517999999999974</v>
      </c>
      <c r="H26" s="84">
        <f>(G26/D26)*100</f>
        <v>41.9377990430621</v>
      </c>
      <c r="I26" s="104" t="s">
        <v>31</v>
      </c>
      <c r="J26" s="104" t="s">
        <v>32</v>
      </c>
      <c r="K26" s="104" t="s">
        <v>11</v>
      </c>
      <c r="L26" s="135" t="s">
        <v>127</v>
      </c>
      <c r="M26" s="136" t="s">
        <v>113</v>
      </c>
      <c r="N26" s="136" t="s">
        <v>112</v>
      </c>
      <c r="O26" s="414">
        <v>1.0517999999999974</v>
      </c>
      <c r="P26" s="402">
        <v>41.9377990430621</v>
      </c>
      <c r="Q26" s="104" t="s">
        <v>31</v>
      </c>
      <c r="R26" s="104" t="s">
        <v>32</v>
      </c>
      <c r="S26" s="104" t="s">
        <v>11</v>
      </c>
      <c r="T26" s="171" t="s">
        <v>127</v>
      </c>
      <c r="U26" s="104" t="s">
        <v>113</v>
      </c>
      <c r="V26" s="261" t="s">
        <v>112</v>
      </c>
      <c r="AG26" s="175" t="s">
        <v>140</v>
      </c>
      <c r="AH26" s="84">
        <v>39.021195522743632</v>
      </c>
      <c r="AI26" s="242" t="s">
        <v>294</v>
      </c>
      <c r="AJ26" s="104" t="s">
        <v>130</v>
      </c>
      <c r="AK26" s="84">
        <v>44.119368051492195</v>
      </c>
      <c r="AL26" s="246">
        <v>1.4332592560047748</v>
      </c>
    </row>
    <row r="27" spans="1:38" ht="15" thickBot="1">
      <c r="A27" s="103" t="s">
        <v>130</v>
      </c>
      <c r="B27" s="104"/>
      <c r="C27" s="104">
        <v>37.893900000000002</v>
      </c>
      <c r="D27" s="104">
        <v>2.5215000000000001</v>
      </c>
      <c r="E27" s="104">
        <v>39.311999999999998</v>
      </c>
      <c r="F27" s="106">
        <f t="shared" ref="F27:F29" si="12">E27-C27</f>
        <v>1.4180999999999955</v>
      </c>
      <c r="G27" s="157">
        <f t="shared" ref="G27:G29" si="13">D27-F27</f>
        <v>1.1034000000000046</v>
      </c>
      <c r="H27" s="84">
        <f t="shared" ref="H27:H29" si="14">(G27/D27)*100</f>
        <v>43.759666864961517</v>
      </c>
      <c r="I27">
        <f>SUM(F26:F28)/3</f>
        <v>1.4253666666666664</v>
      </c>
      <c r="J27">
        <f>SUM(G26:G28)/3</f>
        <v>1.092066666666667</v>
      </c>
      <c r="K27" s="172">
        <f>SUM(H26:H29)/4</f>
        <v>41.817774694342376</v>
      </c>
      <c r="L27" s="173">
        <f>(H26-$K$27)^2</f>
        <v>1.440584428559394E-2</v>
      </c>
      <c r="M27">
        <f>SUM(L27:L30)/4</f>
        <v>8.1315032407946504</v>
      </c>
      <c r="N27" s="244">
        <f>SQRT(M27)</f>
        <v>2.8515790784747055</v>
      </c>
      <c r="O27" s="414">
        <v>1.1034000000000046</v>
      </c>
      <c r="P27" s="402">
        <v>43.759666864961517</v>
      </c>
      <c r="Q27">
        <f>SUM(O26:O28)/3</f>
        <v>1.092066666666667</v>
      </c>
      <c r="R27">
        <f>SUM(P26:P28)/3</f>
        <v>43.377406980704222</v>
      </c>
      <c r="S27" s="172">
        <f>SUM(P26:P28)/3</f>
        <v>43.377406980704222</v>
      </c>
      <c r="T27" s="91">
        <f>(P26-$S$27)^2</f>
        <v>2.0724710141222058</v>
      </c>
      <c r="U27">
        <f>SUM(T27:T29)/3</f>
        <v>1.1121928464104307</v>
      </c>
      <c r="V27" s="415">
        <f>SQRT(U27)</f>
        <v>1.0546055406693209</v>
      </c>
      <c r="AG27" s="91"/>
      <c r="AI27" s="325">
        <f>(AI24/AH25)*100</f>
        <v>2.5954295924106501</v>
      </c>
      <c r="AJ27" s="178" t="s">
        <v>131</v>
      </c>
      <c r="AK27" s="233">
        <v>43.102040816326415</v>
      </c>
      <c r="AL27" s="165" t="s">
        <v>294</v>
      </c>
    </row>
    <row r="28" spans="1:38" ht="15" thickBot="1">
      <c r="A28" s="104" t="s">
        <v>131</v>
      </c>
      <c r="B28" s="104"/>
      <c r="C28" s="104">
        <v>36.643999999999998</v>
      </c>
      <c r="D28" s="104">
        <v>2.5228000000000002</v>
      </c>
      <c r="E28" s="104">
        <v>38.0458</v>
      </c>
      <c r="F28" s="104">
        <f t="shared" si="12"/>
        <v>1.4018000000000015</v>
      </c>
      <c r="G28" s="1">
        <f t="shared" si="13"/>
        <v>1.1209999999999987</v>
      </c>
      <c r="H28" s="84">
        <f t="shared" si="14"/>
        <v>44.434755034089051</v>
      </c>
      <c r="L28" s="173">
        <f t="shared" ref="L28:L30" si="15">(H27-$K$27)^2</f>
        <v>3.7709452023119199</v>
      </c>
      <c r="N28" s="104" t="s">
        <v>197</v>
      </c>
      <c r="O28" s="414">
        <v>1.1209999999999987</v>
      </c>
      <c r="P28" s="402">
        <v>44.434755034089051</v>
      </c>
      <c r="T28" s="91">
        <f t="shared" ref="T28:T29" si="16">(P27-$S$27)^2</f>
        <v>0.14612261911240013</v>
      </c>
      <c r="V28" s="246">
        <f>_xlfn.STDEV.S(P26:P28)</f>
        <v>1.2916227272759047</v>
      </c>
      <c r="AG28" s="163"/>
      <c r="AH28" s="115"/>
      <c r="AI28" s="372">
        <f>AI25/AH26*100</f>
        <v>3.3729615997036033</v>
      </c>
      <c r="AJ28" s="166" t="s">
        <v>225</v>
      </c>
      <c r="AK28" s="132" t="s">
        <v>299</v>
      </c>
      <c r="AL28" s="326">
        <f>(AL25/AK31)*100</f>
        <v>2.9444985299781514</v>
      </c>
    </row>
    <row r="29" spans="1:38">
      <c r="A29" s="108" t="s">
        <v>206</v>
      </c>
      <c r="B29" s="108"/>
      <c r="C29" s="108">
        <v>37.988500000000002</v>
      </c>
      <c r="D29" s="108">
        <v>2.5129999999999999</v>
      </c>
      <c r="E29" s="108">
        <v>39.568199999999997</v>
      </c>
      <c r="F29" s="108">
        <f t="shared" si="12"/>
        <v>1.5796999999999954</v>
      </c>
      <c r="G29" s="1">
        <f t="shared" si="13"/>
        <v>0.93330000000000446</v>
      </c>
      <c r="H29" s="292">
        <f t="shared" si="14"/>
        <v>37.138877835256842</v>
      </c>
      <c r="L29" s="173">
        <f t="shared" si="15"/>
        <v>6.8485860986206228</v>
      </c>
      <c r="N29" s="276">
        <f>N27/H28*100</f>
        <v>6.4174520064014233</v>
      </c>
      <c r="O29" s="91"/>
      <c r="T29" s="91">
        <f t="shared" si="16"/>
        <v>1.1179849059966858</v>
      </c>
      <c r="V29" s="81" t="s">
        <v>197</v>
      </c>
      <c r="AJ29" s="169" t="s">
        <v>126</v>
      </c>
      <c r="AK29" s="84">
        <v>41.9377990430621</v>
      </c>
      <c r="AL29" s="245">
        <f>AL26/AK25*100</f>
        <v>3.5206649729074466</v>
      </c>
    </row>
    <row r="30" spans="1:38">
      <c r="A30" s="103"/>
      <c r="B30" s="104"/>
      <c r="C30" s="138" t="s">
        <v>83</v>
      </c>
      <c r="D30" s="138">
        <f>SUM(D26:D29)/4</f>
        <v>2.5163250000000001</v>
      </c>
      <c r="E30" s="104"/>
      <c r="F30" s="104"/>
      <c r="G30" s="104"/>
      <c r="H30" s="104"/>
      <c r="L30" s="329">
        <f t="shared" si="15"/>
        <v>21.892075817960468</v>
      </c>
      <c r="M30" s="187"/>
      <c r="N30" s="187"/>
      <c r="O30" s="91"/>
      <c r="T30" s="91"/>
      <c r="V30" s="245">
        <f>V27/P26*100</f>
        <v>2.51468976611396</v>
      </c>
      <c r="AJ30" s="171" t="s">
        <v>130</v>
      </c>
      <c r="AK30" s="84">
        <v>43.759666864961517</v>
      </c>
      <c r="AL30" s="81"/>
    </row>
    <row r="31" spans="1:38" ht="15.75" customHeight="1" thickBot="1">
      <c r="A31" s="165" t="s">
        <v>170</v>
      </c>
      <c r="B31" s="165" t="s">
        <v>121</v>
      </c>
      <c r="C31" s="165" t="s">
        <v>41</v>
      </c>
      <c r="D31" s="165" t="s">
        <v>59</v>
      </c>
      <c r="E31" s="165" t="s">
        <v>122</v>
      </c>
      <c r="F31" s="165" t="s">
        <v>31</v>
      </c>
      <c r="G31" s="166" t="s">
        <v>32</v>
      </c>
      <c r="H31" s="165" t="s">
        <v>11</v>
      </c>
      <c r="I31" t="s">
        <v>120</v>
      </c>
      <c r="L31" s="834" t="s">
        <v>159</v>
      </c>
      <c r="M31" s="835"/>
      <c r="N31" s="835"/>
      <c r="O31" s="164" t="s">
        <v>32</v>
      </c>
      <c r="P31" s="165" t="s">
        <v>11</v>
      </c>
      <c r="Q31" t="s">
        <v>170</v>
      </c>
      <c r="T31" s="904" t="s">
        <v>159</v>
      </c>
      <c r="U31" s="897"/>
      <c r="V31" s="905"/>
      <c r="AJ31" s="177" t="s">
        <v>131</v>
      </c>
      <c r="AK31" s="233">
        <v>44.434755034089051</v>
      </c>
      <c r="AL31" s="116"/>
    </row>
    <row r="32" spans="1:38">
      <c r="A32" s="135" t="s">
        <v>134</v>
      </c>
      <c r="B32" s="136"/>
      <c r="C32" s="136">
        <v>38.6355</v>
      </c>
      <c r="D32" s="136">
        <v>2.508</v>
      </c>
      <c r="E32" s="136">
        <v>40.041800000000002</v>
      </c>
      <c r="F32" s="139">
        <f>E32-C32</f>
        <v>1.4063000000000017</v>
      </c>
      <c r="G32" s="157">
        <f>D32-F32</f>
        <v>1.1016999999999983</v>
      </c>
      <c r="H32" s="84">
        <f>(G32/D32)*100</f>
        <v>43.927432216905835</v>
      </c>
      <c r="I32" s="104" t="s">
        <v>31</v>
      </c>
      <c r="J32" s="104" t="s">
        <v>32</v>
      </c>
      <c r="K32" s="104" t="s">
        <v>11</v>
      </c>
      <c r="L32" s="135" t="s">
        <v>127</v>
      </c>
      <c r="M32" s="136" t="s">
        <v>113</v>
      </c>
      <c r="N32" s="136" t="s">
        <v>112</v>
      </c>
      <c r="O32" s="414">
        <v>1.1016999999999983</v>
      </c>
      <c r="P32" s="84">
        <v>43.927432216905835</v>
      </c>
      <c r="Q32" s="104" t="s">
        <v>31</v>
      </c>
      <c r="R32" s="104" t="s">
        <v>32</v>
      </c>
      <c r="S32" s="104" t="s">
        <v>11</v>
      </c>
      <c r="T32" s="171" t="s">
        <v>127</v>
      </c>
      <c r="U32" s="104" t="s">
        <v>113</v>
      </c>
      <c r="V32" s="261" t="s">
        <v>112</v>
      </c>
      <c r="AJ32" s="250" t="s">
        <v>170</v>
      </c>
      <c r="AK32" s="239" t="s">
        <v>295</v>
      </c>
      <c r="AL32" s="240" t="s">
        <v>300</v>
      </c>
    </row>
    <row r="33" spans="1:38">
      <c r="A33" s="103" t="s">
        <v>135</v>
      </c>
      <c r="B33" s="104"/>
      <c r="C33" s="104">
        <v>37.427</v>
      </c>
      <c r="D33" s="104">
        <v>2.5089999999999999</v>
      </c>
      <c r="E33" s="104">
        <v>37.003599999999999</v>
      </c>
      <c r="F33" s="106">
        <f t="shared" ref="F33:F35" si="17">E33-C33</f>
        <v>-0.42340000000000089</v>
      </c>
      <c r="G33" s="328">
        <f t="shared" ref="G33:G35" si="18">D33-F33</f>
        <v>2.9324000000000008</v>
      </c>
      <c r="H33" s="292">
        <f t="shared" ref="H33:H35" si="19">(G33/D33)*100</f>
        <v>116.87524910322841</v>
      </c>
      <c r="I33">
        <f>SUM(F32,F35)/2</f>
        <v>1.5063500000000012</v>
      </c>
      <c r="J33">
        <f>SUM(G32,G35)/2</f>
        <v>1.0007999999999988</v>
      </c>
      <c r="K33" s="172">
        <f>SUM(H32:H35)/4</f>
        <v>44.668672869348406</v>
      </c>
      <c r="L33" s="173">
        <f>(H32-$K$33)^2</f>
        <v>0.54943770483348764</v>
      </c>
      <c r="M33">
        <f>SUM(L33:L36)/2</f>
        <v>4611.3477243117632</v>
      </c>
      <c r="N33" s="244">
        <f>SQRT(M33)</f>
        <v>67.906904835309376</v>
      </c>
      <c r="O33" s="414">
        <v>0.89989999999999926</v>
      </c>
      <c r="P33" s="84">
        <v>35.905518094402076</v>
      </c>
      <c r="Q33">
        <f>SUM(P32:P33)/2</f>
        <v>39.916475155653956</v>
      </c>
      <c r="R33">
        <f>SUM(O32:O33)/2</f>
        <v>1.0007999999999988</v>
      </c>
      <c r="S33" s="172">
        <f>SUM(P32:P33)/2</f>
        <v>39.916475155653956</v>
      </c>
      <c r="T33" s="91">
        <f>(P32-$S$33)^2</f>
        <v>16.087776547206314</v>
      </c>
      <c r="U33">
        <f>SUM(T33:T34)/2</f>
        <v>16.087776547206314</v>
      </c>
      <c r="V33" s="415">
        <f>SQRT(U33)</f>
        <v>4.0109570612518795</v>
      </c>
      <c r="AJ33" s="169" t="s">
        <v>134</v>
      </c>
      <c r="AK33" s="84">
        <v>42.88683695087331</v>
      </c>
      <c r="AL33" s="248">
        <v>1.9855561916295243</v>
      </c>
    </row>
    <row r="34" spans="1:38">
      <c r="A34" s="104" t="s">
        <v>136</v>
      </c>
      <c r="B34" s="104"/>
      <c r="C34" s="104">
        <v>36.1357</v>
      </c>
      <c r="D34" s="104">
        <v>2.5009000000000001</v>
      </c>
      <c r="E34" s="104">
        <v>39.087600000000002</v>
      </c>
      <c r="F34" s="104">
        <f t="shared" si="17"/>
        <v>2.951900000000002</v>
      </c>
      <c r="G34" s="292">
        <f t="shared" si="18"/>
        <v>-0.45100000000000184</v>
      </c>
      <c r="H34" s="292">
        <f t="shared" si="19"/>
        <v>-18.033507937142701</v>
      </c>
      <c r="L34" s="330">
        <f t="shared" ref="L34:L36" si="20">(H33-$K$33)^2</f>
        <v>5213.7896514191261</v>
      </c>
      <c r="N34" s="104" t="s">
        <v>197</v>
      </c>
      <c r="O34" s="91"/>
      <c r="T34" s="91">
        <f>(P33-$S$33)^2</f>
        <v>16.087776547206314</v>
      </c>
      <c r="V34" s="246">
        <f>_xlfn.STDEV.S(P32:P33)</f>
        <v>5.6723498741185407</v>
      </c>
      <c r="AJ34" s="171" t="s">
        <v>135</v>
      </c>
      <c r="AK34" s="84">
        <v>39.686215018563487</v>
      </c>
      <c r="AL34" s="246">
        <v>2.2927228034568681</v>
      </c>
    </row>
    <row r="35" spans="1:38">
      <c r="A35" s="108" t="s">
        <v>191</v>
      </c>
      <c r="B35" s="108"/>
      <c r="C35" s="108">
        <v>38.260399999999997</v>
      </c>
      <c r="D35" s="108">
        <v>2.5063</v>
      </c>
      <c r="E35" s="108">
        <v>39.866799999999998</v>
      </c>
      <c r="F35" s="108">
        <f t="shared" si="17"/>
        <v>1.6064000000000007</v>
      </c>
      <c r="G35" s="1">
        <f t="shared" si="18"/>
        <v>0.89989999999999926</v>
      </c>
      <c r="H35" s="84">
        <f t="shared" si="19"/>
        <v>35.905518094402076</v>
      </c>
      <c r="L35" s="330">
        <f t="shared" si="20"/>
        <v>3931.5634778899016</v>
      </c>
      <c r="N35" s="276">
        <f>N33/H33*100</f>
        <v>58.102040728342374</v>
      </c>
      <c r="O35" s="91"/>
      <c r="T35" s="91"/>
      <c r="V35" s="81" t="s">
        <v>197</v>
      </c>
      <c r="AJ35" s="175" t="s">
        <v>136</v>
      </c>
      <c r="AK35" s="84">
        <v>39.338836383937455</v>
      </c>
      <c r="AL35" s="242" t="s">
        <v>294</v>
      </c>
    </row>
    <row r="36" spans="1:38" ht="15" thickBot="1">
      <c r="A36" s="103"/>
      <c r="B36" s="104"/>
      <c r="C36" s="138" t="s">
        <v>83</v>
      </c>
      <c r="D36" s="138">
        <f>SUM(D32:D35)/4</f>
        <v>2.5060499999999997</v>
      </c>
      <c r="E36" s="104"/>
      <c r="F36" s="104"/>
      <c r="G36" s="104"/>
      <c r="H36" s="104"/>
      <c r="L36" s="188">
        <f t="shared" si="20"/>
        <v>76.792881609664647</v>
      </c>
      <c r="M36" s="187"/>
      <c r="N36" s="187"/>
      <c r="O36" s="163"/>
      <c r="P36" s="115"/>
      <c r="Q36" s="115"/>
      <c r="R36" s="115"/>
      <c r="S36" s="115"/>
      <c r="T36" s="163"/>
      <c r="U36" s="115"/>
      <c r="V36" s="416">
        <f>V33/P33*100</f>
        <v>11.170865299050554</v>
      </c>
      <c r="AJ36" s="164" t="s">
        <v>170</v>
      </c>
      <c r="AK36" s="165" t="s">
        <v>299</v>
      </c>
      <c r="AL36" s="325">
        <f>(AL33/AK37)*100</f>
        <v>4.5200825348160611</v>
      </c>
    </row>
    <row r="37" spans="1:38" ht="15" thickBot="1">
      <c r="AJ37" s="327" t="s">
        <v>143</v>
      </c>
      <c r="AK37" s="233">
        <v>43.927432216905835</v>
      </c>
      <c r="AL37" s="372">
        <f>AL34/AK37*100</f>
        <v>5.2193417364707573</v>
      </c>
    </row>
    <row r="39" spans="1:38" ht="15" thickBot="1">
      <c r="A39" s="809" t="s">
        <v>208</v>
      </c>
      <c r="B39" s="809"/>
      <c r="C39" s="809"/>
      <c r="D39" s="809"/>
      <c r="E39" s="809"/>
      <c r="F39" s="809"/>
      <c r="G39" s="809"/>
      <c r="H39" s="810"/>
      <c r="I39" s="834" t="s">
        <v>209</v>
      </c>
      <c r="J39" s="835"/>
      <c r="K39" s="836"/>
      <c r="L39" s="834" t="s">
        <v>159</v>
      </c>
      <c r="M39" s="835"/>
      <c r="N39" s="836"/>
      <c r="O39" s="834" t="s">
        <v>160</v>
      </c>
      <c r="P39" s="835"/>
      <c r="Q39" s="836"/>
      <c r="R39" s="834" t="s">
        <v>125</v>
      </c>
      <c r="S39" s="835"/>
      <c r="T39" s="836"/>
    </row>
    <row r="40" spans="1:38">
      <c r="A40" s="238" t="s">
        <v>120</v>
      </c>
      <c r="B40" s="239" t="s">
        <v>121</v>
      </c>
      <c r="C40" s="239" t="s">
        <v>41</v>
      </c>
      <c r="D40" s="239" t="s">
        <v>59</v>
      </c>
      <c r="E40" s="239" t="s">
        <v>122</v>
      </c>
      <c r="F40" s="239" t="s">
        <v>31</v>
      </c>
      <c r="G40" s="294" t="s">
        <v>32</v>
      </c>
      <c r="H40" s="239" t="s">
        <v>11</v>
      </c>
      <c r="I40" s="78" t="s">
        <v>120</v>
      </c>
      <c r="J40" s="78"/>
      <c r="K40" s="78"/>
      <c r="L40" s="331" t="s">
        <v>127</v>
      </c>
      <c r="M40" s="257" t="s">
        <v>113</v>
      </c>
      <c r="N40" s="257" t="s">
        <v>112</v>
      </c>
      <c r="O40" s="135" t="s">
        <v>127</v>
      </c>
      <c r="P40" s="136" t="s">
        <v>113</v>
      </c>
      <c r="Q40" s="139" t="s">
        <v>112</v>
      </c>
      <c r="R40" s="777" t="s">
        <v>128</v>
      </c>
      <c r="S40" s="778"/>
      <c r="T40" s="294" t="s">
        <v>129</v>
      </c>
    </row>
    <row r="41" spans="1:38">
      <c r="A41" s="169" t="s">
        <v>126</v>
      </c>
      <c r="B41" s="136"/>
      <c r="C41" s="136">
        <v>38.306800000000003</v>
      </c>
      <c r="D41" s="136">
        <v>2.5581</v>
      </c>
      <c r="E41" s="136">
        <v>39.823500000000003</v>
      </c>
      <c r="F41" s="139">
        <f>E41-C41</f>
        <v>1.5167000000000002</v>
      </c>
      <c r="G41" s="157">
        <f>D41-F41</f>
        <v>1.0413999999999999</v>
      </c>
      <c r="H41" s="84">
        <f>(G41/D41)*100</f>
        <v>40.709901880301778</v>
      </c>
      <c r="I41" s="104" t="s">
        <v>31</v>
      </c>
      <c r="J41" s="104" t="s">
        <v>32</v>
      </c>
      <c r="K41" s="104" t="s">
        <v>11</v>
      </c>
      <c r="L41" s="173">
        <f>(H41-$K$42)^2</f>
        <v>5.2931594513950886</v>
      </c>
      <c r="M41">
        <f>SUM(L41:L46)/6</f>
        <v>1.7118600791028005</v>
      </c>
      <c r="N41" s="244">
        <f>SQRT(M41)</f>
        <v>1.3083807087781447</v>
      </c>
      <c r="O41" s="173">
        <f>($D$48-D41)^2</f>
        <v>4.4280183673469378E-4</v>
      </c>
      <c r="P41">
        <f>SUM(O41:O46)/6</f>
        <v>6.1463850340135579E-4</v>
      </c>
      <c r="Q41" s="174">
        <f>SQRT(P41)</f>
        <v>2.4791903989031496E-2</v>
      </c>
      <c r="R41" s="766">
        <v>1.3083807087781447</v>
      </c>
      <c r="S41" s="767"/>
      <c r="T41" s="850">
        <f>(R41/K42)*100</f>
        <v>3.0419967522152525</v>
      </c>
    </row>
    <row r="42" spans="1:38">
      <c r="A42" s="171" t="s">
        <v>130</v>
      </c>
      <c r="B42" s="104"/>
      <c r="C42" s="104">
        <v>35.6541</v>
      </c>
      <c r="D42" s="104">
        <v>2.5634999999999999</v>
      </c>
      <c r="E42" s="104">
        <v>37.086599999999997</v>
      </c>
      <c r="F42" s="106">
        <f t="shared" ref="F42:F43" si="21">E42-C42</f>
        <v>1.4324999999999974</v>
      </c>
      <c r="G42" s="157">
        <f t="shared" ref="G42:G43" si="22">D42-F42</f>
        <v>1.1310000000000024</v>
      </c>
      <c r="H42" s="84">
        <f t="shared" ref="H42:H43" si="23">(G42/D42)*100</f>
        <v>44.119368051492195</v>
      </c>
      <c r="I42">
        <f>SUM(F41:F46)/6</f>
        <v>1.4481666666666666</v>
      </c>
      <c r="J42">
        <f>SUM(G41:G46)/6</f>
        <v>1.0929</v>
      </c>
      <c r="K42" s="172">
        <f>SUM(H41:H46)/6</f>
        <v>43.010588615038841</v>
      </c>
      <c r="L42" s="173">
        <f t="shared" ref="L42:L46" si="24">(H42-$K$42)^2</f>
        <v>1.2293918387018166</v>
      </c>
      <c r="N42" s="246">
        <f>_xlfn.STDEV.S(H41:H46)</f>
        <v>1.4332592560047748</v>
      </c>
      <c r="O42" s="173">
        <f t="shared" ref="O42:O46" si="25">($D$48-D42)^2</f>
        <v>6.9922469387754291E-4</v>
      </c>
      <c r="Q42" s="176"/>
      <c r="R42" s="768"/>
      <c r="S42" s="769"/>
      <c r="T42" s="851"/>
    </row>
    <row r="43" spans="1:38">
      <c r="A43" s="175" t="s">
        <v>131</v>
      </c>
      <c r="B43" s="108"/>
      <c r="C43" s="108">
        <v>38.073399999999999</v>
      </c>
      <c r="D43" s="108">
        <v>2.5724999999999998</v>
      </c>
      <c r="E43" s="108">
        <v>39.537100000000002</v>
      </c>
      <c r="F43" s="109">
        <f t="shared" si="21"/>
        <v>1.4637000000000029</v>
      </c>
      <c r="G43" s="157">
        <f t="shared" si="22"/>
        <v>1.1087999999999969</v>
      </c>
      <c r="H43" s="84">
        <f t="shared" si="23"/>
        <v>43.102040816326415</v>
      </c>
      <c r="L43" s="173">
        <f t="shared" si="24"/>
        <v>8.3635051203428765E-3</v>
      </c>
      <c r="O43" s="173">
        <f t="shared" si="25"/>
        <v>1.2561961224489616E-3</v>
      </c>
      <c r="Q43" s="176"/>
      <c r="R43" s="831"/>
      <c r="S43" s="832"/>
      <c r="T43" s="852"/>
    </row>
    <row r="44" spans="1:38">
      <c r="A44" s="169" t="s">
        <v>210</v>
      </c>
      <c r="B44" s="136"/>
      <c r="C44" s="136">
        <v>37.511299999999999</v>
      </c>
      <c r="D44" s="136">
        <v>2.508</v>
      </c>
      <c r="E44" s="136">
        <v>38.967500000000001</v>
      </c>
      <c r="F44" s="139">
        <f>E44-C44</f>
        <v>1.4562000000000026</v>
      </c>
      <c r="G44" s="157">
        <f>D44-F44</f>
        <v>1.0517999999999974</v>
      </c>
      <c r="H44" s="84">
        <f>(G44/D44)*100</f>
        <v>41.9377990430621</v>
      </c>
      <c r="L44" s="173">
        <f t="shared" si="24"/>
        <v>1.1508774657420406</v>
      </c>
      <c r="N44" s="104" t="s">
        <v>197</v>
      </c>
      <c r="O44" s="173">
        <f t="shared" si="25"/>
        <v>8.4431755102041021E-4</v>
      </c>
      <c r="Q44" s="176"/>
    </row>
    <row r="45" spans="1:38">
      <c r="A45" s="171" t="s">
        <v>211</v>
      </c>
      <c r="B45" s="104"/>
      <c r="C45" s="104">
        <v>37.893900000000002</v>
      </c>
      <c r="D45" s="104">
        <v>2.5215000000000001</v>
      </c>
      <c r="E45" s="104">
        <v>39.311999999999998</v>
      </c>
      <c r="F45" s="106">
        <f t="shared" ref="F45:F47" si="26">E45-C45</f>
        <v>1.4180999999999955</v>
      </c>
      <c r="G45" s="157">
        <f t="shared" ref="G45:G47" si="27">D45-F45</f>
        <v>1.1034000000000046</v>
      </c>
      <c r="H45" s="84">
        <f t="shared" ref="H45:H47" si="28">(G45/D45)*100</f>
        <v>43.759666864961517</v>
      </c>
      <c r="L45" s="173">
        <f t="shared" si="24"/>
        <v>0.56111822450721804</v>
      </c>
      <c r="N45" s="417">
        <f>N41/H41*100</f>
        <v>3.2139127051328717</v>
      </c>
      <c r="O45" s="173">
        <f t="shared" si="25"/>
        <v>2.4202469387755001E-4</v>
      </c>
      <c r="Q45" s="176"/>
    </row>
    <row r="46" spans="1:38" ht="15" thickBot="1">
      <c r="A46" s="171" t="s">
        <v>212</v>
      </c>
      <c r="B46" s="104"/>
      <c r="C46" s="104">
        <v>36.643999999999998</v>
      </c>
      <c r="D46" s="104">
        <v>2.5228000000000002</v>
      </c>
      <c r="E46" s="104">
        <v>38.0458</v>
      </c>
      <c r="F46" s="104">
        <f t="shared" si="26"/>
        <v>1.4018000000000015</v>
      </c>
      <c r="G46" s="1">
        <f t="shared" si="27"/>
        <v>1.1209999999999987</v>
      </c>
      <c r="H46" s="84">
        <f t="shared" si="28"/>
        <v>44.434755034089051</v>
      </c>
      <c r="L46" s="173">
        <f t="shared" si="24"/>
        <v>2.0282499891502961</v>
      </c>
      <c r="O46" s="188">
        <f t="shared" si="25"/>
        <v>2.0326612244897643E-4</v>
      </c>
      <c r="P46" s="187"/>
      <c r="Q46" s="189"/>
    </row>
    <row r="47" spans="1:38" ht="15" thickBot="1">
      <c r="A47" s="177" t="s">
        <v>213</v>
      </c>
      <c r="B47" s="178"/>
      <c r="C47" s="178">
        <v>37.988500000000002</v>
      </c>
      <c r="D47" s="178">
        <v>2.5129999999999999</v>
      </c>
      <c r="E47" s="178">
        <v>39.568199999999997</v>
      </c>
      <c r="F47" s="178">
        <f t="shared" si="26"/>
        <v>1.5796999999999954</v>
      </c>
      <c r="G47" s="332">
        <f t="shared" si="27"/>
        <v>0.93330000000000446</v>
      </c>
      <c r="H47" s="333">
        <f t="shared" si="28"/>
        <v>37.138877835256842</v>
      </c>
      <c r="I47" s="115"/>
      <c r="J47" s="115"/>
      <c r="K47" s="115"/>
      <c r="L47" s="334"/>
      <c r="M47" s="335"/>
      <c r="N47" s="336"/>
      <c r="O47" s="115"/>
      <c r="P47" s="115"/>
      <c r="Q47" s="115"/>
    </row>
    <row r="48" spans="1:38" ht="15" thickBot="1">
      <c r="A48" s="104"/>
      <c r="C48" s="138" t="s">
        <v>83</v>
      </c>
      <c r="D48" s="138">
        <f>SUM(D41:D47)/7</f>
        <v>2.5370571428571429</v>
      </c>
      <c r="L48" s="896" t="s">
        <v>159</v>
      </c>
      <c r="M48" s="897"/>
      <c r="N48" s="898"/>
      <c r="O48" s="896" t="s">
        <v>160</v>
      </c>
      <c r="P48" s="897"/>
      <c r="Q48" s="898"/>
      <c r="R48" s="834" t="s">
        <v>125</v>
      </c>
      <c r="S48" s="835"/>
      <c r="T48" s="836"/>
    </row>
    <row r="49" spans="1:20">
      <c r="A49" s="238" t="s">
        <v>214</v>
      </c>
      <c r="B49" s="239" t="s">
        <v>121</v>
      </c>
      <c r="C49" s="239" t="s">
        <v>41</v>
      </c>
      <c r="D49" s="239" t="s">
        <v>59</v>
      </c>
      <c r="E49" s="239" t="s">
        <v>122</v>
      </c>
      <c r="F49" s="239" t="s">
        <v>31</v>
      </c>
      <c r="G49" s="294" t="s">
        <v>32</v>
      </c>
      <c r="H49" s="239" t="s">
        <v>11</v>
      </c>
      <c r="I49" s="78" t="s">
        <v>120</v>
      </c>
      <c r="J49" s="78"/>
      <c r="K49" s="78"/>
      <c r="L49" s="331" t="s">
        <v>127</v>
      </c>
      <c r="M49" s="257" t="s">
        <v>113</v>
      </c>
      <c r="N49" s="257" t="s">
        <v>112</v>
      </c>
      <c r="O49" s="135" t="s">
        <v>127</v>
      </c>
      <c r="P49" s="136" t="s">
        <v>113</v>
      </c>
      <c r="Q49" s="139" t="s">
        <v>112</v>
      </c>
      <c r="R49" s="777" t="s">
        <v>128</v>
      </c>
      <c r="S49" s="778"/>
      <c r="T49" s="294" t="s">
        <v>129</v>
      </c>
    </row>
    <row r="50" spans="1:20">
      <c r="A50" s="169" t="s">
        <v>134</v>
      </c>
      <c r="B50" s="136"/>
      <c r="C50" s="136">
        <v>36.347999999999999</v>
      </c>
      <c r="D50" s="136">
        <v>2.5017</v>
      </c>
      <c r="E50" s="136">
        <v>37.776800000000001</v>
      </c>
      <c r="F50" s="139">
        <f>E50-C50</f>
        <v>1.4288000000000025</v>
      </c>
      <c r="G50" s="157">
        <f>D50-F50</f>
        <v>1.0728999999999975</v>
      </c>
      <c r="H50" s="84">
        <f>(G50/D50)*100</f>
        <v>42.88683695087331</v>
      </c>
      <c r="I50" s="104" t="s">
        <v>31</v>
      </c>
      <c r="J50" s="104" t="s">
        <v>32</v>
      </c>
      <c r="K50" s="104" t="s">
        <v>11</v>
      </c>
      <c r="L50" s="173">
        <f>(H50-$K$51)^2</f>
        <v>2.0363484309439417</v>
      </c>
      <c r="M50">
        <f>SUM(L50:L53)/4</f>
        <v>3.9424333901183406</v>
      </c>
      <c r="N50" s="244">
        <f>SQRT(M50)</f>
        <v>1.9855561916295243</v>
      </c>
      <c r="O50" s="173">
        <f>($D$57-D50)^2</f>
        <v>1.444000000000357E-5</v>
      </c>
      <c r="P50">
        <f>SUM(O50:O56)/7</f>
        <v>8.5628571428567039E-6</v>
      </c>
      <c r="Q50" s="174">
        <f>SQRT(P50)</f>
        <v>2.9262360025904786E-3</v>
      </c>
      <c r="R50" s="766">
        <v>1.9855561916295243</v>
      </c>
      <c r="S50" s="767"/>
      <c r="T50" s="850">
        <f>(R50/K51)*100</f>
        <v>4.789108360554521</v>
      </c>
    </row>
    <row r="51" spans="1:20">
      <c r="A51" s="171" t="s">
        <v>135</v>
      </c>
      <c r="B51" s="104"/>
      <c r="C51" s="104">
        <v>38.250799999999998</v>
      </c>
      <c r="D51" s="104">
        <v>2.5049000000000001</v>
      </c>
      <c r="E51" s="104">
        <v>39.761600000000001</v>
      </c>
      <c r="F51" s="106">
        <f>E51-C51</f>
        <v>1.5108000000000033</v>
      </c>
      <c r="G51" s="157">
        <f t="shared" ref="G51:G52" si="29">D51-F51</f>
        <v>0.99409999999999688</v>
      </c>
      <c r="H51" s="84">
        <f>(G51/D51)*100</f>
        <v>39.686215018563487</v>
      </c>
      <c r="I51">
        <f>SUM(F50:F53)/4</f>
        <v>1.4667750000000019</v>
      </c>
      <c r="J51">
        <f>SUM(G50:G53)/4</f>
        <v>1.0387999999999979</v>
      </c>
      <c r="K51" s="172">
        <f>SUM(H50:H53)/4</f>
        <v>41.45983014257002</v>
      </c>
      <c r="L51" s="173">
        <f t="shared" ref="L51:L53" si="30">(H51-$K$51)^2</f>
        <v>3.1457106081047077</v>
      </c>
      <c r="N51" s="246">
        <f>_xlfn.STDEV.S(H50:H53)</f>
        <v>2.2927228034568681</v>
      </c>
      <c r="O51" s="173">
        <f t="shared" ref="O51:O56" si="31">($D$57-D51)^2</f>
        <v>3.6000000000045363E-7</v>
      </c>
      <c r="Q51" s="176"/>
      <c r="R51" s="768"/>
      <c r="S51" s="769"/>
      <c r="T51" s="851"/>
    </row>
    <row r="52" spans="1:20">
      <c r="A52" s="175" t="s">
        <v>136</v>
      </c>
      <c r="B52" s="108"/>
      <c r="C52" s="108">
        <v>34.847099999999998</v>
      </c>
      <c r="D52" s="108">
        <v>2.5076999999999998</v>
      </c>
      <c r="E52" s="108">
        <v>36.368299999999998</v>
      </c>
      <c r="F52" s="109">
        <f>E52-C52</f>
        <v>1.5212000000000003</v>
      </c>
      <c r="G52" s="157">
        <f t="shared" si="29"/>
        <v>0.98649999999999949</v>
      </c>
      <c r="H52" s="84">
        <f>(G52/D52)*100</f>
        <v>39.338836383937455</v>
      </c>
      <c r="L52" s="173">
        <f t="shared" si="30"/>
        <v>4.4986145241582962</v>
      </c>
      <c r="O52" s="173">
        <f t="shared" si="31"/>
        <v>4.8399999999969797E-6</v>
      </c>
      <c r="Q52" s="176"/>
      <c r="R52" s="831"/>
      <c r="S52" s="832"/>
      <c r="T52" s="852"/>
    </row>
    <row r="53" spans="1:20">
      <c r="A53" s="169" t="s">
        <v>143</v>
      </c>
      <c r="B53" s="136"/>
      <c r="C53" s="136">
        <v>38.6355</v>
      </c>
      <c r="D53" s="136">
        <v>2.508</v>
      </c>
      <c r="E53" s="136">
        <v>40.041800000000002</v>
      </c>
      <c r="F53" s="139">
        <f>E53-C53</f>
        <v>1.4063000000000017</v>
      </c>
      <c r="G53" s="157">
        <f>D53-F53</f>
        <v>1.1016999999999983</v>
      </c>
      <c r="H53" s="84">
        <f>(G53/D53)*100</f>
        <v>43.927432216905835</v>
      </c>
      <c r="L53" s="173">
        <f t="shared" si="30"/>
        <v>6.0890599972664177</v>
      </c>
      <c r="O53" s="173">
        <f t="shared" si="31"/>
        <v>6.2499999999975134E-6</v>
      </c>
      <c r="Q53" s="176"/>
    </row>
    <row r="54" spans="1:20">
      <c r="A54" s="171" t="s">
        <v>144</v>
      </c>
      <c r="B54" s="104"/>
      <c r="C54" s="104">
        <v>37.427</v>
      </c>
      <c r="D54" s="104">
        <v>2.5089999999999999</v>
      </c>
      <c r="E54" s="104">
        <v>37.003599999999999</v>
      </c>
      <c r="F54" s="106">
        <f t="shared" ref="F54:F56" si="32">E54-C54</f>
        <v>-0.42340000000000089</v>
      </c>
      <c r="G54" s="157">
        <f t="shared" ref="G54:G56" si="33">D54-F54</f>
        <v>2.9324000000000008</v>
      </c>
      <c r="H54" s="292">
        <f t="shared" ref="H54:H56" si="34">(G54/D54)*100</f>
        <v>116.87524910322841</v>
      </c>
      <c r="L54" s="173"/>
      <c r="N54" s="104" t="s">
        <v>197</v>
      </c>
      <c r="O54" s="173">
        <f t="shared" si="31"/>
        <v>1.2249999999995747E-5</v>
      </c>
      <c r="Q54" s="176"/>
    </row>
    <row r="55" spans="1:20">
      <c r="A55" s="171" t="s">
        <v>145</v>
      </c>
      <c r="B55" s="104"/>
      <c r="C55" s="104">
        <v>36.1357</v>
      </c>
      <c r="D55" s="104">
        <v>2.5009000000000001</v>
      </c>
      <c r="E55" s="104">
        <v>39.087600000000002</v>
      </c>
      <c r="F55" s="104">
        <f t="shared" si="32"/>
        <v>2.951900000000002</v>
      </c>
      <c r="G55" s="1">
        <f t="shared" si="33"/>
        <v>-0.45100000000000184</v>
      </c>
      <c r="H55" s="292">
        <f t="shared" si="34"/>
        <v>-18.033507937142701</v>
      </c>
      <c r="L55" s="173"/>
      <c r="N55" s="417">
        <f>N50/H53*100</f>
        <v>4.5200825348160611</v>
      </c>
      <c r="O55" s="173">
        <f t="shared" si="31"/>
        <v>2.1160000000003511E-5</v>
      </c>
      <c r="Q55" s="176"/>
    </row>
    <row r="56" spans="1:20" ht="15" thickBot="1">
      <c r="A56" s="175" t="s">
        <v>215</v>
      </c>
      <c r="B56" s="108"/>
      <c r="C56" s="108">
        <v>38.260399999999997</v>
      </c>
      <c r="D56" s="108">
        <v>2.5063</v>
      </c>
      <c r="E56" s="108">
        <v>39.866799999999998</v>
      </c>
      <c r="F56" s="108">
        <f t="shared" si="32"/>
        <v>1.6064000000000007</v>
      </c>
      <c r="G56" s="1">
        <f t="shared" si="33"/>
        <v>0.89989999999999926</v>
      </c>
      <c r="H56" s="292">
        <f t="shared" si="34"/>
        <v>35.905518094402076</v>
      </c>
      <c r="L56" s="173"/>
      <c r="O56" s="188">
        <f t="shared" si="31"/>
        <v>6.3999999999914853E-7</v>
      </c>
      <c r="P56" s="187"/>
      <c r="Q56" s="189"/>
    </row>
    <row r="57" spans="1:20" ht="15" thickBot="1">
      <c r="A57" s="177"/>
      <c r="B57" s="115"/>
      <c r="C57" s="179" t="s">
        <v>83</v>
      </c>
      <c r="D57" s="179">
        <f>SUM(D50:D56)/7</f>
        <v>2.5055000000000005</v>
      </c>
      <c r="E57" s="115"/>
      <c r="F57" s="115"/>
      <c r="G57" s="115"/>
      <c r="H57" s="115"/>
      <c r="I57" s="115"/>
      <c r="J57" s="115"/>
      <c r="K57" s="115"/>
      <c r="L57" s="334"/>
      <c r="M57" s="335"/>
      <c r="N57" s="336"/>
    </row>
    <row r="63" spans="1:20" ht="15" thickBot="1">
      <c r="A63" t="s">
        <v>242</v>
      </c>
    </row>
    <row r="64" spans="1:20" ht="15" thickBot="1">
      <c r="A64" s="893" t="s">
        <v>243</v>
      </c>
      <c r="B64" s="894"/>
      <c r="C64" s="894"/>
      <c r="D64" s="895"/>
      <c r="E64" s="893" t="s">
        <v>244</v>
      </c>
      <c r="F64" s="894"/>
      <c r="G64" s="894"/>
      <c r="H64" s="894"/>
      <c r="I64" s="894"/>
      <c r="J64" s="895"/>
      <c r="K64" s="893" t="s">
        <v>245</v>
      </c>
      <c r="L64" s="894"/>
      <c r="M64" s="894"/>
      <c r="N64" s="894"/>
      <c r="O64" s="894"/>
      <c r="P64" s="895"/>
    </row>
    <row r="65" spans="1:22">
      <c r="A65" s="238" t="s">
        <v>120</v>
      </c>
      <c r="B65" s="238" t="s">
        <v>31</v>
      </c>
      <c r="C65" s="238" t="s">
        <v>32</v>
      </c>
      <c r="D65" s="238" t="s">
        <v>11</v>
      </c>
      <c r="E65" s="257" t="s">
        <v>31</v>
      </c>
      <c r="F65" s="257" t="s">
        <v>32</v>
      </c>
      <c r="G65" s="257" t="s">
        <v>11</v>
      </c>
      <c r="H65" s="331" t="s">
        <v>127</v>
      </c>
      <c r="I65" s="257" t="s">
        <v>113</v>
      </c>
      <c r="J65" s="403" t="s">
        <v>112</v>
      </c>
      <c r="K65" s="257" t="s">
        <v>31</v>
      </c>
      <c r="L65" s="257" t="s">
        <v>32</v>
      </c>
      <c r="M65" s="257" t="s">
        <v>11</v>
      </c>
      <c r="N65" s="331" t="s">
        <v>127</v>
      </c>
      <c r="O65" s="257" t="s">
        <v>113</v>
      </c>
      <c r="P65" s="403" t="s">
        <v>112</v>
      </c>
    </row>
    <row r="66" spans="1:22">
      <c r="A66" s="169" t="s">
        <v>126</v>
      </c>
      <c r="B66" s="104">
        <v>1.5167000000000002</v>
      </c>
      <c r="C66" s="157">
        <v>1.0413999999999999</v>
      </c>
      <c r="D66" s="84">
        <v>40.709901880301778</v>
      </c>
      <c r="E66">
        <f>SUM(B66:B72)/7</f>
        <v>1.4669571428571422</v>
      </c>
      <c r="F66">
        <f>SUM(C66:C72)/7</f>
        <v>1.0701000000000005</v>
      </c>
      <c r="G66" s="172">
        <f>SUM(D66:D72)/7</f>
        <v>42.1717727893557</v>
      </c>
      <c r="H66">
        <f>(D66-$G$66)^2</f>
        <v>2.137066554738138</v>
      </c>
      <c r="I66">
        <f>SUM(H66:H72)/7</f>
        <v>5.6889805757299285</v>
      </c>
      <c r="J66" s="81">
        <f>SQRT(I66)</f>
        <v>2.3851583963606964</v>
      </c>
      <c r="K66">
        <f>SUM(B66:B71)/6</f>
        <v>1.4481666666666666</v>
      </c>
      <c r="L66">
        <f>SUM(C66:C71)/6</f>
        <v>1.0929</v>
      </c>
      <c r="M66" s="172">
        <f>SUM(D66:D71)/6</f>
        <v>43.010588615038841</v>
      </c>
      <c r="N66">
        <f>(D66-$M$66)^2</f>
        <v>5.2931594513950886</v>
      </c>
      <c r="O66">
        <f>SUM(N66:N71)/6</f>
        <v>1.7118600791028005</v>
      </c>
      <c r="P66" s="81">
        <f>SQRT(O66)</f>
        <v>1.3083807087781447</v>
      </c>
    </row>
    <row r="67" spans="1:22">
      <c r="A67" s="171" t="s">
        <v>130</v>
      </c>
      <c r="B67" s="104">
        <v>1.4324999999999974</v>
      </c>
      <c r="C67" s="157">
        <v>1.1310000000000024</v>
      </c>
      <c r="D67" s="84">
        <v>44.119368051492195</v>
      </c>
      <c r="H67">
        <f t="shared" ref="H67:H72" si="35">(D67-$G$66)^2</f>
        <v>3.7931273050965242</v>
      </c>
      <c r="J67" s="81"/>
      <c r="N67">
        <f t="shared" ref="N67:N71" si="36">(D67-$M$66)^2</f>
        <v>1.2293918387018166</v>
      </c>
      <c r="P67" s="81"/>
    </row>
    <row r="68" spans="1:22">
      <c r="A68" s="175" t="s">
        <v>131</v>
      </c>
      <c r="B68" s="104">
        <v>1.4637000000000029</v>
      </c>
      <c r="C68" s="157">
        <v>1.1087999999999969</v>
      </c>
      <c r="D68" s="84">
        <v>43.102040816326415</v>
      </c>
      <c r="H68">
        <f t="shared" si="35"/>
        <v>0.86539860200398755</v>
      </c>
      <c r="J68" s="81"/>
      <c r="N68">
        <f t="shared" si="36"/>
        <v>8.3635051203428765E-3</v>
      </c>
      <c r="P68" s="81"/>
    </row>
    <row r="69" spans="1:22">
      <c r="A69" s="169" t="s">
        <v>210</v>
      </c>
      <c r="B69" s="136">
        <v>1.4562000000000026</v>
      </c>
      <c r="C69" s="157">
        <v>1.0517999999999974</v>
      </c>
      <c r="D69" s="84">
        <v>41.9377990430621</v>
      </c>
      <c r="H69">
        <f t="shared" si="35"/>
        <v>5.4743713954661904E-2</v>
      </c>
      <c r="J69" s="81"/>
      <c r="N69">
        <f t="shared" si="36"/>
        <v>1.1508774657420406</v>
      </c>
      <c r="P69" s="81"/>
    </row>
    <row r="70" spans="1:22">
      <c r="A70" s="171" t="s">
        <v>211</v>
      </c>
      <c r="B70" s="104">
        <v>1.4180999999999955</v>
      </c>
      <c r="C70" s="157">
        <v>1.1034000000000046</v>
      </c>
      <c r="D70" s="84">
        <v>43.759666864961517</v>
      </c>
      <c r="H70">
        <f t="shared" si="35"/>
        <v>2.5214075953440522</v>
      </c>
      <c r="J70" s="81"/>
      <c r="N70">
        <f t="shared" si="36"/>
        <v>0.56111822450721804</v>
      </c>
      <c r="P70" s="81"/>
    </row>
    <row r="71" spans="1:22">
      <c r="A71" s="171" t="s">
        <v>212</v>
      </c>
      <c r="B71" s="104">
        <v>1.4018000000000015</v>
      </c>
      <c r="C71" s="157">
        <v>1.1209999999999987</v>
      </c>
      <c r="D71" s="84">
        <v>44.434755034089051</v>
      </c>
      <c r="H71">
        <f t="shared" si="35"/>
        <v>5.1210886399783959</v>
      </c>
      <c r="J71" s="81" t="s">
        <v>197</v>
      </c>
      <c r="N71">
        <f t="shared" si="36"/>
        <v>2.0282499891502961</v>
      </c>
      <c r="P71" s="81" t="s">
        <v>197</v>
      </c>
    </row>
    <row r="72" spans="1:22" ht="15" thickBot="1">
      <c r="A72" s="177" t="s">
        <v>213</v>
      </c>
      <c r="B72" s="178">
        <v>1.5796999999999954</v>
      </c>
      <c r="C72" s="418">
        <v>0.93330000000000446</v>
      </c>
      <c r="D72" s="333">
        <v>37.138877835256842</v>
      </c>
      <c r="E72" s="115"/>
      <c r="F72" s="115"/>
      <c r="G72" s="115"/>
      <c r="H72" s="296">
        <f t="shared" si="35"/>
        <v>25.33003161899374</v>
      </c>
      <c r="I72" s="115"/>
      <c r="J72" s="416">
        <f>J66/D72*100</f>
        <v>6.4222683489278909</v>
      </c>
      <c r="K72" s="115"/>
      <c r="L72" s="115"/>
      <c r="M72" s="115"/>
      <c r="N72" s="419"/>
      <c r="O72" s="115"/>
      <c r="P72" s="390">
        <f>P66/D66*100</f>
        <v>3.2139127051328717</v>
      </c>
    </row>
    <row r="73" spans="1:22" ht="15" thickBot="1">
      <c r="A73" s="893" t="s">
        <v>243</v>
      </c>
      <c r="B73" s="894"/>
      <c r="C73" s="894"/>
      <c r="D73" s="895"/>
      <c r="E73" s="893" t="s">
        <v>244</v>
      </c>
      <c r="F73" s="894"/>
      <c r="G73" s="894"/>
      <c r="H73" s="894"/>
      <c r="I73" s="894"/>
      <c r="J73" s="895"/>
      <c r="K73" s="893" t="s">
        <v>245</v>
      </c>
      <c r="L73" s="894"/>
      <c r="M73" s="894"/>
      <c r="N73" s="894"/>
      <c r="O73" s="894"/>
      <c r="P73" s="895"/>
      <c r="Q73" s="893" t="s">
        <v>246</v>
      </c>
      <c r="R73" s="894"/>
      <c r="S73" s="894"/>
      <c r="T73" s="894"/>
      <c r="U73" s="894"/>
      <c r="V73" s="895"/>
    </row>
    <row r="74" spans="1:22">
      <c r="A74" s="238" t="s">
        <v>214</v>
      </c>
      <c r="B74" s="238" t="s">
        <v>31</v>
      </c>
      <c r="C74" s="238" t="s">
        <v>32</v>
      </c>
      <c r="D74" s="420" t="s">
        <v>11</v>
      </c>
      <c r="E74" s="401" t="s">
        <v>31</v>
      </c>
      <c r="F74" s="257" t="s">
        <v>32</v>
      </c>
      <c r="G74" s="257" t="s">
        <v>11</v>
      </c>
      <c r="H74" s="401" t="s">
        <v>127</v>
      </c>
      <c r="I74" s="257" t="s">
        <v>113</v>
      </c>
      <c r="J74" s="403" t="s">
        <v>112</v>
      </c>
      <c r="K74" s="401" t="s">
        <v>31</v>
      </c>
      <c r="L74" s="257" t="s">
        <v>32</v>
      </c>
      <c r="M74" s="257" t="s">
        <v>11</v>
      </c>
      <c r="N74" s="401" t="s">
        <v>127</v>
      </c>
      <c r="O74" s="257" t="s">
        <v>113</v>
      </c>
      <c r="P74" s="403" t="s">
        <v>112</v>
      </c>
      <c r="Q74" s="401" t="s">
        <v>31</v>
      </c>
      <c r="R74" s="257" t="s">
        <v>32</v>
      </c>
      <c r="S74" s="257" t="s">
        <v>11</v>
      </c>
      <c r="T74" s="331" t="s">
        <v>127</v>
      </c>
      <c r="U74" s="257" t="s">
        <v>113</v>
      </c>
      <c r="V74" s="403" t="s">
        <v>112</v>
      </c>
    </row>
    <row r="75" spans="1:22">
      <c r="A75" s="169" t="s">
        <v>134</v>
      </c>
      <c r="B75" s="106">
        <v>1.4288000000000025</v>
      </c>
      <c r="C75" s="157">
        <v>1.0728999999999975</v>
      </c>
      <c r="D75" s="421">
        <v>42.88683695087331</v>
      </c>
      <c r="E75" s="91">
        <f>SUM(B75:B81)/7</f>
        <v>1.4288571428571442</v>
      </c>
      <c r="F75">
        <f t="shared" ref="F75:G75" si="37">SUM(C75:C81)/7</f>
        <v>1.0766428571428557</v>
      </c>
      <c r="G75" s="172">
        <f t="shared" si="37"/>
        <v>42.94093997582398</v>
      </c>
      <c r="H75" s="91">
        <f>(D75-$G$75)^2</f>
        <v>2.927137308812867E-3</v>
      </c>
      <c r="I75">
        <f>SUM(H75:H81)/7</f>
        <v>1322.6010006286281</v>
      </c>
      <c r="J75" s="81">
        <f>SQRT(I75)</f>
        <v>36.367581726430863</v>
      </c>
      <c r="K75" s="91">
        <f>SUM(B75:B78,B81)/5</f>
        <v>1.4947000000000017</v>
      </c>
      <c r="L75">
        <f t="shared" ref="L75:M75" si="38">SUM(C75:C78,C81)/5</f>
        <v>1.011019999999998</v>
      </c>
      <c r="M75" s="172">
        <f t="shared" si="38"/>
        <v>40.34896773293643</v>
      </c>
      <c r="N75" s="91">
        <f>(D75-$M$75)^2</f>
        <v>6.4407801673515497</v>
      </c>
      <c r="O75">
        <f>SUM(N75:N78,N81)/5</f>
        <v>8.0900078846424499</v>
      </c>
      <c r="P75" s="81">
        <f>SQRT(O75)</f>
        <v>2.8442939167115711</v>
      </c>
      <c r="Q75" s="91">
        <f>SUM(B75:B78)/4</f>
        <v>1.4667750000000019</v>
      </c>
      <c r="R75">
        <f t="shared" ref="R75:S75" si="39">SUM(C75:C78)/4</f>
        <v>1.0387999999999979</v>
      </c>
      <c r="S75" s="172">
        <f t="shared" si="39"/>
        <v>41.45983014257002</v>
      </c>
      <c r="T75">
        <f>(D75-$S$75)^2</f>
        <v>2.0363484309439417</v>
      </c>
      <c r="U75">
        <f>SUM(T75:T78)/4</f>
        <v>3.9424333901183406</v>
      </c>
      <c r="V75" s="81">
        <f>SQRT(U75)</f>
        <v>1.9855561916295243</v>
      </c>
    </row>
    <row r="76" spans="1:22">
      <c r="A76" s="171" t="s">
        <v>135</v>
      </c>
      <c r="B76" s="106">
        <v>1.5108000000000033</v>
      </c>
      <c r="C76" s="157">
        <v>0.99409999999999688</v>
      </c>
      <c r="D76" s="421">
        <v>39.686215018563487</v>
      </c>
      <c r="E76" s="91"/>
      <c r="H76" s="91">
        <f t="shared" ref="H76:H81" si="40">(D76-$G$75)^2</f>
        <v>10.593234547414315</v>
      </c>
      <c r="J76" s="81"/>
      <c r="K76" s="91"/>
      <c r="N76" s="91">
        <f t="shared" ref="N76:N81" si="41">(D76-$M$75)^2</f>
        <v>0.43924116040870292</v>
      </c>
      <c r="P76" s="81"/>
      <c r="Q76" s="91"/>
      <c r="T76">
        <f t="shared" ref="T76:T78" si="42">(D76-$S$75)^2</f>
        <v>3.1457106081047077</v>
      </c>
      <c r="V76" s="81"/>
    </row>
    <row r="77" spans="1:22">
      <c r="A77" s="175" t="s">
        <v>136</v>
      </c>
      <c r="B77" s="106">
        <v>1.5212000000000003</v>
      </c>
      <c r="C77" s="157">
        <v>0.98649999999999949</v>
      </c>
      <c r="D77" s="421">
        <v>39.338836383937455</v>
      </c>
      <c r="E77" s="91"/>
      <c r="H77" s="91">
        <f t="shared" si="40"/>
        <v>12.975150286681806</v>
      </c>
      <c r="J77" s="81"/>
      <c r="K77" s="91"/>
      <c r="N77" s="91">
        <f t="shared" si="41"/>
        <v>1.020365342230489</v>
      </c>
      <c r="P77" s="81"/>
      <c r="Q77" s="91"/>
      <c r="T77">
        <f t="shared" si="42"/>
        <v>4.4986145241582962</v>
      </c>
      <c r="V77" s="81"/>
    </row>
    <row r="78" spans="1:22">
      <c r="A78" s="169" t="s">
        <v>143</v>
      </c>
      <c r="B78" s="139">
        <v>1.4063000000000017</v>
      </c>
      <c r="C78" s="157">
        <v>1.1016999999999983</v>
      </c>
      <c r="D78" s="421">
        <v>43.927432216905835</v>
      </c>
      <c r="E78" s="91"/>
      <c r="H78" s="91">
        <f t="shared" si="40"/>
        <v>0.97316694171470086</v>
      </c>
      <c r="J78" s="81"/>
      <c r="K78" s="91"/>
      <c r="N78" s="91">
        <f t="shared" si="41"/>
        <v>12.805408063030422</v>
      </c>
      <c r="P78" s="81"/>
      <c r="Q78" s="91"/>
      <c r="T78">
        <f t="shared" si="42"/>
        <v>6.0890599972664177</v>
      </c>
      <c r="V78" s="81"/>
    </row>
    <row r="79" spans="1:22">
      <c r="A79" s="342" t="s">
        <v>144</v>
      </c>
      <c r="B79" s="422">
        <v>-0.42340000000000089</v>
      </c>
      <c r="C79" s="328">
        <v>2.9324000000000008</v>
      </c>
      <c r="D79" s="423">
        <v>116.87524910322841</v>
      </c>
      <c r="E79" s="91"/>
      <c r="H79" s="424">
        <f t="shared" si="40"/>
        <v>5466.2820661465985</v>
      </c>
      <c r="J79" s="81"/>
      <c r="K79" s="91"/>
      <c r="N79" s="424"/>
      <c r="P79" s="81"/>
      <c r="Q79" s="91"/>
      <c r="T79" s="296"/>
      <c r="V79" s="81"/>
    </row>
    <row r="80" spans="1:22">
      <c r="A80" s="342" t="s">
        <v>145</v>
      </c>
      <c r="B80" s="422">
        <v>2.951900000000002</v>
      </c>
      <c r="C80" s="328">
        <v>-0.45100000000000184</v>
      </c>
      <c r="D80" s="423">
        <v>-18.033507937142701</v>
      </c>
      <c r="E80" s="91"/>
      <c r="H80" s="424">
        <f t="shared" si="40"/>
        <v>3717.8832982910867</v>
      </c>
      <c r="J80" s="81" t="s">
        <v>197</v>
      </c>
      <c r="K80" s="91"/>
      <c r="N80" s="424"/>
      <c r="P80" s="81" t="s">
        <v>197</v>
      </c>
      <c r="Q80" s="91"/>
      <c r="T80" s="296"/>
      <c r="V80" s="81" t="s">
        <v>197</v>
      </c>
    </row>
    <row r="81" spans="1:22" ht="15" thickBot="1">
      <c r="A81" s="177" t="s">
        <v>215</v>
      </c>
      <c r="B81" s="264">
        <v>1.6064000000000007</v>
      </c>
      <c r="C81" s="418">
        <v>0.89989999999999926</v>
      </c>
      <c r="D81" s="425">
        <v>35.905518094402076</v>
      </c>
      <c r="E81" s="163"/>
      <c r="F81" s="115"/>
      <c r="G81" s="115"/>
      <c r="H81" s="163">
        <f t="shared" si="40"/>
        <v>49.497161049590119</v>
      </c>
      <c r="I81" s="115"/>
      <c r="J81" s="416">
        <f>J75/D79*100</f>
        <v>31.116581145687839</v>
      </c>
      <c r="K81" s="163"/>
      <c r="L81" s="115"/>
      <c r="M81" s="115"/>
      <c r="N81" s="426">
        <f t="shared" si="41"/>
        <v>19.744244690191078</v>
      </c>
      <c r="O81" s="115"/>
      <c r="P81" s="416">
        <f>P75/D81*100</f>
        <v>7.9216066712459341</v>
      </c>
      <c r="Q81" s="163"/>
      <c r="R81" s="115"/>
      <c r="S81" s="115"/>
      <c r="T81" s="419"/>
      <c r="U81" s="115"/>
      <c r="V81" s="390">
        <f>V75/D78*100</f>
        <v>4.5200825348160611</v>
      </c>
    </row>
  </sheetData>
  <mergeCells count="66">
    <mergeCell ref="T50:T52"/>
    <mergeCell ref="AA2:AK2"/>
    <mergeCell ref="R41:S43"/>
    <mergeCell ref="T41:T43"/>
    <mergeCell ref="U15:W18"/>
    <mergeCell ref="R16:S16"/>
    <mergeCell ref="R17:S19"/>
    <mergeCell ref="T17:T19"/>
    <mergeCell ref="R6:S6"/>
    <mergeCell ref="R7:S9"/>
    <mergeCell ref="T7:T9"/>
    <mergeCell ref="R11:S11"/>
    <mergeCell ref="R12:S14"/>
    <mergeCell ref="T12:T14"/>
    <mergeCell ref="AB3:AC3"/>
    <mergeCell ref="AD3:AE3"/>
    <mergeCell ref="A4:H4"/>
    <mergeCell ref="I4:K4"/>
    <mergeCell ref="L5:N5"/>
    <mergeCell ref="O5:Q5"/>
    <mergeCell ref="R5:T5"/>
    <mergeCell ref="AF3:AG3"/>
    <mergeCell ref="AH3:AI3"/>
    <mergeCell ref="AJ3:AK3"/>
    <mergeCell ref="AB4:AC4"/>
    <mergeCell ref="AD4:AE4"/>
    <mergeCell ref="AF4:AG4"/>
    <mergeCell ref="AH4:AI4"/>
    <mergeCell ref="AJ4:AK4"/>
    <mergeCell ref="AB5:AC5"/>
    <mergeCell ref="AD5:AE5"/>
    <mergeCell ref="AF5:AG5"/>
    <mergeCell ref="AH5:AI5"/>
    <mergeCell ref="AJ5:AK5"/>
    <mergeCell ref="AJ23:AL23"/>
    <mergeCell ref="A64:D64"/>
    <mergeCell ref="E64:J64"/>
    <mergeCell ref="K64:P64"/>
    <mergeCell ref="AB6:AC6"/>
    <mergeCell ref="AD6:AE6"/>
    <mergeCell ref="AF6:AG6"/>
    <mergeCell ref="AH6:AI6"/>
    <mergeCell ref="AJ6:AK6"/>
    <mergeCell ref="A24:H24"/>
    <mergeCell ref="I24:K24"/>
    <mergeCell ref="L25:N25"/>
    <mergeCell ref="L31:N31"/>
    <mergeCell ref="T25:V25"/>
    <mergeCell ref="T31:V31"/>
    <mergeCell ref="O24:S24"/>
    <mergeCell ref="A73:D73"/>
    <mergeCell ref="E73:J73"/>
    <mergeCell ref="K73:P73"/>
    <mergeCell ref="Q73:V73"/>
    <mergeCell ref="AE23:AF23"/>
    <mergeCell ref="L48:N48"/>
    <mergeCell ref="O48:Q48"/>
    <mergeCell ref="R48:T48"/>
    <mergeCell ref="R40:S40"/>
    <mergeCell ref="A39:H39"/>
    <mergeCell ref="I39:K39"/>
    <mergeCell ref="L39:N39"/>
    <mergeCell ref="O39:Q39"/>
    <mergeCell ref="R39:T39"/>
    <mergeCell ref="R49:S49"/>
    <mergeCell ref="R50:S5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62"/>
  <sheetViews>
    <sheetView topLeftCell="X4" zoomScale="70" zoomScaleNormal="70" workbookViewId="0">
      <selection activeCell="P32" sqref="P32"/>
    </sheetView>
  </sheetViews>
  <sheetFormatPr baseColWidth="10" defaultColWidth="11.5546875" defaultRowHeight="14.4"/>
  <cols>
    <col min="7" max="7" width="16.6640625" customWidth="1"/>
    <col min="14" max="14" width="14.33203125" customWidth="1"/>
    <col min="15" max="15" width="12" bestFit="1" customWidth="1"/>
    <col min="31" max="31" width="14.109375" customWidth="1"/>
    <col min="38" max="38" width="14" customWidth="1"/>
  </cols>
  <sheetData>
    <row r="1" spans="1:48" ht="18.600000000000001" thickBot="1">
      <c r="A1" s="807" t="s">
        <v>216</v>
      </c>
      <c r="B1" s="807"/>
      <c r="C1" s="807"/>
      <c r="D1" s="807"/>
      <c r="E1" s="807"/>
      <c r="F1" s="807"/>
      <c r="G1" s="807"/>
      <c r="H1" s="808"/>
      <c r="I1" s="772" t="s">
        <v>119</v>
      </c>
      <c r="J1" s="773"/>
      <c r="K1" s="780"/>
      <c r="AF1" s="867" t="s">
        <v>279</v>
      </c>
      <c r="AG1" s="894"/>
      <c r="AH1" s="894"/>
      <c r="AI1" s="894"/>
      <c r="AJ1" s="894"/>
      <c r="AK1" s="894"/>
      <c r="AL1" s="894"/>
      <c r="AM1" s="894"/>
      <c r="AN1" s="894"/>
      <c r="AO1" s="894"/>
      <c r="AP1" s="895"/>
    </row>
    <row r="2" spans="1:48">
      <c r="A2" s="165" t="s">
        <v>120</v>
      </c>
      <c r="B2" s="165" t="s">
        <v>121</v>
      </c>
      <c r="C2" s="165" t="s">
        <v>41</v>
      </c>
      <c r="D2" s="165" t="s">
        <v>59</v>
      </c>
      <c r="E2" s="165" t="s">
        <v>122</v>
      </c>
      <c r="F2" s="165" t="s">
        <v>31</v>
      </c>
      <c r="G2" s="166" t="s">
        <v>32</v>
      </c>
      <c r="H2" s="165" t="s">
        <v>11</v>
      </c>
      <c r="I2" t="s">
        <v>120</v>
      </c>
      <c r="L2" s="772" t="s">
        <v>159</v>
      </c>
      <c r="M2" s="773"/>
      <c r="N2" s="780"/>
      <c r="O2" s="772" t="s">
        <v>160</v>
      </c>
      <c r="P2" s="773"/>
      <c r="Q2" s="780"/>
      <c r="R2" s="772" t="s">
        <v>125</v>
      </c>
      <c r="S2" s="773"/>
      <c r="T2" s="780"/>
      <c r="AF2" s="412"/>
      <c r="AG2" s="795" t="s">
        <v>221</v>
      </c>
      <c r="AH2" s="796"/>
      <c r="AI2" s="822" t="s">
        <v>222</v>
      </c>
      <c r="AJ2" s="796"/>
      <c r="AK2" s="795" t="s">
        <v>223</v>
      </c>
      <c r="AL2" s="796"/>
      <c r="AM2" s="840" t="s">
        <v>226</v>
      </c>
      <c r="AN2" s="840"/>
      <c r="AO2" s="840" t="s">
        <v>230</v>
      </c>
      <c r="AP2" s="918"/>
    </row>
    <row r="3" spans="1:48">
      <c r="A3" s="135" t="s">
        <v>126</v>
      </c>
      <c r="B3" s="183"/>
      <c r="C3" s="136">
        <v>35.662599999999998</v>
      </c>
      <c r="D3" s="136">
        <v>2.5348000000000002</v>
      </c>
      <c r="E3" s="136">
        <v>37.002400000000002</v>
      </c>
      <c r="F3" s="139">
        <f>E3-C3</f>
        <v>1.3398000000000039</v>
      </c>
      <c r="G3" s="157">
        <f>D3-F3</f>
        <v>1.1949999999999963</v>
      </c>
      <c r="H3" s="84">
        <f>(G3/D3)*100</f>
        <v>47.143758876439804</v>
      </c>
      <c r="I3" s="104" t="s">
        <v>31</v>
      </c>
      <c r="J3" s="104" t="s">
        <v>32</v>
      </c>
      <c r="K3" s="104" t="s">
        <v>11</v>
      </c>
      <c r="L3" s="135" t="s">
        <v>127</v>
      </c>
      <c r="M3" s="136" t="s">
        <v>113</v>
      </c>
      <c r="N3" s="139" t="s">
        <v>112</v>
      </c>
      <c r="O3" s="135" t="s">
        <v>127</v>
      </c>
      <c r="P3" s="136" t="s">
        <v>113</v>
      </c>
      <c r="Q3" s="139" t="s">
        <v>112</v>
      </c>
      <c r="R3" s="772" t="s">
        <v>128</v>
      </c>
      <c r="S3" s="773"/>
      <c r="T3" s="166" t="s">
        <v>129</v>
      </c>
      <c r="AF3" s="436" t="s">
        <v>225</v>
      </c>
      <c r="AG3" s="869">
        <v>44.501503309798643</v>
      </c>
      <c r="AH3" s="870"/>
      <c r="AI3" s="869">
        <v>42.815349453241396</v>
      </c>
      <c r="AJ3" s="870"/>
      <c r="AK3" s="906">
        <v>47.950528492226994</v>
      </c>
      <c r="AL3" s="907"/>
      <c r="AM3" s="906">
        <v>44.082594886102726</v>
      </c>
      <c r="AN3" s="907"/>
      <c r="AO3" s="794">
        <v>46.639627113417603</v>
      </c>
      <c r="AP3" s="886"/>
    </row>
    <row r="4" spans="1:48">
      <c r="A4" s="103" t="s">
        <v>130</v>
      </c>
      <c r="C4" s="104">
        <v>36.970799999999997</v>
      </c>
      <c r="D4" s="104">
        <v>2.5480999999999998</v>
      </c>
      <c r="E4" s="104">
        <v>38.304000000000002</v>
      </c>
      <c r="F4" s="139">
        <f t="shared" ref="F4:F5" si="0">E4-C4</f>
        <v>1.333200000000005</v>
      </c>
      <c r="G4" s="157">
        <f t="shared" ref="G4:G5" si="1">D4-F4</f>
        <v>1.2148999999999948</v>
      </c>
      <c r="H4" s="84">
        <f t="shared" ref="H4:H5" si="2">(G4/D4)*100</f>
        <v>47.678662532867428</v>
      </c>
      <c r="I4">
        <f>SUM(F3:F5)/3</f>
        <v>1.3267666666666689</v>
      </c>
      <c r="J4">
        <f>SUM(G3:G5)/3</f>
        <v>1.2224666666666644</v>
      </c>
      <c r="K4" s="172">
        <f>SUM(H3:H5)/3</f>
        <v>47.950528492226994</v>
      </c>
      <c r="L4" s="173">
        <f>(H3-$K$4)^2</f>
        <v>0.65087721295740908</v>
      </c>
      <c r="M4">
        <f>SUM(L4:L6)/3</f>
        <v>0.62941433892936438</v>
      </c>
      <c r="N4" s="174">
        <f>SQRT(M4)</f>
        <v>0.79335637574129592</v>
      </c>
      <c r="O4" s="173">
        <f>($D$6-D3)^2</f>
        <v>2.0832111111111009E-4</v>
      </c>
      <c r="P4">
        <f>SUM(O4:O6)/3</f>
        <v>1.5064222222222046E-4</v>
      </c>
      <c r="Q4" s="174">
        <f>SQRT(P4)</f>
        <v>1.2273639322638598E-2</v>
      </c>
      <c r="R4" s="766">
        <v>0.79335637574129592</v>
      </c>
      <c r="S4" s="767"/>
      <c r="T4" s="850">
        <f>(R4/K4)*100</f>
        <v>1.6545310358151792</v>
      </c>
      <c r="AF4" s="436" t="s">
        <v>170</v>
      </c>
      <c r="AG4" s="869">
        <v>46.18614119015848</v>
      </c>
      <c r="AH4" s="870"/>
      <c r="AI4" s="869">
        <v>42.746334786626164</v>
      </c>
      <c r="AJ4" s="870"/>
      <c r="AK4" s="906">
        <v>46.687674111837104</v>
      </c>
      <c r="AL4" s="907"/>
      <c r="AM4" s="906">
        <v>46.97276486307404</v>
      </c>
      <c r="AN4" s="907"/>
      <c r="AO4" s="794">
        <v>46.830219487455565</v>
      </c>
      <c r="AP4" s="886"/>
    </row>
    <row r="5" spans="1:48" ht="15" thickBot="1">
      <c r="A5" s="107" t="s">
        <v>131</v>
      </c>
      <c r="B5" s="187"/>
      <c r="C5" s="108">
        <v>35.838500000000003</v>
      </c>
      <c r="D5" s="108">
        <v>2.5648</v>
      </c>
      <c r="E5" s="108">
        <v>37.145800000000001</v>
      </c>
      <c r="F5" s="166">
        <f t="shared" si="0"/>
        <v>1.3072999999999979</v>
      </c>
      <c r="G5" s="157">
        <f t="shared" si="1"/>
        <v>1.2575000000000021</v>
      </c>
      <c r="H5" s="84">
        <f t="shared" si="2"/>
        <v>49.029164067373756</v>
      </c>
      <c r="L5" s="173">
        <f t="shared" ref="L5:L6" si="3">(H4-$K$4)^2</f>
        <v>7.3911099858497212E-2</v>
      </c>
      <c r="N5" s="176"/>
      <c r="O5" s="173">
        <f t="shared" ref="O5:O6" si="4">($D$6-D4)^2</f>
        <v>1.2844444444451681E-6</v>
      </c>
      <c r="Q5" s="176"/>
      <c r="R5" s="768"/>
      <c r="S5" s="769"/>
      <c r="T5" s="851"/>
      <c r="AF5" s="437" t="s">
        <v>219</v>
      </c>
      <c r="AG5" s="899">
        <v>47.394524401015104</v>
      </c>
      <c r="AH5" s="900"/>
      <c r="AI5" s="899">
        <v>48.371592851451993</v>
      </c>
      <c r="AJ5" s="900"/>
      <c r="AK5" s="916">
        <v>46.677670384099912</v>
      </c>
      <c r="AL5" s="917"/>
      <c r="AM5" s="916">
        <v>44.090671082155836</v>
      </c>
      <c r="AN5" s="917"/>
      <c r="AO5" s="891">
        <v>45.384170733127881</v>
      </c>
      <c r="AP5" s="892"/>
    </row>
    <row r="6" spans="1:48" ht="15" thickBot="1">
      <c r="A6" s="103"/>
      <c r="B6" s="104"/>
      <c r="C6" s="138" t="s">
        <v>83</v>
      </c>
      <c r="D6" s="138">
        <f>SUM(D3:D5)/3</f>
        <v>2.5492333333333335</v>
      </c>
      <c r="E6" s="104"/>
      <c r="F6" s="104"/>
      <c r="G6" s="104"/>
      <c r="H6" s="104"/>
      <c r="L6" s="188">
        <f t="shared" si="3"/>
        <v>1.163454703972187</v>
      </c>
      <c r="M6" s="187"/>
      <c r="N6" s="189"/>
      <c r="O6" s="188">
        <f t="shared" si="4"/>
        <v>2.4232111111110611E-4</v>
      </c>
      <c r="P6" s="187"/>
      <c r="Q6" s="189"/>
      <c r="R6" s="831"/>
      <c r="S6" s="832"/>
      <c r="T6" s="852"/>
    </row>
    <row r="7" spans="1:48">
      <c r="A7" s="268" t="s">
        <v>133</v>
      </c>
      <c r="B7" s="268" t="s">
        <v>121</v>
      </c>
      <c r="C7" s="268" t="s">
        <v>41</v>
      </c>
      <c r="D7" s="268" t="s">
        <v>59</v>
      </c>
      <c r="E7" s="268" t="s">
        <v>122</v>
      </c>
      <c r="F7" s="268" t="s">
        <v>31</v>
      </c>
      <c r="G7" s="165" t="s">
        <v>32</v>
      </c>
      <c r="H7" s="165" t="s">
        <v>11</v>
      </c>
      <c r="I7" t="s">
        <v>133</v>
      </c>
      <c r="L7" s="299"/>
      <c r="M7" s="213"/>
      <c r="N7" s="300"/>
      <c r="O7" s="173"/>
      <c r="Q7" s="176"/>
      <c r="R7" s="230"/>
      <c r="S7" s="231"/>
      <c r="T7" s="232"/>
      <c r="AF7" s="238" t="s">
        <v>225</v>
      </c>
      <c r="AG7" s="337" t="s">
        <v>297</v>
      </c>
      <c r="AH7" s="240" t="s">
        <v>300</v>
      </c>
      <c r="AI7" s="238" t="s">
        <v>225</v>
      </c>
      <c r="AJ7" s="337" t="s">
        <v>293</v>
      </c>
      <c r="AK7" s="240" t="s">
        <v>300</v>
      </c>
      <c r="AL7" s="238" t="s">
        <v>225</v>
      </c>
      <c r="AM7" s="239" t="s">
        <v>295</v>
      </c>
      <c r="AN7" s="240" t="s">
        <v>300</v>
      </c>
      <c r="AO7" s="238" t="s">
        <v>225</v>
      </c>
      <c r="AP7" s="239" t="s">
        <v>299</v>
      </c>
      <c r="AQ7" s="337" t="s">
        <v>300</v>
      </c>
      <c r="AR7" s="238" t="s">
        <v>225</v>
      </c>
      <c r="AS7" s="239" t="s">
        <v>299</v>
      </c>
      <c r="AT7" s="240" t="s">
        <v>302</v>
      </c>
      <c r="AV7" s="339" t="s">
        <v>83</v>
      </c>
    </row>
    <row r="8" spans="1:48">
      <c r="A8" s="135" t="s">
        <v>134</v>
      </c>
      <c r="B8" s="136"/>
      <c r="C8" s="136">
        <v>34.526600000000002</v>
      </c>
      <c r="D8" s="136">
        <v>2.5478999999999998</v>
      </c>
      <c r="E8" s="136">
        <v>35.853900000000003</v>
      </c>
      <c r="F8" s="139">
        <f>E8-C8</f>
        <v>1.327300000000001</v>
      </c>
      <c r="G8" s="157">
        <f>D8-F8</f>
        <v>1.2205999999999988</v>
      </c>
      <c r="H8" s="84">
        <f>(G8/D8)*100</f>
        <v>47.906118764472659</v>
      </c>
      <c r="I8" s="104" t="s">
        <v>31</v>
      </c>
      <c r="J8" s="104" t="s">
        <v>32</v>
      </c>
      <c r="K8" s="104" t="s">
        <v>11</v>
      </c>
      <c r="L8" s="135" t="s">
        <v>127</v>
      </c>
      <c r="M8" s="136" t="s">
        <v>113</v>
      </c>
      <c r="N8" s="139" t="s">
        <v>112</v>
      </c>
      <c r="O8" s="135" t="s">
        <v>127</v>
      </c>
      <c r="P8" s="136" t="s">
        <v>113</v>
      </c>
      <c r="Q8" s="139" t="s">
        <v>112</v>
      </c>
      <c r="R8" s="772" t="s">
        <v>128</v>
      </c>
      <c r="S8" s="773"/>
      <c r="T8" s="166" t="s">
        <v>129</v>
      </c>
      <c r="AF8" s="169" t="s">
        <v>126</v>
      </c>
      <c r="AG8" s="158">
        <v>37.869772898684431</v>
      </c>
      <c r="AH8" s="248">
        <v>4.6978668866288649</v>
      </c>
      <c r="AI8" s="169" t="s">
        <v>126</v>
      </c>
      <c r="AJ8" s="158">
        <v>40.515824819604248</v>
      </c>
      <c r="AK8" s="247">
        <v>2.5420401369033634</v>
      </c>
      <c r="AL8" s="169" t="s">
        <v>126</v>
      </c>
      <c r="AM8" s="84">
        <v>47.143758876439804</v>
      </c>
      <c r="AN8" s="248">
        <v>0.79335637574129592</v>
      </c>
      <c r="AO8" s="169" t="s">
        <v>126</v>
      </c>
      <c r="AP8" s="292">
        <v>42.901234567901042</v>
      </c>
      <c r="AQ8" s="247">
        <v>0.83665623628506125</v>
      </c>
      <c r="AR8" s="91"/>
      <c r="AT8" s="81"/>
      <c r="AU8" s="166" t="s">
        <v>225</v>
      </c>
      <c r="AV8" s="501">
        <f>AVERAGE(AS21:AS23,AS26,AS27)</f>
        <v>46.639627113417625</v>
      </c>
    </row>
    <row r="9" spans="1:48">
      <c r="A9" s="103" t="s">
        <v>135</v>
      </c>
      <c r="B9" s="104"/>
      <c r="C9" s="104">
        <v>36.132100000000001</v>
      </c>
      <c r="D9" s="104">
        <v>2.5234999999999999</v>
      </c>
      <c r="E9" s="104">
        <v>37.493899999999996</v>
      </c>
      <c r="F9" s="106">
        <f>E9-C9</f>
        <v>1.3617999999999952</v>
      </c>
      <c r="G9" s="157">
        <f t="shared" ref="G9:G10" si="5">D9-F9</f>
        <v>1.1617000000000046</v>
      </c>
      <c r="H9" s="84">
        <f>(G9/D9)*100</f>
        <v>46.035268476322756</v>
      </c>
      <c r="I9">
        <f>SUM(F8:F10)/3</f>
        <v>1.3466999999999985</v>
      </c>
      <c r="J9">
        <f>SUM(G8:G10)/3</f>
        <v>1.1796000000000013</v>
      </c>
      <c r="K9" s="172">
        <f>SUM(H8:H10)/3</f>
        <v>46.687674111837104</v>
      </c>
      <c r="L9" s="173">
        <f>(H8-$K$9)^2</f>
        <v>1.4846073715361767</v>
      </c>
      <c r="M9">
        <f>SUM(L9:L11)/3</f>
        <v>0.74354688456353824</v>
      </c>
      <c r="N9" s="174">
        <f>SQRT(M9)</f>
        <v>0.86229164704497641</v>
      </c>
      <c r="O9" s="173">
        <f>($D$11-D8)^2</f>
        <v>4.6656000000001234E-4</v>
      </c>
      <c r="P9">
        <f>SUM(O9:O11)/3</f>
        <v>2.7594666666666654E-4</v>
      </c>
      <c r="Q9" s="174">
        <f>SQRT(P9)</f>
        <v>1.661164250357762E-2</v>
      </c>
      <c r="R9" s="766">
        <v>0.86229164704497641</v>
      </c>
      <c r="S9" s="767"/>
      <c r="T9" s="850">
        <f>(R9/K9)*100</f>
        <v>1.846936399057739</v>
      </c>
      <c r="AF9" s="171" t="s">
        <v>130</v>
      </c>
      <c r="AG9" s="158">
        <v>47.47089522280185</v>
      </c>
      <c r="AH9" s="242" t="s">
        <v>294</v>
      </c>
      <c r="AI9" s="171" t="s">
        <v>130</v>
      </c>
      <c r="AJ9" s="158">
        <v>46.3582461020425</v>
      </c>
      <c r="AK9" s="242" t="s">
        <v>294</v>
      </c>
      <c r="AL9" s="171" t="s">
        <v>130</v>
      </c>
      <c r="AM9" s="84">
        <v>47.678662532867428</v>
      </c>
      <c r="AN9" s="246">
        <f>_xlfn.STDEV.S(AM8:AM10)</f>
        <v>0.9716591523749708</v>
      </c>
      <c r="AO9" s="171" t="s">
        <v>130</v>
      </c>
      <c r="AP9" s="84">
        <v>44.615992102665366</v>
      </c>
      <c r="AQ9" s="213">
        <f>_xlfn.STDEV.S(AP8:AP10)</f>
        <v>1.0246904345079184</v>
      </c>
      <c r="AR9" s="91"/>
      <c r="AT9" s="81"/>
    </row>
    <row r="10" spans="1:48" ht="15" thickBot="1">
      <c r="A10" s="107" t="s">
        <v>136</v>
      </c>
      <c r="B10" s="108"/>
      <c r="C10" s="108">
        <v>37.705399999999997</v>
      </c>
      <c r="D10" s="108">
        <v>2.5074999999999998</v>
      </c>
      <c r="E10" s="108">
        <v>39.056399999999996</v>
      </c>
      <c r="F10" s="109">
        <f>E10-C10</f>
        <v>1.3509999999999991</v>
      </c>
      <c r="G10" s="157">
        <f t="shared" si="5"/>
        <v>1.1565000000000007</v>
      </c>
      <c r="H10" s="84">
        <f>(G10/D10)*100</f>
        <v>46.121635094715884</v>
      </c>
      <c r="L10" s="173">
        <f t="shared" ref="L10:L11" si="6">(H9-$K$9)^2</f>
        <v>0.4256331132508811</v>
      </c>
      <c r="N10" s="176"/>
      <c r="O10" s="173">
        <f t="shared" ref="O10:O11" si="7">($D$11-D9)^2</f>
        <v>7.8399999999982732E-6</v>
      </c>
      <c r="Q10" s="176"/>
      <c r="R10" s="768"/>
      <c r="S10" s="769"/>
      <c r="T10" s="851"/>
      <c r="AF10" s="175" t="s">
        <v>131</v>
      </c>
      <c r="AG10" s="158">
        <v>48.163841807909655</v>
      </c>
      <c r="AH10" s="306">
        <f>(AH8/AG10)*100</f>
        <v>9.7539289024434979</v>
      </c>
      <c r="AI10" s="175" t="s">
        <v>131</v>
      </c>
      <c r="AJ10" s="158">
        <v>41.571977438077447</v>
      </c>
      <c r="AK10" s="271">
        <f>(AK8/AJ9)*100</f>
        <v>5.4834691789415295</v>
      </c>
      <c r="AL10" s="175" t="s">
        <v>131</v>
      </c>
      <c r="AM10" s="84">
        <v>49.029164067373756</v>
      </c>
      <c r="AN10" s="242" t="s">
        <v>294</v>
      </c>
      <c r="AO10" s="175" t="s">
        <v>131</v>
      </c>
      <c r="AP10" s="84">
        <v>44.730557987741776</v>
      </c>
      <c r="AQ10" s="167" t="s">
        <v>294</v>
      </c>
      <c r="AR10" s="91"/>
      <c r="AT10" s="81"/>
      <c r="AU10" s="166" t="s">
        <v>170</v>
      </c>
      <c r="AV10" s="339">
        <f>AVERAGE(AS29:AS31,AS33:AS35)</f>
        <v>46.830219487455565</v>
      </c>
    </row>
    <row r="11" spans="1:48">
      <c r="A11" s="103"/>
      <c r="B11" s="104"/>
      <c r="C11" s="138" t="s">
        <v>83</v>
      </c>
      <c r="D11" s="138">
        <f>SUM(D8:D10)/3</f>
        <v>2.5262999999999995</v>
      </c>
      <c r="E11" s="104"/>
      <c r="F11" s="104"/>
      <c r="G11" s="104"/>
      <c r="H11" s="104"/>
      <c r="L11" s="188">
        <f t="shared" si="6"/>
        <v>0.32040016890355671</v>
      </c>
      <c r="M11" s="187"/>
      <c r="N11" s="189"/>
      <c r="O11" s="188">
        <f t="shared" si="7"/>
        <v>3.5343999999998895E-4</v>
      </c>
      <c r="P11" s="187"/>
      <c r="Q11" s="189"/>
      <c r="R11" s="831"/>
      <c r="S11" s="832"/>
      <c r="T11" s="852"/>
      <c r="AF11" s="277" t="s">
        <v>170</v>
      </c>
      <c r="AG11" s="104"/>
      <c r="AH11" s="240" t="s">
        <v>300</v>
      </c>
      <c r="AI11" s="277" t="s">
        <v>170</v>
      </c>
      <c r="AJ11" s="104"/>
      <c r="AK11" s="240" t="s">
        <v>300</v>
      </c>
      <c r="AL11" s="91"/>
      <c r="AN11" s="325">
        <f>(AN8/AM10)*100</f>
        <v>1.6181315566610517</v>
      </c>
      <c r="AO11" s="91"/>
      <c r="AQ11" s="502">
        <f>(AQ8/AP8)*100</f>
        <v>1.9501915147939646</v>
      </c>
      <c r="AR11" s="164" t="s">
        <v>170</v>
      </c>
      <c r="AS11" s="104"/>
      <c r="AT11" s="242" t="s">
        <v>302</v>
      </c>
    </row>
    <row r="12" spans="1:48" ht="15" thickBot="1">
      <c r="A12" s="268" t="s">
        <v>137</v>
      </c>
      <c r="B12" s="268" t="s">
        <v>121</v>
      </c>
      <c r="C12" s="268" t="s">
        <v>41</v>
      </c>
      <c r="D12" s="268" t="s">
        <v>59</v>
      </c>
      <c r="E12" s="268" t="s">
        <v>122</v>
      </c>
      <c r="F12" s="268" t="s">
        <v>31</v>
      </c>
      <c r="G12" s="165" t="s">
        <v>32</v>
      </c>
      <c r="H12" s="165" t="s">
        <v>11</v>
      </c>
      <c r="I12" t="s">
        <v>137</v>
      </c>
      <c r="L12" s="299"/>
      <c r="M12" s="213"/>
      <c r="N12" s="300"/>
      <c r="O12" s="173"/>
      <c r="Q12" s="176"/>
      <c r="R12" s="173"/>
      <c r="T12" s="176"/>
      <c r="AF12" s="169" t="s">
        <v>134</v>
      </c>
      <c r="AG12" s="158">
        <v>41.666666666666565</v>
      </c>
      <c r="AH12" s="248">
        <v>3.1972465929338032</v>
      </c>
      <c r="AI12" s="169" t="s">
        <v>134</v>
      </c>
      <c r="AJ12" s="158">
        <v>38.920771231575976</v>
      </c>
      <c r="AK12" s="247">
        <v>3.7590429813730455</v>
      </c>
      <c r="AL12" s="91"/>
      <c r="AN12" s="245">
        <f>AN9/AM10*100</f>
        <v>1.9817983252575118</v>
      </c>
      <c r="AO12" s="91"/>
      <c r="AQ12" s="417">
        <f>AQ9/AP8*100</f>
        <v>2.3884870559753022</v>
      </c>
      <c r="AR12" s="91"/>
      <c r="AT12" s="81"/>
      <c r="AU12" s="166" t="s">
        <v>219</v>
      </c>
      <c r="AV12" s="339">
        <f>AVERAGE(AS37:AS39,AS41:AS43)</f>
        <v>45.384170733127881</v>
      </c>
    </row>
    <row r="13" spans="1:48">
      <c r="A13" s="135" t="s">
        <v>138</v>
      </c>
      <c r="B13" s="136"/>
      <c r="C13" s="136">
        <v>36.150599999999997</v>
      </c>
      <c r="D13" s="136">
        <v>2.5345</v>
      </c>
      <c r="E13" s="136">
        <v>37.522500000000001</v>
      </c>
      <c r="F13" s="139">
        <f>E13-C13</f>
        <v>1.3719000000000037</v>
      </c>
      <c r="G13" s="157">
        <f>D13-F13</f>
        <v>1.1625999999999963</v>
      </c>
      <c r="H13" s="84">
        <f>(G13/D13)*100</f>
        <v>45.870980469520475</v>
      </c>
      <c r="I13" s="104" t="s">
        <v>31</v>
      </c>
      <c r="J13" s="104" t="s">
        <v>32</v>
      </c>
      <c r="K13" s="104" t="s">
        <v>11</v>
      </c>
      <c r="L13" s="135" t="s">
        <v>127</v>
      </c>
      <c r="M13" s="136" t="s">
        <v>113</v>
      </c>
      <c r="N13" s="139" t="s">
        <v>112</v>
      </c>
      <c r="O13" s="135" t="s">
        <v>127</v>
      </c>
      <c r="P13" s="136" t="s">
        <v>113</v>
      </c>
      <c r="Q13" s="139" t="s">
        <v>112</v>
      </c>
      <c r="R13" s="772" t="s">
        <v>128</v>
      </c>
      <c r="S13" s="773"/>
      <c r="T13" s="166" t="s">
        <v>129</v>
      </c>
      <c r="AF13" s="171" t="s">
        <v>135</v>
      </c>
      <c r="AG13" s="158">
        <v>48.326123753997102</v>
      </c>
      <c r="AH13" s="242" t="s">
        <v>294</v>
      </c>
      <c r="AI13" s="171" t="s">
        <v>135</v>
      </c>
      <c r="AJ13" s="158">
        <v>47.85589679094489</v>
      </c>
      <c r="AK13" s="242" t="s">
        <v>294</v>
      </c>
      <c r="AL13" s="277" t="s">
        <v>170</v>
      </c>
      <c r="AM13" s="104"/>
      <c r="AN13" s="240" t="s">
        <v>300</v>
      </c>
      <c r="AO13" s="277" t="s">
        <v>170</v>
      </c>
      <c r="AP13" s="104"/>
      <c r="AQ13" s="337" t="s">
        <v>300</v>
      </c>
      <c r="AR13" s="91"/>
      <c r="AT13" s="81"/>
    </row>
    <row r="14" spans="1:48" ht="15" thickBot="1">
      <c r="A14" s="103" t="s">
        <v>139</v>
      </c>
      <c r="B14" s="104"/>
      <c r="C14" s="104">
        <v>35.396599999999999</v>
      </c>
      <c r="D14" s="104">
        <v>2.5116999999999998</v>
      </c>
      <c r="E14" s="104">
        <v>36.706800000000001</v>
      </c>
      <c r="F14" s="106">
        <f t="shared" ref="F14:F15" si="8">E14-C14</f>
        <v>1.3102000000000018</v>
      </c>
      <c r="G14" s="157">
        <f t="shared" ref="G14:G15" si="9">D14-F14</f>
        <v>1.201499999999998</v>
      </c>
      <c r="H14" s="84">
        <f t="shared" ref="H14:H15" si="10">(G14/D14)*100</f>
        <v>47.836126925986306</v>
      </c>
      <c r="I14">
        <f>SUM(F13:F15)/3</f>
        <v>1.3483666666666683</v>
      </c>
      <c r="J14">
        <f>SUM(G13:G15)/3</f>
        <v>1.180166666666665</v>
      </c>
      <c r="K14" s="172">
        <f>SUM(H13:H15)/3</f>
        <v>46.677670384099912</v>
      </c>
      <c r="L14" s="173">
        <f>(H13-$K$14)^2</f>
        <v>0.65074861828417874</v>
      </c>
      <c r="M14">
        <f>SUM(L14:L16)/3</f>
        <v>0.70550331260348997</v>
      </c>
      <c r="N14" s="174">
        <f>SQRT(M14)</f>
        <v>0.8399424460065642</v>
      </c>
      <c r="O14" s="173">
        <f>($D$16-D13)^2</f>
        <v>3.5601111111111218E-5</v>
      </c>
      <c r="P14">
        <f>SUM(O14:O16)/3</f>
        <v>1.4568222222222487E-4</v>
      </c>
      <c r="Q14" s="174">
        <f>SQRT(P14)</f>
        <v>1.2069889072490471E-2</v>
      </c>
      <c r="R14" s="766">
        <v>0.8399424460065642</v>
      </c>
      <c r="S14" s="767"/>
      <c r="T14" s="850">
        <f>(R14/K14)*100</f>
        <v>1.799452370040898</v>
      </c>
      <c r="AF14" s="175" t="s">
        <v>136</v>
      </c>
      <c r="AG14" s="158">
        <v>48.565633149811767</v>
      </c>
      <c r="AH14" s="306">
        <f>(AH12/AG14)*100</f>
        <v>6.5833520239943493</v>
      </c>
      <c r="AI14" s="175" t="s">
        <v>136</v>
      </c>
      <c r="AJ14" s="158">
        <v>41.462336337357613</v>
      </c>
      <c r="AK14" s="271">
        <f>(AK12/AJ13)*100</f>
        <v>7.854921197682617</v>
      </c>
      <c r="AL14" s="169" t="s">
        <v>134</v>
      </c>
      <c r="AM14" s="158">
        <v>47.906118764472659</v>
      </c>
      <c r="AN14" s="248">
        <v>0.86229164704497641</v>
      </c>
      <c r="AO14" s="169" t="s">
        <v>134</v>
      </c>
      <c r="AP14" s="158">
        <v>45.89283583276984</v>
      </c>
      <c r="AQ14" s="247">
        <v>0.7643048023049579</v>
      </c>
      <c r="AR14" s="91"/>
      <c r="AT14" s="81"/>
    </row>
    <row r="15" spans="1:48">
      <c r="A15" s="107" t="s">
        <v>140</v>
      </c>
      <c r="B15" s="108"/>
      <c r="C15" s="108">
        <v>37.688400000000001</v>
      </c>
      <c r="D15" s="108">
        <v>2.5394000000000001</v>
      </c>
      <c r="E15" s="108">
        <v>39.051400000000001</v>
      </c>
      <c r="F15" s="109">
        <f t="shared" si="8"/>
        <v>1.3629999999999995</v>
      </c>
      <c r="G15" s="157">
        <f t="shared" si="9"/>
        <v>1.1764000000000006</v>
      </c>
      <c r="H15" s="84">
        <f t="shared" si="10"/>
        <v>46.325903756792961</v>
      </c>
      <c r="L15" s="173">
        <f t="shared" ref="L15:L16" si="11">(H14-$K$14)^2</f>
        <v>1.3420215594393838</v>
      </c>
      <c r="N15" s="176"/>
      <c r="O15" s="173">
        <f t="shared" ref="O15:O16" si="12">($D$16-D14)^2</f>
        <v>2.8336111111111595E-4</v>
      </c>
      <c r="Q15" s="176"/>
      <c r="R15" s="768"/>
      <c r="S15" s="769"/>
      <c r="T15" s="851"/>
      <c r="AF15" s="277" t="s">
        <v>219</v>
      </c>
      <c r="AG15" s="104"/>
      <c r="AH15" s="240" t="s">
        <v>300</v>
      </c>
      <c r="AI15" s="277" t="s">
        <v>219</v>
      </c>
      <c r="AJ15" s="104"/>
      <c r="AK15" s="240" t="s">
        <v>300</v>
      </c>
      <c r="AL15" s="171" t="s">
        <v>135</v>
      </c>
      <c r="AM15" s="158">
        <v>46.035268476322756</v>
      </c>
      <c r="AN15" s="246">
        <f>_xlfn.STDEV.S(AM14:AM16)</f>
        <v>1.0560872723621413</v>
      </c>
      <c r="AO15" s="171" t="s">
        <v>135</v>
      </c>
      <c r="AP15" s="158">
        <v>47.552197255915566</v>
      </c>
      <c r="AQ15" s="213">
        <f>_xlfn.STDEV.S(AP14:AP16)</f>
        <v>0.93607838680295952</v>
      </c>
      <c r="AR15" s="164" t="s">
        <v>219</v>
      </c>
      <c r="AS15" s="104"/>
      <c r="AT15" s="242" t="s">
        <v>302</v>
      </c>
    </row>
    <row r="16" spans="1:48">
      <c r="A16" s="104"/>
      <c r="C16" s="138" t="s">
        <v>83</v>
      </c>
      <c r="D16" s="138">
        <f>SUM(D13:D15)/3</f>
        <v>2.5285333333333333</v>
      </c>
      <c r="L16" s="188">
        <f t="shared" si="11"/>
        <v>0.12373976008690726</v>
      </c>
      <c r="M16" s="187"/>
      <c r="N16" s="189"/>
      <c r="O16" s="188">
        <f t="shared" si="12"/>
        <v>1.1808444444444739E-4</v>
      </c>
      <c r="P16" s="187"/>
      <c r="Q16" s="189"/>
      <c r="R16" s="831"/>
      <c r="S16" s="832"/>
      <c r="T16" s="852"/>
      <c r="AF16" s="169" t="s">
        <v>138</v>
      </c>
      <c r="AG16" s="158">
        <v>42.738697853028263</v>
      </c>
      <c r="AH16" s="248">
        <v>3.3084691226163305</v>
      </c>
      <c r="AI16" s="169" t="s">
        <v>138</v>
      </c>
      <c r="AJ16" s="158">
        <v>56.917931147006065</v>
      </c>
      <c r="AK16" s="247">
        <v>6.1621553345614757</v>
      </c>
      <c r="AL16" s="175" t="s">
        <v>136</v>
      </c>
      <c r="AM16" s="158">
        <v>46.121635094715884</v>
      </c>
      <c r="AN16" s="242" t="s">
        <v>294</v>
      </c>
      <c r="AO16" s="175" t="s">
        <v>136</v>
      </c>
      <c r="AP16" s="158">
        <v>47.473261500536708</v>
      </c>
      <c r="AQ16" s="167" t="s">
        <v>294</v>
      </c>
      <c r="AR16" s="91"/>
      <c r="AT16" s="81"/>
    </row>
    <row r="17" spans="1:46">
      <c r="A17" s="104"/>
      <c r="L17" s="910"/>
      <c r="M17" s="910"/>
      <c r="N17" s="911"/>
      <c r="O17" s="230"/>
      <c r="P17" s="231"/>
      <c r="Q17" s="232"/>
      <c r="AF17" s="171" t="s">
        <v>139</v>
      </c>
      <c r="AG17" s="158">
        <v>50.124197888636303</v>
      </c>
      <c r="AH17" s="242" t="s">
        <v>294</v>
      </c>
      <c r="AI17" s="171" t="s">
        <v>139</v>
      </c>
      <c r="AJ17" s="158">
        <v>45.574334898278522</v>
      </c>
      <c r="AK17" s="242" t="s">
        <v>294</v>
      </c>
      <c r="AL17" s="91"/>
      <c r="AN17" s="325">
        <f>(AN14/AM14)*100</f>
        <v>1.7999614021840877</v>
      </c>
      <c r="AO17" s="91"/>
      <c r="AQ17" s="502">
        <f>(AQ14/AP14)*100</f>
        <v>1.6654120157011632</v>
      </c>
      <c r="AR17" s="91"/>
      <c r="AT17" s="81"/>
    </row>
    <row r="18" spans="1:46" ht="15" thickBot="1">
      <c r="AF18" s="175" t="s">
        <v>140</v>
      </c>
      <c r="AG18" s="158">
        <v>49.320677461380733</v>
      </c>
      <c r="AH18" s="306">
        <f>(AH16/AG17)*100</f>
        <v>6.6005427757007489</v>
      </c>
      <c r="AI18" s="175" t="s">
        <v>140</v>
      </c>
      <c r="AJ18" s="158">
        <v>42.622512509071392</v>
      </c>
      <c r="AK18" s="271">
        <f>(AK16/AJ16)*100</f>
        <v>10.826386712205036</v>
      </c>
      <c r="AL18" s="91"/>
      <c r="AN18" s="245">
        <f>AN15/AM14*100</f>
        <v>2.2044934960277751</v>
      </c>
      <c r="AO18" s="91"/>
      <c r="AQ18" s="417">
        <f>AQ15/AP14*100</f>
        <v>2.0397048249839282</v>
      </c>
      <c r="AR18" s="163"/>
      <c r="AS18" s="115"/>
      <c r="AT18" s="116"/>
    </row>
    <row r="19" spans="1:46" ht="15" thickBot="1">
      <c r="AF19" s="357"/>
      <c r="AG19" s="358"/>
      <c r="AH19" s="359"/>
      <c r="AI19" s="357"/>
      <c r="AJ19" s="358"/>
      <c r="AK19" s="322"/>
      <c r="AL19" s="277" t="s">
        <v>219</v>
      </c>
      <c r="AM19" s="104"/>
      <c r="AN19" s="240" t="s">
        <v>300</v>
      </c>
      <c r="AO19" s="277" t="s">
        <v>219</v>
      </c>
      <c r="AP19" s="104"/>
      <c r="AQ19" s="240" t="s">
        <v>300</v>
      </c>
      <c r="AR19" s="893" t="s">
        <v>230</v>
      </c>
      <c r="AS19" s="894"/>
      <c r="AT19" s="895"/>
    </row>
    <row r="20" spans="1:46" ht="15" thickBot="1">
      <c r="A20" s="774" t="s">
        <v>247</v>
      </c>
      <c r="B20" s="775"/>
      <c r="C20" s="775"/>
      <c r="D20" s="775"/>
      <c r="E20" s="775"/>
      <c r="F20" s="775"/>
      <c r="G20" s="775"/>
      <c r="H20" s="775"/>
      <c r="I20" s="893" t="s">
        <v>120</v>
      </c>
      <c r="J20" s="894"/>
      <c r="K20" s="894"/>
      <c r="L20" s="912" t="s">
        <v>159</v>
      </c>
      <c r="M20" s="778"/>
      <c r="N20" s="806"/>
      <c r="AL20" s="169" t="s">
        <v>138</v>
      </c>
      <c r="AM20" s="158">
        <v>45.870980469520475</v>
      </c>
      <c r="AN20" s="248">
        <v>0.8399424460065642</v>
      </c>
      <c r="AO20" s="169" t="s">
        <v>138</v>
      </c>
      <c r="AP20" s="158">
        <v>44.376923999520208</v>
      </c>
      <c r="AQ20" s="248">
        <v>0.53647902857956364</v>
      </c>
      <c r="AR20" s="238" t="s">
        <v>225</v>
      </c>
      <c r="AS20" s="78" t="s">
        <v>295</v>
      </c>
      <c r="AT20" s="240" t="s">
        <v>300</v>
      </c>
    </row>
    <row r="21" spans="1:46">
      <c r="A21" s="238" t="s">
        <v>120</v>
      </c>
      <c r="B21" s="239" t="s">
        <v>121</v>
      </c>
      <c r="C21" s="239" t="s">
        <v>41</v>
      </c>
      <c r="D21" s="239" t="s">
        <v>59</v>
      </c>
      <c r="E21" s="239" t="s">
        <v>122</v>
      </c>
      <c r="F21" s="239" t="s">
        <v>31</v>
      </c>
      <c r="G21" s="294" t="s">
        <v>32</v>
      </c>
      <c r="H21" s="239" t="s">
        <v>11</v>
      </c>
      <c r="I21" s="104" t="s">
        <v>31</v>
      </c>
      <c r="J21" s="104" t="s">
        <v>32</v>
      </c>
      <c r="K21" s="104" t="s">
        <v>11</v>
      </c>
      <c r="L21" s="169" t="s">
        <v>127</v>
      </c>
      <c r="M21" s="136" t="s">
        <v>113</v>
      </c>
      <c r="N21" s="253" t="s">
        <v>112</v>
      </c>
      <c r="AL21" s="171" t="s">
        <v>139</v>
      </c>
      <c r="AM21" s="158">
        <v>47.836126925986306</v>
      </c>
      <c r="AN21" s="246">
        <f>_xlfn.STDEV.S(AM20:AM22)</f>
        <v>1.0287152030106461</v>
      </c>
      <c r="AO21" s="171" t="s">
        <v>139</v>
      </c>
      <c r="AP21" s="158">
        <v>44.556033795631876</v>
      </c>
      <c r="AQ21" s="246">
        <f>_xlfn.STDEV.S(AP20:AP22)</f>
        <v>0.65704993886196228</v>
      </c>
      <c r="AR21" s="169" t="s">
        <v>126</v>
      </c>
      <c r="AS21" s="340">
        <v>47.143758876439804</v>
      </c>
      <c r="AT21" s="307">
        <v>1.7300231871416729</v>
      </c>
    </row>
    <row r="22" spans="1:46">
      <c r="A22" s="338" t="s">
        <v>210</v>
      </c>
      <c r="B22" s="183"/>
      <c r="C22" s="136">
        <v>36.617199999999997</v>
      </c>
      <c r="D22" s="136">
        <v>2.5272000000000001</v>
      </c>
      <c r="E22" s="136">
        <v>38.060200000000002</v>
      </c>
      <c r="F22" s="131">
        <f>E22-C22</f>
        <v>1.4430000000000049</v>
      </c>
      <c r="G22" s="157">
        <f>D22-F22</f>
        <v>1.0841999999999952</v>
      </c>
      <c r="H22" s="292">
        <f>(G22/D22)*100</f>
        <v>42.901234567901042</v>
      </c>
      <c r="I22">
        <f>SUM(F22:F24)/3</f>
        <v>1.4114333333333349</v>
      </c>
      <c r="J22">
        <f>SUM(G21:G24)/3</f>
        <v>1.1126666666666651</v>
      </c>
      <c r="K22" s="172">
        <f>SUM(H21:H24)/3</f>
        <v>44.082594886102726</v>
      </c>
      <c r="L22" s="91">
        <f>(H22-$K$22)^2</f>
        <v>1.3956122014215826</v>
      </c>
      <c r="M22">
        <f>SUM(L22:L24)/3</f>
        <v>0.69999365771468425</v>
      </c>
      <c r="N22" s="415">
        <f>SQRT(M22)</f>
        <v>0.83665623628506125</v>
      </c>
      <c r="AL22" s="175" t="s">
        <v>140</v>
      </c>
      <c r="AM22" s="158">
        <v>46.325903756792961</v>
      </c>
      <c r="AN22" s="242" t="s">
        <v>294</v>
      </c>
      <c r="AO22" s="175" t="s">
        <v>140</v>
      </c>
      <c r="AP22" s="158">
        <v>43.339055451315431</v>
      </c>
      <c r="AQ22" s="242" t="s">
        <v>294</v>
      </c>
      <c r="AR22" s="171" t="s">
        <v>130</v>
      </c>
      <c r="AS22" s="341">
        <v>47.678662532867428</v>
      </c>
      <c r="AT22" s="246">
        <f>_xlfn.STDEV.S(AS21:AS23,AS25:AS27)</f>
        <v>2.2991124183915135</v>
      </c>
    </row>
    <row r="23" spans="1:46" ht="15" thickBot="1">
      <c r="A23" s="171" t="s">
        <v>211</v>
      </c>
      <c r="C23" s="104">
        <v>36.831000000000003</v>
      </c>
      <c r="D23" s="104">
        <v>2.5325000000000002</v>
      </c>
      <c r="E23" s="104">
        <v>38.233600000000003</v>
      </c>
      <c r="F23" s="131">
        <f t="shared" ref="F23:F24" si="13">E23-C23</f>
        <v>1.4025999999999996</v>
      </c>
      <c r="G23" s="157">
        <f t="shared" ref="G23:G24" si="14">D23-F23</f>
        <v>1.1299000000000006</v>
      </c>
      <c r="H23" s="84">
        <f t="shared" ref="H23:H24" si="15">(G23/D23)*100</f>
        <v>44.615992102665366</v>
      </c>
      <c r="L23" s="91">
        <f t="shared" ref="L23:L24" si="16">(H23-$K$22)^2</f>
        <v>0.28451259063677253</v>
      </c>
      <c r="N23" s="245">
        <f>N22/H22*100</f>
        <v>1.9501915147939646</v>
      </c>
      <c r="AL23" s="91"/>
      <c r="AN23" s="427">
        <f>(AN20/AM21)*100</f>
        <v>1.7558746913314112</v>
      </c>
      <c r="AO23" s="91"/>
      <c r="AQ23" s="428">
        <f>(AQ20/AP22)*100</f>
        <v>1.2378650687996948</v>
      </c>
      <c r="AR23" s="171" t="s">
        <v>131</v>
      </c>
      <c r="AS23" s="341">
        <v>49.029164067373756</v>
      </c>
      <c r="AT23" s="242" t="s">
        <v>294</v>
      </c>
    </row>
    <row r="24" spans="1:46" ht="15" thickBot="1">
      <c r="A24" s="175" t="s">
        <v>212</v>
      </c>
      <c r="B24" s="187"/>
      <c r="C24" s="108">
        <v>37.128700000000002</v>
      </c>
      <c r="D24" s="108">
        <v>2.5125999999999999</v>
      </c>
      <c r="E24" s="108">
        <v>38.517400000000002</v>
      </c>
      <c r="F24" s="132">
        <f t="shared" si="13"/>
        <v>1.3887</v>
      </c>
      <c r="G24" s="157">
        <f t="shared" si="14"/>
        <v>1.1238999999999999</v>
      </c>
      <c r="H24" s="84">
        <f t="shared" si="15"/>
        <v>44.730557987741776</v>
      </c>
      <c r="L24" s="91">
        <f t="shared" si="16"/>
        <v>0.41985618108569772</v>
      </c>
      <c r="N24" s="81"/>
      <c r="AL24" s="163"/>
      <c r="AM24" s="115"/>
      <c r="AN24" s="372">
        <f>AN21/AM20*100</f>
        <v>2.2426274574492435</v>
      </c>
      <c r="AO24" s="163"/>
      <c r="AP24" s="115"/>
      <c r="AQ24" s="372">
        <f>AQ21/AP22*100</f>
        <v>1.5160688944872227</v>
      </c>
      <c r="AR24" s="164" t="s">
        <v>120</v>
      </c>
      <c r="AS24" s="314" t="s">
        <v>299</v>
      </c>
      <c r="AT24" s="325">
        <f>(AT21/AS25)*100</f>
        <v>4.0325720333374431</v>
      </c>
    </row>
    <row r="25" spans="1:46" ht="15" thickBot="1">
      <c r="A25" s="177"/>
      <c r="B25" s="115"/>
      <c r="C25" s="179" t="s">
        <v>83</v>
      </c>
      <c r="D25" s="179">
        <f>SUM(D22:D24)/3</f>
        <v>2.5241000000000002</v>
      </c>
      <c r="E25" s="115"/>
      <c r="F25" s="115"/>
      <c r="G25" s="115"/>
      <c r="H25" s="115"/>
      <c r="I25" t="s">
        <v>133</v>
      </c>
      <c r="L25" s="912"/>
      <c r="M25" s="778"/>
      <c r="N25" s="806"/>
      <c r="AR25" s="342" t="s">
        <v>210</v>
      </c>
      <c r="AS25" s="343">
        <v>42.901234567901042</v>
      </c>
      <c r="AT25" s="372">
        <f>AT22/AS25*100</f>
        <v>5.3590821838766454</v>
      </c>
    </row>
    <row r="26" spans="1:46">
      <c r="A26" s="165" t="s">
        <v>133</v>
      </c>
      <c r="B26" s="165" t="s">
        <v>121</v>
      </c>
      <c r="C26" s="165" t="s">
        <v>41</v>
      </c>
      <c r="D26" s="165" t="s">
        <v>59</v>
      </c>
      <c r="E26" s="165" t="s">
        <v>122</v>
      </c>
      <c r="F26" s="165" t="s">
        <v>31</v>
      </c>
      <c r="G26" s="165" t="s">
        <v>32</v>
      </c>
      <c r="H26" s="165" t="s">
        <v>11</v>
      </c>
      <c r="I26" s="104" t="s">
        <v>31</v>
      </c>
      <c r="J26" s="104" t="s">
        <v>32</v>
      </c>
      <c r="K26" s="104" t="s">
        <v>11</v>
      </c>
      <c r="L26" s="169" t="s">
        <v>127</v>
      </c>
      <c r="M26" s="136" t="s">
        <v>113</v>
      </c>
      <c r="N26" s="253" t="s">
        <v>112</v>
      </c>
      <c r="AR26" s="171" t="s">
        <v>211</v>
      </c>
      <c r="AS26" s="341">
        <v>44.615992102665366</v>
      </c>
      <c r="AT26" s="81"/>
    </row>
    <row r="27" spans="1:46" ht="15" thickBot="1">
      <c r="A27" s="169" t="s">
        <v>143</v>
      </c>
      <c r="B27" s="136"/>
      <c r="C27" s="136">
        <v>37.102800000000002</v>
      </c>
      <c r="D27" s="136">
        <v>2.5139</v>
      </c>
      <c r="E27" s="136">
        <v>38.463000000000001</v>
      </c>
      <c r="F27" s="139">
        <f t="shared" ref="F27:F29" si="17">E27-C27</f>
        <v>1.360199999999999</v>
      </c>
      <c r="G27" s="157">
        <f>D27-F27</f>
        <v>1.1537000000000011</v>
      </c>
      <c r="H27" s="84">
        <f t="shared" ref="H27:H29" si="18">(G27/D27)*100</f>
        <v>45.89283583276984</v>
      </c>
      <c r="I27">
        <f>SUM(F27:F29)/3</f>
        <v>1.3333666666666677</v>
      </c>
      <c r="J27">
        <f>SUM(G26:G29)/3</f>
        <v>1.1811333333333323</v>
      </c>
      <c r="K27" s="172">
        <f>SUM(H26:H29)/3</f>
        <v>46.97276486307404</v>
      </c>
      <c r="L27" s="91">
        <f>(H27-$K$27)^2</f>
        <v>1.1662467104937697</v>
      </c>
      <c r="M27">
        <f>SUM(L27:L29)/3</f>
        <v>0.58416183082642081</v>
      </c>
      <c r="N27" s="415">
        <f>SQRT(M27)</f>
        <v>0.7643048023049579</v>
      </c>
      <c r="AR27" s="177" t="s">
        <v>212</v>
      </c>
      <c r="AS27" s="344">
        <v>44.730557987741776</v>
      </c>
      <c r="AT27" s="116"/>
    </row>
    <row r="28" spans="1:46">
      <c r="A28" s="171" t="s">
        <v>144</v>
      </c>
      <c r="B28" s="104"/>
      <c r="C28" s="104">
        <v>37.170499999999997</v>
      </c>
      <c r="D28" s="104">
        <v>2.5145</v>
      </c>
      <c r="E28" s="104">
        <v>38.4893</v>
      </c>
      <c r="F28" s="106">
        <f t="shared" si="17"/>
        <v>1.3188000000000031</v>
      </c>
      <c r="G28" s="157">
        <f t="shared" ref="G28:G29" si="19">D28-F28</f>
        <v>1.1956999999999969</v>
      </c>
      <c r="H28" s="84">
        <f t="shared" si="18"/>
        <v>47.552197255915566</v>
      </c>
      <c r="L28" s="91">
        <f t="shared" ref="L28:L29" si="20">(H28-$K$27)^2</f>
        <v>0.33574189787405567</v>
      </c>
      <c r="N28" s="245">
        <f>N27/H27*100</f>
        <v>1.6654120157011632</v>
      </c>
      <c r="AR28" s="238" t="s">
        <v>170</v>
      </c>
      <c r="AS28" s="345" t="s">
        <v>295</v>
      </c>
      <c r="AT28" s="240" t="s">
        <v>300</v>
      </c>
    </row>
    <row r="29" spans="1:46" ht="15" thickBot="1">
      <c r="A29" s="175" t="s">
        <v>145</v>
      </c>
      <c r="B29" s="108"/>
      <c r="C29" s="108">
        <v>36.078800000000001</v>
      </c>
      <c r="D29" s="108">
        <v>2.5150999999999999</v>
      </c>
      <c r="E29" s="108">
        <v>37.399900000000002</v>
      </c>
      <c r="F29" s="109">
        <f t="shared" si="17"/>
        <v>1.3211000000000013</v>
      </c>
      <c r="G29" s="157">
        <f t="shared" si="19"/>
        <v>1.1939999999999986</v>
      </c>
      <c r="H29" s="84">
        <f t="shared" si="18"/>
        <v>47.473261500536708</v>
      </c>
      <c r="L29" s="91">
        <f t="shared" si="20"/>
        <v>0.25049688411143689</v>
      </c>
      <c r="N29" s="81"/>
      <c r="AR29" s="169" t="s">
        <v>134</v>
      </c>
      <c r="AS29" s="346">
        <v>47.906118764472659</v>
      </c>
      <c r="AT29" s="248">
        <v>0.84882212202946827</v>
      </c>
    </row>
    <row r="30" spans="1:46" ht="15" thickBot="1">
      <c r="A30" s="177"/>
      <c r="B30" s="178"/>
      <c r="C30" s="179" t="s">
        <v>83</v>
      </c>
      <c r="D30" s="179">
        <f>SUM(D27:D29)/3</f>
        <v>2.5145</v>
      </c>
      <c r="E30" s="178"/>
      <c r="F30" s="178"/>
      <c r="G30" s="178"/>
      <c r="H30" s="178"/>
      <c r="I30" s="78" t="s">
        <v>190</v>
      </c>
      <c r="J30" s="78"/>
      <c r="K30" s="78"/>
      <c r="L30" s="912"/>
      <c r="M30" s="778"/>
      <c r="N30" s="806"/>
      <c r="AR30" s="171" t="s">
        <v>135</v>
      </c>
      <c r="AS30" s="97">
        <v>46.035268476322756</v>
      </c>
      <c r="AT30" s="246">
        <f>_xlfn.STDEV.S(AS29:AS31,AS33:AS35)</f>
        <v>0.90609505581160077</v>
      </c>
    </row>
    <row r="31" spans="1:46">
      <c r="A31" s="238" t="s">
        <v>219</v>
      </c>
      <c r="B31" s="239" t="s">
        <v>121</v>
      </c>
      <c r="C31" s="239" t="s">
        <v>41</v>
      </c>
      <c r="D31" s="239" t="s">
        <v>59</v>
      </c>
      <c r="E31" s="239" t="s">
        <v>122</v>
      </c>
      <c r="F31" s="251" t="s">
        <v>31</v>
      </c>
      <c r="G31" s="294" t="s">
        <v>32</v>
      </c>
      <c r="H31" s="239" t="s">
        <v>11</v>
      </c>
      <c r="I31" s="104" t="s">
        <v>31</v>
      </c>
      <c r="J31" s="104" t="s">
        <v>32</v>
      </c>
      <c r="K31" s="104" t="s">
        <v>11</v>
      </c>
      <c r="L31" s="169" t="s">
        <v>127</v>
      </c>
      <c r="M31" s="136" t="s">
        <v>113</v>
      </c>
      <c r="N31" s="253" t="s">
        <v>112</v>
      </c>
      <c r="AR31" s="171" t="s">
        <v>136</v>
      </c>
      <c r="AS31" s="97">
        <v>46.121635094715884</v>
      </c>
      <c r="AT31" s="242" t="s">
        <v>294</v>
      </c>
    </row>
    <row r="32" spans="1:46">
      <c r="A32" s="169" t="s">
        <v>147</v>
      </c>
      <c r="B32" s="183"/>
      <c r="C32" s="136">
        <v>34.527099999999997</v>
      </c>
      <c r="D32" s="136">
        <v>2.5013000000000001</v>
      </c>
      <c r="E32" s="136">
        <v>35.918399999999998</v>
      </c>
      <c r="F32" s="131">
        <f>E32-C32</f>
        <v>1.3913000000000011</v>
      </c>
      <c r="G32" s="157">
        <f>D32-F32</f>
        <v>1.109999999999999</v>
      </c>
      <c r="H32" s="84">
        <f>(G32/D32)*100</f>
        <v>44.376923999520208</v>
      </c>
      <c r="I32">
        <f>SUM(F32:F34)/3</f>
        <v>1.4006000000000018</v>
      </c>
      <c r="J32">
        <f>SUM(G32:G34)/3</f>
        <v>1.1045333333333314</v>
      </c>
      <c r="K32" s="172">
        <f>SUM(H32:H34)/3</f>
        <v>44.090671082155836</v>
      </c>
      <c r="L32" s="91">
        <f>(H32-$K$32)^2</f>
        <v>8.1940732699614091E-2</v>
      </c>
      <c r="M32">
        <f>SUM(L32:L34)/3</f>
        <v>0.28780974810567228</v>
      </c>
      <c r="N32" s="415">
        <f>SQRT(M32)</f>
        <v>0.53647902857956364</v>
      </c>
      <c r="AR32" s="347" t="s">
        <v>170</v>
      </c>
      <c r="AS32" s="314" t="s">
        <v>299</v>
      </c>
      <c r="AT32" s="325">
        <f>(AT29/AS33)*100</f>
        <v>1.8495743543121075</v>
      </c>
    </row>
    <row r="33" spans="1:46" ht="15" thickBot="1">
      <c r="A33" s="171" t="s">
        <v>148</v>
      </c>
      <c r="C33" s="104">
        <v>38.310099999999998</v>
      </c>
      <c r="D33" s="104">
        <v>2.5091999999999999</v>
      </c>
      <c r="E33" s="104">
        <v>39.701300000000003</v>
      </c>
      <c r="F33" s="131">
        <f t="shared" ref="F33:F34" si="21">E33-C33</f>
        <v>1.3912000000000049</v>
      </c>
      <c r="G33" s="157">
        <f t="shared" ref="G33:G34" si="22">D33-F33</f>
        <v>1.117999999999995</v>
      </c>
      <c r="H33" s="84">
        <f t="shared" ref="H33:H34" si="23">(G33/D33)*100</f>
        <v>44.556033795631876</v>
      </c>
      <c r="L33" s="91">
        <f t="shared" ref="L33:L34" si="24">(H33-$K$32)^2</f>
        <v>0.21656245509378277</v>
      </c>
      <c r="N33" s="245">
        <f>N32/H34*100</f>
        <v>1.2378650687996948</v>
      </c>
      <c r="AR33" s="171" t="s">
        <v>143</v>
      </c>
      <c r="AS33" s="97">
        <v>45.89283583276984</v>
      </c>
      <c r="AT33" s="372">
        <f>AT30/AS29*100</f>
        <v>1.891397339589038</v>
      </c>
    </row>
    <row r="34" spans="1:46" ht="15" thickBot="1">
      <c r="A34" s="175" t="s">
        <v>149</v>
      </c>
      <c r="B34" s="187"/>
      <c r="C34" s="108">
        <v>36.487200000000001</v>
      </c>
      <c r="D34" s="108">
        <v>2.5049000000000001</v>
      </c>
      <c r="E34" s="108">
        <v>37.906500000000001</v>
      </c>
      <c r="F34" s="132">
        <f t="shared" si="21"/>
        <v>1.4192999999999998</v>
      </c>
      <c r="G34" s="157">
        <f t="shared" si="22"/>
        <v>1.0856000000000003</v>
      </c>
      <c r="H34" s="84">
        <f t="shared" si="23"/>
        <v>43.339055451315431</v>
      </c>
      <c r="L34" s="91">
        <f t="shared" si="24"/>
        <v>0.56492605652361993</v>
      </c>
      <c r="M34" s="115"/>
      <c r="N34" s="116"/>
      <c r="AR34" s="171" t="s">
        <v>144</v>
      </c>
      <c r="AS34" s="97">
        <v>47.552197255915566</v>
      </c>
      <c r="AT34" s="81"/>
    </row>
    <row r="35" spans="1:46" ht="15" thickBot="1">
      <c r="A35" s="177"/>
      <c r="B35" s="115"/>
      <c r="C35" s="179" t="s">
        <v>83</v>
      </c>
      <c r="D35" s="179">
        <f>SUM(D32:D34)/3</f>
        <v>2.5051333333333337</v>
      </c>
      <c r="E35" s="115"/>
      <c r="F35" s="115"/>
      <c r="G35" s="115"/>
      <c r="H35" s="115"/>
      <c r="L35" s="912"/>
      <c r="M35" s="778"/>
      <c r="N35" s="806"/>
      <c r="AR35" s="177" t="s">
        <v>145</v>
      </c>
      <c r="AS35" s="348">
        <v>47.473261500536708</v>
      </c>
      <c r="AT35" s="116"/>
    </row>
    <row r="36" spans="1:46">
      <c r="AR36" s="238" t="s">
        <v>219</v>
      </c>
      <c r="AS36" s="349" t="s">
        <v>295</v>
      </c>
      <c r="AT36" s="240" t="s">
        <v>300</v>
      </c>
    </row>
    <row r="37" spans="1:46" ht="15" thickBot="1">
      <c r="AR37" s="169" t="s">
        <v>138</v>
      </c>
      <c r="AS37" s="340">
        <v>45.870980469520475</v>
      </c>
      <c r="AT37" s="307">
        <v>1.4730233797938732</v>
      </c>
    </row>
    <row r="38" spans="1:46" ht="15.75" customHeight="1" thickBot="1">
      <c r="A38" s="774" t="s">
        <v>248</v>
      </c>
      <c r="B38" s="775"/>
      <c r="C38" s="775"/>
      <c r="D38" s="775"/>
      <c r="E38" s="775"/>
      <c r="F38" s="775"/>
      <c r="G38" s="775"/>
      <c r="H38" s="776"/>
      <c r="I38" s="337" t="s">
        <v>119</v>
      </c>
      <c r="J38" s="413"/>
      <c r="K38" s="294"/>
      <c r="L38" s="78"/>
      <c r="M38" s="78"/>
      <c r="N38" s="78"/>
      <c r="O38" s="78"/>
      <c r="P38" s="78"/>
      <c r="Q38" s="78"/>
      <c r="R38" s="78"/>
      <c r="S38" s="78"/>
      <c r="T38" s="79"/>
      <c r="AR38" s="171" t="s">
        <v>139</v>
      </c>
      <c r="AS38" s="341">
        <v>47.836126925986306</v>
      </c>
      <c r="AT38" s="246">
        <f>_xlfn.STDEV.S(AS37:AS39,AS41:AS43)</f>
        <v>1.6136162656912076</v>
      </c>
    </row>
    <row r="39" spans="1:46" ht="15" thickBot="1">
      <c r="A39" s="238" t="s">
        <v>120</v>
      </c>
      <c r="B39" s="239" t="s">
        <v>121</v>
      </c>
      <c r="C39" s="239" t="s">
        <v>41</v>
      </c>
      <c r="D39" s="239" t="s">
        <v>59</v>
      </c>
      <c r="E39" s="239" t="s">
        <v>122</v>
      </c>
      <c r="F39" s="251" t="s">
        <v>31</v>
      </c>
      <c r="G39" s="294" t="s">
        <v>32</v>
      </c>
      <c r="H39" s="239" t="s">
        <v>11</v>
      </c>
      <c r="I39" s="78" t="s">
        <v>120</v>
      </c>
      <c r="J39" s="78"/>
      <c r="K39" s="78"/>
      <c r="L39" s="893" t="s">
        <v>159</v>
      </c>
      <c r="M39" s="894"/>
      <c r="N39" s="895"/>
      <c r="O39" s="778" t="s">
        <v>160</v>
      </c>
      <c r="P39" s="778"/>
      <c r="Q39" s="779"/>
      <c r="R39" s="777" t="s">
        <v>125</v>
      </c>
      <c r="S39" s="778"/>
      <c r="T39" s="806"/>
      <c r="U39" s="735" t="s">
        <v>218</v>
      </c>
      <c r="V39" s="790"/>
      <c r="W39" s="736"/>
      <c r="X39" s="735" t="s">
        <v>249</v>
      </c>
      <c r="Y39" s="790"/>
      <c r="Z39" s="736"/>
      <c r="AA39" s="238" t="s">
        <v>120</v>
      </c>
      <c r="AB39" s="239" t="s">
        <v>11</v>
      </c>
      <c r="AC39" s="257" t="s">
        <v>11</v>
      </c>
      <c r="AD39" s="401" t="s">
        <v>127</v>
      </c>
      <c r="AE39" s="257" t="s">
        <v>113</v>
      </c>
      <c r="AF39" s="403" t="s">
        <v>112</v>
      </c>
      <c r="AG39" s="238" t="s">
        <v>120</v>
      </c>
      <c r="AH39" s="239" t="s">
        <v>11</v>
      </c>
      <c r="AI39" s="257" t="s">
        <v>11</v>
      </c>
      <c r="AJ39" s="401" t="s">
        <v>127</v>
      </c>
      <c r="AK39" s="257" t="s">
        <v>113</v>
      </c>
      <c r="AL39" s="403" t="s">
        <v>112</v>
      </c>
      <c r="AR39" s="171" t="s">
        <v>140</v>
      </c>
      <c r="AS39" s="341">
        <v>46.325903756792961</v>
      </c>
      <c r="AT39" s="242" t="s">
        <v>294</v>
      </c>
    </row>
    <row r="40" spans="1:46">
      <c r="A40" s="169" t="s">
        <v>126</v>
      </c>
      <c r="B40" s="183"/>
      <c r="C40" s="136">
        <v>35.662599999999998</v>
      </c>
      <c r="D40" s="136">
        <v>2.5348000000000002</v>
      </c>
      <c r="E40" s="136">
        <v>37.002400000000002</v>
      </c>
      <c r="F40" s="268">
        <f>E40-C40</f>
        <v>1.3398000000000039</v>
      </c>
      <c r="G40" s="157">
        <f>D40-F40</f>
        <v>1.1949999999999963</v>
      </c>
      <c r="H40" s="84">
        <f>(G40/D40)*100</f>
        <v>47.143758876439804</v>
      </c>
      <c r="I40" s="104" t="s">
        <v>31</v>
      </c>
      <c r="J40" s="104" t="s">
        <v>32</v>
      </c>
      <c r="K40" s="104" t="s">
        <v>11</v>
      </c>
      <c r="L40" s="401" t="s">
        <v>127</v>
      </c>
      <c r="M40" s="257" t="s">
        <v>113</v>
      </c>
      <c r="N40" s="403" t="s">
        <v>112</v>
      </c>
      <c r="O40" s="136" t="s">
        <v>127</v>
      </c>
      <c r="P40" s="136" t="s">
        <v>113</v>
      </c>
      <c r="Q40" s="139" t="s">
        <v>112</v>
      </c>
      <c r="R40" s="834" t="s">
        <v>128</v>
      </c>
      <c r="S40" s="835"/>
      <c r="T40" s="253" t="s">
        <v>129</v>
      </c>
      <c r="U40" s="737"/>
      <c r="V40" s="693"/>
      <c r="W40" s="738"/>
      <c r="X40" s="737"/>
      <c r="Y40" s="693"/>
      <c r="Z40" s="738"/>
      <c r="AA40" s="169" t="s">
        <v>126</v>
      </c>
      <c r="AB40" s="84">
        <v>47.143758876439804</v>
      </c>
      <c r="AC40" s="172">
        <v>46.01656168916486</v>
      </c>
      <c r="AD40" s="91">
        <v>1.2705734990005466</v>
      </c>
      <c r="AE40">
        <v>4.4049315936683948</v>
      </c>
      <c r="AF40" s="415">
        <v>2.0987928896554786</v>
      </c>
      <c r="AG40" s="169" t="s">
        <v>126</v>
      </c>
      <c r="AH40" s="84">
        <v>47.143758876439804</v>
      </c>
      <c r="AI40" s="172">
        <v>46.639627113417625</v>
      </c>
      <c r="AJ40" s="91">
        <f>(AH40-$AI$40)^2</f>
        <v>0.25414883448785119</v>
      </c>
      <c r="AK40">
        <f>SUM(AJ40:AJ44)/5</f>
        <v>2.956654775006414</v>
      </c>
      <c r="AL40" s="415">
        <f>SQRT(AK40)</f>
        <v>1.7194925923092585</v>
      </c>
      <c r="AR40" s="347" t="s">
        <v>219</v>
      </c>
      <c r="AS40" s="314" t="s">
        <v>299</v>
      </c>
      <c r="AT40" s="350">
        <f>(AT37/AS43)*100</f>
        <v>3.3988359101378709</v>
      </c>
    </row>
    <row r="41" spans="1:46" ht="15" thickBot="1">
      <c r="A41" s="171" t="s">
        <v>130</v>
      </c>
      <c r="C41" s="104">
        <v>36.970799999999997</v>
      </c>
      <c r="D41" s="104">
        <v>2.5480999999999998</v>
      </c>
      <c r="E41" s="104">
        <v>38.304000000000002</v>
      </c>
      <c r="F41" s="131">
        <f t="shared" ref="F41:F42" si="25">E41-C41</f>
        <v>1.333200000000005</v>
      </c>
      <c r="G41" s="157">
        <f t="shared" ref="G41:G42" si="26">D41-F41</f>
        <v>1.2148999999999948</v>
      </c>
      <c r="H41" s="84">
        <f>(G41/D41)*100</f>
        <v>47.678662532867428</v>
      </c>
      <c r="I41">
        <f>SUM(F40:F45)/6</f>
        <v>1.369100000000002</v>
      </c>
      <c r="J41">
        <f>SUM(G40:G45)/6</f>
        <v>1.1675666666666646</v>
      </c>
      <c r="K41" s="172">
        <f>SUM(H40:H45)/6</f>
        <v>46.01656168916486</v>
      </c>
      <c r="L41" s="91">
        <f>(H40-$K$41)^2</f>
        <v>1.2705734990005466</v>
      </c>
      <c r="M41">
        <f>SUM(L41:L46)/6</f>
        <v>4.4049315936683948</v>
      </c>
      <c r="N41" s="415">
        <f>SQRT(M41)</f>
        <v>2.0987928896554786</v>
      </c>
      <c r="O41">
        <f t="shared" ref="O41:O46" si="27">($D$54-D40)^2</f>
        <v>2.073600000000055E-4</v>
      </c>
      <c r="P41">
        <f>SUM(O41:O43)/3</f>
        <v>9.8200333333333203E-4</v>
      </c>
      <c r="Q41" s="174">
        <f>SQRT(P41)</f>
        <v>3.1336932417410167E-2</v>
      </c>
      <c r="R41" s="768">
        <v>1.7194925923092585</v>
      </c>
      <c r="S41" s="848"/>
      <c r="T41" s="915">
        <f>(R41/K41)*100</f>
        <v>3.7366820318392744</v>
      </c>
      <c r="U41" s="737"/>
      <c r="V41" s="693"/>
      <c r="W41" s="738"/>
      <c r="X41" s="737"/>
      <c r="Y41" s="693"/>
      <c r="Z41" s="738"/>
      <c r="AA41" s="171" t="s">
        <v>130</v>
      </c>
      <c r="AB41" s="84">
        <v>47.678662532867428</v>
      </c>
      <c r="AD41" s="91">
        <v>2.762579214636788</v>
      </c>
      <c r="AF41" s="246">
        <v>2.2991124183915135</v>
      </c>
      <c r="AG41" s="171" t="s">
        <v>130</v>
      </c>
      <c r="AH41" s="84">
        <v>47.678662532867428</v>
      </c>
      <c r="AJ41" s="91">
        <f t="shared" ref="AJ41:AJ44" si="28">(AH41-$AI$40)^2</f>
        <v>1.0795946028712282</v>
      </c>
      <c r="AL41" s="246">
        <f>_xlfn.STDEV.S(AH40:AH44)</f>
        <v>1.922451161605417</v>
      </c>
      <c r="AR41" s="171" t="s">
        <v>147</v>
      </c>
      <c r="AS41" s="341">
        <v>44.376923999520208</v>
      </c>
      <c r="AT41" s="372">
        <f>AT38/AS43*100</f>
        <v>3.7232381944822266</v>
      </c>
    </row>
    <row r="42" spans="1:46">
      <c r="A42" s="175" t="s">
        <v>131</v>
      </c>
      <c r="B42" s="187"/>
      <c r="C42" s="108">
        <v>35.838500000000003</v>
      </c>
      <c r="D42" s="108">
        <v>2.5648</v>
      </c>
      <c r="E42" s="108">
        <v>37.145800000000001</v>
      </c>
      <c r="F42" s="131">
        <f t="shared" si="25"/>
        <v>1.3072999999999979</v>
      </c>
      <c r="G42" s="157">
        <f t="shared" si="26"/>
        <v>1.2575000000000021</v>
      </c>
      <c r="H42" s="84">
        <f t="shared" ref="H42" si="29">(G42/D42)*100</f>
        <v>49.029164067373756</v>
      </c>
      <c r="L42" s="91">
        <f t="shared" ref="L42:L43" si="30">(H41-$K$41)^2</f>
        <v>2.762579214636788</v>
      </c>
      <c r="N42" s="246">
        <f>_xlfn.STDEV.S(H40:H45)</f>
        <v>2.2991124183915135</v>
      </c>
      <c r="O42">
        <f t="shared" si="27"/>
        <v>7.672899999999909E-4</v>
      </c>
      <c r="Q42" s="176"/>
      <c r="R42" s="768"/>
      <c r="S42" s="848"/>
      <c r="T42" s="915"/>
      <c r="U42" s="737"/>
      <c r="V42" s="693"/>
      <c r="W42" s="738"/>
      <c r="X42" s="737"/>
      <c r="Y42" s="693"/>
      <c r="Z42" s="738"/>
      <c r="AA42" s="175" t="s">
        <v>131</v>
      </c>
      <c r="AB42" s="84">
        <v>49.029164067373756</v>
      </c>
      <c r="AD42" s="91">
        <v>9.075773089189898</v>
      </c>
      <c r="AF42" s="81" t="s">
        <v>250</v>
      </c>
      <c r="AG42" s="175" t="s">
        <v>131</v>
      </c>
      <c r="AH42" s="84">
        <v>49.029164067373756</v>
      </c>
      <c r="AJ42" s="91">
        <f t="shared" si="28"/>
        <v>5.7098868543219474</v>
      </c>
      <c r="AL42" s="81" t="s">
        <v>250</v>
      </c>
      <c r="AR42" s="171" t="s">
        <v>148</v>
      </c>
      <c r="AS42" s="341">
        <v>44.556033795631876</v>
      </c>
      <c r="AT42" s="81"/>
    </row>
    <row r="43" spans="1:46" ht="15" thickBot="1">
      <c r="A43" s="338" t="s">
        <v>210</v>
      </c>
      <c r="B43" s="183"/>
      <c r="C43" s="136">
        <v>36.617199999999997</v>
      </c>
      <c r="D43" s="136">
        <v>2.5272000000000001</v>
      </c>
      <c r="E43" s="136">
        <v>38.060200000000002</v>
      </c>
      <c r="F43" s="131">
        <f>E43-C43</f>
        <v>1.4430000000000049</v>
      </c>
      <c r="G43" s="157">
        <f>D43-F43</f>
        <v>1.0841999999999952</v>
      </c>
      <c r="H43" s="292">
        <f>(G43/D43)*100</f>
        <v>42.901234567901042</v>
      </c>
      <c r="L43" s="91">
        <f t="shared" si="30"/>
        <v>9.075773089189898</v>
      </c>
      <c r="N43" s="81" t="s">
        <v>250</v>
      </c>
      <c r="O43">
        <f t="shared" si="27"/>
        <v>1.9713599999999997E-3</v>
      </c>
      <c r="Q43" s="176"/>
      <c r="R43" s="768"/>
      <c r="S43" s="848"/>
      <c r="T43" s="915"/>
      <c r="U43" s="737"/>
      <c r="V43" s="693"/>
      <c r="W43" s="738"/>
      <c r="X43" s="737"/>
      <c r="Y43" s="693"/>
      <c r="Z43" s="738"/>
      <c r="AA43" s="338" t="s">
        <v>210</v>
      </c>
      <c r="AB43" s="292">
        <v>42.901234567901042</v>
      </c>
      <c r="AD43" s="424">
        <v>9.7052630724819036</v>
      </c>
      <c r="AF43" s="427">
        <v>4.8921503327221449</v>
      </c>
      <c r="AG43" s="171" t="s">
        <v>211</v>
      </c>
      <c r="AH43" s="84">
        <v>44.615992102665366</v>
      </c>
      <c r="AJ43" s="91">
        <f t="shared" si="28"/>
        <v>4.0950986567422927</v>
      </c>
      <c r="AL43" s="427">
        <f>AL40/AH42*100</f>
        <v>3.5070811934431645</v>
      </c>
      <c r="AR43" s="177" t="s">
        <v>149</v>
      </c>
      <c r="AS43" s="344">
        <v>43.339055451315431</v>
      </c>
      <c r="AT43" s="116"/>
    </row>
    <row r="44" spans="1:46" ht="15" thickBot="1">
      <c r="A44" s="171" t="s">
        <v>211</v>
      </c>
      <c r="C44" s="104">
        <v>36.831000000000003</v>
      </c>
      <c r="D44" s="104">
        <v>2.5325000000000002</v>
      </c>
      <c r="E44" s="104">
        <v>38.233600000000003</v>
      </c>
      <c r="F44" s="131">
        <f t="shared" ref="F44:F45" si="31">E44-C44</f>
        <v>1.4025999999999996</v>
      </c>
      <c r="G44" s="157">
        <f t="shared" ref="G44:G45" si="32">D44-F44</f>
        <v>1.1299000000000006</v>
      </c>
      <c r="H44" s="84">
        <f t="shared" ref="H44:H45" si="33">(G44/D44)*100</f>
        <v>44.615992102665366</v>
      </c>
      <c r="L44" s="424">
        <f>(H43-$K$41)^2</f>
        <v>9.7052630724819036</v>
      </c>
      <c r="N44" s="427">
        <f>N41/H43*100</f>
        <v>4.8921503327221449</v>
      </c>
      <c r="O44">
        <f t="shared" si="27"/>
        <v>4.6240000000001895E-5</v>
      </c>
      <c r="Q44" s="176"/>
      <c r="R44" s="768"/>
      <c r="S44" s="848"/>
      <c r="T44" s="915"/>
      <c r="U44" s="737"/>
      <c r="V44" s="693"/>
      <c r="W44" s="738"/>
      <c r="X44" s="737"/>
      <c r="Y44" s="693"/>
      <c r="Z44" s="738"/>
      <c r="AA44" s="171" t="s">
        <v>211</v>
      </c>
      <c r="AB44" s="84">
        <v>44.615992102665366</v>
      </c>
      <c r="AD44" s="91">
        <v>1.9615951666273619</v>
      </c>
      <c r="AF44" s="429">
        <v>5.3590821838766454</v>
      </c>
      <c r="AG44" s="177" t="s">
        <v>212</v>
      </c>
      <c r="AH44" s="233">
        <v>44.730557987741776</v>
      </c>
      <c r="AI44" s="115"/>
      <c r="AJ44" s="163">
        <f t="shared" si="28"/>
        <v>3.6445449266087504</v>
      </c>
      <c r="AK44" s="115"/>
      <c r="AL44" s="372">
        <f>AL41/AH42*100</f>
        <v>3.9210359755750019</v>
      </c>
    </row>
    <row r="45" spans="1:46" ht="15" thickBot="1">
      <c r="A45" s="175" t="s">
        <v>212</v>
      </c>
      <c r="B45" s="187"/>
      <c r="C45" s="108">
        <v>37.128700000000002</v>
      </c>
      <c r="D45" s="108">
        <v>2.5125999999999999</v>
      </c>
      <c r="E45" s="108">
        <v>38.517400000000002</v>
      </c>
      <c r="F45" s="132">
        <f t="shared" si="31"/>
        <v>1.3887</v>
      </c>
      <c r="G45" s="157">
        <f t="shared" si="32"/>
        <v>1.1238999999999999</v>
      </c>
      <c r="H45" s="84">
        <f t="shared" si="33"/>
        <v>44.730557987741776</v>
      </c>
      <c r="L45" s="91">
        <f>(H44-$K$41)^2</f>
        <v>1.9615951666273619</v>
      </c>
      <c r="N45" s="245">
        <f>N42/H43*100</f>
        <v>5.3590821838766454</v>
      </c>
      <c r="O45">
        <f t="shared" si="27"/>
        <v>1.4641000000000537E-4</v>
      </c>
      <c r="Q45" s="176"/>
      <c r="T45" s="81"/>
      <c r="U45" s="739"/>
      <c r="V45" s="791"/>
      <c r="W45" s="740"/>
      <c r="X45" s="739"/>
      <c r="Y45" s="791"/>
      <c r="Z45" s="740"/>
      <c r="AA45" s="177" t="s">
        <v>212</v>
      </c>
      <c r="AB45" s="233">
        <v>44.730557987741776</v>
      </c>
      <c r="AC45" s="115"/>
      <c r="AD45" s="163">
        <v>1.6538055200738728</v>
      </c>
      <c r="AE45" s="115"/>
      <c r="AF45" s="116"/>
    </row>
    <row r="46" spans="1:46" ht="15" customHeight="1" thickBot="1">
      <c r="A46" s="177"/>
      <c r="B46" s="115"/>
      <c r="C46" s="179" t="s">
        <v>83</v>
      </c>
      <c r="D46" s="179">
        <f>SUM(D40:D45)/6</f>
        <v>2.5366666666666671</v>
      </c>
      <c r="E46" s="115"/>
      <c r="F46" s="115"/>
      <c r="G46" s="115"/>
      <c r="H46" s="115"/>
      <c r="I46" s="115"/>
      <c r="J46" s="115"/>
      <c r="K46" s="115"/>
      <c r="L46" s="163">
        <f>(H45-$K$41)^2</f>
        <v>1.6538055200738728</v>
      </c>
      <c r="M46" s="115"/>
      <c r="N46" s="116"/>
      <c r="O46">
        <f t="shared" si="27"/>
        <v>6.0840000000000454E-5</v>
      </c>
      <c r="P46" s="115"/>
      <c r="Q46" s="181"/>
      <c r="R46" s="115"/>
      <c r="S46" s="115"/>
      <c r="T46" s="116"/>
    </row>
    <row r="47" spans="1:46" ht="20.25" customHeight="1" thickBot="1">
      <c r="A47" s="277" t="s">
        <v>133</v>
      </c>
      <c r="B47" s="268" t="s">
        <v>121</v>
      </c>
      <c r="C47" s="268" t="s">
        <v>41</v>
      </c>
      <c r="D47" s="268" t="s">
        <v>59</v>
      </c>
      <c r="E47" s="268" t="s">
        <v>122</v>
      </c>
      <c r="F47" s="268" t="s">
        <v>31</v>
      </c>
      <c r="G47" s="165" t="s">
        <v>32</v>
      </c>
      <c r="H47" s="165" t="s">
        <v>11</v>
      </c>
      <c r="I47" t="s">
        <v>133</v>
      </c>
      <c r="L47" s="785" t="s">
        <v>159</v>
      </c>
      <c r="M47" s="786"/>
      <c r="N47" s="789"/>
      <c r="O47" s="772" t="s">
        <v>160</v>
      </c>
      <c r="P47" s="773"/>
      <c r="Q47" s="780"/>
      <c r="R47" s="772" t="s">
        <v>125</v>
      </c>
      <c r="S47" s="773"/>
      <c r="T47" s="781"/>
    </row>
    <row r="48" spans="1:46">
      <c r="A48" s="169" t="s">
        <v>134</v>
      </c>
      <c r="B48" s="136"/>
      <c r="C48" s="136">
        <v>34.526600000000002</v>
      </c>
      <c r="D48" s="136">
        <v>2.5478999999999998</v>
      </c>
      <c r="E48" s="136">
        <v>35.853900000000003</v>
      </c>
      <c r="F48" s="139">
        <f t="shared" ref="F48:F53" si="34">E48-C48</f>
        <v>1.327300000000001</v>
      </c>
      <c r="G48" s="157">
        <f>D48-F48</f>
        <v>1.2205999999999988</v>
      </c>
      <c r="H48" s="84">
        <f t="shared" ref="H48:H53" si="35">(G48/D48)*100</f>
        <v>47.906118764472659</v>
      </c>
      <c r="I48" s="104" t="s">
        <v>31</v>
      </c>
      <c r="J48" s="104" t="s">
        <v>32</v>
      </c>
      <c r="K48" s="104" t="s">
        <v>11</v>
      </c>
      <c r="L48" s="135" t="s">
        <v>127</v>
      </c>
      <c r="M48" s="136" t="s">
        <v>113</v>
      </c>
      <c r="N48" s="136" t="s">
        <v>112</v>
      </c>
      <c r="O48" s="135" t="s">
        <v>127</v>
      </c>
      <c r="P48" s="136" t="s">
        <v>113</v>
      </c>
      <c r="Q48" s="139" t="s">
        <v>112</v>
      </c>
      <c r="R48" s="772" t="s">
        <v>128</v>
      </c>
      <c r="S48" s="773"/>
      <c r="T48" s="170" t="s">
        <v>129</v>
      </c>
      <c r="U48" s="735" t="s">
        <v>217</v>
      </c>
      <c r="V48" s="790"/>
      <c r="W48" s="736"/>
    </row>
    <row r="49" spans="1:23">
      <c r="A49" s="171" t="s">
        <v>135</v>
      </c>
      <c r="B49" s="104"/>
      <c r="C49" s="104">
        <v>36.132100000000001</v>
      </c>
      <c r="D49" s="104">
        <v>2.5234999999999999</v>
      </c>
      <c r="E49" s="104">
        <v>37.493899999999996</v>
      </c>
      <c r="F49" s="106">
        <f t="shared" si="34"/>
        <v>1.3617999999999952</v>
      </c>
      <c r="G49" s="157">
        <f t="shared" ref="G49:G50" si="36">D49-F49</f>
        <v>1.1617000000000046</v>
      </c>
      <c r="H49" s="84">
        <f t="shared" si="35"/>
        <v>46.035268476322756</v>
      </c>
      <c r="I49">
        <f>SUM(F48:F53)/6</f>
        <v>1.3400333333333332</v>
      </c>
      <c r="J49">
        <f>SUM(G48:G53)/6</f>
        <v>1.1803666666666668</v>
      </c>
      <c r="K49" s="172">
        <f>SUM(H48:H53)/6</f>
        <v>46.830219487455565</v>
      </c>
      <c r="L49" s="173">
        <f t="shared" ref="L49:L54" si="37">(H48-$K$41)^2</f>
        <v>3.5704259408457633</v>
      </c>
      <c r="M49">
        <f>SUM(L49:L54)/6</f>
        <v>1.3462125545244745</v>
      </c>
      <c r="N49" s="244">
        <f>SQRT(M49)</f>
        <v>1.1602640020807655</v>
      </c>
      <c r="O49" s="173">
        <f t="shared" ref="O49:O54" si="38">($D$46-D48)^2</f>
        <v>1.2618777777776495E-4</v>
      </c>
      <c r="P49">
        <f>SUM(O49:O54)/6</f>
        <v>4.3750777777779335E-4</v>
      </c>
      <c r="Q49" s="174">
        <f>SQRT(P49)</f>
        <v>2.0916686586976277E-2</v>
      </c>
      <c r="R49" s="766">
        <v>0.82714783551986037</v>
      </c>
      <c r="S49" s="767"/>
      <c r="T49" s="770">
        <f>(R49/K49)*100</f>
        <v>1.7662693973523418</v>
      </c>
      <c r="U49" s="737"/>
      <c r="V49" s="693"/>
      <c r="W49" s="738"/>
    </row>
    <row r="50" spans="1:23">
      <c r="A50" s="175" t="s">
        <v>136</v>
      </c>
      <c r="B50" s="108"/>
      <c r="C50" s="108">
        <v>37.705399999999997</v>
      </c>
      <c r="D50" s="108">
        <v>2.5074999999999998</v>
      </c>
      <c r="E50" s="108">
        <v>39.056399999999996</v>
      </c>
      <c r="F50" s="109">
        <f t="shared" si="34"/>
        <v>1.3509999999999991</v>
      </c>
      <c r="G50" s="157">
        <f t="shared" si="36"/>
        <v>1.1565000000000007</v>
      </c>
      <c r="H50" s="84">
        <f t="shared" si="35"/>
        <v>46.121635094715884</v>
      </c>
      <c r="L50" s="173">
        <f t="shared" si="37"/>
        <v>3.4994388577082596E-4</v>
      </c>
      <c r="N50" s="300">
        <f>_xlfn.STDEV.S(H48:H53)</f>
        <v>0.90609505581160077</v>
      </c>
      <c r="O50" s="173">
        <f t="shared" si="38"/>
        <v>1.7336111111112556E-4</v>
      </c>
      <c r="Q50" s="176"/>
      <c r="R50" s="768"/>
      <c r="S50" s="769"/>
      <c r="T50" s="771"/>
      <c r="U50" s="737"/>
      <c r="V50" s="693"/>
      <c r="W50" s="738"/>
    </row>
    <row r="51" spans="1:23">
      <c r="A51" s="169" t="s">
        <v>143</v>
      </c>
      <c r="B51" s="136"/>
      <c r="C51" s="136">
        <v>37.102800000000002</v>
      </c>
      <c r="D51" s="136">
        <v>2.5139</v>
      </c>
      <c r="E51" s="136">
        <v>38.463000000000001</v>
      </c>
      <c r="F51" s="139">
        <f t="shared" si="34"/>
        <v>1.360199999999999</v>
      </c>
      <c r="G51" s="157">
        <f>D51-F51</f>
        <v>1.1537000000000011</v>
      </c>
      <c r="H51" s="84">
        <f t="shared" si="35"/>
        <v>45.89283583276984</v>
      </c>
      <c r="L51" s="173">
        <f t="shared" si="37"/>
        <v>1.1040420554090116E-2</v>
      </c>
      <c r="N51" s="176" t="s">
        <v>250</v>
      </c>
      <c r="O51" s="173">
        <f t="shared" si="38"/>
        <v>8.5069444444447724E-4</v>
      </c>
      <c r="Q51" s="176"/>
      <c r="R51" s="831"/>
      <c r="S51" s="832"/>
      <c r="T51" s="833"/>
      <c r="U51" s="737"/>
      <c r="V51" s="693"/>
      <c r="W51" s="738"/>
    </row>
    <row r="52" spans="1:23">
      <c r="A52" s="171" t="s">
        <v>144</v>
      </c>
      <c r="B52" s="104"/>
      <c r="C52" s="104">
        <v>37.170499999999997</v>
      </c>
      <c r="D52" s="104">
        <v>2.5145</v>
      </c>
      <c r="E52" s="104">
        <v>38.4893</v>
      </c>
      <c r="F52" s="106">
        <f t="shared" si="34"/>
        <v>1.3188000000000031</v>
      </c>
      <c r="G52" s="157">
        <f t="shared" ref="G52:G53" si="39">D52-F52</f>
        <v>1.1956999999999969</v>
      </c>
      <c r="H52" s="84">
        <f t="shared" si="35"/>
        <v>47.552197255915566</v>
      </c>
      <c r="L52" s="173">
        <f t="shared" si="37"/>
        <v>1.5308087540680915E-2</v>
      </c>
      <c r="N52" s="427">
        <f>N49/H48*100</f>
        <v>2.4219536710647098</v>
      </c>
      <c r="O52" s="173">
        <f t="shared" si="38"/>
        <v>5.1832111111112841E-4</v>
      </c>
      <c r="Q52" s="176"/>
      <c r="T52" s="81"/>
      <c r="U52" s="737"/>
      <c r="V52" s="693"/>
      <c r="W52" s="738"/>
    </row>
    <row r="53" spans="1:23">
      <c r="A53" s="175" t="s">
        <v>145</v>
      </c>
      <c r="B53" s="108"/>
      <c r="C53" s="108">
        <v>36.078800000000001</v>
      </c>
      <c r="D53" s="108">
        <v>2.5150999999999999</v>
      </c>
      <c r="E53" s="108">
        <v>37.399900000000002</v>
      </c>
      <c r="F53" s="109">
        <f t="shared" si="34"/>
        <v>1.3211000000000013</v>
      </c>
      <c r="G53" s="157">
        <f t="shared" si="39"/>
        <v>1.1939999999999986</v>
      </c>
      <c r="H53" s="84">
        <f t="shared" si="35"/>
        <v>47.473261500536708</v>
      </c>
      <c r="L53" s="173">
        <f t="shared" si="37"/>
        <v>2.3581765938697621</v>
      </c>
      <c r="N53" s="245">
        <f>N50/H48*100</f>
        <v>1.891397339589038</v>
      </c>
      <c r="O53" s="173">
        <f t="shared" si="38"/>
        <v>4.9136111111113088E-4</v>
      </c>
      <c r="Q53" s="176"/>
      <c r="T53" s="81"/>
      <c r="U53" s="737"/>
      <c r="V53" s="693"/>
      <c r="W53" s="738"/>
    </row>
    <row r="54" spans="1:23" ht="15" thickBot="1">
      <c r="A54" s="177"/>
      <c r="B54" s="178"/>
      <c r="C54" s="179" t="s">
        <v>83</v>
      </c>
      <c r="D54" s="179">
        <f>SUM(D48:D53)/6</f>
        <v>2.5204</v>
      </c>
      <c r="E54" s="178"/>
      <c r="F54" s="178"/>
      <c r="G54" s="178"/>
      <c r="H54" s="178"/>
      <c r="I54" s="115"/>
      <c r="J54" s="115"/>
      <c r="K54" s="115"/>
      <c r="L54" s="173">
        <f t="shared" si="37"/>
        <v>2.1219743404507785</v>
      </c>
      <c r="M54" s="115"/>
      <c r="N54" s="115"/>
      <c r="O54" s="173">
        <f t="shared" si="38"/>
        <v>4.6512111111113319E-4</v>
      </c>
      <c r="P54" s="115"/>
      <c r="Q54" s="181"/>
      <c r="R54" s="115"/>
      <c r="S54" s="115"/>
      <c r="T54" s="116"/>
      <c r="U54" s="739"/>
      <c r="V54" s="791"/>
      <c r="W54" s="740"/>
    </row>
    <row r="55" spans="1:23" ht="15" customHeight="1" thickBot="1">
      <c r="A55" s="238" t="s">
        <v>219</v>
      </c>
      <c r="B55" s="239" t="s">
        <v>121</v>
      </c>
      <c r="C55" s="239" t="s">
        <v>41</v>
      </c>
      <c r="D55" s="239" t="s">
        <v>59</v>
      </c>
      <c r="E55" s="239" t="s">
        <v>122</v>
      </c>
      <c r="F55" s="251" t="s">
        <v>31</v>
      </c>
      <c r="G55" s="294" t="s">
        <v>32</v>
      </c>
      <c r="H55" s="239" t="s">
        <v>11</v>
      </c>
      <c r="I55" s="78" t="s">
        <v>120</v>
      </c>
      <c r="J55" s="78"/>
      <c r="K55" s="78"/>
      <c r="L55" s="913" t="s">
        <v>159</v>
      </c>
      <c r="M55" s="815"/>
      <c r="N55" s="914"/>
      <c r="O55" s="913" t="s">
        <v>160</v>
      </c>
      <c r="P55" s="815"/>
      <c r="Q55" s="914"/>
      <c r="R55" s="913" t="s">
        <v>125</v>
      </c>
      <c r="S55" s="815"/>
      <c r="T55" s="816"/>
    </row>
    <row r="56" spans="1:23">
      <c r="A56" s="169" t="s">
        <v>138</v>
      </c>
      <c r="B56" s="183"/>
      <c r="C56" s="136">
        <v>36.150599999999997</v>
      </c>
      <c r="D56" s="136">
        <v>2.5345</v>
      </c>
      <c r="E56" s="136">
        <v>37.522500000000001</v>
      </c>
      <c r="F56" s="268">
        <f>E56-C56</f>
        <v>1.3719000000000037</v>
      </c>
      <c r="G56" s="157">
        <f>D56-F56</f>
        <v>1.1625999999999963</v>
      </c>
      <c r="H56" s="84">
        <f>(G56/D56)*100</f>
        <v>45.870980469520475</v>
      </c>
      <c r="I56" s="104" t="s">
        <v>31</v>
      </c>
      <c r="J56" s="104" t="s">
        <v>32</v>
      </c>
      <c r="K56" s="104" t="s">
        <v>11</v>
      </c>
      <c r="L56" s="135" t="s">
        <v>127</v>
      </c>
      <c r="M56" s="136" t="s">
        <v>113</v>
      </c>
      <c r="N56" s="139" t="s">
        <v>112</v>
      </c>
      <c r="O56" s="135" t="s">
        <v>127</v>
      </c>
      <c r="P56" s="136" t="s">
        <v>113</v>
      </c>
      <c r="Q56" s="139" t="s">
        <v>112</v>
      </c>
      <c r="R56" s="835" t="s">
        <v>128</v>
      </c>
      <c r="S56" s="835"/>
      <c r="T56" s="253" t="s">
        <v>129</v>
      </c>
      <c r="U56" s="735" t="s">
        <v>220</v>
      </c>
      <c r="V56" s="790"/>
      <c r="W56" s="736"/>
    </row>
    <row r="57" spans="1:23">
      <c r="A57" s="171" t="s">
        <v>139</v>
      </c>
      <c r="C57" s="104">
        <v>35.396599999999999</v>
      </c>
      <c r="D57" s="104">
        <v>2.5116999999999998</v>
      </c>
      <c r="E57" s="104">
        <v>36.706800000000001</v>
      </c>
      <c r="F57" s="131">
        <f t="shared" ref="F57:F58" si="40">E57-C57</f>
        <v>1.3102000000000018</v>
      </c>
      <c r="G57" s="157">
        <f t="shared" ref="G57:G58" si="41">D57-F57</f>
        <v>1.201499999999998</v>
      </c>
      <c r="H57" s="84">
        <f t="shared" ref="H57:H58" si="42">(G57/D57)*100</f>
        <v>47.836126925986306</v>
      </c>
      <c r="I57">
        <f>SUM(F56:F61)/6</f>
        <v>1.3744833333333351</v>
      </c>
      <c r="J57">
        <f>SUM(G56:G61)/6</f>
        <v>1.1423499999999982</v>
      </c>
      <c r="K57" s="172">
        <f>SUM(H56:H61)/6</f>
        <v>45.384170733127881</v>
      </c>
      <c r="L57" s="173">
        <f t="shared" ref="L57:L62" si="43">(H56-$K$57)^2</f>
        <v>0.23698371944662691</v>
      </c>
      <c r="M57">
        <f>SUM(L57:L62)/6</f>
        <v>2.1697978774193651</v>
      </c>
      <c r="N57" s="174">
        <f>SQRT(M57)</f>
        <v>1.4730233797938732</v>
      </c>
      <c r="O57" s="173">
        <f t="shared" ref="O57:O62" si="44">($D$62-D56)^2</f>
        <v>3.121111111111208E-4</v>
      </c>
      <c r="P57">
        <f>SUM(O57:O62)/6</f>
        <v>2.149455555555559E-4</v>
      </c>
      <c r="Q57" s="174">
        <f>SQRT(P57)</f>
        <v>1.4661021640921068E-2</v>
      </c>
      <c r="R57" s="848">
        <v>1.4730233797938732</v>
      </c>
      <c r="S57" s="848"/>
      <c r="T57" s="915">
        <f>(R57/K57)*100</f>
        <v>3.2456765343486809</v>
      </c>
      <c r="U57" s="737"/>
      <c r="V57" s="693"/>
      <c r="W57" s="738"/>
    </row>
    <row r="58" spans="1:23">
      <c r="A58" s="175" t="s">
        <v>140</v>
      </c>
      <c r="B58" s="187"/>
      <c r="C58" s="108">
        <v>37.688400000000001</v>
      </c>
      <c r="D58" s="108">
        <v>2.5394000000000001</v>
      </c>
      <c r="E58" s="108">
        <v>39.051400000000001</v>
      </c>
      <c r="F58" s="131">
        <f t="shared" si="40"/>
        <v>1.3629999999999995</v>
      </c>
      <c r="G58" s="157">
        <f t="shared" si="41"/>
        <v>1.1764000000000006</v>
      </c>
      <c r="H58" s="84">
        <f t="shared" si="42"/>
        <v>46.325903756792961</v>
      </c>
      <c r="L58" s="173">
        <f t="shared" si="43"/>
        <v>6.0120891716967835</v>
      </c>
      <c r="N58" s="300">
        <f>_xlfn.STDEV.S(H56:H61)</f>
        <v>1.6136162656912076</v>
      </c>
      <c r="O58" s="173">
        <f t="shared" si="44"/>
        <v>2.6351111111109865E-5</v>
      </c>
      <c r="Q58" s="176"/>
      <c r="R58" s="848"/>
      <c r="S58" s="848"/>
      <c r="T58" s="915"/>
      <c r="U58" s="737"/>
      <c r="V58" s="693"/>
      <c r="W58" s="738"/>
    </row>
    <row r="59" spans="1:23">
      <c r="A59" s="169" t="s">
        <v>147</v>
      </c>
      <c r="B59" s="183"/>
      <c r="C59" s="136">
        <v>34.527099999999997</v>
      </c>
      <c r="D59" s="136">
        <v>2.5013000000000001</v>
      </c>
      <c r="E59" s="136">
        <v>35.918399999999998</v>
      </c>
      <c r="F59" s="131">
        <f>E59-C59</f>
        <v>1.3913000000000011</v>
      </c>
      <c r="G59" s="157">
        <f>D59-F59</f>
        <v>1.109999999999999</v>
      </c>
      <c r="H59" s="84">
        <f>(G59/D59)*100</f>
        <v>44.376923999520208</v>
      </c>
      <c r="L59" s="173">
        <f t="shared" si="43"/>
        <v>0.88686108786137385</v>
      </c>
      <c r="N59" s="176" t="s">
        <v>250</v>
      </c>
      <c r="O59" s="173">
        <f t="shared" si="44"/>
        <v>5.0925444444446257E-4</v>
      </c>
      <c r="Q59" s="176"/>
      <c r="R59" s="848"/>
      <c r="S59" s="848"/>
      <c r="T59" s="915"/>
      <c r="U59" s="737"/>
      <c r="V59" s="693"/>
      <c r="W59" s="738"/>
    </row>
    <row r="60" spans="1:23">
      <c r="A60" s="171" t="s">
        <v>148</v>
      </c>
      <c r="C60" s="104">
        <v>38.310099999999998</v>
      </c>
      <c r="D60" s="104">
        <v>2.5091999999999999</v>
      </c>
      <c r="E60" s="104">
        <v>39.701300000000003</v>
      </c>
      <c r="F60" s="131">
        <f t="shared" ref="F60:F61" si="45">E60-C60</f>
        <v>1.3912000000000049</v>
      </c>
      <c r="G60" s="157">
        <f t="shared" ref="G60:G61" si="46">D60-F60</f>
        <v>1.117999999999995</v>
      </c>
      <c r="H60" s="84">
        <f t="shared" ref="H60:H61" si="47">(G60/D60)*100</f>
        <v>44.556033795631876</v>
      </c>
      <c r="L60" s="173">
        <f t="shared" si="43"/>
        <v>1.014545982363326</v>
      </c>
      <c r="N60" s="427">
        <f>N57/H57*100</f>
        <v>3.0793115464238676</v>
      </c>
      <c r="O60" s="173">
        <f t="shared" si="44"/>
        <v>2.4128444444443268E-4</v>
      </c>
      <c r="Q60" s="176"/>
      <c r="T60" s="81"/>
      <c r="U60" s="737"/>
      <c r="V60" s="693"/>
      <c r="W60" s="738"/>
    </row>
    <row r="61" spans="1:23">
      <c r="A61" s="175" t="s">
        <v>149</v>
      </c>
      <c r="B61" s="187"/>
      <c r="C61" s="108">
        <v>36.487200000000001</v>
      </c>
      <c r="D61" s="108">
        <v>2.5049000000000001</v>
      </c>
      <c r="E61" s="108">
        <v>37.906500000000001</v>
      </c>
      <c r="F61" s="132">
        <f t="shared" si="45"/>
        <v>1.4192999999999998</v>
      </c>
      <c r="G61" s="157">
        <f t="shared" si="46"/>
        <v>1.0856000000000003</v>
      </c>
      <c r="H61" s="84">
        <f t="shared" si="47"/>
        <v>43.339055451315431</v>
      </c>
      <c r="L61" s="173">
        <f t="shared" si="43"/>
        <v>0.68581078724526212</v>
      </c>
      <c r="N61" s="245">
        <f>N58/H57*100</f>
        <v>3.3732167911249373</v>
      </c>
      <c r="O61" s="173">
        <f t="shared" si="44"/>
        <v>5.826777777777511E-5</v>
      </c>
      <c r="Q61" s="176"/>
      <c r="T61" s="81"/>
      <c r="U61" s="737"/>
      <c r="V61" s="693"/>
      <c r="W61" s="738"/>
    </row>
    <row r="62" spans="1:23" ht="15" thickBot="1">
      <c r="A62" s="177"/>
      <c r="B62" s="115"/>
      <c r="C62" s="179" t="s">
        <v>83</v>
      </c>
      <c r="D62" s="179">
        <f>SUM(D56:D61)/6</f>
        <v>2.516833333333333</v>
      </c>
      <c r="E62" s="115"/>
      <c r="F62" s="115"/>
      <c r="G62" s="115"/>
      <c r="H62" s="115"/>
      <c r="I62" s="115"/>
      <c r="J62" s="115"/>
      <c r="K62" s="115"/>
      <c r="L62" s="188">
        <f t="shared" si="43"/>
        <v>4.182496515902816</v>
      </c>
      <c r="M62" s="187"/>
      <c r="N62" s="189"/>
      <c r="O62" s="188">
        <f t="shared" si="44"/>
        <v>1.4240444444443427E-4</v>
      </c>
      <c r="P62" s="187"/>
      <c r="Q62" s="189"/>
      <c r="R62" s="115"/>
      <c r="S62" s="115"/>
      <c r="T62" s="116"/>
      <c r="U62" s="739"/>
      <c r="V62" s="791"/>
      <c r="W62" s="740"/>
    </row>
  </sheetData>
  <mergeCells count="66">
    <mergeCell ref="AF1:AP1"/>
    <mergeCell ref="AR19:AT19"/>
    <mergeCell ref="AM4:AN4"/>
    <mergeCell ref="AO4:AP4"/>
    <mergeCell ref="AG5:AH5"/>
    <mergeCell ref="AI5:AJ5"/>
    <mergeCell ref="AK5:AL5"/>
    <mergeCell ref="AM5:AN5"/>
    <mergeCell ref="AO5:AP5"/>
    <mergeCell ref="AM2:AN2"/>
    <mergeCell ref="AO2:AP2"/>
    <mergeCell ref="AG3:AH3"/>
    <mergeCell ref="AI3:AJ3"/>
    <mergeCell ref="AK3:AL3"/>
    <mergeCell ref="AM3:AN3"/>
    <mergeCell ref="AO3:AP3"/>
    <mergeCell ref="X39:Z45"/>
    <mergeCell ref="R40:S40"/>
    <mergeCell ref="AG2:AH2"/>
    <mergeCell ref="AI2:AJ2"/>
    <mergeCell ref="AK2:AL2"/>
    <mergeCell ref="AG4:AH4"/>
    <mergeCell ref="AI4:AJ4"/>
    <mergeCell ref="AK4:AL4"/>
    <mergeCell ref="R13:S13"/>
    <mergeCell ref="R3:S3"/>
    <mergeCell ref="R4:S6"/>
    <mergeCell ref="T4:T6"/>
    <mergeCell ref="R8:S8"/>
    <mergeCell ref="R9:S11"/>
    <mergeCell ref="T9:T11"/>
    <mergeCell ref="R14:S16"/>
    <mergeCell ref="A38:H38"/>
    <mergeCell ref="U39:W45"/>
    <mergeCell ref="R41:S44"/>
    <mergeCell ref="T41:T44"/>
    <mergeCell ref="U48:W54"/>
    <mergeCell ref="R49:S51"/>
    <mergeCell ref="T49:T51"/>
    <mergeCell ref="U56:W62"/>
    <mergeCell ref="L39:N39"/>
    <mergeCell ref="O39:Q39"/>
    <mergeCell ref="R39:T39"/>
    <mergeCell ref="A20:H20"/>
    <mergeCell ref="I20:K20"/>
    <mergeCell ref="L20:N20"/>
    <mergeCell ref="L25:N25"/>
    <mergeCell ref="L30:N30"/>
    <mergeCell ref="L47:N47"/>
    <mergeCell ref="O47:Q47"/>
    <mergeCell ref="R47:T47"/>
    <mergeCell ref="R48:S48"/>
    <mergeCell ref="R56:S56"/>
    <mergeCell ref="R57:S59"/>
    <mergeCell ref="T57:T59"/>
    <mergeCell ref="A1:H1"/>
    <mergeCell ref="I1:K1"/>
    <mergeCell ref="L2:N2"/>
    <mergeCell ref="O2:Q2"/>
    <mergeCell ref="R2:T2"/>
    <mergeCell ref="T14:T16"/>
    <mergeCell ref="L17:N17"/>
    <mergeCell ref="L35:N35"/>
    <mergeCell ref="L55:N55"/>
    <mergeCell ref="O55:Q55"/>
    <mergeCell ref="R55:T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Prueba B-Yzoon Analisis proximo</vt:lpstr>
      <vt:lpstr>Torrefaccion 200 y 15</vt:lpstr>
      <vt:lpstr>Torrefaccion 200 y 30</vt:lpstr>
      <vt:lpstr>Torrefaccion 250 y 15</vt:lpstr>
      <vt:lpstr>Torrefaccion 250 y 30</vt:lpstr>
      <vt:lpstr>Torrefaccion 275 y 15</vt:lpstr>
      <vt:lpstr>Torrefaccion 275 y 30</vt:lpstr>
      <vt:lpstr>Torrefaccion 300 y 15</vt:lpstr>
      <vt:lpstr>Torrefaccion 300 y 30</vt:lpstr>
      <vt:lpstr>Analisis de torrefacciones</vt:lpstr>
      <vt:lpstr>Pruebas de poder calorifico</vt:lpstr>
      <vt:lpstr>Analisis mejor opcion</vt:lpstr>
      <vt:lpstr>Higrometria</vt:lpstr>
      <vt:lpstr>Analisis elemental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User</cp:lastModifiedBy>
  <dcterms:created xsi:type="dcterms:W3CDTF">2020-01-24T23:16:14Z</dcterms:created>
  <dcterms:modified xsi:type="dcterms:W3CDTF">2022-11-15T05:31:01Z</dcterms:modified>
</cp:coreProperties>
</file>