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studio de Mercados" sheetId="1" r:id="rId4"/>
    <sheet state="visible" name="Estudio Administrativo" sheetId="2" r:id="rId5"/>
    <sheet state="visible" name="Estudio Financiero" sheetId="3" r:id="rId6"/>
    <sheet state="visible" name="Escenario positivo" sheetId="4" r:id="rId7"/>
    <sheet state="visible" name="Escenario negativo" sheetId="5" r:id="rId8"/>
    <sheet state="visible" name="DTF" sheetId="6" r:id="rId9"/>
    <sheet state="visible" name="Proyeccion de la demanda " sheetId="7" r:id="rId10"/>
  </sheets>
  <definedNames>
    <definedName localSheetId="1" name="_Toc50733804">'Estudio Administrativo'!$A$19</definedName>
    <definedName localSheetId="1" name="_Toc50733802">#REF!</definedName>
    <definedName localSheetId="1" name="_Toc50733803">#REF!</definedName>
  </definedNames>
  <calcPr/>
  <extLst>
    <ext uri="GoogleSheetsCustomDataVersion2">
      <go:sheetsCustomData xmlns:go="http://customooxmlschemas.google.com/" r:id="rId11" roundtripDataChecksum="LdRuPbuEBAxkr4v/JajdQ4P37L/G/RZvuUGqY4r1Rbk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37">
      <text>
        <t xml:space="preserve">======
ID#AAABS3A_HJk
Autor    (2024-07-30 17:41:23)
Personal administrativo y de ventas</t>
      </text>
    </comment>
    <comment authorId="0" ref="A21">
      <text>
        <t xml:space="preserve">======
ID#AAABS3A_HJM
Autor    (2024-07-30 17:41:23)
Actualizar según año en curso</t>
      </text>
    </comment>
  </commentList>
  <extLst>
    <ext uri="GoogleSheetsCustomDataVersion2">
      <go:sheetsCustomData xmlns:go="http://customooxmlschemas.google.com/" r:id="rId1" roundtripDataSignature="AMtx7mhip3H2yv3Tw9ZzMnRC2BJtX0r6jg=="/>
    </ext>
  </extL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357">
      <text>
        <t xml:space="preserve">======
ID#AAABS3A_HKM
Autor    (2024-07-30 17:41:23)
Numero de meses a solicitar el crédito</t>
      </text>
    </comment>
    <comment authorId="0" ref="A358">
      <text>
        <t xml:space="preserve">======
ID#AAABS3A_HKA
Autor    (2024-07-30 17:41:23)
Editar según la tasa de interes mensual actual</t>
      </text>
    </comment>
    <comment authorId="0" ref="A499">
      <text>
        <t xml:space="preserve">======
ID#AAABS3A_HJ4
Autor    (2024-07-30 17:41:23)
Defina el procentaje de ventas que espera aumentar en los próximos años.</t>
      </text>
    </comment>
    <comment authorId="0" ref="F222">
      <text>
        <t xml:space="preserve">======
ID#AAABS3A_HJo
Autor    (2024-07-30 17:41:23)
Valores entre o y 100</t>
      </text>
    </comment>
    <comment authorId="0" ref="F221">
      <text>
        <t xml:space="preserve">======
ID#AAABS3A_HJQ
Autor    (2024-07-30 17:41:23)
Defina que porcentaje del gasto corresponde a la parte operativa y cuanto a la parte administrativa y de ventas</t>
      </text>
    </comment>
    <comment authorId="0" ref="A648">
      <text>
        <t xml:space="preserve">======
ID#AAABS3A_HI0
Autor    (2024-07-30 17:41:23)
Consultar tasa actual</t>
      </text>
    </comment>
    <comment authorId="0" ref="A219">
      <text>
        <t xml:space="preserve">======
ID#AAABS3A_HIs
Autor    (2024-07-30 17:41:23)
Porcentaje y costo según corresponda a costos y gastos operativos y administrativos y de ventas.</t>
      </text>
    </comment>
    <comment authorId="0" ref="A489">
      <text>
        <t xml:space="preserve">======
ID#AAABS3A8Y2w
Autor    (2024-07-30 17:41:23)
Defina un margen de venta estimado para su producto o servicio</t>
      </text>
    </comment>
  </commentList>
  <extLst>
    <ext uri="GoogleSheetsCustomDataVersion2">
      <go:sheetsCustomData xmlns:go="http://customooxmlschemas.google.com/" r:id="rId1" roundtripDataSignature="AMtx7mjVA0N1PbrcAFX00xP/rU2mG94tMQ=="/>
    </ext>
  </extLst>
</comments>
</file>

<file path=xl/sharedStrings.xml><?xml version="1.0" encoding="utf-8"?>
<sst xmlns="http://schemas.openxmlformats.org/spreadsheetml/2006/main" count="1499" uniqueCount="392">
  <si>
    <t>ESTUDIO DE MERCADOS</t>
  </si>
  <si>
    <t>El estudio del mercado, en cualquier tipo de proyecto, constituye una fuente de información para la estimación de la demanda, proyección de costos y estimación de precios.</t>
  </si>
  <si>
    <t>Tabla de participación en el mercado</t>
  </si>
  <si>
    <t>¿Qué tan grandes son tus competidores?</t>
  </si>
  <si>
    <t>¿Qué tantos competidores tienes?</t>
  </si>
  <si>
    <t>¿Qué tan similares son sus productos a los tuyos?</t>
  </si>
  <si>
    <t>¿Cuál parece ser su participación?</t>
  </si>
  <si>
    <t>Está compuesta por:</t>
  </si>
  <si>
    <t>Grandes</t>
  </si>
  <si>
    <t>Muchos</t>
  </si>
  <si>
    <t>Similares</t>
  </si>
  <si>
    <t>0 - 0,5%</t>
  </si>
  <si>
    <t>Algunos</t>
  </si>
  <si>
    <t>1.</t>
  </si>
  <si>
    <t>Análisis de la demanda</t>
  </si>
  <si>
    <t>Uno</t>
  </si>
  <si>
    <t>0,5 - 5%</t>
  </si>
  <si>
    <t>Diferentes</t>
  </si>
  <si>
    <t>2.</t>
  </si>
  <si>
    <t>Plan de comercialización</t>
  </si>
  <si>
    <t>10 - 15%</t>
  </si>
  <si>
    <t>Pequeños</t>
  </si>
  <si>
    <t>5 - 10%</t>
  </si>
  <si>
    <t>ANÁLISIS DE LA DEMANDA</t>
  </si>
  <si>
    <t>DEMANDA POTENCIAL</t>
  </si>
  <si>
    <t>20 - 30%</t>
  </si>
  <si>
    <t>30 - 50%</t>
  </si>
  <si>
    <t>40 - 80%</t>
  </si>
  <si>
    <t>Sin competencia</t>
  </si>
  <si>
    <t>80 - 100%</t>
  </si>
  <si>
    <t>DEMANDA REAL</t>
  </si>
  <si>
    <t>Tomado de: https://www.entrepreneur.com/article/264164</t>
  </si>
  <si>
    <t>IR ESTUDIO DE MERCADOS</t>
  </si>
  <si>
    <t>PARTICIPACIÓN EN EL MERCADO</t>
  </si>
  <si>
    <t>VER TABLA DE PARTICIPACIÓN</t>
  </si>
  <si>
    <t>PLAN DE COMERCIALIZACIÓN</t>
  </si>
  <si>
    <t>Realice el plan de comercialización a ejecutar conciderando el plan de mercadeo y ventas; promoción, publicidad, precios, plaza, etc.</t>
  </si>
  <si>
    <t xml:space="preserve">ESTRATEGIA </t>
  </si>
  <si>
    <t xml:space="preserve">ACTIVIDADES A REALIZAR </t>
  </si>
  <si>
    <t xml:space="preserve">IMPACTO ESPERADO </t>
  </si>
  <si>
    <t>FECHA INICIO</t>
  </si>
  <si>
    <t>FECHA FINAL</t>
  </si>
  <si>
    <t>RESPONSABLE</t>
  </si>
  <si>
    <t>COSTO</t>
  </si>
  <si>
    <t xml:space="preserve">EVALUACIÓN </t>
  </si>
  <si>
    <t>OBSERVACIONES</t>
  </si>
  <si>
    <t xml:space="preserve">Presencia en redes </t>
  </si>
  <si>
    <t xml:space="preserve">Marketing Digital - Lanzammiento </t>
  </si>
  <si>
    <t xml:space="preserve">ALTO </t>
  </si>
  <si>
    <t xml:space="preserve">inicio del proyecto </t>
  </si>
  <si>
    <t xml:space="preserve">Comunity manager </t>
  </si>
  <si>
    <t xml:space="preserve">Se requiere campaña de lanzamiento con marketing digital con el objetivo de inagurar el complejo turistico </t>
  </si>
  <si>
    <t xml:space="preserve">Marketing </t>
  </si>
  <si>
    <t xml:space="preserve">final del proyecto </t>
  </si>
  <si>
    <t xml:space="preserve">Se reconoce un valor mensual por ops para el manejo de actividades relacionadas con el amrketing de la empresa </t>
  </si>
  <si>
    <t>COSTO TOTAL</t>
  </si>
  <si>
    <t>ESTUDIO ADMINISTRATIVO</t>
  </si>
  <si>
    <t>A continuación, se definen las herramientas que sirven de guía para la planeación estratégica que defina el rumbo y las acciones a realizar para alcanzar los objetivos de la empresa.</t>
  </si>
  <si>
    <t>Está compuesto por:</t>
  </si>
  <si>
    <t>Organigrama</t>
  </si>
  <si>
    <t>Perfiles de talento humano</t>
  </si>
  <si>
    <t>3.</t>
  </si>
  <si>
    <t>Plan salarial</t>
  </si>
  <si>
    <t>EL ORGANIGRAMA Y PERFILES DE TALENTO HUMANO SE ENCUENTRAN EN EL APENDICE D Y EN EL LIBRO FINAL</t>
  </si>
  <si>
    <t>PLAN SALARIAL</t>
  </si>
  <si>
    <t>SMMLV (2020)</t>
  </si>
  <si>
    <t>Aux. Transporte</t>
  </si>
  <si>
    <t>MANODE OBRA DIRECTA</t>
  </si>
  <si>
    <t>CARGO</t>
  </si>
  <si>
    <t>CANTIDAD</t>
  </si>
  <si>
    <t>SALARIO</t>
  </si>
  <si>
    <t>AUXILIO DE TRANSPORTE</t>
  </si>
  <si>
    <t>SALUD</t>
  </si>
  <si>
    <t>PENSIÓN</t>
  </si>
  <si>
    <t>ARL</t>
  </si>
  <si>
    <t>CESANTIAS</t>
  </si>
  <si>
    <t>INTERÉS CESANTÍAS</t>
  </si>
  <si>
    <t>VACACIONES</t>
  </si>
  <si>
    <t>PRIMA</t>
  </si>
  <si>
    <t>PARAFISCALES</t>
  </si>
  <si>
    <t>DOTACIÓN</t>
  </si>
  <si>
    <t>SUELDO MENSUAL</t>
  </si>
  <si>
    <t>SUELDO ANUAL</t>
  </si>
  <si>
    <t xml:space="preserve">Geerente </t>
  </si>
  <si>
    <t xml:space="preserve">Asistente operativo </t>
  </si>
  <si>
    <t>TOTAL</t>
  </si>
  <si>
    <t>MANODE OBRA INDIRECTA</t>
  </si>
  <si>
    <t>IR ESTUDIO ADMINISTRATIVO</t>
  </si>
  <si>
    <t>ESTUDIO FINANCIERO</t>
  </si>
  <si>
    <t>Es el proceso a través del cual se analiza la viabilidad de un proyecto, tomando como base los recursos económicos disponibles y el coste total estimado del proyecto.</t>
  </si>
  <si>
    <t>Inversiones</t>
  </si>
  <si>
    <t>Costos y gastos</t>
  </si>
  <si>
    <t>Crédito</t>
  </si>
  <si>
    <t>INVERSIÓN FIJA</t>
  </si>
  <si>
    <t>TALENTO HUMANO</t>
  </si>
  <si>
    <t>4.</t>
  </si>
  <si>
    <t>Proyecciones</t>
  </si>
  <si>
    <t>INVERSIÓN DIFERIDA</t>
  </si>
  <si>
    <t>SERVICIOS PUBLICOS Y ARRENDAMIENTO</t>
  </si>
  <si>
    <t>INVERSIÓN INICIAL</t>
  </si>
  <si>
    <t>DEPRECIACIÓN</t>
  </si>
  <si>
    <t>PROYECCIÓN DE UNIDADES A VENDER</t>
  </si>
  <si>
    <t>MATERIA PRIMA Y/O INSUMOS</t>
  </si>
  <si>
    <t>ESTADO DE RESULTADOS PROYECTADOS</t>
  </si>
  <si>
    <t>COSTOS INDIRECTOS DE FABRICACIÓN</t>
  </si>
  <si>
    <t>FLUJO DE CAJA PROYECTADO</t>
  </si>
  <si>
    <t>PRORRATEO DE COSTOS Y GASTOS</t>
  </si>
  <si>
    <t>BALANCE GENERAL PROYECTADO</t>
  </si>
  <si>
    <t>COSTO DEL PRODUCTO O SERVICIO</t>
  </si>
  <si>
    <t>VERIFICACIÓN DE SALDOS</t>
  </si>
  <si>
    <t>GASTOS DE ADMINISTRACIÓN Y VENTAS</t>
  </si>
  <si>
    <t>RAZONES FINANCIERAS</t>
  </si>
  <si>
    <t>GASTOS FINANCIEROS</t>
  </si>
  <si>
    <t>CAPITAL DE TRABAJO</t>
  </si>
  <si>
    <t>5.</t>
  </si>
  <si>
    <t>Evaluación</t>
  </si>
  <si>
    <t>COSTOS FIJOS</t>
  </si>
  <si>
    <t>COSTOS VARIBLES</t>
  </si>
  <si>
    <t>TASA DE OPORTUNIDAD</t>
  </si>
  <si>
    <t>COSTOS TOTALES UNITARIOS</t>
  </si>
  <si>
    <t>VALOR PRESENTE NETO</t>
  </si>
  <si>
    <t>TASA INTERNA DE RETORNO</t>
  </si>
  <si>
    <t>INVERSIONES</t>
  </si>
  <si>
    <t>IR ESTUDIO FINANCIERO</t>
  </si>
  <si>
    <t>CONCEPTO</t>
  </si>
  <si>
    <t>DESCRIPCION</t>
  </si>
  <si>
    <t>VALOR UNITARIO</t>
  </si>
  <si>
    <t>VALOR TOTAL</t>
  </si>
  <si>
    <t>Terreno (Compra o lote para terrenos)</t>
  </si>
  <si>
    <t>SUBTOTAL</t>
  </si>
  <si>
    <t>Construcciones</t>
  </si>
  <si>
    <t>Cabañas tipo rusticas  (capacidad 10 personas - alojamiento compartido)</t>
  </si>
  <si>
    <t>Cabañas tipo rusticas  (capacidad 5 personas - tradicional)</t>
  </si>
  <si>
    <t>Cabañas tipo rusticas  (capacidad 2 personas - para pareja)</t>
  </si>
  <si>
    <t>Maquinaria y equipos</t>
  </si>
  <si>
    <t>Elementos de seguridad (chalecos y cascos de seguridad)</t>
  </si>
  <si>
    <t>Muebles y enseres</t>
  </si>
  <si>
    <t>Equipo de habitación  para parejas (1 mini bar, 1 somier, 2 mesas de noche y 1 televisor)</t>
  </si>
  <si>
    <t>Equipo de habitación  cabaña alojamiento compartido  (10 somieres y 1 televisor)</t>
  </si>
  <si>
    <t>Equipo cabaña tradicional  ( 1 mini bar, 5 somier, Armario y 1 televisor)</t>
  </si>
  <si>
    <t>Equipos de oficina</t>
  </si>
  <si>
    <t>Computador (computador de mesa)</t>
  </si>
  <si>
    <t xml:space="preserve">Celular movil </t>
  </si>
  <si>
    <t>Vehículos</t>
  </si>
  <si>
    <t>TOTAL INVERSIONES FIJAS</t>
  </si>
  <si>
    <t>Estudios de Factibilidad</t>
  </si>
  <si>
    <t>Varios de Construcción (Licencia, registros y escrituras)</t>
  </si>
  <si>
    <t>Legalización Construcción (Registro)</t>
  </si>
  <si>
    <t>Escritura de Constitución</t>
  </si>
  <si>
    <t>Registro de libros y documentos</t>
  </si>
  <si>
    <t>Adecuaciones y remodelaciones</t>
  </si>
  <si>
    <t>Software</t>
  </si>
  <si>
    <t>Publicidad y lanzamiento</t>
  </si>
  <si>
    <t>Amortización anual (5 años)</t>
  </si>
  <si>
    <t>TOTAL INVERSIONES DIFERIDAS</t>
  </si>
  <si>
    <t>APORTES</t>
  </si>
  <si>
    <t>Aporte social</t>
  </si>
  <si>
    <t>Prestamos y créditos</t>
  </si>
  <si>
    <t>COSTOS Y GASTOS</t>
  </si>
  <si>
    <t>DESCRIPCIÓN</t>
  </si>
  <si>
    <t>VALOR MENSUAL</t>
  </si>
  <si>
    <t>VALOR ANUAL</t>
  </si>
  <si>
    <t>Mano de obra directa</t>
  </si>
  <si>
    <t>Mano de obra indirecta</t>
  </si>
  <si>
    <t>MENSUAL</t>
  </si>
  <si>
    <t>ANUAL</t>
  </si>
  <si>
    <t>Gas</t>
  </si>
  <si>
    <t>Acueducto, alcantarillado y aseo</t>
  </si>
  <si>
    <t>Energía</t>
  </si>
  <si>
    <t>Teléfono, internet banda ancha</t>
  </si>
  <si>
    <t>Arrendamiento</t>
  </si>
  <si>
    <t>TIEMPO A DEPRECIAR</t>
  </si>
  <si>
    <t>VALOR</t>
  </si>
  <si>
    <t>DEPRECIACIÓN MENSUAL</t>
  </si>
  <si>
    <t>DEPRECIACIÓN ANUAL</t>
  </si>
  <si>
    <t>VALOR POR UNIDAD</t>
  </si>
  <si>
    <t>CONSUMO UNIDAD PRODUCIDA</t>
  </si>
  <si>
    <t>COSTO POR UNIDAD</t>
  </si>
  <si>
    <t>COSTO MENSUAL</t>
  </si>
  <si>
    <t>COSTO ANUAL</t>
  </si>
  <si>
    <t xml:space="preserve">Insumos de cocina - alimentos para las preparaciones </t>
  </si>
  <si>
    <t xml:space="preserve">Insumos de aseo </t>
  </si>
  <si>
    <t>Mantenimiento</t>
  </si>
  <si>
    <t>Seguros</t>
  </si>
  <si>
    <t xml:space="preserve">Depreciación </t>
  </si>
  <si>
    <t>Servicios públicos</t>
  </si>
  <si>
    <t>Otros</t>
  </si>
  <si>
    <t>PORCENTAJE DE PRORRATEO</t>
  </si>
  <si>
    <t>VALOR DEL PRORRATEO</t>
  </si>
  <si>
    <t>OPERATIVO</t>
  </si>
  <si>
    <t>ADMINISTRATIVO Y DE VENTAS</t>
  </si>
  <si>
    <t>SERVICIOS PUBLICOS</t>
  </si>
  <si>
    <t>Mano se obra directa</t>
  </si>
  <si>
    <t>Materia prima</t>
  </si>
  <si>
    <t>Costos indirectos de fabricación</t>
  </si>
  <si>
    <t>Cafetería</t>
  </si>
  <si>
    <t>Imprevistos</t>
  </si>
  <si>
    <t>Publicidad de operación</t>
  </si>
  <si>
    <t>Papelería</t>
  </si>
  <si>
    <t>Amortización de diferidos</t>
  </si>
  <si>
    <t>Contratación externa</t>
  </si>
  <si>
    <t>Intereses año 1</t>
  </si>
  <si>
    <t>Intereses año 2</t>
  </si>
  <si>
    <t>Intereses año 3</t>
  </si>
  <si>
    <t>Intereses año 4</t>
  </si>
  <si>
    <t>Intereses año 5</t>
  </si>
  <si>
    <t>¿Para cuantos meses necesita capital?</t>
  </si>
  <si>
    <t>VALOR PRIMER MES</t>
  </si>
  <si>
    <t>VALOR A NECESITAR</t>
  </si>
  <si>
    <t>Costos del producto</t>
  </si>
  <si>
    <t>Gastos administración y ventas</t>
  </si>
  <si>
    <t>Gastos financieros</t>
  </si>
  <si>
    <t>Gravamen 4 x 1.000</t>
  </si>
  <si>
    <t>Depreciaciones y amortizaciones</t>
  </si>
  <si>
    <t>Costos indirectos fijos</t>
  </si>
  <si>
    <t>Servicios</t>
  </si>
  <si>
    <t>Depreciación</t>
  </si>
  <si>
    <t>Costos indirectos variables (Servicios)</t>
  </si>
  <si>
    <t>Costos fijos</t>
  </si>
  <si>
    <t>Costos variables</t>
  </si>
  <si>
    <t>CRÉDITO</t>
  </si>
  <si>
    <t>MONTO A SOLICITAR</t>
  </si>
  <si>
    <t>TIEMPO (meses)</t>
  </si>
  <si>
    <t>TASA DE INTERES MENSUAL</t>
  </si>
  <si>
    <t>Efectivo anual</t>
  </si>
  <si>
    <t>VALOR PAGO MENSUAL</t>
  </si>
  <si>
    <t>Resumen del crédito</t>
  </si>
  <si>
    <t>AÑO</t>
  </si>
  <si>
    <t>PAGO</t>
  </si>
  <si>
    <t>INTERESES</t>
  </si>
  <si>
    <t>ABONO A CAPITAL</t>
  </si>
  <si>
    <t>SALDO</t>
  </si>
  <si>
    <r>
      <rPr>
        <rFont val="Calibri"/>
        <b/>
        <color theme="1"/>
        <sz val="11.0"/>
      </rPr>
      <t xml:space="preserve">NOTA: </t>
    </r>
    <r>
      <rPr>
        <rFont val="Calibri"/>
        <color theme="1"/>
        <sz val="11.0"/>
      </rPr>
      <t>Tabla realizada considerando un periodo máximo de 5 años</t>
    </r>
  </si>
  <si>
    <t>CUOTA</t>
  </si>
  <si>
    <t>PROYECCIONES</t>
  </si>
  <si>
    <t>ESTIMACIÓN DEL PRECIO DE VENTA</t>
  </si>
  <si>
    <t>AÑO 2024</t>
  </si>
  <si>
    <t>AÑO 2025</t>
  </si>
  <si>
    <t>AÑO 2026</t>
  </si>
  <si>
    <t>AÑO 2027</t>
  </si>
  <si>
    <t>AÑO 2028</t>
  </si>
  <si>
    <t>Unidades a vender</t>
  </si>
  <si>
    <t>Incremento anual</t>
  </si>
  <si>
    <t>-</t>
  </si>
  <si>
    <t>COSTOS DE PRESTACION DE SERVICIO</t>
  </si>
  <si>
    <t>Costos indirectos de fabricación fijos</t>
  </si>
  <si>
    <t>Costos indirectos de fabricación variables</t>
  </si>
  <si>
    <t>UTILIDAD BRUTA</t>
  </si>
  <si>
    <t>UTILIDAD OPERACIONAL</t>
  </si>
  <si>
    <t>Otros ingresos</t>
  </si>
  <si>
    <t>UTILIDAD ANTES DE IMPUESTOS</t>
  </si>
  <si>
    <t>Provisión para impuestos</t>
  </si>
  <si>
    <t>UTILIDAD NETA</t>
  </si>
  <si>
    <t>Reservas</t>
  </si>
  <si>
    <t>UTILIDAD DEL EJERCICIO</t>
  </si>
  <si>
    <t>AÑO 0</t>
  </si>
  <si>
    <t>AÑO 1</t>
  </si>
  <si>
    <t>AÑO 2</t>
  </si>
  <si>
    <t>AÑO 3</t>
  </si>
  <si>
    <t>AÑO 4</t>
  </si>
  <si>
    <t>AÑO 5</t>
  </si>
  <si>
    <t>INGRESOS OPERACIONALES</t>
  </si>
  <si>
    <t>Recuperación de cartera</t>
  </si>
  <si>
    <t>TOTAL INGRESOS OPERACIONALES</t>
  </si>
  <si>
    <t>COSTOS OPERACIONES</t>
  </si>
  <si>
    <t>Costos Indirectos variables</t>
  </si>
  <si>
    <t>(-) Depreciación</t>
  </si>
  <si>
    <t>(-) Amortización</t>
  </si>
  <si>
    <t>Impuestos</t>
  </si>
  <si>
    <t>FLUJO DE CAJA OPERACIONAL NETO</t>
  </si>
  <si>
    <t>FLUJO DE CAJA LIBRE</t>
  </si>
  <si>
    <t>FINANCIACIÓN</t>
  </si>
  <si>
    <t>Aporte socios</t>
  </si>
  <si>
    <t>Créditos</t>
  </si>
  <si>
    <t xml:space="preserve">Financiaciación </t>
  </si>
  <si>
    <t>(-) Abono a capital</t>
  </si>
  <si>
    <t>(-) Pago intereses</t>
  </si>
  <si>
    <t>(-) Gravámen 4 x 1.000</t>
  </si>
  <si>
    <t>(-) Pago utilidades</t>
  </si>
  <si>
    <t>FLUJO DE CAJA NETO</t>
  </si>
  <si>
    <t>Saldo anterior de caja y bancos</t>
  </si>
  <si>
    <t>FLUJO FINAL DE CAJA</t>
  </si>
  <si>
    <t>CAJA Y BANCOS</t>
  </si>
  <si>
    <t>ACTIVO CORRIENTE</t>
  </si>
  <si>
    <t>Terrenos</t>
  </si>
  <si>
    <t>Maquinaria y equipo</t>
  </si>
  <si>
    <t>Depreciación acumulada</t>
  </si>
  <si>
    <t>TOTAL ACTIVO FIJO NETO</t>
  </si>
  <si>
    <t>Inversion diferida</t>
  </si>
  <si>
    <t>Amortización Diferida</t>
  </si>
  <si>
    <t>ACTIVO DIFERIDO NETO</t>
  </si>
  <si>
    <t>TOTAL ACTIVO</t>
  </si>
  <si>
    <t>Obligaciones financieras</t>
  </si>
  <si>
    <t>Impuestos por pagar</t>
  </si>
  <si>
    <t>PASIVO CORRIENTE</t>
  </si>
  <si>
    <t>Obligaciones financieras a largo plazo</t>
  </si>
  <si>
    <t>TOTAL PASIVO</t>
  </si>
  <si>
    <t>Utilidades</t>
  </si>
  <si>
    <t>Reservas de las utilidades</t>
  </si>
  <si>
    <t>TOTAL PATRIMONIO</t>
  </si>
  <si>
    <t>PASIVO + PATRIMONIO</t>
  </si>
  <si>
    <t>La verificación de los datos debe ser igual a  0</t>
  </si>
  <si>
    <t>Razón corriente</t>
  </si>
  <si>
    <t>Nivel de endeudamiento</t>
  </si>
  <si>
    <t>Rotación de activos</t>
  </si>
  <si>
    <t>Margen bruto de ganancia</t>
  </si>
  <si>
    <t>Margen Neto de utilidad</t>
  </si>
  <si>
    <t>EVALUACIÓN</t>
  </si>
  <si>
    <t>Tasa de oportunidad</t>
  </si>
  <si>
    <t>DTF</t>
  </si>
  <si>
    <t xml:space="preserve">DTF PROMEDIO PRIMER SEMESTRE 2024 </t>
  </si>
  <si>
    <t>Riesgo</t>
  </si>
  <si>
    <t>FLUJO ESPERADO</t>
  </si>
  <si>
    <t>VPN</t>
  </si>
  <si>
    <t>TIR</t>
  </si>
  <si>
    <t xml:space="preserve">Tiempo de recuperacion </t>
  </si>
  <si>
    <t xml:space="preserve">INVERSION INICIAL </t>
  </si>
  <si>
    <t xml:space="preserve">FLUJO ACUMULADO </t>
  </si>
  <si>
    <t xml:space="preserve">ACUMULADO - INVERSION INICIAL </t>
  </si>
  <si>
    <t xml:space="preserve">EN ESTE AÑO SE RECUPERA LA INVERSION </t>
  </si>
  <si>
    <t xml:space="preserve">LA INVERSION SE RECUPERA EN DOS AÑOS 8 MESES Y 19 DIAS </t>
  </si>
  <si>
    <t xml:space="preserve">FLUJO ESPERADO POR DIA AÑO 3 </t>
  </si>
  <si>
    <t xml:space="preserve">DÍAS PARA RECUPERAR LA INVERSION </t>
  </si>
  <si>
    <t xml:space="preserve">TIEMPO EN MESES </t>
  </si>
  <si>
    <t xml:space="preserve">TIEMPO EN DIAS </t>
  </si>
  <si>
    <t xml:space="preserve">RENTABILIDAD MINIMA O COSTE DE CAPITAL </t>
  </si>
  <si>
    <t>%D</t>
  </si>
  <si>
    <t>%K</t>
  </si>
  <si>
    <t>D/K</t>
  </si>
  <si>
    <t>BETA APALANCADA</t>
  </si>
  <si>
    <t>Beta desapalancada</t>
  </si>
  <si>
    <t>RF</t>
  </si>
  <si>
    <t xml:space="preserve">USD </t>
  </si>
  <si>
    <t>COP</t>
  </si>
  <si>
    <t>Ke</t>
  </si>
  <si>
    <t>RM</t>
  </si>
  <si>
    <t>RM-RF</t>
  </si>
  <si>
    <t>WACC</t>
  </si>
  <si>
    <t>Como la empresa se apalanca solo en capital propio el wacc es igual al Ke</t>
  </si>
  <si>
    <t>Inflación Colombia</t>
  </si>
  <si>
    <t>Inflación USA</t>
  </si>
  <si>
    <t xml:space="preserve">Utilidad neta minima </t>
  </si>
  <si>
    <t>Diferencial inflación</t>
  </si>
  <si>
    <t>KDp</t>
  </si>
  <si>
    <t>EVA</t>
  </si>
  <si>
    <t>KDT</t>
  </si>
  <si>
    <t xml:space="preserve">Activos = Pasivo + Patrimonio </t>
  </si>
  <si>
    <t xml:space="preserve">BETA </t>
  </si>
  <si>
    <t>https://pages.stern.nyu.edu/~adamodar/New_Home_Page/datafile/Betas.html</t>
  </si>
  <si>
    <t xml:space="preserve">RM </t>
  </si>
  <si>
    <t>https://finance.yahoo.com/quote/%5EGSPC/</t>
  </si>
  <si>
    <r>
      <rPr>
        <rFont val="Calibri"/>
        <b/>
        <color theme="1"/>
        <sz val="11.0"/>
      </rPr>
      <t xml:space="preserve">NOTA: </t>
    </r>
    <r>
      <rPr>
        <rFont val="Calibri"/>
        <color theme="1"/>
        <sz val="11.0"/>
      </rPr>
      <t>Tabla realizada considerando un periodo máximo de 5 años</t>
    </r>
  </si>
  <si>
    <r>
      <rPr>
        <rFont val="Calibri"/>
        <b/>
        <color theme="1"/>
        <sz val="11.0"/>
      </rPr>
      <t xml:space="preserve">NOTA: </t>
    </r>
    <r>
      <rPr>
        <rFont val="Calibri"/>
        <color theme="1"/>
        <sz val="11.0"/>
      </rPr>
      <t>Tabla realizada considerando un periodo máximo de 5 años</t>
    </r>
  </si>
  <si>
    <t xml:space="preserve">Informacion sacada de </t>
  </si>
  <si>
    <t>https://totoro.banrep.gov.co/analytics/saw.dll?Go&amp;NQUser=publico&amp;NQPassword=publico123&amp;Action=prompt&amp;path=%2Fshared%2FSeries%20Estad%C3%ADsticas_T%2F1.%20Tasas%20de%20Captaci%C3%B3n%2F1.1%20Serie%20empalmada%2F1.1.2%20Semanales%2F1.1.2.1%20DTF%2CCDT%20180%20d%C3%ADas%2CCDT%20360%20d%C3%ADas%20y%20TCC%20-%20(Desde%20el%2012%20de%20enero%20de%201984)%2F1.1.2.1.1.TCA_Para%20un%20rango%20de%20fechas%20dado&amp;Options=rdf</t>
  </si>
  <si>
    <t xml:space="preserve">Banco de la republica DTF promedio primer semestre 2024 </t>
  </si>
  <si>
    <t xml:space="preserve">Vigencia desde </t>
  </si>
  <si>
    <t xml:space="preserve">Vigencia hasta </t>
  </si>
  <si>
    <t xml:space="preserve">DTF </t>
  </si>
  <si>
    <t xml:space="preserve"> 30/06/2024 </t>
  </si>
  <si>
    <t xml:space="preserve"> 23/06/2024 </t>
  </si>
  <si>
    <t xml:space="preserve"> 16/06/2024 </t>
  </si>
  <si>
    <t xml:space="preserve"> 09/06/2024 </t>
  </si>
  <si>
    <t xml:space="preserve"> 02/06/2024 </t>
  </si>
  <si>
    <t xml:space="preserve"> 26/05/2024 </t>
  </si>
  <si>
    <t xml:space="preserve"> 19/05/2024 </t>
  </si>
  <si>
    <t xml:space="preserve"> 12/05/2024 </t>
  </si>
  <si>
    <t xml:space="preserve"> 05/05/2024 </t>
  </si>
  <si>
    <t xml:space="preserve"> 28/04/2024 </t>
  </si>
  <si>
    <t xml:space="preserve"> 21/04/2024 </t>
  </si>
  <si>
    <t xml:space="preserve"> 14/04/2024 </t>
  </si>
  <si>
    <t xml:space="preserve"> 07/04/2024 </t>
  </si>
  <si>
    <t xml:space="preserve"> 31/03/2024 </t>
  </si>
  <si>
    <t xml:space="preserve"> 24/03/2024 </t>
  </si>
  <si>
    <t xml:space="preserve"> 17/03/2024 </t>
  </si>
  <si>
    <t xml:space="preserve"> 10/03/2024 </t>
  </si>
  <si>
    <t xml:space="preserve"> 03/03/2024 </t>
  </si>
  <si>
    <t xml:space="preserve"> 25/02/2024 </t>
  </si>
  <si>
    <t xml:space="preserve"> 18/02/2024 </t>
  </si>
  <si>
    <t xml:space="preserve"> 11/02/2024 </t>
  </si>
  <si>
    <t xml:space="preserve"> 04/02/2024 </t>
  </si>
  <si>
    <t xml:space="preserve"> 28/01/2024 </t>
  </si>
  <si>
    <t xml:space="preserve"> 21/01/2024 </t>
  </si>
  <si>
    <t xml:space="preserve"> 14/01/2024 </t>
  </si>
  <si>
    <t xml:space="preserve"> 07/01/2024 </t>
  </si>
  <si>
    <t>DTF PROMEDIO PRIMER SEMESTRE  2024</t>
  </si>
  <si>
    <t xml:space="preserve">PROYECCION DE CRECIMIENTO DE LA DEMANDA </t>
  </si>
  <si>
    <t>Para realizar una proyección del crecimiento del turismo interno en Colombia, primero es necesario recopilar datos históricos de turismo interno. Utilizaremos estos datos para extrapolar tendencias y proyectar el crecimiento futuro.</t>
  </si>
  <si>
    <t xml:space="preserve">Estos datos son tomados del boletin tecnico de Dane en cada año correspondiente, hacen referencia al crecimiento del turismo interno </t>
  </si>
  <si>
    <t xml:space="preserve">AÑO </t>
  </si>
  <si>
    <t xml:space="preserve">CRECIMIENTO DEL TURISMO INTERNO EN COLOMBIA </t>
  </si>
  <si>
    <t xml:space="preserve">Se realiza con un pronostico lineal debido al comportamiento de los datos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</si>
</sst>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2">
    <numFmt numFmtId="164" formatCode="_-[$$-240A]\ * #,##0_ ;_-[$$-240A]\ * \-#,##0\ ;_-[$$-240A]\ * &quot;-&quot;_ ;_-@_ "/>
    <numFmt numFmtId="165" formatCode="_-[$$-240A]\ * #,##0_ ;_-[$$-240A]\ * \-#,##0\ ;_-[$$-240A]\ * &quot;-&quot;??_ ;_-@_ "/>
    <numFmt numFmtId="166" formatCode="_-[$$-240A]\ * #,##0.000000000000000000000_ ;_-[$$-240A]\ * \-#,##0.000000000000000000000\ ;_-[$$-240A]\ * &quot;-&quot;_ ;_-@_ "/>
    <numFmt numFmtId="167" formatCode="_-* #,##0.00\ &quot;€&quot;_-;\-* #,##0.00\ &quot;€&quot;_-;_-* &quot;-&quot;??\ &quot;€&quot;_-;_-@"/>
    <numFmt numFmtId="168" formatCode="0.0000"/>
    <numFmt numFmtId="169" formatCode="_-[$$-240A]\ * #,##0.00_ ;_-[$$-240A]\ * \-#,##0.00\ ;_-[$$-240A]\ * &quot;-&quot;_ ;_-@_ "/>
    <numFmt numFmtId="170" formatCode="[$$-240A]\ #,##0"/>
    <numFmt numFmtId="171" formatCode="_-[$$-240A]\ * #,##0.00_ ;_-[$$-240A]\ * \-#,##0.00\ ;_-[$$-240A]\ * &quot;-&quot;??_ ;_-@_ "/>
    <numFmt numFmtId="172" formatCode="[$$-240A]\ #,##0.00"/>
    <numFmt numFmtId="173" formatCode="_-[$$-240A]\ * #,##0.0000_ ;_-[$$-240A]\ * \-#,##0.0000\ ;_-[$$-240A]\ * &quot;-&quot;??_ ;_-@_ "/>
    <numFmt numFmtId="174" formatCode="_-[$$-240A]\ * #,##0.00_-;\-[$$-240A]\ * #,##0.00_-;_-[$$-240A]\ * &quot;-&quot;??_-;_-@"/>
    <numFmt numFmtId="175" formatCode="&quot;$&quot;#,##0.00"/>
  </numFmts>
  <fonts count="43">
    <font>
      <sz val="11.0"/>
      <color theme="1"/>
      <name val="Calibri"/>
      <scheme val="minor"/>
    </font>
    <font>
      <sz val="48.0"/>
      <color rgb="FF76923C"/>
      <name val="Cambria"/>
    </font>
    <font>
      <b/>
      <sz val="14.0"/>
      <color theme="6"/>
      <name val="Calibri"/>
    </font>
    <font>
      <sz val="14.0"/>
      <color theme="1"/>
      <name val="Calibri"/>
    </font>
    <font>
      <b/>
      <sz val="16.0"/>
      <color theme="0"/>
      <name val="Calibri"/>
    </font>
    <font>
      <b/>
      <sz val="16.0"/>
      <color theme="6"/>
      <name val="Calibri"/>
    </font>
    <font>
      <b/>
      <sz val="12.0"/>
      <color theme="1"/>
      <name val="Calibri"/>
    </font>
    <font/>
    <font>
      <b/>
      <sz val="11.0"/>
      <color theme="1"/>
      <name val="Calibri"/>
    </font>
    <font>
      <sz val="11.0"/>
      <color theme="1"/>
      <name val="Calibri"/>
    </font>
    <font>
      <b/>
      <sz val="14.0"/>
      <color theme="1"/>
      <name val="Calibri"/>
    </font>
    <font>
      <u/>
      <sz val="14.0"/>
      <color theme="10"/>
      <name val="Calibri"/>
    </font>
    <font>
      <u/>
      <sz val="14.0"/>
      <color theme="1"/>
      <name val="Calibri"/>
    </font>
    <font>
      <b/>
      <sz val="18.0"/>
      <color rgb="FF76923C"/>
      <name val="Calibri"/>
    </font>
    <font>
      <b/>
      <sz val="14.0"/>
      <color theme="0"/>
      <name val="Calibri"/>
    </font>
    <font>
      <b/>
      <sz val="14.0"/>
      <color rgb="FFF2F2F2"/>
      <name val="Calibri"/>
    </font>
    <font>
      <b/>
      <sz val="14.0"/>
      <color theme="1"/>
      <name val="Cambria"/>
    </font>
    <font>
      <u/>
      <sz val="14.0"/>
      <color theme="1"/>
      <name val="Calibri"/>
    </font>
    <font>
      <u/>
      <sz val="14.0"/>
      <color theme="1"/>
      <name val="Calibri"/>
    </font>
    <font>
      <u/>
      <sz val="14.0"/>
      <color theme="1"/>
      <name val="Calibri"/>
    </font>
    <font>
      <color theme="1"/>
      <name val="Calibri"/>
      <scheme val="minor"/>
    </font>
    <font>
      <b/>
      <sz val="18.0"/>
      <color rgb="FF76923C"/>
      <name val="Cambria"/>
    </font>
    <font>
      <sz val="14.0"/>
      <color theme="1"/>
      <name val="Cambria"/>
    </font>
    <font>
      <sz val="12.0"/>
      <color theme="1"/>
      <name val="Cambria"/>
    </font>
    <font>
      <b/>
      <sz val="12.0"/>
      <color theme="0"/>
      <name val="Calibri"/>
    </font>
    <font>
      <sz val="14.0"/>
      <color rgb="FF76923C"/>
      <name val="Calibri"/>
    </font>
    <font>
      <u/>
      <sz val="12.0"/>
      <color rgb="FF76923C"/>
      <name val="Calibri"/>
    </font>
    <font>
      <sz val="12.0"/>
      <color rgb="FF76923C"/>
      <name val="Calibri"/>
    </font>
    <font>
      <sz val="12.0"/>
      <color rgb="FF0070C0"/>
      <name val="Calibri"/>
    </font>
    <font>
      <b/>
      <u/>
      <sz val="11.0"/>
      <color theme="0"/>
      <name val="Calibri"/>
    </font>
    <font>
      <b/>
      <u/>
      <sz val="11.0"/>
      <color theme="0"/>
      <name val="Calibri"/>
    </font>
    <font>
      <b/>
      <sz val="16.0"/>
      <color theme="1"/>
      <name val="Calibri"/>
    </font>
    <font>
      <sz val="11.0"/>
      <color rgb="FFFF0000"/>
      <name val="Calibri"/>
    </font>
    <font>
      <b/>
      <sz val="16.0"/>
      <color rgb="FFFF0000"/>
      <name val="Calibri"/>
    </font>
    <font>
      <b/>
      <i/>
      <sz val="11.0"/>
      <color theme="1"/>
      <name val="Calibri"/>
    </font>
    <font>
      <sz val="12.0"/>
      <color theme="1"/>
      <name val="Calibri"/>
    </font>
    <font>
      <b/>
      <sz val="11.0"/>
      <color rgb="FFFF0000"/>
      <name val="Calibri"/>
    </font>
    <font>
      <b/>
      <sz val="18.0"/>
      <color rgb="FF4F6128"/>
      <name val="Cambria"/>
    </font>
    <font>
      <b/>
      <color theme="1"/>
      <name val="Calibri"/>
      <scheme val="minor"/>
    </font>
    <font>
      <b/>
      <sz val="11.0"/>
      <color rgb="FF000000"/>
      <name val="Calibri"/>
    </font>
    <font>
      <u/>
      <color rgb="FF0000FF"/>
    </font>
    <font>
      <u/>
      <color rgb="FF0000FF"/>
    </font>
    <font>
      <sz val="11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D6E3BC"/>
        <bgColor rgb="FFD6E3BC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C2D69B"/>
        <bgColor rgb="FFC2D69B"/>
      </patternFill>
    </fill>
    <fill>
      <patternFill patternType="solid">
        <fgColor rgb="FFEAF1DD"/>
        <bgColor rgb="FFEAF1DD"/>
      </patternFill>
    </fill>
  </fills>
  <borders count="66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4F6128"/>
      </left>
      <top style="thin">
        <color rgb="FF4F6128"/>
      </top>
    </border>
    <border>
      <top style="thin">
        <color rgb="FF4F6128"/>
      </top>
    </border>
    <border>
      <right style="thin">
        <color rgb="FF4F6128"/>
      </right>
      <top style="thin">
        <color rgb="FF4F6128"/>
      </top>
    </border>
    <border>
      <left style="thin">
        <color rgb="FF4F6128"/>
      </left>
    </border>
    <border>
      <right style="thin">
        <color rgb="FF4F6128"/>
      </right>
    </border>
    <border>
      <left style="thin">
        <color rgb="FF4F6128"/>
      </left>
      <bottom style="thin">
        <color rgb="FF4F6128"/>
      </bottom>
    </border>
    <border>
      <bottom style="thin">
        <color rgb="FF4F6128"/>
      </bottom>
    </border>
    <border>
      <right style="thin">
        <color rgb="FF4F6128"/>
      </right>
      <bottom style="thin">
        <color rgb="FF4F6128"/>
      </bottom>
    </border>
    <border>
      <left/>
      <top/>
    </border>
    <border>
      <right/>
      <top/>
    </border>
    <border>
      <left/>
      <right/>
      <top/>
      <bottom/>
    </border>
    <border>
      <left/>
    </border>
    <border>
      <right/>
    </border>
    <border>
      <left style="thin">
        <color rgb="FF4F6128"/>
      </left>
      <top style="thin">
        <color rgb="FF4F6128"/>
      </top>
      <bottom style="thin">
        <color rgb="FF4F6128"/>
      </bottom>
    </border>
    <border>
      <top style="thin">
        <color rgb="FF4F6128"/>
      </top>
      <bottom style="thin">
        <color rgb="FF4F6128"/>
      </bottom>
    </border>
    <border>
      <right style="thin">
        <color rgb="FF4F6128"/>
      </right>
      <top style="thin">
        <color rgb="FF4F6128"/>
      </top>
      <bottom style="thin">
        <color rgb="FF4F6128"/>
      </bottom>
    </border>
    <border>
      <left/>
      <bottom/>
    </border>
    <border>
      <right/>
      <bottom/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/>
      <top style="thin">
        <color rgb="FF4F6128"/>
      </top>
      <bottom style="thin">
        <color rgb="FF4F6128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4F6128"/>
      </left>
      <top/>
      <bottom/>
    </border>
    <border>
      <top/>
      <bottom/>
    </border>
    <border>
      <right/>
      <top/>
      <bottom/>
    </border>
    <border>
      <left style="thin">
        <color rgb="FF4F6128"/>
      </left>
      <right style="thin">
        <color rgb="FF4F6128"/>
      </right>
      <top style="thin">
        <color rgb="FF4F6128"/>
      </top>
      <bottom style="thin">
        <color rgb="FF4F6128"/>
      </bottom>
    </border>
    <border>
      <left style="thin">
        <color rgb="FF4F6128"/>
      </left>
      <right style="thin">
        <color rgb="FF4F6128"/>
      </right>
      <top style="thin">
        <color rgb="FF4F6128"/>
      </top>
    </border>
    <border>
      <left/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4F6128"/>
      </left>
      <right style="thin">
        <color rgb="FF4F6128"/>
      </right>
    </border>
    <border>
      <bottom/>
    </border>
    <border>
      <right style="thin">
        <color rgb="FF000000"/>
      </right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/>
      <top style="thin">
        <color rgb="FF4F6128"/>
      </top>
      <bottom style="thin">
        <color rgb="FF4F6128"/>
      </bottom>
    </border>
    <border>
      <left style="thin">
        <color rgb="FF4F6128"/>
      </left>
      <right style="thin">
        <color rgb="FF4F6128"/>
      </right>
      <bottom style="thin">
        <color rgb="FF4F6128"/>
      </bottom>
    </border>
    <border>
      <left style="thin">
        <color rgb="FF4F6128"/>
      </left>
      <right style="thin">
        <color rgb="FF4F6128"/>
      </right>
      <top/>
      <bottom style="thin">
        <color rgb="FF4F6128"/>
      </bottom>
    </border>
    <border>
      <left style="thin">
        <color rgb="FF4F6128"/>
      </left>
      <right style="thin">
        <color rgb="FF4F6128"/>
      </right>
      <top style="thin">
        <color rgb="FF4F6128"/>
      </top>
      <bottom style="medium">
        <color rgb="FF4F6128"/>
      </bottom>
    </border>
    <border>
      <left style="thin">
        <color rgb="FF4F6128"/>
      </left>
      <right style="thin">
        <color rgb="FF4F6128"/>
      </right>
      <top style="medium">
        <color rgb="FF4F6128"/>
      </top>
      <bottom style="thin">
        <color rgb="FF4F6128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BFBFBF"/>
      </right>
    </border>
    <border>
      <left style="thin">
        <color rgb="FFBFBFBF"/>
      </left>
      <right/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29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 shrinkToFit="0" vertical="center" wrapText="1"/>
    </xf>
    <xf borderId="0" fillId="0" fontId="3" numFmtId="0" xfId="0" applyFont="1"/>
    <xf borderId="0" fillId="0" fontId="3" numFmtId="0" xfId="0" applyAlignment="1" applyFont="1">
      <alignment horizontal="left" shrinkToFit="0" vertical="center" wrapText="1"/>
    </xf>
    <xf borderId="0" fillId="0" fontId="3" numFmtId="0" xfId="0" applyAlignment="1" applyFont="1">
      <alignment shrinkToFit="0" vertical="center" wrapText="1"/>
    </xf>
    <xf borderId="0" fillId="0" fontId="4" numFmtId="0" xfId="0" applyFont="1"/>
    <xf borderId="0" fillId="0" fontId="5" numFmtId="0" xfId="0" applyFont="1"/>
    <xf borderId="1" fillId="2" fontId="6" numFmtId="0" xfId="0" applyAlignment="1" applyBorder="1" applyFill="1" applyFont="1">
      <alignment horizontal="center" shrinkToFit="0" wrapText="1"/>
    </xf>
    <xf borderId="2" fillId="0" fontId="7" numFmtId="0" xfId="0" applyBorder="1" applyFont="1"/>
    <xf borderId="3" fillId="0" fontId="7" numFmtId="0" xfId="0" applyBorder="1" applyFont="1"/>
    <xf borderId="4" fillId="0" fontId="7" numFmtId="0" xfId="0" applyBorder="1" applyFont="1"/>
    <xf borderId="5" fillId="0" fontId="8" numFmtId="0" xfId="0" applyAlignment="1" applyBorder="1" applyFont="1">
      <alignment horizontal="center" vertical="center"/>
    </xf>
    <xf borderId="6" fillId="0" fontId="9" numFmtId="0" xfId="0" applyAlignment="1" applyBorder="1" applyFont="1">
      <alignment horizontal="center"/>
    </xf>
    <xf borderId="7" fillId="0" fontId="7" numFmtId="0" xfId="0" applyBorder="1" applyFont="1"/>
    <xf borderId="5" fillId="3" fontId="8" numFmtId="0" xfId="0" applyAlignment="1" applyBorder="1" applyFill="1" applyFont="1">
      <alignment horizontal="center" vertical="center"/>
    </xf>
    <xf borderId="6" fillId="3" fontId="9" numFmtId="0" xfId="0" applyAlignment="1" applyBorder="1" applyFont="1">
      <alignment horizontal="center"/>
    </xf>
    <xf borderId="0" fillId="0" fontId="10" numFmtId="0" xfId="0" applyAlignment="1" applyFont="1">
      <alignment horizontal="right" shrinkToFit="0" vertical="center" wrapText="1"/>
    </xf>
    <xf borderId="0" fillId="0" fontId="11" numFmtId="0" xfId="0" applyAlignment="1" applyFont="1">
      <alignment horizontal="left" shrinkToFit="0" vertical="center" wrapText="1"/>
    </xf>
    <xf borderId="0" fillId="0" fontId="12" numFmtId="0" xfId="0" applyAlignment="1" applyFont="1">
      <alignment shrinkToFit="0" vertical="center" wrapText="1"/>
    </xf>
    <xf borderId="0" fillId="0" fontId="13" numFmtId="0" xfId="0" applyAlignment="1" applyFont="1">
      <alignment horizontal="left" vertical="center"/>
    </xf>
    <xf borderId="0" fillId="0" fontId="9" numFmtId="0" xfId="0" applyAlignment="1" applyFont="1">
      <alignment horizontal="center" vertical="center"/>
    </xf>
    <xf borderId="0" fillId="0" fontId="10" numFmtId="0" xfId="0" applyAlignment="1" applyFont="1">
      <alignment horizontal="center" shrinkToFit="0" vertical="center" wrapText="1"/>
    </xf>
    <xf borderId="8" fillId="3" fontId="9" numFmtId="0" xfId="0" applyAlignment="1" applyBorder="1" applyFont="1">
      <alignment horizontal="center" vertical="center"/>
    </xf>
    <xf borderId="9" fillId="0" fontId="7" numFmtId="0" xfId="0" applyBorder="1" applyFont="1"/>
    <xf borderId="10" fillId="0" fontId="7" numFmtId="0" xfId="0" applyBorder="1" applyFont="1"/>
    <xf borderId="11" fillId="0" fontId="7" numFmtId="0" xfId="0" applyBorder="1" applyFont="1"/>
    <xf borderId="12" fillId="0" fontId="7" numFmtId="0" xfId="0" applyBorder="1" applyFont="1"/>
    <xf borderId="13" fillId="0" fontId="7" numFmtId="0" xfId="0" applyBorder="1" applyFont="1"/>
    <xf borderId="14" fillId="0" fontId="7" numFmtId="0" xfId="0" applyBorder="1" applyFont="1"/>
    <xf borderId="15" fillId="0" fontId="7" numFmtId="0" xfId="0" applyBorder="1" applyFont="1"/>
    <xf borderId="0" fillId="0" fontId="6" numFmtId="0" xfId="0" applyAlignment="1" applyFont="1">
      <alignment shrinkToFit="0" vertical="center" wrapText="1"/>
    </xf>
    <xf borderId="16" fillId="3" fontId="10" numFmtId="0" xfId="0" applyAlignment="1" applyBorder="1" applyFont="1">
      <alignment horizontal="center" shrinkToFit="0" vertical="center" wrapText="1"/>
    </xf>
    <xf borderId="17" fillId="0" fontId="7" numFmtId="0" xfId="0" applyBorder="1" applyFont="1"/>
    <xf borderId="18" fillId="3" fontId="9" numFmtId="0" xfId="0" applyBorder="1" applyFont="1"/>
    <xf borderId="19" fillId="0" fontId="7" numFmtId="0" xfId="0" applyBorder="1" applyFont="1"/>
    <xf borderId="20" fillId="0" fontId="7" numFmtId="0" xfId="0" applyBorder="1" applyFont="1"/>
    <xf borderId="0" fillId="0" fontId="9" numFmtId="0" xfId="0" applyAlignment="1" applyFont="1">
      <alignment horizontal="left"/>
    </xf>
    <xf borderId="21" fillId="4" fontId="14" numFmtId="0" xfId="0" applyAlignment="1" applyBorder="1" applyFill="1" applyFont="1">
      <alignment horizontal="center" shrinkToFit="0" vertical="center" wrapText="1"/>
    </xf>
    <xf borderId="22" fillId="0" fontId="7" numFmtId="0" xfId="0" applyBorder="1" applyFont="1"/>
    <xf borderId="23" fillId="0" fontId="7" numFmtId="0" xfId="0" applyBorder="1" applyFont="1"/>
    <xf borderId="24" fillId="0" fontId="7" numFmtId="0" xfId="0" applyBorder="1" applyFont="1"/>
    <xf borderId="25" fillId="0" fontId="7" numFmtId="0" xfId="0" applyBorder="1" applyFont="1"/>
    <xf borderId="1" fillId="3" fontId="9" numFmtId="10" xfId="0" applyAlignment="1" applyBorder="1" applyFont="1" applyNumberFormat="1">
      <alignment horizontal="center" vertical="center"/>
    </xf>
    <xf borderId="26" fillId="0" fontId="7" numFmtId="0" xfId="0" applyBorder="1" applyFont="1"/>
    <xf borderId="27" fillId="0" fontId="7" numFmtId="0" xfId="0" applyBorder="1" applyFont="1"/>
    <xf borderId="28" fillId="0" fontId="7" numFmtId="0" xfId="0" applyBorder="1" applyFont="1"/>
    <xf borderId="29" fillId="0" fontId="7" numFmtId="0" xfId="0" applyBorder="1" applyFont="1"/>
    <xf borderId="21" fillId="4" fontId="15" numFmtId="0" xfId="0" applyAlignment="1" applyBorder="1" applyFont="1">
      <alignment horizontal="center" shrinkToFit="0" vertical="center" wrapText="1"/>
    </xf>
    <xf borderId="30" fillId="0" fontId="7" numFmtId="0" xfId="0" applyBorder="1" applyFont="1"/>
    <xf borderId="0" fillId="0" fontId="6" numFmtId="0" xfId="0" applyAlignment="1" applyFont="1">
      <alignment horizontal="center" shrinkToFit="0" vertical="center" wrapText="1"/>
    </xf>
    <xf borderId="0" fillId="0" fontId="9" numFmtId="0" xfId="0" applyAlignment="1" applyFont="1">
      <alignment horizontal="center"/>
    </xf>
    <xf borderId="0" fillId="0" fontId="3" numFmtId="0" xfId="0" applyAlignment="1" applyFont="1">
      <alignment horizontal="left" vertical="center"/>
    </xf>
    <xf borderId="5" fillId="2" fontId="10" numFmtId="0" xfId="0" applyAlignment="1" applyBorder="1" applyFont="1">
      <alignment horizontal="center"/>
    </xf>
    <xf borderId="6" fillId="2" fontId="10" numFmtId="0" xfId="0" applyAlignment="1" applyBorder="1" applyFont="1">
      <alignment horizontal="center"/>
    </xf>
    <xf borderId="31" fillId="0" fontId="7" numFmtId="0" xfId="0" applyBorder="1" applyFont="1"/>
    <xf borderId="6" fillId="2" fontId="10" numFmtId="0" xfId="0" applyAlignment="1" applyBorder="1" applyFont="1">
      <alignment horizontal="center" vertical="center"/>
    </xf>
    <xf borderId="32" fillId="0" fontId="9" numFmtId="0" xfId="0" applyAlignment="1" applyBorder="1" applyFont="1">
      <alignment horizontal="center"/>
    </xf>
    <xf borderId="1" fillId="3" fontId="10" numFmtId="0" xfId="0" applyAlignment="1" applyBorder="1" applyFont="1">
      <alignment horizontal="left" vertical="center"/>
    </xf>
    <xf borderId="1" fillId="3" fontId="9" numFmtId="0" xfId="0" applyAlignment="1" applyBorder="1" applyFont="1">
      <alignment horizontal="center" vertical="center"/>
    </xf>
    <xf borderId="1" fillId="0" fontId="9" numFmtId="164" xfId="0" applyAlignment="1" applyBorder="1" applyFont="1" applyNumberFormat="1">
      <alignment horizontal="center" vertical="center"/>
    </xf>
    <xf borderId="32" fillId="0" fontId="9" numFmtId="164" xfId="0" applyAlignment="1" applyBorder="1" applyFont="1" applyNumberFormat="1">
      <alignment horizontal="center" vertical="center"/>
    </xf>
    <xf borderId="1" fillId="3" fontId="9" numFmtId="0" xfId="0" applyAlignment="1" applyBorder="1" applyFont="1">
      <alignment horizontal="center" shrinkToFit="0" wrapText="1"/>
    </xf>
    <xf borderId="33" fillId="0" fontId="7" numFmtId="0" xfId="0" applyBorder="1" applyFont="1"/>
    <xf borderId="34" fillId="0" fontId="7" numFmtId="0" xfId="0" applyBorder="1" applyFont="1"/>
    <xf borderId="1" fillId="3" fontId="9" numFmtId="0" xfId="0" applyAlignment="1" applyBorder="1" applyFont="1">
      <alignment horizontal="center"/>
    </xf>
    <xf borderId="5" fillId="0" fontId="9" numFmtId="164" xfId="0" applyAlignment="1" applyBorder="1" applyFont="1" applyNumberFormat="1">
      <alignment horizontal="center" vertical="center"/>
    </xf>
    <xf borderId="5" fillId="0" fontId="9" numFmtId="0" xfId="0" applyBorder="1" applyFont="1"/>
    <xf borderId="1" fillId="5" fontId="16" numFmtId="0" xfId="0" applyAlignment="1" applyBorder="1" applyFill="1" applyFont="1">
      <alignment horizontal="right" vertical="center"/>
    </xf>
    <xf borderId="1" fillId="5" fontId="8" numFmtId="165" xfId="0" applyAlignment="1" applyBorder="1" applyFont="1" applyNumberFormat="1">
      <alignment horizontal="center" vertical="center"/>
    </xf>
    <xf borderId="35" fillId="4" fontId="14" numFmtId="0" xfId="0" applyAlignment="1" applyBorder="1" applyFont="1">
      <alignment horizontal="center" shrinkToFit="0" vertical="center" wrapText="1"/>
    </xf>
    <xf borderId="36" fillId="0" fontId="7" numFmtId="0" xfId="0" applyBorder="1" applyFont="1"/>
    <xf borderId="37" fillId="0" fontId="7" numFmtId="0" xfId="0" applyBorder="1" applyFont="1"/>
    <xf borderId="0" fillId="0" fontId="3" numFmtId="0" xfId="0" applyAlignment="1" applyFont="1">
      <alignment horizontal="center" shrinkToFit="0" vertical="center" wrapText="1"/>
    </xf>
    <xf borderId="0" fillId="0" fontId="17" numFmtId="0" xfId="0" applyAlignment="1" applyFont="1">
      <alignment horizontal="center" shrinkToFit="0" vertical="center" wrapText="1"/>
    </xf>
    <xf borderId="0" fillId="0" fontId="18" numFmtId="0" xfId="0" applyAlignment="1" applyFont="1">
      <alignment horizontal="right" shrinkToFit="0" vertical="center" wrapText="1"/>
    </xf>
    <xf borderId="0" fillId="0" fontId="19" numFmtId="0" xfId="0" applyAlignment="1" applyFont="1">
      <alignment horizontal="left" shrinkToFit="0" vertical="center" wrapText="1"/>
    </xf>
    <xf borderId="0" fillId="0" fontId="20" numFmtId="0" xfId="0" applyFont="1"/>
    <xf borderId="0" fillId="0" fontId="21" numFmtId="0" xfId="0" applyAlignment="1" applyFont="1">
      <alignment horizontal="left"/>
    </xf>
    <xf borderId="0" fillId="0" fontId="22" numFmtId="0" xfId="0" applyAlignment="1" applyFont="1">
      <alignment horizontal="left"/>
    </xf>
    <xf borderId="38" fillId="3" fontId="23" numFmtId="164" xfId="0" applyBorder="1" applyFont="1" applyNumberFormat="1"/>
    <xf borderId="0" fillId="0" fontId="22" numFmtId="0" xfId="0" applyAlignment="1" applyFont="1">
      <alignment horizontal="center"/>
    </xf>
    <xf borderId="0" fillId="0" fontId="9" numFmtId="166" xfId="0" applyFont="1" applyNumberFormat="1"/>
    <xf borderId="39" fillId="2" fontId="8" numFmtId="0" xfId="0" applyAlignment="1" applyBorder="1" applyFont="1">
      <alignment horizontal="center" shrinkToFit="0" vertical="center" wrapText="1"/>
    </xf>
    <xf borderId="40" fillId="2" fontId="6" numFmtId="0" xfId="0" applyAlignment="1" applyBorder="1" applyFont="1">
      <alignment horizontal="center" vertical="center"/>
    </xf>
    <xf borderId="32" fillId="2" fontId="6" numFmtId="0" xfId="0" applyAlignment="1" applyBorder="1" applyFont="1">
      <alignment horizontal="center" vertical="center"/>
    </xf>
    <xf borderId="1" fillId="2" fontId="6" numFmtId="0" xfId="0" applyAlignment="1" applyBorder="1" applyFont="1">
      <alignment horizontal="center" vertical="center"/>
    </xf>
    <xf borderId="32" fillId="2" fontId="6" numFmtId="0" xfId="0" applyAlignment="1" applyBorder="1" applyFont="1">
      <alignment horizontal="center" shrinkToFit="0" vertical="center" wrapText="1"/>
    </xf>
    <xf borderId="41" fillId="2" fontId="6" numFmtId="0" xfId="0" applyAlignment="1" applyBorder="1" applyFont="1">
      <alignment horizontal="center" shrinkToFit="0" vertical="center" wrapText="1"/>
    </xf>
    <xf borderId="41" fillId="2" fontId="8" numFmtId="0" xfId="0" applyAlignment="1" applyBorder="1" applyFont="1">
      <alignment horizontal="center" shrinkToFit="0" vertical="center" wrapText="1"/>
    </xf>
    <xf borderId="42" fillId="2" fontId="6" numFmtId="0" xfId="0" applyAlignment="1" applyBorder="1" applyFont="1">
      <alignment horizontal="center" shrinkToFit="0" vertical="center" wrapText="1"/>
    </xf>
    <xf borderId="8" fillId="2" fontId="6" numFmtId="0" xfId="0" applyAlignment="1" applyBorder="1" applyFont="1">
      <alignment horizontal="center" shrinkToFit="0" vertical="center" wrapText="1"/>
    </xf>
    <xf borderId="43" fillId="0" fontId="7" numFmtId="0" xfId="0" applyBorder="1" applyFont="1"/>
    <xf borderId="44" fillId="0" fontId="7" numFmtId="0" xfId="0" applyBorder="1" applyFont="1"/>
    <xf borderId="45" fillId="0" fontId="7" numFmtId="0" xfId="0" applyBorder="1" applyFont="1"/>
    <xf borderId="46" fillId="0" fontId="7" numFmtId="0" xfId="0" applyBorder="1" applyFont="1"/>
    <xf borderId="47" fillId="0" fontId="7" numFmtId="0" xfId="0" applyBorder="1" applyFont="1"/>
    <xf borderId="48" fillId="2" fontId="6" numFmtId="10" xfId="0" applyAlignment="1" applyBorder="1" applyFont="1" applyNumberFormat="1">
      <alignment horizontal="center" shrinkToFit="0" vertical="center" wrapText="1"/>
    </xf>
    <xf borderId="49" fillId="2" fontId="6" numFmtId="10" xfId="0" applyAlignment="1" applyBorder="1" applyFont="1" applyNumberFormat="1">
      <alignment horizontal="center" shrinkToFit="0" vertical="center" wrapText="1"/>
    </xf>
    <xf borderId="50" fillId="3" fontId="9" numFmtId="0" xfId="0" applyAlignment="1" applyBorder="1" applyFont="1">
      <alignment horizontal="left"/>
    </xf>
    <xf borderId="38" fillId="3" fontId="9" numFmtId="0" xfId="0" applyAlignment="1" applyBorder="1" applyFont="1">
      <alignment horizontal="center"/>
    </xf>
    <xf borderId="21" fillId="3" fontId="9" numFmtId="164" xfId="0" applyAlignment="1" applyBorder="1" applyFont="1" applyNumberFormat="1">
      <alignment horizontal="center" readingOrder="0"/>
    </xf>
    <xf borderId="38" fillId="6" fontId="9" numFmtId="164" xfId="0" applyAlignment="1" applyBorder="1" applyFill="1" applyFont="1" applyNumberFormat="1">
      <alignment horizontal="center"/>
    </xf>
    <xf borderId="38" fillId="6" fontId="9" numFmtId="165" xfId="0" applyBorder="1" applyFont="1" applyNumberFormat="1"/>
    <xf borderId="21" fillId="6" fontId="9" numFmtId="164" xfId="0" applyAlignment="1" applyBorder="1" applyFont="1" applyNumberFormat="1">
      <alignment horizontal="center"/>
    </xf>
    <xf borderId="21" fillId="3" fontId="9" numFmtId="164" xfId="0" applyAlignment="1" applyBorder="1" applyFont="1" applyNumberFormat="1">
      <alignment horizontal="center"/>
    </xf>
    <xf borderId="51" fillId="0" fontId="7" numFmtId="0" xfId="0" applyBorder="1" applyFont="1"/>
    <xf borderId="21" fillId="2" fontId="8" numFmtId="0" xfId="0" applyAlignment="1" applyBorder="1" applyFont="1">
      <alignment horizontal="right"/>
    </xf>
    <xf borderId="21" fillId="2" fontId="8" numFmtId="164" xfId="0" applyAlignment="1" applyBorder="1" applyFont="1" applyNumberFormat="1">
      <alignment horizontal="center"/>
    </xf>
    <xf borderId="8" fillId="2" fontId="6" numFmtId="0" xfId="0" applyAlignment="1" applyBorder="1" applyFont="1">
      <alignment horizontal="center" vertical="center"/>
    </xf>
    <xf borderId="39" fillId="2" fontId="6" numFmtId="0" xfId="0" applyAlignment="1" applyBorder="1" applyFont="1">
      <alignment horizontal="center" vertical="center"/>
    </xf>
    <xf borderId="39" fillId="2" fontId="6" numFmtId="0" xfId="0" applyAlignment="1" applyBorder="1" applyFont="1">
      <alignment horizontal="center" shrinkToFit="0" vertical="center" wrapText="1"/>
    </xf>
    <xf borderId="38" fillId="2" fontId="6" numFmtId="0" xfId="0" applyAlignment="1" applyBorder="1" applyFont="1">
      <alignment horizontal="center" shrinkToFit="0" vertical="center" wrapText="1"/>
    </xf>
    <xf borderId="38" fillId="2" fontId="8" numFmtId="0" xfId="0" applyAlignment="1" applyBorder="1" applyFont="1">
      <alignment horizontal="center" shrinkToFit="0" vertical="center" wrapText="1"/>
    </xf>
    <xf borderId="8" fillId="2" fontId="10" numFmtId="0" xfId="0" applyAlignment="1" applyBorder="1" applyFont="1">
      <alignment horizontal="center" shrinkToFit="0" vertical="center" wrapText="1"/>
    </xf>
    <xf borderId="38" fillId="2" fontId="6" numFmtId="10" xfId="0" applyAlignment="1" applyBorder="1" applyFont="1" applyNumberFormat="1">
      <alignment horizontal="center" shrinkToFit="0" vertical="center" wrapText="1"/>
    </xf>
    <xf borderId="21" fillId="3" fontId="9" numFmtId="0" xfId="0" applyAlignment="1" applyBorder="1" applyFont="1">
      <alignment horizontal="center"/>
    </xf>
    <xf borderId="38" fillId="3" fontId="9" numFmtId="0" xfId="0" applyBorder="1" applyFont="1"/>
    <xf borderId="21" fillId="4" fontId="24" numFmtId="0" xfId="0" applyAlignment="1" applyBorder="1" applyFont="1">
      <alignment horizontal="center" shrinkToFit="0" vertical="center" wrapText="1"/>
    </xf>
    <xf borderId="0" fillId="0" fontId="9" numFmtId="164" xfId="0" applyFont="1" applyNumberFormat="1"/>
    <xf borderId="0" fillId="0" fontId="25" numFmtId="0" xfId="0" applyAlignment="1" applyFont="1">
      <alignment horizontal="center" shrinkToFit="0" vertical="center" wrapText="1"/>
    </xf>
    <xf borderId="0" fillId="0" fontId="26" numFmtId="0" xfId="0" applyFont="1"/>
    <xf borderId="0" fillId="0" fontId="27" numFmtId="0" xfId="0" applyFont="1"/>
    <xf borderId="0" fillId="0" fontId="28" numFmtId="0" xfId="0" applyFont="1"/>
    <xf borderId="0" fillId="0" fontId="10" numFmtId="0" xfId="0" applyAlignment="1" applyFont="1">
      <alignment horizontal="left"/>
    </xf>
    <xf borderId="38" fillId="4" fontId="29" numFmtId="0" xfId="0" applyAlignment="1" applyBorder="1" applyFont="1">
      <alignment horizontal="center" vertical="center"/>
    </xf>
    <xf borderId="21" fillId="2" fontId="10" numFmtId="0" xfId="0" applyAlignment="1" applyBorder="1" applyFont="1">
      <alignment horizontal="center" shrinkToFit="0" vertical="center" wrapText="1"/>
    </xf>
    <xf borderId="38" fillId="2" fontId="10" numFmtId="0" xfId="0" applyBorder="1" applyFont="1"/>
    <xf borderId="38" fillId="3" fontId="9" numFmtId="164" xfId="0" applyBorder="1" applyFont="1" applyNumberFormat="1"/>
    <xf borderId="38" fillId="6" fontId="9" numFmtId="164" xfId="0" applyBorder="1" applyFont="1" applyNumberFormat="1"/>
    <xf borderId="38" fillId="2" fontId="9" numFmtId="164" xfId="0" applyBorder="1" applyFont="1" applyNumberFormat="1"/>
    <xf borderId="38" fillId="3" fontId="9" numFmtId="164" xfId="0" applyAlignment="1" applyBorder="1" applyFont="1" applyNumberFormat="1">
      <alignment readingOrder="0"/>
    </xf>
    <xf borderId="38" fillId="2" fontId="8" numFmtId="164" xfId="0" applyBorder="1" applyFont="1" applyNumberFormat="1"/>
    <xf borderId="0" fillId="0" fontId="9" numFmtId="167" xfId="0" applyFont="1" applyNumberFormat="1"/>
    <xf borderId="21" fillId="0" fontId="9" numFmtId="0" xfId="0" applyAlignment="1" applyBorder="1" applyFont="1">
      <alignment horizontal="left"/>
    </xf>
    <xf borderId="38" fillId="0" fontId="9" numFmtId="164" xfId="0" applyBorder="1" applyFont="1" applyNumberFormat="1"/>
    <xf borderId="21" fillId="6" fontId="9" numFmtId="0" xfId="0" applyAlignment="1" applyBorder="1" applyFont="1">
      <alignment horizontal="left"/>
    </xf>
    <xf borderId="21" fillId="2" fontId="6" numFmtId="0" xfId="0" applyAlignment="1" applyBorder="1" applyFont="1">
      <alignment horizontal="right" shrinkToFit="0" vertical="center" wrapText="1"/>
    </xf>
    <xf borderId="38" fillId="2" fontId="6" numFmtId="164" xfId="0" applyAlignment="1" applyBorder="1" applyFont="1" applyNumberFormat="1">
      <alignment vertical="center"/>
    </xf>
    <xf borderId="5" fillId="2" fontId="10" numFmtId="164" xfId="0" applyBorder="1" applyFont="1" applyNumberFormat="1"/>
    <xf borderId="5" fillId="2" fontId="10" numFmtId="0" xfId="0" applyAlignment="1" applyBorder="1" applyFont="1">
      <alignment horizontal="center" vertical="center"/>
    </xf>
    <xf borderId="6" fillId="0" fontId="9" numFmtId="0" xfId="0" applyAlignment="1" applyBorder="1" applyFont="1">
      <alignment horizontal="left"/>
    </xf>
    <xf borderId="5" fillId="0" fontId="9" numFmtId="164" xfId="0" applyBorder="1" applyFont="1" applyNumberFormat="1"/>
    <xf borderId="5" fillId="6" fontId="9" numFmtId="10" xfId="0" applyAlignment="1" applyBorder="1" applyFont="1" applyNumberFormat="1">
      <alignment horizontal="center" vertical="center"/>
    </xf>
    <xf borderId="5" fillId="6" fontId="9" numFmtId="164" xfId="0" applyBorder="1" applyFont="1" applyNumberFormat="1"/>
    <xf borderId="49" fillId="4" fontId="30" numFmtId="0" xfId="0" applyAlignment="1" applyBorder="1" applyFont="1">
      <alignment horizontal="center" vertical="center"/>
    </xf>
    <xf borderId="21" fillId="2" fontId="10" numFmtId="0" xfId="0" applyAlignment="1" applyBorder="1" applyFont="1">
      <alignment horizontal="center" vertical="center"/>
    </xf>
    <xf borderId="38" fillId="2" fontId="10" numFmtId="0" xfId="0" applyAlignment="1" applyBorder="1" applyFont="1">
      <alignment horizontal="center" vertical="center"/>
    </xf>
    <xf borderId="21" fillId="2" fontId="10" numFmtId="0" xfId="0" applyAlignment="1" applyBorder="1" applyFont="1">
      <alignment horizontal="right" vertical="center"/>
    </xf>
    <xf borderId="38" fillId="2" fontId="10" numFmtId="164" xfId="0" applyBorder="1" applyFont="1" applyNumberFormat="1"/>
    <xf borderId="0" fillId="0" fontId="31" numFmtId="0" xfId="0" applyAlignment="1" applyFont="1">
      <alignment vertical="center"/>
    </xf>
    <xf borderId="38" fillId="2" fontId="10" numFmtId="0" xfId="0" applyAlignment="1" applyBorder="1" applyFont="1">
      <alignment horizontal="center" shrinkToFit="0" vertical="center" wrapText="1"/>
    </xf>
    <xf borderId="38" fillId="6" fontId="9" numFmtId="0" xfId="0" applyAlignment="1" applyBorder="1" applyFont="1">
      <alignment horizontal="center"/>
    </xf>
    <xf borderId="38" fillId="0" fontId="9" numFmtId="0" xfId="0" applyAlignment="1" applyBorder="1" applyFont="1">
      <alignment horizontal="left"/>
    </xf>
    <xf borderId="21" fillId="0" fontId="3" numFmtId="0" xfId="0" applyAlignment="1" applyBorder="1" applyFont="1">
      <alignment horizontal="left" vertical="center"/>
    </xf>
    <xf borderId="38" fillId="0" fontId="3" numFmtId="3" xfId="0" applyAlignment="1" applyBorder="1" applyFont="1" applyNumberFormat="1">
      <alignment horizontal="center" vertical="center"/>
    </xf>
    <xf borderId="38" fillId="0" fontId="3" numFmtId="164" xfId="0" applyAlignment="1" applyBorder="1" applyFont="1" applyNumberFormat="1">
      <alignment horizontal="center" vertical="center"/>
    </xf>
    <xf borderId="38" fillId="6" fontId="9" numFmtId="168" xfId="0" applyAlignment="1" applyBorder="1" applyFont="1" applyNumberFormat="1">
      <alignment horizontal="center"/>
    </xf>
    <xf borderId="38" fillId="6" fontId="3" numFmtId="169" xfId="0" applyBorder="1" applyFont="1" applyNumberFormat="1"/>
    <xf borderId="38" fillId="6" fontId="3" numFmtId="164" xfId="0" applyBorder="1" applyFont="1" applyNumberFormat="1"/>
    <xf borderId="38" fillId="0" fontId="3" numFmtId="0" xfId="0" applyAlignment="1" applyBorder="1" applyFont="1">
      <alignment horizontal="center" vertical="center"/>
    </xf>
    <xf borderId="21" fillId="0" fontId="3" numFmtId="0" xfId="0" applyAlignment="1" applyBorder="1" applyFont="1">
      <alignment horizontal="left" readingOrder="0" vertical="center"/>
    </xf>
    <xf borderId="38" fillId="0" fontId="3" numFmtId="164" xfId="0" applyAlignment="1" applyBorder="1" applyFont="1" applyNumberFormat="1">
      <alignment horizontal="center" readingOrder="0" vertical="center"/>
    </xf>
    <xf borderId="38" fillId="2" fontId="10" numFmtId="169" xfId="0" applyAlignment="1" applyBorder="1" applyFont="1" applyNumberFormat="1">
      <alignment vertical="center"/>
    </xf>
    <xf borderId="38" fillId="2" fontId="10" numFmtId="164" xfId="0" applyAlignment="1" applyBorder="1" applyFont="1" applyNumberFormat="1">
      <alignment vertical="center"/>
    </xf>
    <xf borderId="38" fillId="0" fontId="9" numFmtId="9" xfId="0" applyBorder="1" applyFont="1" applyNumberFormat="1"/>
    <xf borderId="38" fillId="0" fontId="9" numFmtId="9" xfId="0" applyAlignment="1" applyBorder="1" applyFont="1" applyNumberFormat="1">
      <alignment readingOrder="0"/>
    </xf>
    <xf borderId="38" fillId="2" fontId="10" numFmtId="164" xfId="0" applyAlignment="1" applyBorder="1" applyFont="1" applyNumberFormat="1">
      <alignment horizontal="center" vertical="center"/>
    </xf>
    <xf borderId="0" fillId="0" fontId="10" numFmtId="0" xfId="0" applyAlignment="1" applyFont="1">
      <alignment horizontal="left" vertical="center"/>
    </xf>
    <xf borderId="21" fillId="2" fontId="10" numFmtId="0" xfId="0" applyAlignment="1" applyBorder="1" applyFont="1">
      <alignment horizontal="center"/>
    </xf>
    <xf borderId="38" fillId="0" fontId="9" numFmtId="9" xfId="0" applyAlignment="1" applyBorder="1" applyFont="1" applyNumberFormat="1">
      <alignment horizontal="center"/>
    </xf>
    <xf borderId="38" fillId="6" fontId="9" numFmtId="9" xfId="0" applyAlignment="1" applyBorder="1" applyFont="1" applyNumberFormat="1">
      <alignment horizontal="center"/>
    </xf>
    <xf borderId="38" fillId="0" fontId="9" numFmtId="9" xfId="0" applyAlignment="1" applyBorder="1" applyFont="1" applyNumberFormat="1">
      <alignment horizontal="center" readingOrder="0"/>
    </xf>
    <xf borderId="27" fillId="0" fontId="9" numFmtId="0" xfId="0" applyAlignment="1" applyBorder="1" applyFont="1">
      <alignment horizontal="left"/>
    </xf>
    <xf borderId="38" fillId="2" fontId="8" numFmtId="164" xfId="0" applyAlignment="1" applyBorder="1" applyFont="1" applyNumberFormat="1">
      <alignment horizontal="center"/>
    </xf>
    <xf borderId="38" fillId="6" fontId="9" numFmtId="164" xfId="0" applyAlignment="1" applyBorder="1" applyFont="1" applyNumberFormat="1">
      <alignment horizontal="center" shrinkToFit="0" vertical="center" wrapText="1"/>
    </xf>
    <xf borderId="38" fillId="0" fontId="9" numFmtId="164" xfId="0" applyAlignment="1" applyBorder="1" applyFont="1" applyNumberFormat="1">
      <alignment horizontal="center" readingOrder="0" shrinkToFit="0" vertical="center" wrapText="1"/>
    </xf>
    <xf borderId="38" fillId="0" fontId="32" numFmtId="164" xfId="0" applyAlignment="1" applyBorder="1" applyFont="1" applyNumberFormat="1">
      <alignment horizontal="center" readingOrder="0" shrinkToFit="0" vertical="center" wrapText="1"/>
    </xf>
    <xf borderId="38" fillId="0" fontId="9" numFmtId="164" xfId="0" applyAlignment="1" applyBorder="1" applyFont="1" applyNumberFormat="1">
      <alignment horizontal="center" shrinkToFit="0" vertical="center" wrapText="1"/>
    </xf>
    <xf borderId="38" fillId="2" fontId="10" numFmtId="164" xfId="0" applyAlignment="1" applyBorder="1" applyFont="1" applyNumberFormat="1">
      <alignment horizontal="center"/>
    </xf>
    <xf borderId="38" fillId="0" fontId="33" numFmtId="0" xfId="0" applyAlignment="1" applyBorder="1" applyFont="1">
      <alignment horizontal="center"/>
    </xf>
    <xf borderId="11" fillId="0" fontId="8" numFmtId="0" xfId="0" applyAlignment="1" applyBorder="1" applyFont="1">
      <alignment horizontal="center"/>
    </xf>
    <xf borderId="10" fillId="0" fontId="9" numFmtId="0" xfId="0" applyAlignment="1" applyBorder="1" applyFont="1">
      <alignment horizontal="center" shrinkToFit="0" vertical="center" wrapText="1"/>
    </xf>
    <xf borderId="38" fillId="0" fontId="9" numFmtId="0" xfId="0" applyBorder="1" applyFont="1"/>
    <xf borderId="39" fillId="6" fontId="9" numFmtId="164" xfId="0" applyAlignment="1" applyBorder="1" applyFont="1" applyNumberFormat="1">
      <alignment horizontal="center" shrinkToFit="0" vertical="center" wrapText="1"/>
    </xf>
    <xf borderId="21" fillId="2" fontId="8" numFmtId="0" xfId="0" applyAlignment="1" applyBorder="1" applyFont="1">
      <alignment horizontal="left"/>
    </xf>
    <xf borderId="21" fillId="0" fontId="9" numFmtId="170" xfId="0" applyAlignment="1" applyBorder="1" applyFont="1" applyNumberFormat="1">
      <alignment horizontal="center"/>
    </xf>
    <xf borderId="21" fillId="0" fontId="9" numFmtId="1" xfId="0" applyAlignment="1" applyBorder="1" applyFont="1" applyNumberFormat="1">
      <alignment horizontal="center"/>
    </xf>
    <xf borderId="21" fillId="0" fontId="9" numFmtId="10" xfId="0" applyAlignment="1" applyBorder="1" applyFont="1" applyNumberFormat="1">
      <alignment horizontal="center"/>
    </xf>
    <xf borderId="21" fillId="0" fontId="34" numFmtId="0" xfId="0" applyAlignment="1" applyBorder="1" applyFont="1">
      <alignment horizontal="right"/>
    </xf>
    <xf borderId="21" fillId="6" fontId="9" numFmtId="10" xfId="0" applyAlignment="1" applyBorder="1" applyFont="1" applyNumberFormat="1">
      <alignment horizontal="center"/>
    </xf>
    <xf borderId="21" fillId="2" fontId="8" numFmtId="170" xfId="0" applyAlignment="1" applyBorder="1" applyFont="1" applyNumberFormat="1">
      <alignment horizontal="center"/>
    </xf>
    <xf borderId="38" fillId="2" fontId="8" numFmtId="0" xfId="0" applyAlignment="1" applyBorder="1" applyFont="1">
      <alignment horizontal="center" vertical="center"/>
    </xf>
    <xf borderId="38" fillId="2" fontId="8" numFmtId="0" xfId="0" applyAlignment="1" applyBorder="1" applyFont="1">
      <alignment horizontal="center"/>
    </xf>
    <xf borderId="38" fillId="6" fontId="8" numFmtId="0" xfId="0" applyAlignment="1" applyBorder="1" applyFont="1">
      <alignment horizontal="center"/>
    </xf>
    <xf borderId="38" fillId="6" fontId="9" numFmtId="170" xfId="0" applyAlignment="1" applyBorder="1" applyFont="1" applyNumberFormat="1">
      <alignment vertical="center"/>
    </xf>
    <xf borderId="38" fillId="2" fontId="8" numFmtId="171" xfId="0" applyAlignment="1" applyBorder="1" applyFont="1" applyNumberFormat="1">
      <alignment vertical="center"/>
    </xf>
    <xf borderId="52" fillId="2" fontId="8" numFmtId="171" xfId="0" applyAlignment="1" applyBorder="1" applyFont="1" applyNumberFormat="1">
      <alignment vertical="center"/>
    </xf>
    <xf borderId="38" fillId="0" fontId="9" numFmtId="0" xfId="0" applyAlignment="1" applyBorder="1" applyFont="1">
      <alignment horizontal="center" vertical="center"/>
    </xf>
    <xf borderId="38" fillId="0" fontId="9" numFmtId="0" xfId="0" applyAlignment="1" applyBorder="1" applyFont="1">
      <alignment vertical="center"/>
    </xf>
    <xf borderId="38" fillId="0" fontId="9" numFmtId="170" xfId="0" applyAlignment="1" applyBorder="1" applyFont="1" applyNumberFormat="1">
      <alignment vertical="center"/>
    </xf>
    <xf borderId="38" fillId="0" fontId="9" numFmtId="172" xfId="0" applyAlignment="1" applyBorder="1" applyFont="1" applyNumberFormat="1">
      <alignment vertical="center"/>
    </xf>
    <xf borderId="38" fillId="0" fontId="9" numFmtId="171" xfId="0" applyAlignment="1" applyBorder="1" applyFont="1" applyNumberFormat="1">
      <alignment vertical="center"/>
    </xf>
    <xf borderId="53" fillId="0" fontId="9" numFmtId="0" xfId="0" applyAlignment="1" applyBorder="1" applyFont="1">
      <alignment horizontal="center" vertical="center"/>
    </xf>
    <xf borderId="53" fillId="0" fontId="9" numFmtId="172" xfId="0" applyAlignment="1" applyBorder="1" applyFont="1" applyNumberFormat="1">
      <alignment vertical="center"/>
    </xf>
    <xf borderId="53" fillId="0" fontId="9" numFmtId="171" xfId="0" applyAlignment="1" applyBorder="1" applyFont="1" applyNumberFormat="1">
      <alignment vertical="center"/>
    </xf>
    <xf borderId="54" fillId="0" fontId="9" numFmtId="0" xfId="0" applyAlignment="1" applyBorder="1" applyFont="1">
      <alignment horizontal="center" vertical="center"/>
    </xf>
    <xf borderId="54" fillId="0" fontId="9" numFmtId="172" xfId="0" applyAlignment="1" applyBorder="1" applyFont="1" applyNumberFormat="1">
      <alignment vertical="center"/>
    </xf>
    <xf borderId="54" fillId="0" fontId="9" numFmtId="171" xfId="0" applyAlignment="1" applyBorder="1" applyFont="1" applyNumberFormat="1">
      <alignment vertical="center"/>
    </xf>
    <xf borderId="6" fillId="2" fontId="6" numFmtId="0" xfId="0" applyAlignment="1" applyBorder="1" applyFont="1">
      <alignment horizontal="left" shrinkToFit="0" vertical="center" wrapText="1"/>
    </xf>
    <xf borderId="5" fillId="0" fontId="35" numFmtId="3" xfId="0" applyAlignment="1" applyBorder="1" applyFont="1" applyNumberFormat="1">
      <alignment horizontal="center" vertical="center"/>
    </xf>
    <xf borderId="5" fillId="2" fontId="35" numFmtId="3" xfId="0" applyAlignment="1" applyBorder="1" applyFont="1" applyNumberFormat="1">
      <alignment horizontal="center" vertical="center"/>
    </xf>
    <xf borderId="5" fillId="6" fontId="35" numFmtId="165" xfId="0" applyAlignment="1" applyBorder="1" applyFont="1" applyNumberFormat="1">
      <alignment horizontal="center" vertical="center"/>
    </xf>
    <xf borderId="0" fillId="0" fontId="20" numFmtId="10" xfId="0" applyFont="1" applyNumberFormat="1"/>
    <xf borderId="5" fillId="6" fontId="35" numFmtId="165" xfId="0" applyAlignment="1" applyBorder="1" applyFont="1" applyNumberFormat="1">
      <alignment horizontal="center" readingOrder="0" vertical="center"/>
    </xf>
    <xf borderId="5" fillId="2" fontId="8" numFmtId="0" xfId="0" applyAlignment="1" applyBorder="1" applyFont="1">
      <alignment horizontal="center"/>
    </xf>
    <xf borderId="6" fillId="2" fontId="8" numFmtId="0" xfId="0" applyAlignment="1" applyBorder="1" applyFont="1">
      <alignment horizontal="center"/>
    </xf>
    <xf borderId="5" fillId="6" fontId="9" numFmtId="3" xfId="0" applyAlignment="1" applyBorder="1" applyFont="1" applyNumberFormat="1">
      <alignment horizontal="center" vertical="center"/>
    </xf>
    <xf borderId="5" fillId="6" fontId="9" numFmtId="0" xfId="0" applyAlignment="1" applyBorder="1" applyFont="1">
      <alignment horizontal="center" vertical="center"/>
    </xf>
    <xf borderId="5" fillId="0" fontId="9" numFmtId="9" xfId="0" applyBorder="1" applyFont="1" applyNumberFormat="1"/>
    <xf borderId="0" fillId="0" fontId="9" numFmtId="9" xfId="0" applyFont="1" applyNumberFormat="1"/>
    <xf borderId="41" fillId="2" fontId="8" numFmtId="0" xfId="0" applyAlignment="1" applyBorder="1" applyFont="1">
      <alignment horizontal="center"/>
    </xf>
    <xf borderId="38" fillId="2" fontId="8" numFmtId="165" xfId="0" applyBorder="1" applyFont="1" applyNumberFormat="1"/>
    <xf borderId="21" fillId="6" fontId="8" numFmtId="0" xfId="0" applyAlignment="1" applyBorder="1" applyFont="1">
      <alignment horizontal="left"/>
    </xf>
    <xf borderId="38" fillId="6" fontId="8" numFmtId="164" xfId="0" applyBorder="1" applyFont="1" applyNumberFormat="1"/>
    <xf borderId="21" fillId="0" fontId="9" numFmtId="0" xfId="0" applyBorder="1" applyFont="1"/>
    <xf borderId="38" fillId="0" fontId="32" numFmtId="164" xfId="0" applyBorder="1" applyFont="1" applyNumberFormat="1"/>
    <xf borderId="21" fillId="6" fontId="8" numFmtId="0" xfId="0" applyAlignment="1" applyBorder="1" applyFont="1">
      <alignment horizontal="right"/>
    </xf>
    <xf borderId="38" fillId="6" fontId="32" numFmtId="165" xfId="0" applyBorder="1" applyFont="1" applyNumberFormat="1"/>
    <xf borderId="38" fillId="3" fontId="32" numFmtId="165" xfId="0" applyBorder="1" applyFont="1" applyNumberFormat="1"/>
    <xf borderId="38" fillId="0" fontId="32" numFmtId="165" xfId="0" applyBorder="1" applyFont="1" applyNumberFormat="1"/>
    <xf borderId="38" fillId="2" fontId="36" numFmtId="165" xfId="0" applyBorder="1" applyFont="1" applyNumberFormat="1"/>
    <xf borderId="38" fillId="6" fontId="9" numFmtId="0" xfId="0" applyBorder="1" applyFont="1"/>
    <xf borderId="21" fillId="2" fontId="8" numFmtId="0" xfId="0" applyAlignment="1" applyBorder="1" applyFont="1">
      <alignment horizontal="center"/>
    </xf>
    <xf borderId="55" fillId="2" fontId="8" numFmtId="164" xfId="0" applyAlignment="1" applyBorder="1" applyFont="1" applyNumberFormat="1">
      <alignment horizontal="center"/>
    </xf>
    <xf borderId="56" fillId="2" fontId="8" numFmtId="0" xfId="0" applyAlignment="1" applyBorder="1" applyFont="1">
      <alignment horizontal="center"/>
    </xf>
    <xf borderId="57" fillId="0" fontId="7" numFmtId="0" xfId="0" applyBorder="1" applyFont="1"/>
    <xf borderId="58" fillId="0" fontId="7" numFmtId="0" xfId="0" applyBorder="1" applyFont="1"/>
    <xf borderId="5" fillId="2" fontId="9" numFmtId="165" xfId="0" applyBorder="1" applyFont="1" applyNumberFormat="1"/>
    <xf borderId="6" fillId="0" fontId="9" numFmtId="0" xfId="0" applyBorder="1" applyFont="1"/>
    <xf borderId="5" fillId="6" fontId="9" numFmtId="165" xfId="0" applyBorder="1" applyFont="1" applyNumberFormat="1"/>
    <xf borderId="6" fillId="0" fontId="9" numFmtId="0" xfId="0" applyAlignment="1" applyBorder="1" applyFont="1">
      <alignment readingOrder="0"/>
    </xf>
    <xf borderId="5" fillId="2" fontId="8" numFmtId="165" xfId="0" applyBorder="1" applyFont="1" applyNumberFormat="1"/>
    <xf borderId="59" fillId="6" fontId="9" numFmtId="165" xfId="0" applyBorder="1" applyFont="1" applyNumberFormat="1"/>
    <xf borderId="6" fillId="2" fontId="8" numFmtId="0" xfId="0" applyAlignment="1" applyBorder="1" applyFont="1">
      <alignment horizontal="right"/>
    </xf>
    <xf borderId="5" fillId="2" fontId="8" numFmtId="165" xfId="0" applyAlignment="1" applyBorder="1" applyFont="1" applyNumberFormat="1">
      <alignment horizontal="center"/>
    </xf>
    <xf borderId="5" fillId="2" fontId="8" numFmtId="171" xfId="0" applyBorder="1" applyFont="1" applyNumberFormat="1"/>
    <xf borderId="0" fillId="0" fontId="37" numFmtId="0" xfId="0" applyAlignment="1" applyFont="1">
      <alignment horizontal="center" shrinkToFit="0" wrapText="1"/>
    </xf>
    <xf borderId="6" fillId="2" fontId="9" numFmtId="0" xfId="0" applyAlignment="1" applyBorder="1" applyFont="1">
      <alignment horizontal="left"/>
    </xf>
    <xf borderId="5" fillId="6" fontId="9" numFmtId="2" xfId="0" applyAlignment="1" applyBorder="1" applyFont="1" applyNumberFormat="1">
      <alignment horizontal="center"/>
    </xf>
    <xf borderId="5" fillId="6" fontId="9" numFmtId="10" xfId="0" applyAlignment="1" applyBorder="1" applyFont="1" applyNumberFormat="1">
      <alignment horizontal="center"/>
    </xf>
    <xf borderId="5" fillId="2" fontId="8" numFmtId="0" xfId="0" applyBorder="1" applyFont="1"/>
    <xf borderId="5" fillId="3" fontId="9" numFmtId="10" xfId="0" applyBorder="1" applyFont="1" applyNumberFormat="1"/>
    <xf borderId="32" fillId="6" fontId="9" numFmtId="10" xfId="0" applyAlignment="1" applyBorder="1" applyFont="1" applyNumberFormat="1">
      <alignment horizontal="center" vertical="center"/>
    </xf>
    <xf borderId="5" fillId="0" fontId="9" numFmtId="10" xfId="0" applyBorder="1" applyFont="1" applyNumberFormat="1"/>
    <xf borderId="6" fillId="2" fontId="8" numFmtId="0" xfId="0" applyAlignment="1" applyBorder="1" applyFont="1">
      <alignment horizontal="center" vertical="center"/>
    </xf>
    <xf borderId="5" fillId="2" fontId="8" numFmtId="0" xfId="0" applyAlignment="1" applyBorder="1" applyFont="1">
      <alignment horizontal="center" vertical="center"/>
    </xf>
    <xf borderId="6" fillId="6" fontId="9" numFmtId="165" xfId="0" applyAlignment="1" applyBorder="1" applyFont="1" applyNumberFormat="1">
      <alignment horizontal="center"/>
    </xf>
    <xf borderId="32" fillId="6" fontId="8" numFmtId="170" xfId="0" applyAlignment="1" applyBorder="1" applyFont="1" applyNumberFormat="1">
      <alignment horizontal="center" vertical="center"/>
    </xf>
    <xf borderId="0" fillId="0" fontId="8" numFmtId="0" xfId="0" applyFont="1"/>
    <xf borderId="0" fillId="0" fontId="10" numFmtId="0" xfId="0" applyAlignment="1" applyFont="1">
      <alignment horizontal="center"/>
    </xf>
    <xf borderId="60" fillId="0" fontId="7" numFmtId="0" xfId="0" applyBorder="1" applyFont="1"/>
    <xf borderId="61" fillId="6" fontId="9" numFmtId="165" xfId="0" applyBorder="1" applyFont="1" applyNumberFormat="1"/>
    <xf borderId="62" fillId="0" fontId="9" numFmtId="0" xfId="0" applyBorder="1" applyFont="1"/>
    <xf borderId="63" fillId="2" fontId="8" numFmtId="0" xfId="0" applyAlignment="1" applyBorder="1" applyFont="1">
      <alignment horizontal="center" vertical="center"/>
    </xf>
    <xf borderId="64" fillId="0" fontId="7" numFmtId="0" xfId="0" applyBorder="1" applyFont="1"/>
    <xf borderId="62" fillId="2" fontId="8" numFmtId="0" xfId="0" applyAlignment="1" applyBorder="1" applyFont="1">
      <alignment vertical="center"/>
    </xf>
    <xf borderId="62" fillId="2" fontId="8" numFmtId="0" xfId="0" applyAlignment="1" applyBorder="1" applyFont="1">
      <alignment horizontal="center" vertical="center"/>
    </xf>
    <xf borderId="63" fillId="6" fontId="9" numFmtId="165" xfId="0" applyAlignment="1" applyBorder="1" applyFont="1" applyNumberFormat="1">
      <alignment horizontal="center"/>
    </xf>
    <xf borderId="62" fillId="0" fontId="9" numFmtId="165" xfId="0" applyBorder="1" applyFont="1" applyNumberFormat="1"/>
    <xf borderId="0" fillId="0" fontId="9" numFmtId="165" xfId="0" applyFont="1" applyNumberFormat="1"/>
    <xf borderId="0" fillId="0" fontId="20" numFmtId="0" xfId="0" applyAlignment="1" applyFont="1">
      <alignment readingOrder="0"/>
    </xf>
    <xf borderId="0" fillId="0" fontId="9" numFmtId="173" xfId="0" applyFont="1" applyNumberFormat="1"/>
    <xf borderId="65" fillId="0" fontId="7" numFmtId="0" xfId="0" applyBorder="1" applyFont="1"/>
    <xf borderId="62" fillId="0" fontId="9" numFmtId="174" xfId="0" applyBorder="1" applyFont="1" applyNumberFormat="1"/>
    <xf borderId="0" fillId="0" fontId="38" numFmtId="0" xfId="0" applyAlignment="1" applyFont="1">
      <alignment readingOrder="0"/>
    </xf>
    <xf borderId="0" fillId="0" fontId="20" numFmtId="9" xfId="0" applyAlignment="1" applyFont="1" applyNumberFormat="1">
      <alignment readingOrder="0"/>
    </xf>
    <xf borderId="0" fillId="0" fontId="39" numFmtId="0" xfId="0" applyAlignment="1" applyFont="1">
      <alignment readingOrder="0" shrinkToFit="0" wrapText="0"/>
    </xf>
    <xf borderId="0" fillId="0" fontId="20" numFmtId="0" xfId="0" applyAlignment="1" applyFont="1">
      <alignment horizontal="right" readingOrder="0"/>
    </xf>
    <xf borderId="0" fillId="0" fontId="38" numFmtId="0" xfId="0" applyFont="1"/>
    <xf borderId="0" fillId="0" fontId="20" numFmtId="10" xfId="0" applyAlignment="1" applyFont="1" applyNumberFormat="1">
      <alignment readingOrder="0"/>
    </xf>
    <xf borderId="0" fillId="0" fontId="20" numFmtId="175" xfId="0" applyFont="1" applyNumberFormat="1"/>
    <xf borderId="0" fillId="0" fontId="20" numFmtId="165" xfId="0" applyFont="1" applyNumberFormat="1"/>
    <xf borderId="0" fillId="0" fontId="40" numFmtId="0" xfId="0" applyAlignment="1" applyFont="1">
      <alignment readingOrder="0"/>
    </xf>
    <xf borderId="0" fillId="0" fontId="41" numFmtId="0" xfId="0" applyAlignment="1" applyFont="1">
      <alignment readingOrder="0"/>
    </xf>
    <xf borderId="5" fillId="0" fontId="35" numFmtId="3" xfId="0" applyAlignment="1" applyBorder="1" applyFont="1" applyNumberFormat="1">
      <alignment horizontal="center" readingOrder="0" vertical="center"/>
    </xf>
    <xf borderId="0" fillId="0" fontId="42" numFmtId="0" xfId="0" applyAlignment="1" applyFont="1">
      <alignment readingOrder="0" shrinkToFit="0" wrapText="0"/>
    </xf>
    <xf borderId="62" fillId="0" fontId="9" numFmtId="14" xfId="0" applyBorder="1" applyFont="1" applyNumberFormat="1"/>
    <xf borderId="0" fillId="0" fontId="9" numFmtId="0" xfId="0" applyAlignment="1" applyFont="1">
      <alignment horizontal="center" shrinkToFit="0" vertical="center" wrapText="1"/>
    </xf>
    <xf borderId="0" fillId="0" fontId="9" numFmtId="10" xfId="0" applyFont="1" applyNumberFormat="1"/>
    <xf borderId="0" fillId="0" fontId="9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4.png"/><Relationship Id="rId3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710</xdr:row>
      <xdr:rowOff>0</xdr:rowOff>
    </xdr:from>
    <xdr:ext cx="12172950" cy="717232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749</xdr:row>
      <xdr:rowOff>0</xdr:rowOff>
    </xdr:from>
    <xdr:ext cx="11210925" cy="6762750"/>
    <xdr:pic>
      <xdr:nvPicPr>
        <xdr:cNvPr id="0" name="image4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1133475</xdr:colOff>
      <xdr:row>791</xdr:row>
      <xdr:rowOff>180975</xdr:rowOff>
    </xdr:from>
    <xdr:ext cx="12792075" cy="485775"/>
    <xdr:pic>
      <xdr:nvPicPr>
        <xdr:cNvPr id="0" name="image1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1133475</xdr:colOff>
      <xdr:row>799</xdr:row>
      <xdr:rowOff>161925</xdr:rowOff>
    </xdr:from>
    <xdr:ext cx="11858625" cy="5467350"/>
    <xdr:pic>
      <xdr:nvPicPr>
        <xdr:cNvPr id="0" name="image3.png" title="Imagen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hyperlink" Target="https://pages.stern.nyu.edu/~adamodar/New_Home_Page/datafile/Betas.html" TargetMode="External"/><Relationship Id="rId3" Type="http://schemas.openxmlformats.org/officeDocument/2006/relationships/hyperlink" Target="https://finance.yahoo.com/quote/%5EGSPC/" TargetMode="External"/><Relationship Id="rId4" Type="http://schemas.openxmlformats.org/officeDocument/2006/relationships/drawing" Target="../drawings/drawing3.xml"/><Relationship Id="rId5" Type="http://schemas.openxmlformats.org/officeDocument/2006/relationships/vmlDrawing" Target="../drawings/vmlDrawing2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0.43"/>
    <col customWidth="1" min="2" max="3" width="9.14"/>
    <col customWidth="1" min="4" max="4" width="17.43"/>
    <col customWidth="1" min="5" max="6" width="9.14"/>
    <col customWidth="1" min="7" max="10" width="9.29"/>
    <col customWidth="1" min="11" max="11" width="9.14"/>
    <col customWidth="1" min="12" max="12" width="13.57"/>
    <col customWidth="1" min="13" max="14" width="9.14"/>
    <col customWidth="1" min="15" max="15" width="15.0"/>
    <col customWidth="1" min="16" max="16" width="13.29"/>
    <col customWidth="1" min="17" max="17" width="18.57"/>
    <col customWidth="1" min="18" max="20" width="9.14"/>
    <col customWidth="1" min="21" max="21" width="18.86"/>
    <col customWidth="1" min="22" max="26" width="9.14"/>
    <col customWidth="1" min="27" max="28" width="10.71"/>
    <col customWidth="1" min="29" max="34" width="17.0"/>
    <col customWidth="1" min="35" max="35" width="11.43"/>
    <col customWidth="1" min="36" max="43" width="14.29"/>
  </cols>
  <sheetData>
    <row r="1" ht="15.0" customHeight="1">
      <c r="B1" s="1" t="s">
        <v>0</v>
      </c>
      <c r="U1" s="1"/>
      <c r="V1" s="2"/>
      <c r="W1" s="2"/>
      <c r="X1" s="2"/>
      <c r="Y1" s="2"/>
      <c r="Z1" s="2"/>
    </row>
    <row r="2" ht="15.0" customHeight="1">
      <c r="U2" s="1"/>
      <c r="V2" s="2"/>
      <c r="W2" s="2"/>
      <c r="X2" s="2"/>
      <c r="Y2" s="2"/>
      <c r="Z2" s="2"/>
    </row>
    <row r="3" ht="15.0" customHeight="1">
      <c r="U3" s="1"/>
      <c r="V3" s="2"/>
      <c r="W3" s="2"/>
      <c r="X3" s="2"/>
      <c r="Y3" s="2"/>
      <c r="Z3" s="2"/>
    </row>
    <row r="4" ht="15.0" customHeight="1">
      <c r="U4" s="1"/>
      <c r="V4" s="2"/>
      <c r="W4" s="2"/>
      <c r="X4" s="2"/>
      <c r="Y4" s="2"/>
      <c r="Z4" s="2"/>
    </row>
    <row r="5" ht="15.0" customHeight="1">
      <c r="U5" s="1"/>
      <c r="V5" s="2"/>
      <c r="W5" s="2"/>
      <c r="X5" s="2"/>
      <c r="Y5" s="2"/>
      <c r="Z5" s="2"/>
      <c r="AI5" s="3" t="str">
        <f>UPPER(AI6)</f>
        <v>TABLA DE PARTICIPACIÓN EN EL MERCADO</v>
      </c>
    </row>
    <row r="6" ht="17.25" customHeight="1">
      <c r="A6" s="4"/>
      <c r="B6" s="5" t="s">
        <v>1</v>
      </c>
      <c r="U6" s="5"/>
      <c r="V6" s="6"/>
      <c r="W6" s="6"/>
      <c r="X6" s="6"/>
      <c r="Y6" s="6"/>
      <c r="Z6" s="6"/>
      <c r="AA6" s="4"/>
      <c r="AB6" s="4"/>
      <c r="AC6" s="4"/>
      <c r="AD6" s="4"/>
      <c r="AE6" s="4"/>
      <c r="AF6" s="4"/>
      <c r="AG6" s="4"/>
      <c r="AH6" s="4"/>
      <c r="AI6" s="7" t="s">
        <v>2</v>
      </c>
      <c r="AJ6" s="8"/>
      <c r="AK6" s="8"/>
      <c r="AL6" s="8"/>
      <c r="AM6" s="4"/>
      <c r="AN6" s="4"/>
      <c r="AO6" s="4"/>
      <c r="AP6" s="4"/>
      <c r="AQ6" s="4"/>
    </row>
    <row r="7" ht="17.25" customHeight="1">
      <c r="A7" s="4"/>
      <c r="U7" s="5"/>
      <c r="V7" s="6"/>
      <c r="W7" s="6"/>
      <c r="X7" s="6"/>
      <c r="Y7" s="6"/>
      <c r="Z7" s="6"/>
      <c r="AA7" s="4"/>
      <c r="AB7" s="4"/>
      <c r="AC7" s="4"/>
      <c r="AD7" s="4"/>
      <c r="AE7" s="4"/>
      <c r="AF7" s="4"/>
      <c r="AG7" s="4"/>
      <c r="AH7" s="4"/>
      <c r="AJ7" s="9" t="s">
        <v>3</v>
      </c>
      <c r="AK7" s="10"/>
      <c r="AL7" s="9" t="s">
        <v>4</v>
      </c>
      <c r="AM7" s="10"/>
      <c r="AN7" s="9" t="s">
        <v>5</v>
      </c>
      <c r="AO7" s="10"/>
      <c r="AP7" s="9" t="s">
        <v>6</v>
      </c>
      <c r="AQ7" s="10"/>
    </row>
    <row r="8" ht="15.0" customHeight="1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AJ8" s="11"/>
      <c r="AK8" s="12"/>
      <c r="AL8" s="11"/>
      <c r="AM8" s="12"/>
      <c r="AN8" s="11"/>
      <c r="AO8" s="12"/>
      <c r="AP8" s="11"/>
      <c r="AQ8" s="12"/>
    </row>
    <row r="9" ht="15.0" customHeight="1">
      <c r="B9" s="5" t="s">
        <v>7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AI9" s="13">
        <v>1.0</v>
      </c>
      <c r="AJ9" s="14" t="s">
        <v>8</v>
      </c>
      <c r="AK9" s="15"/>
      <c r="AL9" s="14" t="s">
        <v>9</v>
      </c>
      <c r="AM9" s="15"/>
      <c r="AN9" s="14" t="s">
        <v>10</v>
      </c>
      <c r="AO9" s="15"/>
      <c r="AP9" s="14" t="s">
        <v>11</v>
      </c>
      <c r="AQ9" s="15"/>
    </row>
    <row r="10" ht="15.0" customHeight="1">
      <c r="B10" s="5"/>
      <c r="C10" s="5"/>
      <c r="D10" s="5"/>
      <c r="E10" s="5"/>
      <c r="F10" s="5"/>
      <c r="G10" s="5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AI10" s="16">
        <v>2.0</v>
      </c>
      <c r="AJ10" s="17" t="s">
        <v>8</v>
      </c>
      <c r="AK10" s="15"/>
      <c r="AL10" s="17" t="s">
        <v>12</v>
      </c>
      <c r="AM10" s="15"/>
      <c r="AN10" s="17" t="s">
        <v>10</v>
      </c>
      <c r="AO10" s="15"/>
      <c r="AP10" s="17" t="s">
        <v>11</v>
      </c>
      <c r="AQ10" s="15"/>
    </row>
    <row r="11" ht="14.25" customHeight="1">
      <c r="B11" s="18" t="s">
        <v>13</v>
      </c>
      <c r="C11" s="19" t="s">
        <v>14</v>
      </c>
      <c r="F11" s="20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AI11" s="16">
        <v>3.0</v>
      </c>
      <c r="AJ11" s="17" t="s">
        <v>8</v>
      </c>
      <c r="AK11" s="15"/>
      <c r="AL11" s="17" t="s">
        <v>15</v>
      </c>
      <c r="AM11" s="15"/>
      <c r="AN11" s="17" t="s">
        <v>10</v>
      </c>
      <c r="AO11" s="15"/>
      <c r="AP11" s="17" t="s">
        <v>16</v>
      </c>
      <c r="AQ11" s="15"/>
    </row>
    <row r="12" ht="14.25" customHeight="1">
      <c r="B12" s="18"/>
      <c r="C12" s="19"/>
      <c r="F12" s="20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AI12" s="16">
        <v>4.0</v>
      </c>
      <c r="AJ12" s="17" t="s">
        <v>8</v>
      </c>
      <c r="AK12" s="15"/>
      <c r="AL12" s="17" t="s">
        <v>9</v>
      </c>
      <c r="AM12" s="15"/>
      <c r="AN12" s="17" t="s">
        <v>17</v>
      </c>
      <c r="AO12" s="15"/>
      <c r="AP12" s="17" t="s">
        <v>16</v>
      </c>
      <c r="AQ12" s="15"/>
    </row>
    <row r="13" ht="14.25" customHeight="1">
      <c r="B13" s="18" t="s">
        <v>18</v>
      </c>
      <c r="C13" s="19" t="s">
        <v>19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AI13" s="16">
        <v>5.0</v>
      </c>
      <c r="AJ13" s="17" t="s">
        <v>8</v>
      </c>
      <c r="AK13" s="15"/>
      <c r="AL13" s="17" t="s">
        <v>12</v>
      </c>
      <c r="AM13" s="15"/>
      <c r="AN13" s="17" t="s">
        <v>17</v>
      </c>
      <c r="AO13" s="15"/>
      <c r="AP13" s="17" t="s">
        <v>16</v>
      </c>
      <c r="AQ13" s="15"/>
    </row>
    <row r="14" ht="15.0" customHeight="1">
      <c r="B14" s="6"/>
      <c r="C14" s="20"/>
      <c r="D14" s="20"/>
      <c r="E14" s="20"/>
      <c r="F14" s="20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AI14" s="13">
        <v>6.0</v>
      </c>
      <c r="AJ14" s="14" t="s">
        <v>8</v>
      </c>
      <c r="AK14" s="15"/>
      <c r="AL14" s="14" t="s">
        <v>15</v>
      </c>
      <c r="AM14" s="15"/>
      <c r="AN14" s="14" t="s">
        <v>17</v>
      </c>
      <c r="AO14" s="15"/>
      <c r="AP14" s="14" t="s">
        <v>20</v>
      </c>
      <c r="AQ14" s="15"/>
    </row>
    <row r="15" ht="15.0" customHeight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AI15" s="13">
        <v>7.0</v>
      </c>
      <c r="AJ15" s="14" t="s">
        <v>21</v>
      </c>
      <c r="AK15" s="15"/>
      <c r="AL15" s="14" t="s">
        <v>9</v>
      </c>
      <c r="AM15" s="15"/>
      <c r="AN15" s="14" t="s">
        <v>10</v>
      </c>
      <c r="AO15" s="15"/>
      <c r="AP15" s="14" t="s">
        <v>22</v>
      </c>
      <c r="AQ15" s="15"/>
    </row>
    <row r="16" ht="15.0" customHeight="1">
      <c r="B16" s="21" t="s">
        <v>23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AI16" s="13">
        <v>8.0</v>
      </c>
      <c r="AJ16" s="14" t="s">
        <v>21</v>
      </c>
      <c r="AK16" s="15"/>
      <c r="AL16" s="14" t="s">
        <v>12</v>
      </c>
      <c r="AM16" s="15"/>
      <c r="AN16" s="14" t="s">
        <v>10</v>
      </c>
      <c r="AO16" s="15"/>
      <c r="AP16" s="14" t="s">
        <v>20</v>
      </c>
      <c r="AQ16" s="15"/>
    </row>
    <row r="17" ht="14.25" customHeight="1">
      <c r="O17" s="22"/>
      <c r="P17" s="22"/>
      <c r="AI17" s="13">
        <v>9.0</v>
      </c>
      <c r="AJ17" s="14" t="s">
        <v>21</v>
      </c>
      <c r="AK17" s="15"/>
      <c r="AL17" s="14" t="s">
        <v>9</v>
      </c>
      <c r="AM17" s="15"/>
      <c r="AN17" s="14" t="s">
        <v>17</v>
      </c>
      <c r="AO17" s="15"/>
      <c r="AP17" s="14" t="s">
        <v>20</v>
      </c>
      <c r="AQ17" s="15"/>
    </row>
    <row r="18" ht="15.0" customHeight="1">
      <c r="B18" s="23" t="s">
        <v>24</v>
      </c>
      <c r="E18" s="24">
        <v>93654.0</v>
      </c>
      <c r="F18" s="25"/>
      <c r="G18" s="25"/>
      <c r="H18" s="25"/>
      <c r="I18" s="25"/>
      <c r="J18" s="25"/>
      <c r="K18" s="25"/>
      <c r="L18" s="26"/>
      <c r="O18" s="22"/>
      <c r="P18" s="22"/>
      <c r="AI18" s="13">
        <v>10.0</v>
      </c>
      <c r="AJ18" s="14" t="s">
        <v>21</v>
      </c>
      <c r="AK18" s="15"/>
      <c r="AL18" s="14" t="s">
        <v>12</v>
      </c>
      <c r="AM18" s="15"/>
      <c r="AN18" s="14" t="s">
        <v>17</v>
      </c>
      <c r="AO18" s="15"/>
      <c r="AP18" s="14" t="s">
        <v>25</v>
      </c>
      <c r="AQ18" s="15"/>
    </row>
    <row r="19" ht="15.0" customHeight="1">
      <c r="E19" s="27"/>
      <c r="L19" s="28"/>
      <c r="O19" s="22"/>
      <c r="P19" s="22"/>
      <c r="AI19" s="13">
        <v>11.0</v>
      </c>
      <c r="AJ19" s="14" t="s">
        <v>21</v>
      </c>
      <c r="AK19" s="15"/>
      <c r="AL19" s="14" t="s">
        <v>15</v>
      </c>
      <c r="AM19" s="15"/>
      <c r="AN19" s="14" t="s">
        <v>10</v>
      </c>
      <c r="AO19" s="15"/>
      <c r="AP19" s="14" t="s">
        <v>26</v>
      </c>
      <c r="AQ19" s="15"/>
    </row>
    <row r="20" ht="15.0" customHeight="1">
      <c r="E20" s="29"/>
      <c r="F20" s="30"/>
      <c r="G20" s="30"/>
      <c r="H20" s="30"/>
      <c r="I20" s="30"/>
      <c r="J20" s="30"/>
      <c r="K20" s="30"/>
      <c r="L20" s="31"/>
      <c r="M20" s="32"/>
      <c r="O20" s="22"/>
      <c r="P20" s="22"/>
      <c r="AI20" s="13">
        <v>12.0</v>
      </c>
      <c r="AJ20" s="14" t="s">
        <v>21</v>
      </c>
      <c r="AK20" s="15"/>
      <c r="AL20" s="14" t="s">
        <v>15</v>
      </c>
      <c r="AM20" s="15"/>
      <c r="AN20" s="14" t="s">
        <v>17</v>
      </c>
      <c r="AO20" s="15"/>
      <c r="AP20" s="14" t="s">
        <v>27</v>
      </c>
      <c r="AQ20" s="15"/>
    </row>
    <row r="21" ht="15.0" customHeight="1">
      <c r="AI21" s="13">
        <v>13.0</v>
      </c>
      <c r="AJ21" s="14" t="s">
        <v>28</v>
      </c>
      <c r="AK21" s="15"/>
      <c r="AL21" s="14" t="s">
        <v>28</v>
      </c>
      <c r="AM21" s="15"/>
      <c r="AN21" s="14" t="s">
        <v>28</v>
      </c>
      <c r="AO21" s="15"/>
      <c r="AP21" s="14" t="s">
        <v>29</v>
      </c>
      <c r="AQ21" s="15"/>
    </row>
    <row r="22" ht="15.0" customHeight="1">
      <c r="B22" s="33" t="s">
        <v>30</v>
      </c>
      <c r="C22" s="34"/>
      <c r="D22" s="35"/>
      <c r="E22" s="24">
        <v>1217.0</v>
      </c>
      <c r="F22" s="25"/>
      <c r="G22" s="25"/>
      <c r="H22" s="25"/>
      <c r="I22" s="25"/>
      <c r="J22" s="25"/>
      <c r="K22" s="25"/>
      <c r="L22" s="26"/>
    </row>
    <row r="23" ht="15.0" customHeight="1">
      <c r="B23" s="36"/>
      <c r="C23" s="37"/>
      <c r="D23" s="35"/>
      <c r="E23" s="27"/>
      <c r="L23" s="28"/>
      <c r="AI23" s="38" t="s">
        <v>31</v>
      </c>
      <c r="AO23" s="39" t="s">
        <v>32</v>
      </c>
      <c r="AP23" s="40"/>
      <c r="AQ23" s="41"/>
    </row>
    <row r="24" ht="15.0" customHeight="1">
      <c r="B24" s="42"/>
      <c r="C24" s="43"/>
      <c r="D24" s="35"/>
      <c r="E24" s="29"/>
      <c r="F24" s="30"/>
      <c r="G24" s="30"/>
      <c r="H24" s="30"/>
      <c r="I24" s="30"/>
      <c r="J24" s="30"/>
      <c r="K24" s="30"/>
      <c r="L24" s="31"/>
    </row>
    <row r="25" ht="15.0" customHeight="1"/>
    <row r="26" ht="15.0" customHeight="1">
      <c r="B26" s="23" t="s">
        <v>33</v>
      </c>
      <c r="E26" s="44">
        <v>0.013</v>
      </c>
      <c r="F26" s="45"/>
      <c r="G26" s="45"/>
      <c r="H26" s="45"/>
      <c r="I26" s="45"/>
      <c r="J26" s="45"/>
      <c r="K26" s="45"/>
      <c r="L26" s="10"/>
    </row>
    <row r="27" ht="15.0" customHeight="1">
      <c r="E27" s="46"/>
      <c r="L27" s="47"/>
    </row>
    <row r="28" ht="15.0" customHeight="1">
      <c r="E28" s="11"/>
      <c r="F28" s="48"/>
      <c r="G28" s="48"/>
      <c r="H28" s="48"/>
      <c r="I28" s="48"/>
      <c r="J28" s="48"/>
      <c r="K28" s="48"/>
      <c r="L28" s="12"/>
    </row>
    <row r="29" ht="15.0" customHeight="1"/>
    <row r="30" ht="15.0" customHeight="1">
      <c r="E30" s="49" t="s">
        <v>34</v>
      </c>
      <c r="F30" s="40"/>
      <c r="G30" s="40"/>
      <c r="H30" s="50"/>
    </row>
    <row r="31" ht="15.0" customHeight="1">
      <c r="B31" s="51"/>
      <c r="C31" s="51"/>
      <c r="D31" s="52"/>
      <c r="E31" s="52"/>
      <c r="F31" s="52"/>
      <c r="G31" s="52"/>
      <c r="H31" s="52"/>
      <c r="I31" s="52"/>
      <c r="J31" s="52"/>
      <c r="K31" s="52"/>
      <c r="M31" s="32"/>
      <c r="N31" s="51"/>
      <c r="O31" s="51"/>
      <c r="P31" s="52"/>
      <c r="Q31" s="52"/>
      <c r="R31" s="52"/>
      <c r="S31" s="52"/>
      <c r="T31" s="52"/>
      <c r="U31" s="52"/>
      <c r="V31" s="52"/>
      <c r="W31" s="52"/>
      <c r="X31" s="52"/>
    </row>
    <row r="32" ht="15.0" customHeight="1">
      <c r="M32" s="32"/>
      <c r="N32" s="51"/>
      <c r="O32" s="51"/>
      <c r="P32" s="52"/>
      <c r="Q32" s="52"/>
      <c r="R32" s="52"/>
      <c r="S32" s="52"/>
      <c r="T32" s="52"/>
      <c r="U32" s="52"/>
      <c r="V32" s="52"/>
      <c r="W32" s="52"/>
      <c r="X32" s="52"/>
    </row>
    <row r="33" ht="15.0" customHeight="1">
      <c r="M33" s="32"/>
      <c r="N33" s="51"/>
      <c r="O33" s="51"/>
      <c r="P33" s="52"/>
      <c r="Q33" s="52"/>
      <c r="R33" s="52"/>
      <c r="S33" s="52"/>
      <c r="T33" s="52"/>
      <c r="U33" s="52"/>
      <c r="V33" s="52"/>
      <c r="W33" s="52"/>
      <c r="X33" s="52"/>
    </row>
    <row r="34" ht="14.25" customHeight="1">
      <c r="O34" s="22"/>
      <c r="P34" s="22"/>
    </row>
    <row r="35" ht="14.25" customHeight="1">
      <c r="B35" s="21" t="s">
        <v>35</v>
      </c>
      <c r="O35" s="22"/>
      <c r="P35" s="22"/>
    </row>
    <row r="36" ht="15.75" customHeight="1">
      <c r="B36" s="21"/>
      <c r="C36" s="21"/>
      <c r="D36" s="21"/>
      <c r="E36" s="21"/>
      <c r="F36" s="21"/>
      <c r="O36" s="22"/>
      <c r="P36" s="22"/>
    </row>
    <row r="37" ht="23.25" customHeight="1">
      <c r="B37" s="53" t="s">
        <v>36</v>
      </c>
    </row>
    <row r="38" ht="14.25" customHeight="1">
      <c r="O38" s="22"/>
      <c r="P38" s="22"/>
    </row>
    <row r="39" ht="14.25" customHeight="1">
      <c r="A39" s="54" t="s">
        <v>37</v>
      </c>
      <c r="B39" s="55" t="s">
        <v>38</v>
      </c>
      <c r="C39" s="56"/>
      <c r="D39" s="56"/>
      <c r="E39" s="56"/>
      <c r="F39" s="56"/>
      <c r="G39" s="15"/>
      <c r="H39" s="55" t="s">
        <v>39</v>
      </c>
      <c r="I39" s="56"/>
      <c r="J39" s="56"/>
      <c r="K39" s="56"/>
      <c r="L39" s="15"/>
      <c r="M39" s="55" t="s">
        <v>40</v>
      </c>
      <c r="N39" s="15"/>
      <c r="O39" s="57" t="s">
        <v>41</v>
      </c>
      <c r="P39" s="15"/>
      <c r="Q39" s="55" t="s">
        <v>42</v>
      </c>
      <c r="R39" s="15"/>
      <c r="S39" s="55" t="s">
        <v>43</v>
      </c>
      <c r="T39" s="15"/>
      <c r="U39" s="54" t="s">
        <v>44</v>
      </c>
      <c r="V39" s="55" t="s">
        <v>45</v>
      </c>
      <c r="W39" s="56"/>
      <c r="X39" s="56"/>
      <c r="Y39" s="56"/>
      <c r="Z39" s="15"/>
    </row>
    <row r="40" ht="15.0" customHeight="1">
      <c r="A40" s="58" t="s">
        <v>46</v>
      </c>
      <c r="B40" s="59" t="s">
        <v>47</v>
      </c>
      <c r="C40" s="45"/>
      <c r="D40" s="45"/>
      <c r="E40" s="45"/>
      <c r="F40" s="45"/>
      <c r="G40" s="10"/>
      <c r="H40" s="60" t="s">
        <v>48</v>
      </c>
      <c r="I40" s="45"/>
      <c r="J40" s="45"/>
      <c r="K40" s="45"/>
      <c r="L40" s="10"/>
      <c r="M40" s="60" t="s">
        <v>49</v>
      </c>
      <c r="N40" s="10"/>
      <c r="O40" s="60"/>
      <c r="P40" s="10"/>
      <c r="Q40" s="60" t="s">
        <v>50</v>
      </c>
      <c r="R40" s="10"/>
      <c r="S40" s="61">
        <v>500000.0</v>
      </c>
      <c r="T40" s="10"/>
      <c r="U40" s="62"/>
      <c r="V40" s="63" t="s">
        <v>51</v>
      </c>
      <c r="W40" s="45"/>
      <c r="X40" s="45"/>
      <c r="Y40" s="45"/>
      <c r="Z40" s="10"/>
    </row>
    <row r="41" ht="15.0" customHeight="1">
      <c r="A41" s="64"/>
      <c r="B41" s="11"/>
      <c r="C41" s="48"/>
      <c r="D41" s="48"/>
      <c r="E41" s="48"/>
      <c r="F41" s="48"/>
      <c r="G41" s="12"/>
      <c r="H41" s="11"/>
      <c r="I41" s="48"/>
      <c r="J41" s="48"/>
      <c r="K41" s="48"/>
      <c r="L41" s="12"/>
      <c r="M41" s="11"/>
      <c r="N41" s="12"/>
      <c r="O41" s="11"/>
      <c r="P41" s="12"/>
      <c r="Q41" s="11"/>
      <c r="R41" s="12"/>
      <c r="S41" s="11"/>
      <c r="T41" s="12"/>
      <c r="U41" s="65"/>
      <c r="V41" s="11"/>
      <c r="W41" s="48"/>
      <c r="X41" s="48"/>
      <c r="Y41" s="48"/>
      <c r="Z41" s="12"/>
    </row>
    <row r="42" ht="14.25" customHeight="1">
      <c r="A42" s="64"/>
      <c r="B42" s="59" t="s">
        <v>52</v>
      </c>
      <c r="C42" s="45"/>
      <c r="D42" s="45"/>
      <c r="E42" s="45"/>
      <c r="F42" s="45"/>
      <c r="G42" s="10"/>
      <c r="H42" s="60" t="s">
        <v>48</v>
      </c>
      <c r="I42" s="45"/>
      <c r="J42" s="45"/>
      <c r="K42" s="45"/>
      <c r="L42" s="10"/>
      <c r="M42" s="60" t="s">
        <v>49</v>
      </c>
      <c r="N42" s="10"/>
      <c r="O42" s="60" t="s">
        <v>53</v>
      </c>
      <c r="P42" s="10"/>
      <c r="Q42" s="60" t="s">
        <v>50</v>
      </c>
      <c r="R42" s="10"/>
      <c r="S42" s="61"/>
      <c r="T42" s="10"/>
      <c r="U42" s="62"/>
      <c r="V42" s="63" t="s">
        <v>54</v>
      </c>
      <c r="W42" s="45"/>
      <c r="X42" s="45"/>
      <c r="Y42" s="45"/>
      <c r="Z42" s="10"/>
    </row>
    <row r="43" ht="14.25" customHeight="1">
      <c r="A43" s="64"/>
      <c r="B43" s="11"/>
      <c r="C43" s="48"/>
      <c r="D43" s="48"/>
      <c r="E43" s="48"/>
      <c r="F43" s="48"/>
      <c r="G43" s="12"/>
      <c r="H43" s="11"/>
      <c r="I43" s="48"/>
      <c r="J43" s="48"/>
      <c r="K43" s="48"/>
      <c r="L43" s="12"/>
      <c r="M43" s="11"/>
      <c r="N43" s="12"/>
      <c r="O43" s="11"/>
      <c r="P43" s="12"/>
      <c r="Q43" s="11"/>
      <c r="R43" s="12"/>
      <c r="S43" s="11"/>
      <c r="T43" s="12"/>
      <c r="U43" s="65"/>
      <c r="V43" s="11"/>
      <c r="W43" s="48"/>
      <c r="X43" s="48"/>
      <c r="Y43" s="48"/>
      <c r="Z43" s="12"/>
    </row>
    <row r="44" ht="14.25" customHeight="1">
      <c r="A44" s="64"/>
      <c r="B44" s="60"/>
      <c r="C44" s="45"/>
      <c r="D44" s="45"/>
      <c r="E44" s="45"/>
      <c r="F44" s="45"/>
      <c r="G44" s="10"/>
      <c r="H44" s="60"/>
      <c r="I44" s="45"/>
      <c r="J44" s="45"/>
      <c r="K44" s="45"/>
      <c r="L44" s="10"/>
      <c r="M44" s="60"/>
      <c r="N44" s="10"/>
      <c r="O44" s="60"/>
      <c r="P44" s="10"/>
      <c r="Q44" s="60"/>
      <c r="R44" s="10"/>
      <c r="S44" s="61"/>
      <c r="T44" s="10"/>
      <c r="U44" s="62"/>
      <c r="V44" s="66"/>
      <c r="W44" s="45"/>
      <c r="X44" s="45"/>
      <c r="Y44" s="45"/>
      <c r="Z44" s="10"/>
    </row>
    <row r="45" ht="14.25" customHeight="1">
      <c r="A45" s="64"/>
      <c r="B45" s="11"/>
      <c r="C45" s="48"/>
      <c r="D45" s="48"/>
      <c r="E45" s="48"/>
      <c r="F45" s="48"/>
      <c r="G45" s="12"/>
      <c r="H45" s="11"/>
      <c r="I45" s="48"/>
      <c r="J45" s="48"/>
      <c r="K45" s="48"/>
      <c r="L45" s="12"/>
      <c r="M45" s="11"/>
      <c r="N45" s="12"/>
      <c r="O45" s="11"/>
      <c r="P45" s="12"/>
      <c r="Q45" s="11"/>
      <c r="R45" s="12"/>
      <c r="S45" s="11"/>
      <c r="T45" s="12"/>
      <c r="U45" s="65"/>
      <c r="V45" s="11"/>
      <c r="W45" s="48"/>
      <c r="X45" s="48"/>
      <c r="Y45" s="48"/>
      <c r="Z45" s="12"/>
    </row>
    <row r="46" ht="14.25" customHeight="1">
      <c r="A46" s="64"/>
      <c r="B46" s="60"/>
      <c r="C46" s="45"/>
      <c r="D46" s="45"/>
      <c r="E46" s="45"/>
      <c r="F46" s="45"/>
      <c r="G46" s="10"/>
      <c r="H46" s="60"/>
      <c r="I46" s="45"/>
      <c r="J46" s="45"/>
      <c r="K46" s="45"/>
      <c r="L46" s="10"/>
      <c r="M46" s="60"/>
      <c r="N46" s="10"/>
      <c r="O46" s="60"/>
      <c r="P46" s="10"/>
      <c r="Q46" s="60"/>
      <c r="R46" s="10"/>
      <c r="S46" s="61"/>
      <c r="T46" s="10"/>
      <c r="U46" s="62"/>
      <c r="V46" s="66"/>
      <c r="W46" s="45"/>
      <c r="X46" s="45"/>
      <c r="Y46" s="45"/>
      <c r="Z46" s="10"/>
    </row>
    <row r="47" ht="14.25" customHeight="1">
      <c r="A47" s="64"/>
      <c r="B47" s="11"/>
      <c r="C47" s="48"/>
      <c r="D47" s="48"/>
      <c r="E47" s="48"/>
      <c r="F47" s="48"/>
      <c r="G47" s="12"/>
      <c r="H47" s="11"/>
      <c r="I47" s="48"/>
      <c r="J47" s="48"/>
      <c r="K47" s="48"/>
      <c r="L47" s="12"/>
      <c r="M47" s="11"/>
      <c r="N47" s="12"/>
      <c r="O47" s="11"/>
      <c r="P47" s="12"/>
      <c r="Q47" s="11"/>
      <c r="R47" s="12"/>
      <c r="S47" s="11"/>
      <c r="T47" s="12"/>
      <c r="U47" s="65"/>
      <c r="V47" s="11"/>
      <c r="W47" s="48"/>
      <c r="X47" s="48"/>
      <c r="Y47" s="48"/>
      <c r="Z47" s="12"/>
    </row>
    <row r="48" ht="14.25" customHeight="1">
      <c r="A48" s="64"/>
      <c r="B48" s="60"/>
      <c r="C48" s="45"/>
      <c r="D48" s="45"/>
      <c r="E48" s="45"/>
      <c r="F48" s="45"/>
      <c r="G48" s="10"/>
      <c r="H48" s="60"/>
      <c r="I48" s="45"/>
      <c r="J48" s="45"/>
      <c r="K48" s="45"/>
      <c r="L48" s="10"/>
      <c r="M48" s="60"/>
      <c r="N48" s="10"/>
      <c r="O48" s="60"/>
      <c r="P48" s="10"/>
      <c r="Q48" s="60"/>
      <c r="R48" s="10"/>
      <c r="S48" s="61"/>
      <c r="T48" s="10"/>
      <c r="U48" s="67"/>
      <c r="V48" s="66"/>
      <c r="W48" s="45"/>
      <c r="X48" s="45"/>
      <c r="Y48" s="45"/>
      <c r="Z48" s="10"/>
    </row>
    <row r="49" ht="14.25" customHeight="1">
      <c r="A49" s="65"/>
      <c r="B49" s="11"/>
      <c r="C49" s="48"/>
      <c r="D49" s="48"/>
      <c r="E49" s="48"/>
      <c r="F49" s="48"/>
      <c r="G49" s="12"/>
      <c r="H49" s="11"/>
      <c r="I49" s="48"/>
      <c r="J49" s="48"/>
      <c r="K49" s="48"/>
      <c r="L49" s="12"/>
      <c r="M49" s="11"/>
      <c r="N49" s="12"/>
      <c r="O49" s="11"/>
      <c r="P49" s="12"/>
      <c r="Q49" s="11"/>
      <c r="R49" s="12"/>
      <c r="S49" s="11"/>
      <c r="T49" s="12"/>
      <c r="U49" s="67"/>
      <c r="V49" s="11"/>
      <c r="W49" s="48"/>
      <c r="X49" s="48"/>
      <c r="Y49" s="48"/>
      <c r="Z49" s="12"/>
    </row>
    <row r="50" ht="14.25" customHeight="1">
      <c r="A50" s="68"/>
      <c r="B50" s="60"/>
      <c r="C50" s="45"/>
      <c r="D50" s="45"/>
      <c r="E50" s="45"/>
      <c r="F50" s="45"/>
      <c r="G50" s="10"/>
      <c r="H50" s="60"/>
      <c r="I50" s="45"/>
      <c r="J50" s="45"/>
      <c r="K50" s="45"/>
      <c r="L50" s="10"/>
      <c r="M50" s="60"/>
      <c r="N50" s="10"/>
      <c r="O50" s="60"/>
      <c r="P50" s="10"/>
      <c r="Q50" s="60"/>
      <c r="R50" s="10"/>
      <c r="S50" s="61"/>
      <c r="T50" s="10"/>
      <c r="U50" s="67"/>
      <c r="V50" s="66"/>
      <c r="W50" s="45"/>
      <c r="X50" s="45"/>
      <c r="Y50" s="45"/>
      <c r="Z50" s="10"/>
    </row>
    <row r="51" ht="14.25" customHeight="1">
      <c r="A51" s="68"/>
      <c r="B51" s="11"/>
      <c r="C51" s="48"/>
      <c r="D51" s="48"/>
      <c r="E51" s="48"/>
      <c r="F51" s="48"/>
      <c r="G51" s="12"/>
      <c r="H51" s="11"/>
      <c r="I51" s="48"/>
      <c r="J51" s="48"/>
      <c r="K51" s="48"/>
      <c r="L51" s="12"/>
      <c r="M51" s="11"/>
      <c r="N51" s="12"/>
      <c r="O51" s="11"/>
      <c r="P51" s="12"/>
      <c r="Q51" s="11"/>
      <c r="R51" s="12"/>
      <c r="S51" s="11"/>
      <c r="T51" s="12"/>
      <c r="U51" s="67"/>
      <c r="V51" s="11"/>
      <c r="W51" s="48"/>
      <c r="X51" s="48"/>
      <c r="Y51" s="48"/>
      <c r="Z51" s="12"/>
    </row>
    <row r="52" ht="14.25" customHeight="1">
      <c r="A52" s="68"/>
      <c r="B52" s="60"/>
      <c r="C52" s="45"/>
      <c r="D52" s="45"/>
      <c r="E52" s="45"/>
      <c r="F52" s="45"/>
      <c r="G52" s="10"/>
      <c r="H52" s="60"/>
      <c r="I52" s="45"/>
      <c r="J52" s="45"/>
      <c r="K52" s="45"/>
      <c r="L52" s="10"/>
      <c r="M52" s="60"/>
      <c r="N52" s="10"/>
      <c r="O52" s="60"/>
      <c r="P52" s="10"/>
      <c r="Q52" s="60"/>
      <c r="R52" s="10"/>
      <c r="S52" s="61"/>
      <c r="T52" s="10"/>
      <c r="U52" s="67"/>
      <c r="V52" s="66"/>
      <c r="W52" s="45"/>
      <c r="X52" s="45"/>
      <c r="Y52" s="45"/>
      <c r="Z52" s="10"/>
    </row>
    <row r="53" ht="14.25" customHeight="1">
      <c r="A53" s="68"/>
      <c r="B53" s="11"/>
      <c r="C53" s="48"/>
      <c r="D53" s="48"/>
      <c r="E53" s="48"/>
      <c r="F53" s="48"/>
      <c r="G53" s="12"/>
      <c r="H53" s="11"/>
      <c r="I53" s="48"/>
      <c r="J53" s="48"/>
      <c r="K53" s="48"/>
      <c r="L53" s="12"/>
      <c r="M53" s="11"/>
      <c r="N53" s="12"/>
      <c r="O53" s="11"/>
      <c r="P53" s="12"/>
      <c r="Q53" s="11"/>
      <c r="R53" s="12"/>
      <c r="S53" s="11"/>
      <c r="T53" s="12"/>
      <c r="U53" s="67"/>
      <c r="V53" s="11"/>
      <c r="W53" s="48"/>
      <c r="X53" s="48"/>
      <c r="Y53" s="48"/>
      <c r="Z53" s="12"/>
    </row>
    <row r="54" ht="14.25" customHeight="1">
      <c r="A54" s="68"/>
      <c r="B54" s="60"/>
      <c r="C54" s="45"/>
      <c r="D54" s="45"/>
      <c r="E54" s="45"/>
      <c r="F54" s="45"/>
      <c r="G54" s="10"/>
      <c r="H54" s="60"/>
      <c r="I54" s="45"/>
      <c r="J54" s="45"/>
      <c r="K54" s="45"/>
      <c r="L54" s="10"/>
      <c r="M54" s="60"/>
      <c r="N54" s="10"/>
      <c r="O54" s="60"/>
      <c r="P54" s="10"/>
      <c r="Q54" s="60"/>
      <c r="R54" s="10"/>
      <c r="S54" s="61"/>
      <c r="T54" s="10"/>
      <c r="U54" s="67"/>
      <c r="V54" s="66"/>
      <c r="W54" s="45"/>
      <c r="X54" s="45"/>
      <c r="Y54" s="45"/>
      <c r="Z54" s="10"/>
    </row>
    <row r="55" ht="14.25" customHeight="1">
      <c r="A55" s="68"/>
      <c r="B55" s="11"/>
      <c r="C55" s="48"/>
      <c r="D55" s="48"/>
      <c r="E55" s="48"/>
      <c r="F55" s="48"/>
      <c r="G55" s="12"/>
      <c r="H55" s="11"/>
      <c r="I55" s="48"/>
      <c r="J55" s="48"/>
      <c r="K55" s="48"/>
      <c r="L55" s="12"/>
      <c r="M55" s="11"/>
      <c r="N55" s="12"/>
      <c r="O55" s="11"/>
      <c r="P55" s="12"/>
      <c r="Q55" s="11"/>
      <c r="R55" s="12"/>
      <c r="S55" s="11"/>
      <c r="T55" s="12"/>
      <c r="U55" s="67"/>
      <c r="V55" s="11"/>
      <c r="W55" s="48"/>
      <c r="X55" s="48"/>
      <c r="Y55" s="48"/>
      <c r="Z55" s="12"/>
    </row>
    <row r="56" ht="14.25" customHeight="1">
      <c r="A56" s="68"/>
      <c r="B56" s="60"/>
      <c r="C56" s="45"/>
      <c r="D56" s="45"/>
      <c r="E56" s="45"/>
      <c r="F56" s="45"/>
      <c r="G56" s="10"/>
      <c r="H56" s="60"/>
      <c r="I56" s="45"/>
      <c r="J56" s="45"/>
      <c r="K56" s="45"/>
      <c r="L56" s="10"/>
      <c r="M56" s="60"/>
      <c r="N56" s="10"/>
      <c r="O56" s="60"/>
      <c r="P56" s="10"/>
      <c r="Q56" s="60"/>
      <c r="R56" s="10"/>
      <c r="S56" s="61"/>
      <c r="T56" s="10"/>
      <c r="U56" s="67"/>
      <c r="V56" s="66"/>
      <c r="W56" s="45"/>
      <c r="X56" s="45"/>
      <c r="Y56" s="45"/>
      <c r="Z56" s="10"/>
    </row>
    <row r="57" ht="14.25" customHeight="1">
      <c r="A57" s="68"/>
      <c r="B57" s="11"/>
      <c r="C57" s="48"/>
      <c r="D57" s="48"/>
      <c r="E57" s="48"/>
      <c r="F57" s="48"/>
      <c r="G57" s="12"/>
      <c r="H57" s="11"/>
      <c r="I57" s="48"/>
      <c r="J57" s="48"/>
      <c r="K57" s="48"/>
      <c r="L57" s="12"/>
      <c r="M57" s="11"/>
      <c r="N57" s="12"/>
      <c r="O57" s="11"/>
      <c r="P57" s="12"/>
      <c r="Q57" s="11"/>
      <c r="R57" s="12"/>
      <c r="S57" s="11"/>
      <c r="T57" s="12"/>
      <c r="U57" s="67"/>
      <c r="V57" s="11"/>
      <c r="W57" s="48"/>
      <c r="X57" s="48"/>
      <c r="Y57" s="48"/>
      <c r="Z57" s="12"/>
    </row>
    <row r="58" ht="14.25" customHeight="1">
      <c r="A58" s="68"/>
      <c r="B58" s="60"/>
      <c r="C58" s="45"/>
      <c r="D58" s="45"/>
      <c r="E58" s="45"/>
      <c r="F58" s="45"/>
      <c r="G58" s="10"/>
      <c r="H58" s="60"/>
      <c r="I58" s="45"/>
      <c r="J58" s="45"/>
      <c r="K58" s="45"/>
      <c r="L58" s="10"/>
      <c r="M58" s="60"/>
      <c r="N58" s="10"/>
      <c r="O58" s="60"/>
      <c r="P58" s="10"/>
      <c r="Q58" s="60"/>
      <c r="R58" s="10"/>
      <c r="S58" s="61"/>
      <c r="T58" s="10"/>
      <c r="U58" s="67"/>
      <c r="V58" s="66"/>
      <c r="W58" s="45"/>
      <c r="X58" s="45"/>
      <c r="Y58" s="45"/>
      <c r="Z58" s="10"/>
    </row>
    <row r="59" ht="14.25" customHeight="1">
      <c r="A59" s="68"/>
      <c r="B59" s="11"/>
      <c r="C59" s="48"/>
      <c r="D59" s="48"/>
      <c r="E59" s="48"/>
      <c r="F59" s="48"/>
      <c r="G59" s="12"/>
      <c r="H59" s="11"/>
      <c r="I59" s="48"/>
      <c r="J59" s="48"/>
      <c r="K59" s="48"/>
      <c r="L59" s="12"/>
      <c r="M59" s="11"/>
      <c r="N59" s="12"/>
      <c r="O59" s="11"/>
      <c r="P59" s="12"/>
      <c r="Q59" s="11"/>
      <c r="R59" s="12"/>
      <c r="S59" s="11"/>
      <c r="T59" s="12"/>
      <c r="U59" s="67"/>
      <c r="V59" s="11"/>
      <c r="W59" s="48"/>
      <c r="X59" s="48"/>
      <c r="Y59" s="48"/>
      <c r="Z59" s="12"/>
    </row>
    <row r="60" ht="14.25" customHeight="1">
      <c r="A60" s="68"/>
      <c r="B60" s="60"/>
      <c r="C60" s="45"/>
      <c r="D60" s="45"/>
      <c r="E60" s="45"/>
      <c r="F60" s="45"/>
      <c r="G60" s="10"/>
      <c r="H60" s="60"/>
      <c r="I60" s="45"/>
      <c r="J60" s="45"/>
      <c r="K60" s="45"/>
      <c r="L60" s="10"/>
      <c r="M60" s="60"/>
      <c r="N60" s="10"/>
      <c r="O60" s="60"/>
      <c r="P60" s="10"/>
      <c r="Q60" s="60"/>
      <c r="R60" s="10"/>
      <c r="S60" s="61"/>
      <c r="T60" s="10"/>
      <c r="U60" s="67"/>
      <c r="V60" s="66"/>
      <c r="W60" s="45"/>
      <c r="X60" s="45"/>
      <c r="Y60" s="45"/>
      <c r="Z60" s="10"/>
    </row>
    <row r="61" ht="14.25" customHeight="1">
      <c r="A61" s="68"/>
      <c r="B61" s="11"/>
      <c r="C61" s="48"/>
      <c r="D61" s="48"/>
      <c r="E61" s="48"/>
      <c r="F61" s="48"/>
      <c r="G61" s="12"/>
      <c r="H61" s="11"/>
      <c r="I61" s="48"/>
      <c r="J61" s="48"/>
      <c r="K61" s="48"/>
      <c r="L61" s="12"/>
      <c r="M61" s="11"/>
      <c r="N61" s="12"/>
      <c r="O61" s="11"/>
      <c r="P61" s="12"/>
      <c r="Q61" s="11"/>
      <c r="R61" s="12"/>
      <c r="S61" s="11"/>
      <c r="T61" s="12"/>
      <c r="U61" s="67"/>
      <c r="V61" s="11"/>
      <c r="W61" s="48"/>
      <c r="X61" s="48"/>
      <c r="Y61" s="48"/>
      <c r="Z61" s="12"/>
    </row>
    <row r="62" ht="14.25" customHeight="1">
      <c r="A62" s="68"/>
      <c r="B62" s="60"/>
      <c r="C62" s="45"/>
      <c r="D62" s="45"/>
      <c r="E62" s="45"/>
      <c r="F62" s="45"/>
      <c r="G62" s="10"/>
      <c r="H62" s="60"/>
      <c r="I62" s="45"/>
      <c r="J62" s="45"/>
      <c r="K62" s="45"/>
      <c r="L62" s="10"/>
      <c r="M62" s="60"/>
      <c r="N62" s="10"/>
      <c r="O62" s="60"/>
      <c r="P62" s="10"/>
      <c r="Q62" s="60"/>
      <c r="R62" s="10"/>
      <c r="S62" s="61"/>
      <c r="T62" s="10"/>
      <c r="U62" s="67"/>
      <c r="V62" s="66"/>
      <c r="W62" s="45"/>
      <c r="X62" s="45"/>
      <c r="Y62" s="45"/>
      <c r="Z62" s="10"/>
    </row>
    <row r="63" ht="14.25" customHeight="1">
      <c r="A63" s="68"/>
      <c r="B63" s="11"/>
      <c r="C63" s="48"/>
      <c r="D63" s="48"/>
      <c r="E63" s="48"/>
      <c r="F63" s="48"/>
      <c r="G63" s="12"/>
      <c r="H63" s="11"/>
      <c r="I63" s="48"/>
      <c r="J63" s="48"/>
      <c r="K63" s="48"/>
      <c r="L63" s="12"/>
      <c r="M63" s="11"/>
      <c r="N63" s="12"/>
      <c r="O63" s="11"/>
      <c r="P63" s="12"/>
      <c r="Q63" s="11"/>
      <c r="R63" s="12"/>
      <c r="S63" s="11"/>
      <c r="T63" s="12"/>
      <c r="U63" s="67"/>
      <c r="V63" s="11"/>
      <c r="W63" s="48"/>
      <c r="X63" s="48"/>
      <c r="Y63" s="48"/>
      <c r="Z63" s="12"/>
    </row>
    <row r="64" ht="14.25" customHeight="1">
      <c r="A64" s="68"/>
      <c r="B64" s="60"/>
      <c r="C64" s="45"/>
      <c r="D64" s="45"/>
      <c r="E64" s="45"/>
      <c r="F64" s="45"/>
      <c r="G64" s="10"/>
      <c r="H64" s="60"/>
      <c r="I64" s="45"/>
      <c r="J64" s="45"/>
      <c r="K64" s="45"/>
      <c r="L64" s="10"/>
      <c r="M64" s="60"/>
      <c r="N64" s="10"/>
      <c r="O64" s="60"/>
      <c r="P64" s="10"/>
      <c r="Q64" s="60"/>
      <c r="R64" s="10"/>
      <c r="S64" s="61"/>
      <c r="T64" s="10"/>
      <c r="U64" s="67"/>
      <c r="V64" s="66"/>
      <c r="W64" s="45"/>
      <c r="X64" s="45"/>
      <c r="Y64" s="45"/>
      <c r="Z64" s="10"/>
    </row>
    <row r="65" ht="14.25" customHeight="1">
      <c r="A65" s="68"/>
      <c r="B65" s="11"/>
      <c r="C65" s="48"/>
      <c r="D65" s="48"/>
      <c r="E65" s="48"/>
      <c r="F65" s="48"/>
      <c r="G65" s="12"/>
      <c r="H65" s="11"/>
      <c r="I65" s="48"/>
      <c r="J65" s="48"/>
      <c r="K65" s="48"/>
      <c r="L65" s="12"/>
      <c r="M65" s="11"/>
      <c r="N65" s="12"/>
      <c r="O65" s="11"/>
      <c r="P65" s="12"/>
      <c r="Q65" s="11"/>
      <c r="R65" s="12"/>
      <c r="S65" s="11"/>
      <c r="T65" s="12"/>
      <c r="U65" s="67"/>
      <c r="V65" s="11"/>
      <c r="W65" s="48"/>
      <c r="X65" s="48"/>
      <c r="Y65" s="48"/>
      <c r="Z65" s="12"/>
    </row>
    <row r="66" ht="14.25" customHeight="1">
      <c r="A66" s="68"/>
      <c r="B66" s="60"/>
      <c r="C66" s="45"/>
      <c r="D66" s="45"/>
      <c r="E66" s="45"/>
      <c r="F66" s="45"/>
      <c r="G66" s="10"/>
      <c r="H66" s="60"/>
      <c r="I66" s="45"/>
      <c r="J66" s="45"/>
      <c r="K66" s="45"/>
      <c r="L66" s="10"/>
      <c r="M66" s="60"/>
      <c r="N66" s="10"/>
      <c r="O66" s="60"/>
      <c r="P66" s="10"/>
      <c r="Q66" s="60"/>
      <c r="R66" s="10"/>
      <c r="S66" s="61"/>
      <c r="T66" s="10"/>
      <c r="U66" s="67"/>
      <c r="V66" s="66"/>
      <c r="W66" s="45"/>
      <c r="X66" s="45"/>
      <c r="Y66" s="45"/>
      <c r="Z66" s="10"/>
    </row>
    <row r="67" ht="14.25" customHeight="1">
      <c r="A67" s="68"/>
      <c r="B67" s="11"/>
      <c r="C67" s="48"/>
      <c r="D67" s="48"/>
      <c r="E67" s="48"/>
      <c r="F67" s="48"/>
      <c r="G67" s="12"/>
      <c r="H67" s="11"/>
      <c r="I67" s="48"/>
      <c r="J67" s="48"/>
      <c r="K67" s="48"/>
      <c r="L67" s="12"/>
      <c r="M67" s="11"/>
      <c r="N67" s="12"/>
      <c r="O67" s="11"/>
      <c r="P67" s="12"/>
      <c r="Q67" s="11"/>
      <c r="R67" s="12"/>
      <c r="S67" s="11"/>
      <c r="T67" s="12"/>
      <c r="U67" s="67"/>
      <c r="V67" s="11"/>
      <c r="W67" s="48"/>
      <c r="X67" s="48"/>
      <c r="Y67" s="48"/>
      <c r="Z67" s="12"/>
    </row>
    <row r="68" ht="14.25" customHeight="1">
      <c r="A68" s="68"/>
      <c r="B68" s="60"/>
      <c r="C68" s="45"/>
      <c r="D68" s="45"/>
      <c r="E68" s="45"/>
      <c r="F68" s="45"/>
      <c r="G68" s="10"/>
      <c r="H68" s="60"/>
      <c r="I68" s="45"/>
      <c r="J68" s="45"/>
      <c r="K68" s="45"/>
      <c r="L68" s="10"/>
      <c r="M68" s="60"/>
      <c r="N68" s="10"/>
      <c r="O68" s="60"/>
      <c r="P68" s="10"/>
      <c r="Q68" s="60"/>
      <c r="R68" s="10"/>
      <c r="S68" s="61"/>
      <c r="T68" s="10"/>
      <c r="U68" s="67"/>
      <c r="V68" s="66"/>
      <c r="W68" s="45"/>
      <c r="X68" s="45"/>
      <c r="Y68" s="45"/>
      <c r="Z68" s="10"/>
    </row>
    <row r="69" ht="14.25" customHeight="1">
      <c r="A69" s="68"/>
      <c r="B69" s="11"/>
      <c r="C69" s="48"/>
      <c r="D69" s="48"/>
      <c r="E69" s="48"/>
      <c r="F69" s="48"/>
      <c r="G69" s="12"/>
      <c r="H69" s="11"/>
      <c r="I69" s="48"/>
      <c r="J69" s="48"/>
      <c r="K69" s="48"/>
      <c r="L69" s="12"/>
      <c r="M69" s="11"/>
      <c r="N69" s="12"/>
      <c r="O69" s="11"/>
      <c r="P69" s="12"/>
      <c r="Q69" s="11"/>
      <c r="R69" s="12"/>
      <c r="S69" s="11"/>
      <c r="T69" s="12"/>
      <c r="U69" s="67"/>
      <c r="V69" s="11"/>
      <c r="W69" s="48"/>
      <c r="X69" s="48"/>
      <c r="Y69" s="48"/>
      <c r="Z69" s="12"/>
    </row>
    <row r="70" ht="14.25" customHeight="1">
      <c r="A70" s="68"/>
      <c r="B70" s="69" t="s">
        <v>55</v>
      </c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10"/>
      <c r="S70" s="70">
        <f>SUM(S40:T69)</f>
        <v>500000</v>
      </c>
      <c r="T70" s="45"/>
      <c r="U70" s="45"/>
      <c r="V70" s="45"/>
      <c r="W70" s="45"/>
      <c r="X70" s="45"/>
      <c r="Y70" s="45"/>
      <c r="Z70" s="10"/>
    </row>
    <row r="71" ht="14.25" customHeight="1">
      <c r="A71" s="68"/>
      <c r="B71" s="11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12"/>
      <c r="S71" s="11"/>
      <c r="T71" s="48"/>
      <c r="U71" s="48"/>
      <c r="V71" s="48"/>
      <c r="W71" s="48"/>
      <c r="X71" s="48"/>
      <c r="Y71" s="48"/>
      <c r="Z71" s="12"/>
    </row>
    <row r="72" ht="14.25" customHeight="1">
      <c r="O72" s="22"/>
      <c r="P72" s="22"/>
    </row>
    <row r="73" ht="14.25" customHeight="1">
      <c r="O73" s="22"/>
      <c r="P73" s="22"/>
    </row>
    <row r="74" ht="14.25" customHeight="1">
      <c r="O74" s="22"/>
      <c r="P74" s="22"/>
      <c r="W74" s="71" t="s">
        <v>32</v>
      </c>
      <c r="X74" s="72"/>
      <c r="Y74" s="72"/>
      <c r="Z74" s="73"/>
    </row>
    <row r="75" ht="14.25" customHeight="1">
      <c r="O75" s="22"/>
      <c r="P75" s="22"/>
    </row>
    <row r="76" ht="14.25" customHeight="1">
      <c r="O76" s="22"/>
      <c r="P76" s="22"/>
    </row>
    <row r="77" ht="14.25" customHeight="1">
      <c r="O77" s="22"/>
      <c r="P77" s="22"/>
    </row>
    <row r="78" ht="14.25" customHeight="1">
      <c r="O78" s="22"/>
      <c r="P78" s="22"/>
    </row>
    <row r="79" ht="14.25" customHeight="1">
      <c r="O79" s="22"/>
      <c r="P79" s="22"/>
    </row>
    <row r="80" ht="14.25" customHeight="1">
      <c r="O80" s="22"/>
      <c r="P80" s="22"/>
    </row>
    <row r="81" ht="14.25" customHeight="1">
      <c r="O81" s="22"/>
      <c r="P81" s="22"/>
    </row>
    <row r="82" ht="14.25" customHeight="1">
      <c r="O82" s="22"/>
      <c r="P82" s="22"/>
    </row>
    <row r="83" ht="14.25" customHeight="1">
      <c r="O83" s="22"/>
      <c r="P83" s="22"/>
    </row>
    <row r="84" ht="14.25" customHeight="1">
      <c r="O84" s="22"/>
      <c r="P84" s="22"/>
    </row>
    <row r="85" ht="14.25" customHeight="1">
      <c r="O85" s="22"/>
      <c r="P85" s="22"/>
    </row>
    <row r="86" ht="14.25" customHeight="1">
      <c r="O86" s="22"/>
      <c r="P86" s="22"/>
    </row>
    <row r="87" ht="14.25" customHeight="1">
      <c r="O87" s="22"/>
      <c r="P87" s="22"/>
    </row>
    <row r="88" ht="14.25" customHeight="1">
      <c r="O88" s="22"/>
      <c r="P88" s="22"/>
    </row>
    <row r="89" ht="14.25" customHeight="1">
      <c r="O89" s="22"/>
      <c r="P89" s="22"/>
    </row>
    <row r="90" ht="14.25" customHeight="1">
      <c r="O90" s="22"/>
      <c r="P90" s="22"/>
    </row>
    <row r="91" ht="14.25" customHeight="1">
      <c r="O91" s="22"/>
      <c r="P91" s="22"/>
    </row>
    <row r="92" ht="14.25" customHeight="1">
      <c r="O92" s="22"/>
      <c r="P92" s="22"/>
    </row>
    <row r="93" ht="14.25" customHeight="1">
      <c r="O93" s="22"/>
      <c r="P93" s="22"/>
    </row>
    <row r="94" ht="14.25" customHeight="1">
      <c r="O94" s="22"/>
      <c r="P94" s="22"/>
    </row>
    <row r="95" ht="14.25" customHeight="1">
      <c r="O95" s="22"/>
      <c r="P95" s="22"/>
    </row>
    <row r="96" ht="14.25" customHeight="1">
      <c r="O96" s="22"/>
      <c r="P96" s="22"/>
    </row>
    <row r="97" ht="14.25" customHeight="1">
      <c r="O97" s="22"/>
      <c r="P97" s="22"/>
    </row>
    <row r="98" ht="14.25" customHeight="1">
      <c r="O98" s="22"/>
      <c r="P98" s="22"/>
    </row>
    <row r="99" ht="14.25" customHeight="1">
      <c r="O99" s="22"/>
      <c r="P99" s="22"/>
    </row>
    <row r="100" ht="14.25" customHeight="1">
      <c r="O100" s="22"/>
      <c r="P100" s="22"/>
    </row>
    <row r="101" ht="14.25" customHeight="1">
      <c r="O101" s="22"/>
      <c r="P101" s="22"/>
    </row>
    <row r="102" ht="14.25" customHeight="1">
      <c r="O102" s="22"/>
      <c r="P102" s="22"/>
    </row>
    <row r="103" ht="14.25" customHeight="1">
      <c r="O103" s="22"/>
      <c r="P103" s="22"/>
    </row>
    <row r="104" ht="14.25" customHeight="1">
      <c r="O104" s="22"/>
      <c r="P104" s="22"/>
    </row>
    <row r="105" ht="14.25" customHeight="1">
      <c r="O105" s="22"/>
      <c r="P105" s="22"/>
    </row>
    <row r="106" ht="14.25" customHeight="1">
      <c r="O106" s="22"/>
      <c r="P106" s="22"/>
    </row>
    <row r="107" ht="14.25" customHeight="1">
      <c r="O107" s="22"/>
      <c r="P107" s="22"/>
    </row>
    <row r="108" ht="14.25" customHeight="1">
      <c r="O108" s="22"/>
      <c r="P108" s="22"/>
    </row>
    <row r="109" ht="14.25" customHeight="1">
      <c r="O109" s="22"/>
      <c r="P109" s="22"/>
    </row>
    <row r="110" ht="14.25" customHeight="1">
      <c r="O110" s="22"/>
      <c r="P110" s="22"/>
    </row>
    <row r="111" ht="14.25" customHeight="1">
      <c r="O111" s="22"/>
      <c r="P111" s="22"/>
    </row>
    <row r="112" ht="14.25" customHeight="1">
      <c r="O112" s="22"/>
      <c r="P112" s="22"/>
    </row>
    <row r="113" ht="14.25" customHeight="1">
      <c r="O113" s="22"/>
      <c r="P113" s="22"/>
    </row>
    <row r="114" ht="14.25" customHeight="1">
      <c r="O114" s="22"/>
      <c r="P114" s="22"/>
    </row>
    <row r="115" ht="14.25" customHeight="1">
      <c r="O115" s="22"/>
      <c r="P115" s="22"/>
    </row>
    <row r="116" ht="14.25" customHeight="1">
      <c r="O116" s="22"/>
      <c r="P116" s="22"/>
    </row>
    <row r="117" ht="14.25" customHeight="1">
      <c r="O117" s="22"/>
      <c r="P117" s="22"/>
    </row>
    <row r="118" ht="14.25" customHeight="1">
      <c r="O118" s="22"/>
      <c r="P118" s="22"/>
    </row>
    <row r="119" ht="14.25" customHeight="1">
      <c r="O119" s="22"/>
      <c r="P119" s="22"/>
    </row>
    <row r="120" ht="14.25" customHeight="1">
      <c r="O120" s="22"/>
      <c r="P120" s="22"/>
    </row>
    <row r="121" ht="14.25" customHeight="1">
      <c r="O121" s="22"/>
      <c r="P121" s="22"/>
    </row>
    <row r="122" ht="14.25" customHeight="1">
      <c r="O122" s="22"/>
      <c r="P122" s="22"/>
    </row>
    <row r="123" ht="14.25" customHeight="1">
      <c r="O123" s="22"/>
      <c r="P123" s="22"/>
    </row>
    <row r="124" ht="14.25" customHeight="1">
      <c r="O124" s="22"/>
      <c r="P124" s="22"/>
    </row>
    <row r="125" ht="14.25" customHeight="1">
      <c r="O125" s="22"/>
      <c r="P125" s="22"/>
    </row>
    <row r="126" ht="14.25" customHeight="1">
      <c r="O126" s="22"/>
      <c r="P126" s="22"/>
    </row>
    <row r="127" ht="14.25" customHeight="1">
      <c r="O127" s="22"/>
      <c r="P127" s="22"/>
    </row>
    <row r="128" ht="14.25" customHeight="1">
      <c r="O128" s="22"/>
      <c r="P128" s="22"/>
    </row>
    <row r="129" ht="14.25" customHeight="1">
      <c r="O129" s="22"/>
      <c r="P129" s="22"/>
    </row>
    <row r="130" ht="14.25" customHeight="1">
      <c r="O130" s="22"/>
      <c r="P130" s="22"/>
    </row>
    <row r="131" ht="14.25" customHeight="1">
      <c r="O131" s="22"/>
      <c r="P131" s="22"/>
    </row>
    <row r="132" ht="14.25" customHeight="1">
      <c r="O132" s="22"/>
      <c r="P132" s="22"/>
    </row>
    <row r="133" ht="14.25" customHeight="1">
      <c r="O133" s="22"/>
      <c r="P133" s="22"/>
    </row>
    <row r="134" ht="14.25" customHeight="1">
      <c r="O134" s="22"/>
      <c r="P134" s="22"/>
    </row>
    <row r="135" ht="14.25" customHeight="1">
      <c r="O135" s="22"/>
      <c r="P135" s="22"/>
    </row>
    <row r="136" ht="14.25" customHeight="1">
      <c r="O136" s="22"/>
      <c r="P136" s="22"/>
    </row>
    <row r="137" ht="14.25" customHeight="1">
      <c r="O137" s="22"/>
      <c r="P137" s="22"/>
    </row>
    <row r="138" ht="14.25" customHeight="1">
      <c r="O138" s="22"/>
      <c r="P138" s="22"/>
    </row>
    <row r="139" ht="14.25" customHeight="1">
      <c r="O139" s="22"/>
      <c r="P139" s="22"/>
    </row>
    <row r="140" ht="14.25" customHeight="1">
      <c r="O140" s="22"/>
      <c r="P140" s="22"/>
    </row>
    <row r="141" ht="14.25" customHeight="1">
      <c r="O141" s="22"/>
      <c r="P141" s="22"/>
    </row>
    <row r="142" ht="14.25" customHeight="1">
      <c r="O142" s="22"/>
      <c r="P142" s="22"/>
    </row>
    <row r="143" ht="14.25" customHeight="1">
      <c r="O143" s="22"/>
      <c r="P143" s="22"/>
    </row>
    <row r="144" ht="14.25" customHeight="1">
      <c r="O144" s="22"/>
      <c r="P144" s="22"/>
    </row>
    <row r="145" ht="14.25" customHeight="1">
      <c r="O145" s="22"/>
      <c r="P145" s="22"/>
    </row>
    <row r="146" ht="14.25" customHeight="1">
      <c r="O146" s="22"/>
      <c r="P146" s="22"/>
    </row>
    <row r="147" ht="14.25" customHeight="1">
      <c r="O147" s="22"/>
      <c r="P147" s="22"/>
    </row>
    <row r="148" ht="14.25" customHeight="1">
      <c r="O148" s="22"/>
      <c r="P148" s="22"/>
    </row>
    <row r="149" ht="14.25" customHeight="1">
      <c r="O149" s="22"/>
      <c r="P149" s="22"/>
    </row>
    <row r="150" ht="14.25" customHeight="1">
      <c r="O150" s="22"/>
      <c r="P150" s="22"/>
    </row>
    <row r="151" ht="14.25" customHeight="1">
      <c r="O151" s="22"/>
      <c r="P151" s="22"/>
    </row>
    <row r="152" ht="14.25" customHeight="1">
      <c r="O152" s="22"/>
      <c r="P152" s="22"/>
    </row>
    <row r="153" ht="14.25" customHeight="1">
      <c r="O153" s="22"/>
      <c r="P153" s="22"/>
    </row>
    <row r="154" ht="14.25" customHeight="1">
      <c r="O154" s="22"/>
      <c r="P154" s="22"/>
    </row>
    <row r="155" ht="14.25" customHeight="1">
      <c r="O155" s="22"/>
      <c r="P155" s="22"/>
    </row>
    <row r="156" ht="14.25" customHeight="1">
      <c r="O156" s="22"/>
      <c r="P156" s="22"/>
    </row>
    <row r="157" ht="14.25" customHeight="1">
      <c r="O157" s="22"/>
      <c r="P157" s="22"/>
    </row>
    <row r="158" ht="14.25" customHeight="1">
      <c r="O158" s="22"/>
      <c r="P158" s="22"/>
    </row>
    <row r="159" ht="14.25" customHeight="1">
      <c r="O159" s="22"/>
      <c r="P159" s="22"/>
    </row>
    <row r="160" ht="14.25" customHeight="1">
      <c r="O160" s="22"/>
      <c r="P160" s="22"/>
    </row>
    <row r="161" ht="14.25" customHeight="1">
      <c r="O161" s="22"/>
      <c r="P161" s="22"/>
    </row>
    <row r="162" ht="14.25" customHeight="1">
      <c r="O162" s="22"/>
      <c r="P162" s="22"/>
    </row>
    <row r="163" ht="14.25" customHeight="1">
      <c r="O163" s="22"/>
      <c r="P163" s="22"/>
    </row>
    <row r="164" ht="14.25" customHeight="1">
      <c r="O164" s="22"/>
      <c r="P164" s="22"/>
    </row>
    <row r="165" ht="14.25" customHeight="1">
      <c r="O165" s="22"/>
      <c r="P165" s="22"/>
    </row>
    <row r="166" ht="14.25" customHeight="1">
      <c r="O166" s="22"/>
      <c r="P166" s="22"/>
    </row>
    <row r="167" ht="14.25" customHeight="1">
      <c r="O167" s="22"/>
      <c r="P167" s="22"/>
    </row>
    <row r="168" ht="14.25" customHeight="1">
      <c r="O168" s="22"/>
      <c r="P168" s="22"/>
    </row>
    <row r="169" ht="14.25" customHeight="1">
      <c r="O169" s="22"/>
      <c r="P169" s="22"/>
    </row>
    <row r="170" ht="14.25" customHeight="1">
      <c r="O170" s="22"/>
      <c r="P170" s="22"/>
    </row>
    <row r="171" ht="14.25" customHeight="1">
      <c r="O171" s="22"/>
      <c r="P171" s="22"/>
    </row>
    <row r="172" ht="14.25" customHeight="1">
      <c r="O172" s="22"/>
      <c r="P172" s="22"/>
    </row>
    <row r="173" ht="14.25" customHeight="1">
      <c r="O173" s="22"/>
      <c r="P173" s="22"/>
    </row>
    <row r="174" ht="14.25" customHeight="1">
      <c r="O174" s="22"/>
      <c r="P174" s="22"/>
    </row>
    <row r="175" ht="14.25" customHeight="1">
      <c r="O175" s="22"/>
      <c r="P175" s="22"/>
    </row>
    <row r="176" ht="14.25" customHeight="1">
      <c r="O176" s="22"/>
      <c r="P176" s="22"/>
    </row>
    <row r="177" ht="14.25" customHeight="1">
      <c r="O177" s="22"/>
      <c r="P177" s="22"/>
    </row>
    <row r="178" ht="14.25" customHeight="1">
      <c r="O178" s="22"/>
      <c r="P178" s="22"/>
    </row>
    <row r="179" ht="14.25" customHeight="1">
      <c r="O179" s="22"/>
      <c r="P179" s="22"/>
    </row>
    <row r="180" ht="14.25" customHeight="1">
      <c r="O180" s="22"/>
      <c r="P180" s="22"/>
    </row>
    <row r="181" ht="14.25" customHeight="1">
      <c r="O181" s="22"/>
      <c r="P181" s="22"/>
    </row>
    <row r="182" ht="14.25" customHeight="1">
      <c r="O182" s="22"/>
      <c r="P182" s="22"/>
    </row>
    <row r="183" ht="14.25" customHeight="1">
      <c r="O183" s="22"/>
      <c r="P183" s="22"/>
    </row>
    <row r="184" ht="14.25" customHeight="1">
      <c r="O184" s="22"/>
      <c r="P184" s="22"/>
    </row>
    <row r="185" ht="14.25" customHeight="1">
      <c r="O185" s="22"/>
      <c r="P185" s="22"/>
    </row>
    <row r="186" ht="14.25" customHeight="1">
      <c r="O186" s="22"/>
      <c r="P186" s="22"/>
    </row>
    <row r="187" ht="14.25" customHeight="1">
      <c r="O187" s="22"/>
      <c r="P187" s="22"/>
    </row>
    <row r="188" ht="14.25" customHeight="1">
      <c r="O188" s="22"/>
      <c r="P188" s="22"/>
    </row>
    <row r="189" ht="14.25" customHeight="1">
      <c r="O189" s="22"/>
      <c r="P189" s="22"/>
    </row>
    <row r="190" ht="14.25" customHeight="1">
      <c r="O190" s="22"/>
      <c r="P190" s="22"/>
    </row>
    <row r="191" ht="14.25" customHeight="1">
      <c r="O191" s="22"/>
      <c r="P191" s="22"/>
    </row>
    <row r="192" ht="14.25" customHeight="1">
      <c r="O192" s="22"/>
      <c r="P192" s="22"/>
    </row>
    <row r="193" ht="14.25" customHeight="1">
      <c r="O193" s="22"/>
      <c r="P193" s="22"/>
    </row>
    <row r="194" ht="14.25" customHeight="1">
      <c r="O194" s="22"/>
      <c r="P194" s="22"/>
    </row>
    <row r="195" ht="14.25" customHeight="1">
      <c r="O195" s="22"/>
      <c r="P195" s="22"/>
    </row>
    <row r="196" ht="14.25" customHeight="1">
      <c r="O196" s="22"/>
      <c r="P196" s="22"/>
    </row>
    <row r="197" ht="14.25" customHeight="1">
      <c r="O197" s="22"/>
      <c r="P197" s="22"/>
    </row>
    <row r="198" ht="14.25" customHeight="1">
      <c r="O198" s="22"/>
      <c r="P198" s="22"/>
    </row>
    <row r="199" ht="14.25" customHeight="1">
      <c r="O199" s="22"/>
      <c r="P199" s="22"/>
    </row>
    <row r="200" ht="14.25" customHeight="1">
      <c r="O200" s="22"/>
      <c r="P200" s="22"/>
    </row>
    <row r="201" ht="14.25" customHeight="1">
      <c r="O201" s="22"/>
      <c r="P201" s="22"/>
    </row>
    <row r="202" ht="14.25" customHeight="1">
      <c r="O202" s="22"/>
      <c r="P202" s="22"/>
    </row>
    <row r="203" ht="14.25" customHeight="1">
      <c r="O203" s="22"/>
      <c r="P203" s="22"/>
    </row>
    <row r="204" ht="14.25" customHeight="1">
      <c r="O204" s="22"/>
      <c r="P204" s="22"/>
    </row>
    <row r="205" ht="14.25" customHeight="1">
      <c r="O205" s="22"/>
      <c r="P205" s="22"/>
    </row>
    <row r="206" ht="14.25" customHeight="1">
      <c r="O206" s="22"/>
      <c r="P206" s="22"/>
    </row>
    <row r="207" ht="14.25" customHeight="1">
      <c r="O207" s="22"/>
      <c r="P207" s="22"/>
    </row>
    <row r="208" ht="14.25" customHeight="1">
      <c r="O208" s="22"/>
      <c r="P208" s="22"/>
    </row>
    <row r="209" ht="14.25" customHeight="1">
      <c r="O209" s="22"/>
      <c r="P209" s="22"/>
    </row>
    <row r="210" ht="14.25" customHeight="1">
      <c r="O210" s="22"/>
      <c r="P210" s="22"/>
    </row>
    <row r="211" ht="14.25" customHeight="1">
      <c r="O211" s="22"/>
      <c r="P211" s="22"/>
    </row>
    <row r="212" ht="14.25" customHeight="1">
      <c r="O212" s="22"/>
      <c r="P212" s="22"/>
    </row>
    <row r="213" ht="14.25" customHeight="1">
      <c r="O213" s="22"/>
      <c r="P213" s="22"/>
    </row>
    <row r="214" ht="14.25" customHeight="1">
      <c r="O214" s="22"/>
      <c r="P214" s="22"/>
    </row>
    <row r="215" ht="14.25" customHeight="1">
      <c r="O215" s="22"/>
      <c r="P215" s="22"/>
    </row>
    <row r="216" ht="14.25" customHeight="1">
      <c r="O216" s="22"/>
      <c r="P216" s="22"/>
    </row>
    <row r="217" ht="14.25" customHeight="1">
      <c r="O217" s="22"/>
      <c r="P217" s="22"/>
    </row>
    <row r="218" ht="14.25" customHeight="1">
      <c r="O218" s="22"/>
      <c r="P218" s="22"/>
    </row>
    <row r="219" ht="14.25" customHeight="1">
      <c r="O219" s="22"/>
      <c r="P219" s="22"/>
    </row>
    <row r="220" ht="14.25" customHeight="1">
      <c r="O220" s="22"/>
      <c r="P220" s="22"/>
    </row>
    <row r="221" ht="14.25" customHeight="1">
      <c r="O221" s="22"/>
      <c r="P221" s="22"/>
    </row>
    <row r="222" ht="14.25" customHeight="1">
      <c r="O222" s="22"/>
      <c r="P222" s="22"/>
    </row>
    <row r="223" ht="14.25" customHeight="1">
      <c r="O223" s="22"/>
      <c r="P223" s="22"/>
    </row>
    <row r="224" ht="14.25" customHeight="1">
      <c r="O224" s="22"/>
      <c r="P224" s="22"/>
    </row>
    <row r="225" ht="14.25" customHeight="1">
      <c r="O225" s="22"/>
      <c r="P225" s="22"/>
    </row>
    <row r="226" ht="14.25" customHeight="1">
      <c r="O226" s="22"/>
      <c r="P226" s="22"/>
    </row>
    <row r="227" ht="14.25" customHeight="1">
      <c r="O227" s="22"/>
      <c r="P227" s="22"/>
    </row>
    <row r="228" ht="14.25" customHeight="1">
      <c r="O228" s="22"/>
      <c r="P228" s="22"/>
    </row>
    <row r="229" ht="14.25" customHeight="1">
      <c r="O229" s="22"/>
      <c r="P229" s="22"/>
    </row>
    <row r="230" ht="14.25" customHeight="1">
      <c r="O230" s="22"/>
      <c r="P230" s="22"/>
    </row>
    <row r="231" ht="14.25" customHeight="1">
      <c r="O231" s="22"/>
      <c r="P231" s="22"/>
    </row>
    <row r="232" ht="14.25" customHeight="1">
      <c r="O232" s="22"/>
      <c r="P232" s="22"/>
    </row>
    <row r="233" ht="14.25" customHeight="1">
      <c r="O233" s="22"/>
      <c r="P233" s="22"/>
    </row>
    <row r="234" ht="14.25" customHeight="1">
      <c r="O234" s="22"/>
      <c r="P234" s="22"/>
    </row>
    <row r="235" ht="14.25" customHeight="1">
      <c r="O235" s="22"/>
      <c r="P235" s="22"/>
    </row>
    <row r="236" ht="14.25" customHeight="1">
      <c r="O236" s="22"/>
      <c r="P236" s="22"/>
    </row>
    <row r="237" ht="14.25" customHeight="1">
      <c r="O237" s="22"/>
      <c r="P237" s="22"/>
    </row>
    <row r="238" ht="14.25" customHeight="1">
      <c r="O238" s="22"/>
      <c r="P238" s="22"/>
    </row>
    <row r="239" ht="14.25" customHeight="1">
      <c r="O239" s="22"/>
      <c r="P239" s="22"/>
    </row>
    <row r="240" ht="14.25" customHeight="1">
      <c r="O240" s="22"/>
      <c r="P240" s="22"/>
    </row>
    <row r="241" ht="14.25" customHeight="1">
      <c r="O241" s="22"/>
      <c r="P241" s="22"/>
    </row>
    <row r="242" ht="14.25" customHeight="1">
      <c r="O242" s="22"/>
      <c r="P242" s="22"/>
    </row>
    <row r="243" ht="14.25" customHeight="1">
      <c r="O243" s="22"/>
      <c r="P243" s="22"/>
    </row>
    <row r="244" ht="14.25" customHeight="1">
      <c r="O244" s="22"/>
      <c r="P244" s="22"/>
    </row>
    <row r="245" ht="14.25" customHeight="1">
      <c r="O245" s="22"/>
      <c r="P245" s="22"/>
    </row>
    <row r="246" ht="14.25" customHeight="1">
      <c r="O246" s="22"/>
      <c r="P246" s="22"/>
    </row>
    <row r="247" ht="14.25" customHeight="1">
      <c r="O247" s="22"/>
      <c r="P247" s="22"/>
    </row>
    <row r="248" ht="14.25" customHeight="1">
      <c r="O248" s="22"/>
      <c r="P248" s="22"/>
    </row>
    <row r="249" ht="14.25" customHeight="1">
      <c r="O249" s="22"/>
      <c r="P249" s="22"/>
    </row>
    <row r="250" ht="14.25" customHeight="1">
      <c r="O250" s="22"/>
      <c r="P250" s="22"/>
    </row>
    <row r="251" ht="14.25" customHeight="1">
      <c r="O251" s="22"/>
      <c r="P251" s="22"/>
    </row>
    <row r="252" ht="14.25" customHeight="1">
      <c r="O252" s="22"/>
      <c r="P252" s="22"/>
    </row>
    <row r="253" ht="14.25" customHeight="1">
      <c r="O253" s="22"/>
      <c r="P253" s="22"/>
    </row>
    <row r="254" ht="14.25" customHeight="1">
      <c r="O254" s="22"/>
      <c r="P254" s="22"/>
    </row>
    <row r="255" ht="14.25" customHeight="1">
      <c r="O255" s="22"/>
      <c r="P255" s="22"/>
    </row>
    <row r="256" ht="14.25" customHeight="1">
      <c r="O256" s="22"/>
      <c r="P256" s="22"/>
    </row>
    <row r="257" ht="14.25" customHeight="1">
      <c r="O257" s="22"/>
      <c r="P257" s="22"/>
    </row>
    <row r="258" ht="14.25" customHeight="1">
      <c r="O258" s="22"/>
      <c r="P258" s="22"/>
    </row>
    <row r="259" ht="14.25" customHeight="1">
      <c r="O259" s="22"/>
      <c r="P259" s="22"/>
    </row>
    <row r="260" ht="14.25" customHeight="1">
      <c r="O260" s="22"/>
      <c r="P260" s="22"/>
    </row>
    <row r="261" ht="14.25" customHeight="1">
      <c r="O261" s="22"/>
      <c r="P261" s="22"/>
    </row>
    <row r="262" ht="14.25" customHeight="1">
      <c r="O262" s="22"/>
      <c r="P262" s="22"/>
    </row>
    <row r="263" ht="14.25" customHeight="1">
      <c r="O263" s="22"/>
      <c r="P263" s="22"/>
    </row>
    <row r="264" ht="14.25" customHeight="1">
      <c r="O264" s="22"/>
      <c r="P264" s="22"/>
    </row>
    <row r="265" ht="14.25" customHeight="1">
      <c r="O265" s="22"/>
      <c r="P265" s="22"/>
    </row>
    <row r="266" ht="14.25" customHeight="1">
      <c r="O266" s="22"/>
      <c r="P266" s="22"/>
    </row>
    <row r="267" ht="14.25" customHeight="1">
      <c r="O267" s="22"/>
      <c r="P267" s="22"/>
    </row>
    <row r="268" ht="14.25" customHeight="1">
      <c r="O268" s="22"/>
      <c r="P268" s="22"/>
    </row>
    <row r="269" ht="14.25" customHeight="1">
      <c r="O269" s="22"/>
      <c r="P269" s="22"/>
    </row>
    <row r="270" ht="14.25" customHeight="1">
      <c r="O270" s="22"/>
      <c r="P270" s="22"/>
    </row>
    <row r="271" ht="14.25" customHeight="1">
      <c r="O271" s="22"/>
      <c r="P271" s="22"/>
    </row>
    <row r="272" ht="14.25" customHeight="1">
      <c r="O272" s="22"/>
      <c r="P272" s="22"/>
    </row>
    <row r="273" ht="14.25" customHeight="1">
      <c r="O273" s="22"/>
      <c r="P273" s="22"/>
    </row>
    <row r="274" ht="14.25" customHeight="1">
      <c r="O274" s="22"/>
      <c r="P274" s="22"/>
    </row>
    <row r="275" ht="14.25" customHeight="1">
      <c r="O275" s="22"/>
      <c r="P275" s="22"/>
    </row>
    <row r="276" ht="14.25" customHeight="1">
      <c r="O276" s="22"/>
      <c r="P276" s="22"/>
    </row>
    <row r="277" ht="14.25" customHeight="1">
      <c r="O277" s="22"/>
      <c r="P277" s="22"/>
    </row>
    <row r="278" ht="14.25" customHeight="1">
      <c r="O278" s="22"/>
      <c r="P278" s="22"/>
    </row>
    <row r="279" ht="14.25" customHeight="1">
      <c r="O279" s="22"/>
      <c r="P279" s="22"/>
    </row>
    <row r="280" ht="14.25" customHeight="1">
      <c r="O280" s="22"/>
      <c r="P280" s="22"/>
    </row>
    <row r="281" ht="14.25" customHeight="1">
      <c r="O281" s="22"/>
      <c r="P281" s="22"/>
    </row>
    <row r="282" ht="14.25" customHeight="1">
      <c r="O282" s="22"/>
      <c r="P282" s="22"/>
    </row>
    <row r="283" ht="14.25" customHeight="1">
      <c r="O283" s="22"/>
      <c r="P283" s="22"/>
    </row>
    <row r="284" ht="14.25" customHeight="1">
      <c r="O284" s="22"/>
      <c r="P284" s="22"/>
    </row>
    <row r="285" ht="14.25" customHeight="1">
      <c r="O285" s="22"/>
      <c r="P285" s="22"/>
    </row>
    <row r="286" ht="14.25" customHeight="1">
      <c r="O286" s="22"/>
      <c r="P286" s="22"/>
    </row>
    <row r="287" ht="14.25" customHeight="1">
      <c r="O287" s="22"/>
      <c r="P287" s="22"/>
    </row>
    <row r="288" ht="14.25" customHeight="1">
      <c r="O288" s="22"/>
      <c r="P288" s="22"/>
    </row>
    <row r="289" ht="14.25" customHeight="1">
      <c r="O289" s="22"/>
      <c r="P289" s="22"/>
    </row>
    <row r="290" ht="14.25" customHeight="1">
      <c r="O290" s="22"/>
      <c r="P290" s="22"/>
    </row>
    <row r="291" ht="14.25" customHeight="1">
      <c r="O291" s="22"/>
      <c r="P291" s="22"/>
    </row>
    <row r="292" ht="14.25" customHeight="1">
      <c r="O292" s="22"/>
      <c r="P292" s="22"/>
    </row>
    <row r="293" ht="14.25" customHeight="1">
      <c r="O293" s="22"/>
      <c r="P293" s="22"/>
    </row>
    <row r="294" ht="14.25" customHeight="1">
      <c r="O294" s="22"/>
      <c r="P294" s="22"/>
    </row>
    <row r="295" ht="14.25" customHeight="1">
      <c r="O295" s="22"/>
      <c r="P295" s="22"/>
    </row>
    <row r="296" ht="14.25" customHeight="1">
      <c r="O296" s="22"/>
      <c r="P296" s="22"/>
    </row>
    <row r="297" ht="14.25" customHeight="1">
      <c r="O297" s="22"/>
      <c r="P297" s="22"/>
    </row>
    <row r="298" ht="14.25" customHeight="1">
      <c r="O298" s="22"/>
      <c r="P298" s="22"/>
    </row>
    <row r="299" ht="14.25" customHeight="1">
      <c r="O299" s="22"/>
      <c r="P299" s="22"/>
    </row>
    <row r="300" ht="14.25" customHeight="1">
      <c r="O300" s="22"/>
      <c r="P300" s="22"/>
    </row>
    <row r="301" ht="14.25" customHeight="1">
      <c r="O301" s="22"/>
      <c r="P301" s="22"/>
    </row>
    <row r="302" ht="14.25" customHeight="1">
      <c r="O302" s="22"/>
      <c r="P302" s="22"/>
    </row>
    <row r="303" ht="14.25" customHeight="1">
      <c r="O303" s="22"/>
      <c r="P303" s="22"/>
    </row>
    <row r="304" ht="14.25" customHeight="1">
      <c r="O304" s="22"/>
      <c r="P304" s="22"/>
    </row>
    <row r="305" ht="14.25" customHeight="1">
      <c r="O305" s="22"/>
      <c r="P305" s="22"/>
    </row>
    <row r="306" ht="14.25" customHeight="1">
      <c r="O306" s="22"/>
      <c r="P306" s="22"/>
    </row>
    <row r="307" ht="14.25" customHeight="1">
      <c r="O307" s="22"/>
      <c r="P307" s="22"/>
    </row>
    <row r="308" ht="14.25" customHeight="1">
      <c r="O308" s="22"/>
      <c r="P308" s="22"/>
    </row>
    <row r="309" ht="14.25" customHeight="1">
      <c r="O309" s="22"/>
      <c r="P309" s="22"/>
    </row>
    <row r="310" ht="14.25" customHeight="1">
      <c r="O310" s="22"/>
      <c r="P310" s="22"/>
    </row>
    <row r="311" ht="14.25" customHeight="1">
      <c r="O311" s="22"/>
      <c r="P311" s="22"/>
    </row>
    <row r="312" ht="14.25" customHeight="1">
      <c r="O312" s="22"/>
      <c r="P312" s="22"/>
    </row>
    <row r="313" ht="14.25" customHeight="1">
      <c r="O313" s="22"/>
      <c r="P313" s="22"/>
    </row>
    <row r="314" ht="14.25" customHeight="1">
      <c r="O314" s="22"/>
      <c r="P314" s="22"/>
    </row>
    <row r="315" ht="14.25" customHeight="1">
      <c r="O315" s="22"/>
      <c r="P315" s="22"/>
    </row>
    <row r="316" ht="14.25" customHeight="1">
      <c r="O316" s="22"/>
      <c r="P316" s="22"/>
    </row>
    <row r="317" ht="14.25" customHeight="1">
      <c r="O317" s="22"/>
      <c r="P317" s="22"/>
    </row>
    <row r="318" ht="14.25" customHeight="1">
      <c r="O318" s="22"/>
      <c r="P318" s="22"/>
    </row>
    <row r="319" ht="14.25" customHeight="1">
      <c r="O319" s="22"/>
      <c r="P319" s="22"/>
    </row>
    <row r="320" ht="14.25" customHeight="1">
      <c r="O320" s="22"/>
      <c r="P320" s="22"/>
    </row>
    <row r="321" ht="14.25" customHeight="1">
      <c r="O321" s="22"/>
      <c r="P321" s="22"/>
    </row>
    <row r="322" ht="14.25" customHeight="1">
      <c r="O322" s="22"/>
      <c r="P322" s="22"/>
    </row>
    <row r="323" ht="14.25" customHeight="1">
      <c r="O323" s="22"/>
      <c r="P323" s="22"/>
    </row>
    <row r="324" ht="14.25" customHeight="1">
      <c r="O324" s="22"/>
      <c r="P324" s="22"/>
    </row>
    <row r="325" ht="14.25" customHeight="1">
      <c r="O325" s="22"/>
      <c r="P325" s="22"/>
    </row>
    <row r="326" ht="14.25" customHeight="1">
      <c r="O326" s="22"/>
      <c r="P326" s="22"/>
    </row>
    <row r="327" ht="14.25" customHeight="1">
      <c r="O327" s="22"/>
      <c r="P327" s="22"/>
    </row>
    <row r="328" ht="14.25" customHeight="1">
      <c r="O328" s="22"/>
      <c r="P328" s="22"/>
    </row>
    <row r="329" ht="14.25" customHeight="1">
      <c r="O329" s="22"/>
      <c r="P329" s="22"/>
    </row>
    <row r="330" ht="14.25" customHeight="1">
      <c r="O330" s="22"/>
      <c r="P330" s="22"/>
    </row>
    <row r="331" ht="14.25" customHeight="1">
      <c r="O331" s="22"/>
      <c r="P331" s="22"/>
    </row>
    <row r="332" ht="14.25" customHeight="1">
      <c r="O332" s="22"/>
      <c r="P332" s="22"/>
    </row>
    <row r="333" ht="14.25" customHeight="1">
      <c r="O333" s="22"/>
      <c r="P333" s="22"/>
    </row>
    <row r="334" ht="14.25" customHeight="1">
      <c r="O334" s="22"/>
      <c r="P334" s="22"/>
    </row>
    <row r="335" ht="14.25" customHeight="1">
      <c r="O335" s="22"/>
      <c r="P335" s="22"/>
    </row>
    <row r="336" ht="14.25" customHeight="1">
      <c r="O336" s="22"/>
      <c r="P336" s="22"/>
    </row>
    <row r="337" ht="14.25" customHeight="1">
      <c r="O337" s="22"/>
      <c r="P337" s="22"/>
    </row>
    <row r="338" ht="14.25" customHeight="1">
      <c r="O338" s="22"/>
      <c r="P338" s="22"/>
    </row>
    <row r="339" ht="14.25" customHeight="1">
      <c r="O339" s="22"/>
      <c r="P339" s="22"/>
    </row>
    <row r="340" ht="14.25" customHeight="1">
      <c r="O340" s="22"/>
      <c r="P340" s="22"/>
    </row>
    <row r="341" ht="14.25" customHeight="1">
      <c r="O341" s="22"/>
      <c r="P341" s="22"/>
    </row>
    <row r="342" ht="14.25" customHeight="1">
      <c r="O342" s="22"/>
      <c r="P342" s="22"/>
    </row>
    <row r="343" ht="14.25" customHeight="1">
      <c r="O343" s="22"/>
      <c r="P343" s="22"/>
    </row>
    <row r="344" ht="14.25" customHeight="1">
      <c r="O344" s="22"/>
      <c r="P344" s="22"/>
    </row>
    <row r="345" ht="14.25" customHeight="1">
      <c r="O345" s="22"/>
      <c r="P345" s="22"/>
    </row>
    <row r="346" ht="14.25" customHeight="1">
      <c r="O346" s="22"/>
      <c r="P346" s="22"/>
    </row>
    <row r="347" ht="14.25" customHeight="1">
      <c r="O347" s="22"/>
      <c r="P347" s="22"/>
    </row>
    <row r="348" ht="14.25" customHeight="1">
      <c r="O348" s="22"/>
      <c r="P348" s="22"/>
    </row>
    <row r="349" ht="14.25" customHeight="1">
      <c r="O349" s="22"/>
      <c r="P349" s="22"/>
    </row>
    <row r="350" ht="14.25" customHeight="1">
      <c r="O350" s="22"/>
      <c r="P350" s="22"/>
    </row>
    <row r="351" ht="14.25" customHeight="1">
      <c r="O351" s="22"/>
      <c r="P351" s="22"/>
    </row>
    <row r="352" ht="14.25" customHeight="1">
      <c r="O352" s="22"/>
      <c r="P352" s="22"/>
    </row>
    <row r="353" ht="14.25" customHeight="1">
      <c r="O353" s="22"/>
      <c r="P353" s="22"/>
    </row>
    <row r="354" ht="14.25" customHeight="1">
      <c r="O354" s="22"/>
      <c r="P354" s="22"/>
    </row>
    <row r="355" ht="14.25" customHeight="1">
      <c r="O355" s="22"/>
      <c r="P355" s="22"/>
    </row>
    <row r="356" ht="14.25" customHeight="1">
      <c r="O356" s="22"/>
      <c r="P356" s="22"/>
    </row>
    <row r="357" ht="14.25" customHeight="1">
      <c r="O357" s="22"/>
      <c r="P357" s="22"/>
    </row>
    <row r="358" ht="14.25" customHeight="1">
      <c r="O358" s="22"/>
      <c r="P358" s="22"/>
    </row>
    <row r="359" ht="14.25" customHeight="1">
      <c r="O359" s="22"/>
      <c r="P359" s="22"/>
    </row>
    <row r="360" ht="14.25" customHeight="1">
      <c r="O360" s="22"/>
      <c r="P360" s="22"/>
    </row>
    <row r="361" ht="14.25" customHeight="1">
      <c r="O361" s="22"/>
      <c r="P361" s="22"/>
    </row>
    <row r="362" ht="14.25" customHeight="1">
      <c r="O362" s="22"/>
      <c r="P362" s="22"/>
    </row>
    <row r="363" ht="14.25" customHeight="1">
      <c r="O363" s="22"/>
      <c r="P363" s="22"/>
    </row>
    <row r="364" ht="14.25" customHeight="1">
      <c r="O364" s="22"/>
      <c r="P364" s="22"/>
    </row>
    <row r="365" ht="14.25" customHeight="1">
      <c r="O365" s="22"/>
      <c r="P365" s="22"/>
    </row>
    <row r="366" ht="14.25" customHeight="1">
      <c r="O366" s="22"/>
      <c r="P366" s="22"/>
    </row>
    <row r="367" ht="14.25" customHeight="1">
      <c r="O367" s="22"/>
      <c r="P367" s="22"/>
    </row>
    <row r="368" ht="14.25" customHeight="1">
      <c r="O368" s="22"/>
      <c r="P368" s="22"/>
    </row>
    <row r="369" ht="14.25" customHeight="1">
      <c r="O369" s="22"/>
      <c r="P369" s="22"/>
    </row>
    <row r="370" ht="14.25" customHeight="1">
      <c r="O370" s="22"/>
      <c r="P370" s="22"/>
    </row>
    <row r="371" ht="14.25" customHeight="1">
      <c r="O371" s="22"/>
      <c r="P371" s="22"/>
    </row>
    <row r="372" ht="14.25" customHeight="1">
      <c r="O372" s="22"/>
      <c r="P372" s="22"/>
    </row>
    <row r="373" ht="14.25" customHeight="1">
      <c r="O373" s="22"/>
      <c r="P373" s="22"/>
    </row>
    <row r="374" ht="14.25" customHeight="1">
      <c r="O374" s="22"/>
      <c r="P374" s="22"/>
    </row>
    <row r="375" ht="14.25" customHeight="1">
      <c r="O375" s="22"/>
      <c r="P375" s="22"/>
    </row>
    <row r="376" ht="14.25" customHeight="1">
      <c r="O376" s="22"/>
      <c r="P376" s="22"/>
    </row>
    <row r="377" ht="14.25" customHeight="1">
      <c r="O377" s="22"/>
      <c r="P377" s="22"/>
    </row>
    <row r="378" ht="14.25" customHeight="1">
      <c r="O378" s="22"/>
      <c r="P378" s="22"/>
    </row>
    <row r="379" ht="14.25" customHeight="1">
      <c r="O379" s="22"/>
      <c r="P379" s="22"/>
    </row>
    <row r="380" ht="14.25" customHeight="1">
      <c r="O380" s="22"/>
      <c r="P380" s="22"/>
    </row>
    <row r="381" ht="14.25" customHeight="1">
      <c r="O381" s="22"/>
      <c r="P381" s="22"/>
    </row>
    <row r="382" ht="14.25" customHeight="1">
      <c r="O382" s="22"/>
      <c r="P382" s="22"/>
    </row>
    <row r="383" ht="14.25" customHeight="1">
      <c r="O383" s="22"/>
      <c r="P383" s="22"/>
    </row>
    <row r="384" ht="14.25" customHeight="1">
      <c r="O384" s="22"/>
      <c r="P384" s="22"/>
    </row>
    <row r="385" ht="14.25" customHeight="1">
      <c r="O385" s="22"/>
      <c r="P385" s="22"/>
    </row>
    <row r="386" ht="14.25" customHeight="1">
      <c r="O386" s="22"/>
      <c r="P386" s="22"/>
    </row>
    <row r="387" ht="14.25" customHeight="1">
      <c r="O387" s="22"/>
      <c r="P387" s="22"/>
    </row>
    <row r="388" ht="14.25" customHeight="1">
      <c r="O388" s="22"/>
      <c r="P388" s="22"/>
    </row>
    <row r="389" ht="14.25" customHeight="1">
      <c r="O389" s="22"/>
      <c r="P389" s="22"/>
    </row>
    <row r="390" ht="14.25" customHeight="1">
      <c r="O390" s="22"/>
      <c r="P390" s="22"/>
    </row>
    <row r="391" ht="14.25" customHeight="1">
      <c r="O391" s="22"/>
      <c r="P391" s="22"/>
    </row>
    <row r="392" ht="14.25" customHeight="1">
      <c r="O392" s="22"/>
      <c r="P392" s="22"/>
    </row>
    <row r="393" ht="14.25" customHeight="1">
      <c r="O393" s="22"/>
      <c r="P393" s="22"/>
    </row>
    <row r="394" ht="14.25" customHeight="1">
      <c r="O394" s="22"/>
      <c r="P394" s="22"/>
    </row>
    <row r="395" ht="14.25" customHeight="1">
      <c r="O395" s="22"/>
      <c r="P395" s="22"/>
    </row>
    <row r="396" ht="14.25" customHeight="1">
      <c r="O396" s="22"/>
      <c r="P396" s="22"/>
    </row>
    <row r="397" ht="14.25" customHeight="1">
      <c r="O397" s="22"/>
      <c r="P397" s="22"/>
    </row>
    <row r="398" ht="14.25" customHeight="1">
      <c r="O398" s="22"/>
      <c r="P398" s="22"/>
    </row>
    <row r="399" ht="14.25" customHeight="1">
      <c r="O399" s="22"/>
      <c r="P399" s="22"/>
    </row>
    <row r="400" ht="14.25" customHeight="1">
      <c r="O400" s="22"/>
      <c r="P400" s="22"/>
    </row>
    <row r="401" ht="14.25" customHeight="1">
      <c r="O401" s="22"/>
      <c r="P401" s="22"/>
    </row>
    <row r="402" ht="14.25" customHeight="1">
      <c r="O402" s="22"/>
      <c r="P402" s="22"/>
    </row>
    <row r="403" ht="14.25" customHeight="1">
      <c r="O403" s="22"/>
      <c r="P403" s="22"/>
    </row>
    <row r="404" ht="14.25" customHeight="1">
      <c r="O404" s="22"/>
      <c r="P404" s="22"/>
    </row>
    <row r="405" ht="14.25" customHeight="1">
      <c r="O405" s="22"/>
      <c r="P405" s="22"/>
    </row>
    <row r="406" ht="14.25" customHeight="1">
      <c r="O406" s="22"/>
      <c r="P406" s="22"/>
    </row>
    <row r="407" ht="14.25" customHeight="1">
      <c r="O407" s="22"/>
      <c r="P407" s="22"/>
    </row>
    <row r="408" ht="14.25" customHeight="1">
      <c r="O408" s="22"/>
      <c r="P408" s="22"/>
    </row>
    <row r="409" ht="14.25" customHeight="1">
      <c r="O409" s="22"/>
      <c r="P409" s="22"/>
    </row>
    <row r="410" ht="14.25" customHeight="1">
      <c r="O410" s="22"/>
      <c r="P410" s="22"/>
    </row>
    <row r="411" ht="14.25" customHeight="1">
      <c r="O411" s="22"/>
      <c r="P411" s="22"/>
    </row>
    <row r="412" ht="14.25" customHeight="1">
      <c r="O412" s="22"/>
      <c r="P412" s="22"/>
    </row>
    <row r="413" ht="14.25" customHeight="1">
      <c r="O413" s="22"/>
      <c r="P413" s="22"/>
    </row>
    <row r="414" ht="14.25" customHeight="1">
      <c r="O414" s="22"/>
      <c r="P414" s="22"/>
    </row>
    <row r="415" ht="14.25" customHeight="1">
      <c r="O415" s="22"/>
      <c r="P415" s="22"/>
    </row>
    <row r="416" ht="14.25" customHeight="1">
      <c r="O416" s="22"/>
      <c r="P416" s="22"/>
    </row>
    <row r="417" ht="14.25" customHeight="1">
      <c r="O417" s="22"/>
      <c r="P417" s="22"/>
    </row>
    <row r="418" ht="14.25" customHeight="1">
      <c r="O418" s="22"/>
      <c r="P418" s="22"/>
    </row>
    <row r="419" ht="14.25" customHeight="1">
      <c r="O419" s="22"/>
      <c r="P419" s="22"/>
    </row>
    <row r="420" ht="14.25" customHeight="1">
      <c r="O420" s="22"/>
      <c r="P420" s="22"/>
    </row>
    <row r="421" ht="14.25" customHeight="1">
      <c r="O421" s="22"/>
      <c r="P421" s="22"/>
    </row>
    <row r="422" ht="14.25" customHeight="1">
      <c r="O422" s="22"/>
      <c r="P422" s="22"/>
    </row>
    <row r="423" ht="14.25" customHeight="1">
      <c r="O423" s="22"/>
      <c r="P423" s="22"/>
    </row>
    <row r="424" ht="14.25" customHeight="1">
      <c r="O424" s="22"/>
      <c r="P424" s="22"/>
    </row>
    <row r="425" ht="14.25" customHeight="1">
      <c r="O425" s="22"/>
      <c r="P425" s="22"/>
    </row>
    <row r="426" ht="14.25" customHeight="1">
      <c r="O426" s="22"/>
      <c r="P426" s="22"/>
    </row>
    <row r="427" ht="14.25" customHeight="1">
      <c r="O427" s="22"/>
      <c r="P427" s="22"/>
    </row>
    <row r="428" ht="14.25" customHeight="1">
      <c r="O428" s="22"/>
      <c r="P428" s="22"/>
    </row>
    <row r="429" ht="14.25" customHeight="1">
      <c r="O429" s="22"/>
      <c r="P429" s="22"/>
    </row>
    <row r="430" ht="14.25" customHeight="1">
      <c r="O430" s="22"/>
      <c r="P430" s="22"/>
    </row>
    <row r="431" ht="14.25" customHeight="1">
      <c r="O431" s="22"/>
      <c r="P431" s="22"/>
    </row>
    <row r="432" ht="14.25" customHeight="1">
      <c r="O432" s="22"/>
      <c r="P432" s="22"/>
    </row>
    <row r="433" ht="14.25" customHeight="1">
      <c r="O433" s="22"/>
      <c r="P433" s="22"/>
    </row>
    <row r="434" ht="14.25" customHeight="1">
      <c r="O434" s="22"/>
      <c r="P434" s="22"/>
    </row>
    <row r="435" ht="14.25" customHeight="1">
      <c r="O435" s="22"/>
      <c r="P435" s="22"/>
    </row>
    <row r="436" ht="14.25" customHeight="1">
      <c r="O436" s="22"/>
      <c r="P436" s="22"/>
    </row>
    <row r="437" ht="14.25" customHeight="1">
      <c r="O437" s="22"/>
      <c r="P437" s="22"/>
    </row>
    <row r="438" ht="14.25" customHeight="1">
      <c r="O438" s="22"/>
      <c r="P438" s="22"/>
    </row>
    <row r="439" ht="14.25" customHeight="1">
      <c r="O439" s="22"/>
      <c r="P439" s="22"/>
    </row>
    <row r="440" ht="14.25" customHeight="1">
      <c r="O440" s="22"/>
      <c r="P440" s="22"/>
    </row>
    <row r="441" ht="14.25" customHeight="1">
      <c r="O441" s="22"/>
      <c r="P441" s="22"/>
    </row>
    <row r="442" ht="14.25" customHeight="1">
      <c r="O442" s="22"/>
      <c r="P442" s="22"/>
    </row>
    <row r="443" ht="14.25" customHeight="1">
      <c r="O443" s="22"/>
      <c r="P443" s="22"/>
    </row>
    <row r="444" ht="14.25" customHeight="1">
      <c r="O444" s="22"/>
      <c r="P444" s="22"/>
    </row>
    <row r="445" ht="14.25" customHeight="1">
      <c r="O445" s="22"/>
      <c r="P445" s="22"/>
    </row>
    <row r="446" ht="14.25" customHeight="1">
      <c r="O446" s="22"/>
      <c r="P446" s="22"/>
    </row>
    <row r="447" ht="14.25" customHeight="1">
      <c r="O447" s="22"/>
      <c r="P447" s="22"/>
    </row>
    <row r="448" ht="14.25" customHeight="1">
      <c r="O448" s="22"/>
      <c r="P448" s="22"/>
    </row>
    <row r="449" ht="14.25" customHeight="1">
      <c r="O449" s="22"/>
      <c r="P449" s="22"/>
    </row>
    <row r="450" ht="14.25" customHeight="1">
      <c r="O450" s="22"/>
      <c r="P450" s="22"/>
    </row>
    <row r="451" ht="14.25" customHeight="1">
      <c r="O451" s="22"/>
      <c r="P451" s="22"/>
    </row>
    <row r="452" ht="14.25" customHeight="1">
      <c r="O452" s="22"/>
      <c r="P452" s="22"/>
    </row>
    <row r="453" ht="14.25" customHeight="1">
      <c r="O453" s="22"/>
      <c r="P453" s="22"/>
    </row>
    <row r="454" ht="14.25" customHeight="1">
      <c r="O454" s="22"/>
      <c r="P454" s="22"/>
    </row>
    <row r="455" ht="14.25" customHeight="1">
      <c r="O455" s="22"/>
      <c r="P455" s="22"/>
    </row>
    <row r="456" ht="14.25" customHeight="1">
      <c r="O456" s="22"/>
      <c r="P456" s="22"/>
    </row>
    <row r="457" ht="14.25" customHeight="1">
      <c r="O457" s="22"/>
      <c r="P457" s="22"/>
    </row>
    <row r="458" ht="14.25" customHeight="1">
      <c r="O458" s="22"/>
      <c r="P458" s="22"/>
    </row>
    <row r="459" ht="14.25" customHeight="1">
      <c r="O459" s="22"/>
      <c r="P459" s="22"/>
    </row>
    <row r="460" ht="14.25" customHeight="1">
      <c r="O460" s="22"/>
      <c r="P460" s="22"/>
    </row>
    <row r="461" ht="14.25" customHeight="1">
      <c r="O461" s="22"/>
      <c r="P461" s="22"/>
    </row>
    <row r="462" ht="14.25" customHeight="1">
      <c r="O462" s="22"/>
      <c r="P462" s="22"/>
    </row>
    <row r="463" ht="14.25" customHeight="1">
      <c r="O463" s="22"/>
      <c r="P463" s="22"/>
    </row>
    <row r="464" ht="14.25" customHeight="1">
      <c r="O464" s="22"/>
      <c r="P464" s="22"/>
    </row>
    <row r="465" ht="14.25" customHeight="1">
      <c r="O465" s="22"/>
      <c r="P465" s="22"/>
    </row>
    <row r="466" ht="14.25" customHeight="1">
      <c r="O466" s="22"/>
      <c r="P466" s="22"/>
    </row>
    <row r="467" ht="14.25" customHeight="1">
      <c r="O467" s="22"/>
      <c r="P467" s="22"/>
    </row>
    <row r="468" ht="14.25" customHeight="1">
      <c r="O468" s="22"/>
      <c r="P468" s="22"/>
    </row>
    <row r="469" ht="14.25" customHeight="1">
      <c r="O469" s="22"/>
      <c r="P469" s="22"/>
    </row>
    <row r="470" ht="14.25" customHeight="1">
      <c r="O470" s="22"/>
      <c r="P470" s="22"/>
    </row>
    <row r="471" ht="14.25" customHeight="1">
      <c r="O471" s="22"/>
      <c r="P471" s="22"/>
    </row>
    <row r="472" ht="14.25" customHeight="1">
      <c r="O472" s="22"/>
      <c r="P472" s="22"/>
    </row>
    <row r="473" ht="14.25" customHeight="1">
      <c r="O473" s="22"/>
      <c r="P473" s="22"/>
    </row>
    <row r="474" ht="14.25" customHeight="1">
      <c r="O474" s="22"/>
      <c r="P474" s="22"/>
    </row>
    <row r="475" ht="14.25" customHeight="1">
      <c r="O475" s="22"/>
      <c r="P475" s="22"/>
    </row>
    <row r="476" ht="14.25" customHeight="1">
      <c r="O476" s="22"/>
      <c r="P476" s="22"/>
    </row>
    <row r="477" ht="14.25" customHeight="1">
      <c r="O477" s="22"/>
      <c r="P477" s="22"/>
    </row>
    <row r="478" ht="14.25" customHeight="1">
      <c r="O478" s="22"/>
      <c r="P478" s="22"/>
    </row>
    <row r="479" ht="14.25" customHeight="1">
      <c r="O479" s="22"/>
      <c r="P479" s="22"/>
    </row>
    <row r="480" ht="14.25" customHeight="1">
      <c r="O480" s="22"/>
      <c r="P480" s="22"/>
    </row>
    <row r="481" ht="14.25" customHeight="1">
      <c r="O481" s="22"/>
      <c r="P481" s="22"/>
    </row>
    <row r="482" ht="14.25" customHeight="1">
      <c r="O482" s="22"/>
      <c r="P482" s="22"/>
    </row>
    <row r="483" ht="14.25" customHeight="1">
      <c r="O483" s="22"/>
      <c r="P483" s="22"/>
    </row>
    <row r="484" ht="14.25" customHeight="1">
      <c r="O484" s="22"/>
      <c r="P484" s="22"/>
    </row>
    <row r="485" ht="14.25" customHeight="1">
      <c r="O485" s="22"/>
      <c r="P485" s="22"/>
    </row>
    <row r="486" ht="14.25" customHeight="1">
      <c r="O486" s="22"/>
      <c r="P486" s="22"/>
    </row>
    <row r="487" ht="14.25" customHeight="1">
      <c r="O487" s="22"/>
      <c r="P487" s="22"/>
    </row>
    <row r="488" ht="14.25" customHeight="1">
      <c r="O488" s="22"/>
      <c r="P488" s="22"/>
    </row>
    <row r="489" ht="14.25" customHeight="1">
      <c r="O489" s="22"/>
      <c r="P489" s="22"/>
    </row>
    <row r="490" ht="14.25" customHeight="1">
      <c r="O490" s="22"/>
      <c r="P490" s="22"/>
    </row>
    <row r="491" ht="14.25" customHeight="1">
      <c r="O491" s="22"/>
      <c r="P491" s="22"/>
    </row>
    <row r="492" ht="14.25" customHeight="1">
      <c r="O492" s="22"/>
      <c r="P492" s="22"/>
    </row>
    <row r="493" ht="14.25" customHeight="1">
      <c r="O493" s="22"/>
      <c r="P493" s="22"/>
    </row>
    <row r="494" ht="14.25" customHeight="1">
      <c r="O494" s="22"/>
      <c r="P494" s="22"/>
    </row>
    <row r="495" ht="14.25" customHeight="1">
      <c r="O495" s="22"/>
      <c r="P495" s="22"/>
    </row>
    <row r="496" ht="14.25" customHeight="1">
      <c r="O496" s="22"/>
      <c r="P496" s="22"/>
    </row>
    <row r="497" ht="14.25" customHeight="1">
      <c r="O497" s="22"/>
      <c r="P497" s="22"/>
    </row>
    <row r="498" ht="14.25" customHeight="1">
      <c r="O498" s="22"/>
      <c r="P498" s="22"/>
    </row>
    <row r="499" ht="14.25" customHeight="1">
      <c r="O499" s="22"/>
      <c r="P499" s="22"/>
    </row>
    <row r="500" ht="14.25" customHeight="1">
      <c r="O500" s="22"/>
      <c r="P500" s="22"/>
    </row>
    <row r="501" ht="14.25" customHeight="1">
      <c r="O501" s="22"/>
      <c r="P501" s="22"/>
    </row>
    <row r="502" ht="14.25" customHeight="1">
      <c r="O502" s="22"/>
      <c r="P502" s="22"/>
    </row>
    <row r="503" ht="14.25" customHeight="1">
      <c r="O503" s="22"/>
      <c r="P503" s="22"/>
    </row>
    <row r="504" ht="14.25" customHeight="1">
      <c r="O504" s="22"/>
      <c r="P504" s="22"/>
    </row>
    <row r="505" ht="14.25" customHeight="1">
      <c r="O505" s="22"/>
      <c r="P505" s="22"/>
    </row>
    <row r="506" ht="14.25" customHeight="1">
      <c r="O506" s="22"/>
      <c r="P506" s="22"/>
    </row>
    <row r="507" ht="14.25" customHeight="1">
      <c r="O507" s="22"/>
      <c r="P507" s="22"/>
    </row>
    <row r="508" ht="14.25" customHeight="1">
      <c r="O508" s="22"/>
      <c r="P508" s="22"/>
    </row>
    <row r="509" ht="14.25" customHeight="1">
      <c r="O509" s="22"/>
      <c r="P509" s="22"/>
    </row>
    <row r="510" ht="14.25" customHeight="1">
      <c r="O510" s="22"/>
      <c r="P510" s="22"/>
    </row>
    <row r="511" ht="14.25" customHeight="1">
      <c r="O511" s="22"/>
      <c r="P511" s="22"/>
    </row>
    <row r="512" ht="14.25" customHeight="1">
      <c r="O512" s="22"/>
      <c r="P512" s="22"/>
    </row>
    <row r="513" ht="14.25" customHeight="1">
      <c r="O513" s="22"/>
      <c r="P513" s="22"/>
    </row>
    <row r="514" ht="14.25" customHeight="1">
      <c r="O514" s="22"/>
      <c r="P514" s="22"/>
    </row>
    <row r="515" ht="14.25" customHeight="1">
      <c r="O515" s="22"/>
      <c r="P515" s="22"/>
    </row>
    <row r="516" ht="14.25" customHeight="1">
      <c r="O516" s="22"/>
      <c r="P516" s="22"/>
    </row>
    <row r="517" ht="14.25" customHeight="1">
      <c r="O517" s="22"/>
      <c r="P517" s="22"/>
    </row>
    <row r="518" ht="14.25" customHeight="1">
      <c r="O518" s="22"/>
      <c r="P518" s="22"/>
    </row>
    <row r="519" ht="14.25" customHeight="1">
      <c r="O519" s="22"/>
      <c r="P519" s="22"/>
    </row>
    <row r="520" ht="14.25" customHeight="1">
      <c r="O520" s="22"/>
      <c r="P520" s="22"/>
    </row>
    <row r="521" ht="14.25" customHeight="1">
      <c r="O521" s="22"/>
      <c r="P521" s="22"/>
    </row>
    <row r="522" ht="14.25" customHeight="1">
      <c r="O522" s="22"/>
      <c r="P522" s="22"/>
    </row>
    <row r="523" ht="14.25" customHeight="1">
      <c r="O523" s="22"/>
      <c r="P523" s="22"/>
    </row>
    <row r="524" ht="14.25" customHeight="1">
      <c r="O524" s="22"/>
      <c r="P524" s="22"/>
    </row>
    <row r="525" ht="14.25" customHeight="1">
      <c r="O525" s="22"/>
      <c r="P525" s="22"/>
    </row>
    <row r="526" ht="14.25" customHeight="1">
      <c r="O526" s="22"/>
      <c r="P526" s="22"/>
    </row>
    <row r="527" ht="14.25" customHeight="1">
      <c r="O527" s="22"/>
      <c r="P527" s="22"/>
    </row>
    <row r="528" ht="14.25" customHeight="1">
      <c r="O528" s="22"/>
      <c r="P528" s="22"/>
    </row>
    <row r="529" ht="14.25" customHeight="1">
      <c r="O529" s="22"/>
      <c r="P529" s="22"/>
    </row>
    <row r="530" ht="14.25" customHeight="1">
      <c r="O530" s="22"/>
      <c r="P530" s="22"/>
    </row>
    <row r="531" ht="14.25" customHeight="1">
      <c r="O531" s="22"/>
      <c r="P531" s="22"/>
    </row>
    <row r="532" ht="14.25" customHeight="1">
      <c r="O532" s="22"/>
      <c r="P532" s="22"/>
    </row>
    <row r="533" ht="14.25" customHeight="1">
      <c r="O533" s="22"/>
      <c r="P533" s="22"/>
    </row>
    <row r="534" ht="14.25" customHeight="1">
      <c r="O534" s="22"/>
      <c r="P534" s="22"/>
    </row>
    <row r="535" ht="14.25" customHeight="1">
      <c r="O535" s="22"/>
      <c r="P535" s="22"/>
    </row>
    <row r="536" ht="14.25" customHeight="1">
      <c r="O536" s="22"/>
      <c r="P536" s="22"/>
    </row>
    <row r="537" ht="14.25" customHeight="1">
      <c r="O537" s="22"/>
      <c r="P537" s="22"/>
    </row>
    <row r="538" ht="14.25" customHeight="1">
      <c r="O538" s="22"/>
      <c r="P538" s="22"/>
    </row>
    <row r="539" ht="14.25" customHeight="1">
      <c r="O539" s="22"/>
      <c r="P539" s="22"/>
    </row>
    <row r="540" ht="14.25" customHeight="1">
      <c r="O540" s="22"/>
      <c r="P540" s="22"/>
    </row>
    <row r="541" ht="14.25" customHeight="1">
      <c r="O541" s="22"/>
      <c r="P541" s="22"/>
    </row>
    <row r="542" ht="14.25" customHeight="1">
      <c r="O542" s="22"/>
      <c r="P542" s="22"/>
    </row>
    <row r="543" ht="14.25" customHeight="1">
      <c r="O543" s="22"/>
      <c r="P543" s="22"/>
    </row>
    <row r="544" ht="14.25" customHeight="1">
      <c r="O544" s="22"/>
      <c r="P544" s="22"/>
    </row>
    <row r="545" ht="14.25" customHeight="1">
      <c r="O545" s="22"/>
      <c r="P545" s="22"/>
    </row>
    <row r="546" ht="14.25" customHeight="1">
      <c r="O546" s="22"/>
      <c r="P546" s="22"/>
    </row>
    <row r="547" ht="14.25" customHeight="1">
      <c r="O547" s="22"/>
      <c r="P547" s="22"/>
    </row>
    <row r="548" ht="14.25" customHeight="1">
      <c r="O548" s="22"/>
      <c r="P548" s="22"/>
    </row>
    <row r="549" ht="14.25" customHeight="1">
      <c r="O549" s="22"/>
      <c r="P549" s="22"/>
    </row>
    <row r="550" ht="14.25" customHeight="1">
      <c r="O550" s="22"/>
      <c r="P550" s="22"/>
    </row>
    <row r="551" ht="14.25" customHeight="1">
      <c r="O551" s="22"/>
      <c r="P551" s="22"/>
    </row>
    <row r="552" ht="14.25" customHeight="1">
      <c r="O552" s="22"/>
      <c r="P552" s="22"/>
    </row>
    <row r="553" ht="14.25" customHeight="1">
      <c r="O553" s="22"/>
      <c r="P553" s="22"/>
    </row>
    <row r="554" ht="14.25" customHeight="1">
      <c r="O554" s="22"/>
      <c r="P554" s="22"/>
    </row>
    <row r="555" ht="14.25" customHeight="1">
      <c r="O555" s="22"/>
      <c r="P555" s="22"/>
    </row>
    <row r="556" ht="14.25" customHeight="1">
      <c r="O556" s="22"/>
      <c r="P556" s="22"/>
    </row>
    <row r="557" ht="14.25" customHeight="1">
      <c r="O557" s="22"/>
      <c r="P557" s="22"/>
    </row>
    <row r="558" ht="14.25" customHeight="1">
      <c r="O558" s="22"/>
      <c r="P558" s="22"/>
    </row>
    <row r="559" ht="14.25" customHeight="1">
      <c r="O559" s="22"/>
      <c r="P559" s="22"/>
    </row>
    <row r="560" ht="14.25" customHeight="1">
      <c r="O560" s="22"/>
      <c r="P560" s="22"/>
    </row>
    <row r="561" ht="14.25" customHeight="1">
      <c r="O561" s="22"/>
      <c r="P561" s="22"/>
    </row>
    <row r="562" ht="14.25" customHeight="1">
      <c r="O562" s="22"/>
      <c r="P562" s="22"/>
    </row>
    <row r="563" ht="14.25" customHeight="1">
      <c r="O563" s="22"/>
      <c r="P563" s="22"/>
    </row>
    <row r="564" ht="14.25" customHeight="1">
      <c r="O564" s="22"/>
      <c r="P564" s="22"/>
    </row>
    <row r="565" ht="14.25" customHeight="1">
      <c r="O565" s="22"/>
      <c r="P565" s="22"/>
    </row>
    <row r="566" ht="14.25" customHeight="1">
      <c r="O566" s="22"/>
      <c r="P566" s="22"/>
    </row>
    <row r="567" ht="14.25" customHeight="1">
      <c r="O567" s="22"/>
      <c r="P567" s="22"/>
    </row>
    <row r="568" ht="14.25" customHeight="1">
      <c r="O568" s="22"/>
      <c r="P568" s="22"/>
    </row>
    <row r="569" ht="14.25" customHeight="1">
      <c r="O569" s="22"/>
      <c r="P569" s="22"/>
    </row>
    <row r="570" ht="14.25" customHeight="1">
      <c r="O570" s="22"/>
      <c r="P570" s="22"/>
    </row>
    <row r="571" ht="14.25" customHeight="1">
      <c r="O571" s="22"/>
      <c r="P571" s="22"/>
    </row>
    <row r="572" ht="14.25" customHeight="1">
      <c r="O572" s="22"/>
      <c r="P572" s="22"/>
    </row>
    <row r="573" ht="14.25" customHeight="1">
      <c r="O573" s="22"/>
      <c r="P573" s="22"/>
    </row>
    <row r="574" ht="14.25" customHeight="1">
      <c r="O574" s="22"/>
      <c r="P574" s="22"/>
    </row>
    <row r="575" ht="14.25" customHeight="1">
      <c r="O575" s="22"/>
      <c r="P575" s="22"/>
    </row>
    <row r="576" ht="14.25" customHeight="1">
      <c r="O576" s="22"/>
      <c r="P576" s="22"/>
    </row>
    <row r="577" ht="14.25" customHeight="1">
      <c r="O577" s="22"/>
      <c r="P577" s="22"/>
    </row>
    <row r="578" ht="14.25" customHeight="1">
      <c r="O578" s="22"/>
      <c r="P578" s="22"/>
    </row>
    <row r="579" ht="14.25" customHeight="1">
      <c r="O579" s="22"/>
      <c r="P579" s="22"/>
    </row>
    <row r="580" ht="14.25" customHeight="1">
      <c r="O580" s="22"/>
      <c r="P580" s="22"/>
    </row>
    <row r="581" ht="14.25" customHeight="1">
      <c r="O581" s="22"/>
      <c r="P581" s="22"/>
    </row>
    <row r="582" ht="14.25" customHeight="1">
      <c r="O582" s="22"/>
      <c r="P582" s="22"/>
    </row>
    <row r="583" ht="14.25" customHeight="1">
      <c r="O583" s="22"/>
      <c r="P583" s="22"/>
    </row>
    <row r="584" ht="14.25" customHeight="1">
      <c r="O584" s="22"/>
      <c r="P584" s="22"/>
    </row>
    <row r="585" ht="14.25" customHeight="1">
      <c r="O585" s="22"/>
      <c r="P585" s="22"/>
    </row>
    <row r="586" ht="14.25" customHeight="1">
      <c r="O586" s="22"/>
      <c r="P586" s="22"/>
    </row>
    <row r="587" ht="14.25" customHeight="1">
      <c r="O587" s="22"/>
      <c r="P587" s="22"/>
    </row>
    <row r="588" ht="14.25" customHeight="1">
      <c r="O588" s="22"/>
      <c r="P588" s="22"/>
    </row>
    <row r="589" ht="14.25" customHeight="1">
      <c r="O589" s="22"/>
      <c r="P589" s="22"/>
    </row>
    <row r="590" ht="14.25" customHeight="1">
      <c r="O590" s="22"/>
      <c r="P590" s="22"/>
    </row>
    <row r="591" ht="14.25" customHeight="1">
      <c r="O591" s="22"/>
      <c r="P591" s="22"/>
    </row>
    <row r="592" ht="14.25" customHeight="1">
      <c r="O592" s="22"/>
      <c r="P592" s="22"/>
    </row>
    <row r="593" ht="14.25" customHeight="1">
      <c r="O593" s="22"/>
      <c r="P593" s="22"/>
    </row>
    <row r="594" ht="14.25" customHeight="1">
      <c r="O594" s="22"/>
      <c r="P594" s="22"/>
    </row>
    <row r="595" ht="14.25" customHeight="1">
      <c r="O595" s="22"/>
      <c r="P595" s="22"/>
    </row>
    <row r="596" ht="14.25" customHeight="1">
      <c r="O596" s="22"/>
      <c r="P596" s="22"/>
    </row>
    <row r="597" ht="14.25" customHeight="1">
      <c r="O597" s="22"/>
      <c r="P597" s="22"/>
    </row>
    <row r="598" ht="14.25" customHeight="1">
      <c r="O598" s="22"/>
      <c r="P598" s="22"/>
    </row>
    <row r="599" ht="14.25" customHeight="1">
      <c r="O599" s="22"/>
      <c r="P599" s="22"/>
    </row>
    <row r="600" ht="14.25" customHeight="1">
      <c r="O600" s="22"/>
      <c r="P600" s="22"/>
    </row>
    <row r="601" ht="14.25" customHeight="1">
      <c r="O601" s="22"/>
      <c r="P601" s="22"/>
    </row>
    <row r="602" ht="14.25" customHeight="1">
      <c r="O602" s="22"/>
      <c r="P602" s="22"/>
    </row>
    <row r="603" ht="14.25" customHeight="1">
      <c r="O603" s="22"/>
      <c r="P603" s="22"/>
    </row>
    <row r="604" ht="14.25" customHeight="1">
      <c r="O604" s="22"/>
      <c r="P604" s="22"/>
    </row>
    <row r="605" ht="14.25" customHeight="1">
      <c r="O605" s="22"/>
      <c r="P605" s="22"/>
    </row>
    <row r="606" ht="14.25" customHeight="1">
      <c r="O606" s="22"/>
      <c r="P606" s="22"/>
    </row>
    <row r="607" ht="14.25" customHeight="1">
      <c r="O607" s="22"/>
      <c r="P607" s="22"/>
    </row>
    <row r="608" ht="14.25" customHeight="1">
      <c r="O608" s="22"/>
      <c r="P608" s="22"/>
    </row>
    <row r="609" ht="14.25" customHeight="1">
      <c r="O609" s="22"/>
      <c r="P609" s="22"/>
    </row>
    <row r="610" ht="14.25" customHeight="1">
      <c r="O610" s="22"/>
      <c r="P610" s="22"/>
    </row>
    <row r="611" ht="14.25" customHeight="1">
      <c r="O611" s="22"/>
      <c r="P611" s="22"/>
    </row>
    <row r="612" ht="14.25" customHeight="1">
      <c r="O612" s="22"/>
      <c r="P612" s="22"/>
    </row>
    <row r="613" ht="14.25" customHeight="1">
      <c r="O613" s="22"/>
      <c r="P613" s="22"/>
    </row>
    <row r="614" ht="14.25" customHeight="1">
      <c r="O614" s="22"/>
      <c r="P614" s="22"/>
    </row>
    <row r="615" ht="14.25" customHeight="1">
      <c r="O615" s="22"/>
      <c r="P615" s="22"/>
    </row>
    <row r="616" ht="14.25" customHeight="1">
      <c r="O616" s="22"/>
      <c r="P616" s="22"/>
    </row>
    <row r="617" ht="14.25" customHeight="1">
      <c r="O617" s="22"/>
      <c r="P617" s="22"/>
    </row>
    <row r="618" ht="14.25" customHeight="1">
      <c r="O618" s="22"/>
      <c r="P618" s="22"/>
    </row>
    <row r="619" ht="14.25" customHeight="1">
      <c r="O619" s="22"/>
      <c r="P619" s="22"/>
    </row>
    <row r="620" ht="14.25" customHeight="1">
      <c r="O620" s="22"/>
      <c r="P620" s="22"/>
    </row>
    <row r="621" ht="14.25" customHeight="1">
      <c r="O621" s="22"/>
      <c r="P621" s="22"/>
    </row>
    <row r="622" ht="14.25" customHeight="1">
      <c r="O622" s="22"/>
      <c r="P622" s="22"/>
    </row>
    <row r="623" ht="14.25" customHeight="1">
      <c r="O623" s="22"/>
      <c r="P623" s="22"/>
    </row>
    <row r="624" ht="14.25" customHeight="1">
      <c r="O624" s="22"/>
      <c r="P624" s="22"/>
    </row>
    <row r="625" ht="14.25" customHeight="1">
      <c r="O625" s="22"/>
      <c r="P625" s="22"/>
    </row>
    <row r="626" ht="14.25" customHeight="1">
      <c r="O626" s="22"/>
      <c r="P626" s="22"/>
    </row>
    <row r="627" ht="14.25" customHeight="1">
      <c r="O627" s="22"/>
      <c r="P627" s="22"/>
    </row>
    <row r="628" ht="14.25" customHeight="1">
      <c r="O628" s="22"/>
      <c r="P628" s="22"/>
    </row>
    <row r="629" ht="14.25" customHeight="1">
      <c r="O629" s="22"/>
      <c r="P629" s="22"/>
    </row>
    <row r="630" ht="14.25" customHeight="1">
      <c r="O630" s="22"/>
      <c r="P630" s="22"/>
    </row>
    <row r="631" ht="14.25" customHeight="1">
      <c r="O631" s="22"/>
      <c r="P631" s="22"/>
    </row>
    <row r="632" ht="14.25" customHeight="1">
      <c r="O632" s="22"/>
      <c r="P632" s="22"/>
    </row>
    <row r="633" ht="14.25" customHeight="1">
      <c r="O633" s="22"/>
      <c r="P633" s="22"/>
    </row>
    <row r="634" ht="14.25" customHeight="1">
      <c r="O634" s="22"/>
      <c r="P634" s="22"/>
    </row>
    <row r="635" ht="14.25" customHeight="1">
      <c r="O635" s="22"/>
      <c r="P635" s="22"/>
    </row>
    <row r="636" ht="14.25" customHeight="1">
      <c r="O636" s="22"/>
      <c r="P636" s="22"/>
    </row>
    <row r="637" ht="14.25" customHeight="1">
      <c r="O637" s="22"/>
      <c r="P637" s="22"/>
    </row>
    <row r="638" ht="14.25" customHeight="1">
      <c r="O638" s="22"/>
      <c r="P638" s="22"/>
    </row>
    <row r="639" ht="14.25" customHeight="1">
      <c r="O639" s="22"/>
      <c r="P639" s="22"/>
    </row>
    <row r="640" ht="14.25" customHeight="1">
      <c r="O640" s="22"/>
      <c r="P640" s="22"/>
    </row>
    <row r="641" ht="14.25" customHeight="1">
      <c r="O641" s="22"/>
      <c r="P641" s="22"/>
    </row>
    <row r="642" ht="14.25" customHeight="1">
      <c r="O642" s="22"/>
      <c r="P642" s="22"/>
    </row>
    <row r="643" ht="14.25" customHeight="1">
      <c r="O643" s="22"/>
      <c r="P643" s="22"/>
    </row>
    <row r="644" ht="14.25" customHeight="1">
      <c r="O644" s="22"/>
      <c r="P644" s="22"/>
    </row>
    <row r="645" ht="14.25" customHeight="1">
      <c r="O645" s="22"/>
      <c r="P645" s="22"/>
    </row>
    <row r="646" ht="14.25" customHeight="1">
      <c r="O646" s="22"/>
      <c r="P646" s="22"/>
    </row>
    <row r="647" ht="14.25" customHeight="1">
      <c r="O647" s="22"/>
      <c r="P647" s="22"/>
    </row>
    <row r="648" ht="14.25" customHeight="1">
      <c r="O648" s="22"/>
      <c r="P648" s="22"/>
    </row>
    <row r="649" ht="14.25" customHeight="1">
      <c r="O649" s="22"/>
      <c r="P649" s="22"/>
    </row>
    <row r="650" ht="14.25" customHeight="1">
      <c r="O650" s="22"/>
      <c r="P650" s="22"/>
    </row>
    <row r="651" ht="14.25" customHeight="1">
      <c r="O651" s="22"/>
      <c r="P651" s="22"/>
    </row>
    <row r="652" ht="14.25" customHeight="1">
      <c r="O652" s="22"/>
      <c r="P652" s="22"/>
    </row>
    <row r="653" ht="14.25" customHeight="1">
      <c r="O653" s="22"/>
      <c r="P653" s="22"/>
    </row>
    <row r="654" ht="14.25" customHeight="1">
      <c r="O654" s="22"/>
      <c r="P654" s="22"/>
    </row>
    <row r="655" ht="14.25" customHeight="1">
      <c r="O655" s="22"/>
      <c r="P655" s="22"/>
    </row>
    <row r="656" ht="14.25" customHeight="1">
      <c r="O656" s="22"/>
      <c r="P656" s="22"/>
    </row>
    <row r="657" ht="14.25" customHeight="1">
      <c r="O657" s="22"/>
      <c r="P657" s="22"/>
    </row>
    <row r="658" ht="14.25" customHeight="1">
      <c r="O658" s="22"/>
      <c r="P658" s="22"/>
    </row>
    <row r="659" ht="14.25" customHeight="1">
      <c r="O659" s="22"/>
      <c r="P659" s="22"/>
    </row>
    <row r="660" ht="14.25" customHeight="1">
      <c r="O660" s="22"/>
      <c r="P660" s="22"/>
    </row>
    <row r="661" ht="14.25" customHeight="1">
      <c r="O661" s="22"/>
      <c r="P661" s="22"/>
    </row>
    <row r="662" ht="14.25" customHeight="1">
      <c r="O662" s="22"/>
      <c r="P662" s="22"/>
    </row>
    <row r="663" ht="14.25" customHeight="1">
      <c r="O663" s="22"/>
      <c r="P663" s="22"/>
    </row>
    <row r="664" ht="14.25" customHeight="1">
      <c r="O664" s="22"/>
      <c r="P664" s="22"/>
    </row>
    <row r="665" ht="14.25" customHeight="1">
      <c r="O665" s="22"/>
      <c r="P665" s="22"/>
    </row>
    <row r="666" ht="14.25" customHeight="1">
      <c r="O666" s="22"/>
      <c r="P666" s="22"/>
    </row>
    <row r="667" ht="14.25" customHeight="1">
      <c r="O667" s="22"/>
      <c r="P667" s="22"/>
    </row>
    <row r="668" ht="14.25" customHeight="1">
      <c r="O668" s="22"/>
      <c r="P668" s="22"/>
    </row>
    <row r="669" ht="14.25" customHeight="1">
      <c r="O669" s="22"/>
      <c r="P669" s="22"/>
    </row>
    <row r="670" ht="14.25" customHeight="1">
      <c r="O670" s="22"/>
      <c r="P670" s="22"/>
    </row>
    <row r="671" ht="14.25" customHeight="1">
      <c r="O671" s="22"/>
      <c r="P671" s="22"/>
    </row>
    <row r="672" ht="14.25" customHeight="1">
      <c r="O672" s="22"/>
      <c r="P672" s="22"/>
    </row>
    <row r="673" ht="14.25" customHeight="1">
      <c r="O673" s="22"/>
      <c r="P673" s="22"/>
    </row>
    <row r="674" ht="14.25" customHeight="1">
      <c r="O674" s="22"/>
      <c r="P674" s="22"/>
    </row>
    <row r="675" ht="14.25" customHeight="1">
      <c r="O675" s="22"/>
      <c r="P675" s="22"/>
    </row>
    <row r="676" ht="14.25" customHeight="1">
      <c r="O676" s="22"/>
      <c r="P676" s="22"/>
    </row>
    <row r="677" ht="14.25" customHeight="1">
      <c r="O677" s="22"/>
      <c r="P677" s="22"/>
    </row>
    <row r="678" ht="14.25" customHeight="1">
      <c r="O678" s="22"/>
      <c r="P678" s="22"/>
    </row>
    <row r="679" ht="14.25" customHeight="1">
      <c r="O679" s="22"/>
      <c r="P679" s="22"/>
    </row>
    <row r="680" ht="14.25" customHeight="1">
      <c r="O680" s="22"/>
      <c r="P680" s="22"/>
    </row>
    <row r="681" ht="14.25" customHeight="1">
      <c r="O681" s="22"/>
      <c r="P681" s="22"/>
    </row>
    <row r="682" ht="14.25" customHeight="1">
      <c r="O682" s="22"/>
      <c r="P682" s="22"/>
    </row>
    <row r="683" ht="14.25" customHeight="1">
      <c r="O683" s="22"/>
      <c r="P683" s="22"/>
    </row>
    <row r="684" ht="14.25" customHeight="1">
      <c r="O684" s="22"/>
      <c r="P684" s="22"/>
    </row>
    <row r="685" ht="14.25" customHeight="1">
      <c r="O685" s="22"/>
      <c r="P685" s="22"/>
    </row>
    <row r="686" ht="14.25" customHeight="1">
      <c r="O686" s="22"/>
      <c r="P686" s="22"/>
    </row>
    <row r="687" ht="14.25" customHeight="1">
      <c r="O687" s="22"/>
      <c r="P687" s="22"/>
    </row>
    <row r="688" ht="14.25" customHeight="1">
      <c r="O688" s="22"/>
      <c r="P688" s="22"/>
    </row>
    <row r="689" ht="14.25" customHeight="1">
      <c r="O689" s="22"/>
      <c r="P689" s="22"/>
    </row>
    <row r="690" ht="14.25" customHeight="1">
      <c r="O690" s="22"/>
      <c r="P690" s="22"/>
    </row>
    <row r="691" ht="14.25" customHeight="1">
      <c r="O691" s="22"/>
      <c r="P691" s="22"/>
    </row>
    <row r="692" ht="14.25" customHeight="1">
      <c r="O692" s="22"/>
      <c r="P692" s="22"/>
    </row>
    <row r="693" ht="14.25" customHeight="1">
      <c r="O693" s="22"/>
      <c r="P693" s="22"/>
    </row>
    <row r="694" ht="14.25" customHeight="1">
      <c r="O694" s="22"/>
      <c r="P694" s="22"/>
    </row>
    <row r="695" ht="14.25" customHeight="1">
      <c r="O695" s="22"/>
      <c r="P695" s="22"/>
    </row>
    <row r="696" ht="14.25" customHeight="1">
      <c r="O696" s="22"/>
      <c r="P696" s="22"/>
    </row>
    <row r="697" ht="14.25" customHeight="1">
      <c r="O697" s="22"/>
      <c r="P697" s="22"/>
    </row>
    <row r="698" ht="14.25" customHeight="1">
      <c r="O698" s="22"/>
      <c r="P698" s="22"/>
    </row>
    <row r="699" ht="14.25" customHeight="1">
      <c r="O699" s="22"/>
      <c r="P699" s="22"/>
    </row>
    <row r="700" ht="14.25" customHeight="1">
      <c r="O700" s="22"/>
      <c r="P700" s="22"/>
    </row>
    <row r="701" ht="14.25" customHeight="1">
      <c r="O701" s="22"/>
      <c r="P701" s="22"/>
    </row>
    <row r="702" ht="14.25" customHeight="1">
      <c r="O702" s="22"/>
      <c r="P702" s="22"/>
    </row>
    <row r="703" ht="14.25" customHeight="1">
      <c r="O703" s="22"/>
      <c r="P703" s="22"/>
    </row>
    <row r="704" ht="14.25" customHeight="1">
      <c r="O704" s="22"/>
      <c r="P704" s="22"/>
    </row>
    <row r="705" ht="14.25" customHeight="1">
      <c r="O705" s="22"/>
      <c r="P705" s="22"/>
    </row>
    <row r="706" ht="14.25" customHeight="1">
      <c r="O706" s="22"/>
      <c r="P706" s="22"/>
    </row>
    <row r="707" ht="14.25" customHeight="1">
      <c r="O707" s="22"/>
      <c r="P707" s="22"/>
    </row>
    <row r="708" ht="14.25" customHeight="1">
      <c r="O708" s="22"/>
      <c r="P708" s="22"/>
    </row>
    <row r="709" ht="14.25" customHeight="1">
      <c r="O709" s="22"/>
      <c r="P709" s="22"/>
    </row>
    <row r="710" ht="14.25" customHeight="1">
      <c r="O710" s="22"/>
      <c r="P710" s="22"/>
    </row>
    <row r="711" ht="14.25" customHeight="1">
      <c r="O711" s="22"/>
      <c r="P711" s="22"/>
    </row>
    <row r="712" ht="14.25" customHeight="1">
      <c r="O712" s="22"/>
      <c r="P712" s="22"/>
    </row>
    <row r="713" ht="14.25" customHeight="1">
      <c r="O713" s="22"/>
      <c r="P713" s="22"/>
    </row>
    <row r="714" ht="14.25" customHeight="1">
      <c r="O714" s="22"/>
      <c r="P714" s="22"/>
    </row>
    <row r="715" ht="14.25" customHeight="1">
      <c r="O715" s="22"/>
      <c r="P715" s="22"/>
    </row>
    <row r="716" ht="14.25" customHeight="1">
      <c r="O716" s="22"/>
      <c r="P716" s="22"/>
    </row>
    <row r="717" ht="14.25" customHeight="1">
      <c r="O717" s="22"/>
      <c r="P717" s="22"/>
    </row>
    <row r="718" ht="14.25" customHeight="1">
      <c r="O718" s="22"/>
      <c r="P718" s="22"/>
    </row>
    <row r="719" ht="14.25" customHeight="1">
      <c r="O719" s="22"/>
      <c r="P719" s="22"/>
    </row>
    <row r="720" ht="14.25" customHeight="1">
      <c r="O720" s="22"/>
      <c r="P720" s="22"/>
    </row>
    <row r="721" ht="14.25" customHeight="1">
      <c r="O721" s="22"/>
      <c r="P721" s="22"/>
    </row>
    <row r="722" ht="14.25" customHeight="1">
      <c r="O722" s="22"/>
      <c r="P722" s="22"/>
    </row>
    <row r="723" ht="14.25" customHeight="1">
      <c r="O723" s="22"/>
      <c r="P723" s="22"/>
    </row>
    <row r="724" ht="14.25" customHeight="1">
      <c r="O724" s="22"/>
      <c r="P724" s="22"/>
    </row>
    <row r="725" ht="14.25" customHeight="1">
      <c r="O725" s="22"/>
      <c r="P725" s="22"/>
    </row>
    <row r="726" ht="14.25" customHeight="1">
      <c r="O726" s="22"/>
      <c r="P726" s="22"/>
    </row>
    <row r="727" ht="14.25" customHeight="1">
      <c r="O727" s="22"/>
      <c r="P727" s="22"/>
    </row>
    <row r="728" ht="14.25" customHeight="1">
      <c r="O728" s="22"/>
      <c r="P728" s="22"/>
    </row>
    <row r="729" ht="14.25" customHeight="1">
      <c r="O729" s="22"/>
      <c r="P729" s="22"/>
    </row>
    <row r="730" ht="14.25" customHeight="1">
      <c r="O730" s="22"/>
      <c r="P730" s="22"/>
    </row>
    <row r="731" ht="14.25" customHeight="1">
      <c r="O731" s="22"/>
      <c r="P731" s="22"/>
    </row>
    <row r="732" ht="14.25" customHeight="1">
      <c r="O732" s="22"/>
      <c r="P732" s="22"/>
    </row>
    <row r="733" ht="14.25" customHeight="1">
      <c r="O733" s="22"/>
      <c r="P733" s="22"/>
    </row>
    <row r="734" ht="14.25" customHeight="1">
      <c r="O734" s="22"/>
      <c r="P734" s="22"/>
    </row>
    <row r="735" ht="14.25" customHeight="1">
      <c r="O735" s="22"/>
      <c r="P735" s="22"/>
    </row>
    <row r="736" ht="14.25" customHeight="1">
      <c r="O736" s="22"/>
      <c r="P736" s="22"/>
    </row>
    <row r="737" ht="14.25" customHeight="1">
      <c r="O737" s="22"/>
      <c r="P737" s="22"/>
    </row>
    <row r="738" ht="14.25" customHeight="1">
      <c r="O738" s="22"/>
      <c r="P738" s="22"/>
    </row>
    <row r="739" ht="14.25" customHeight="1">
      <c r="O739" s="22"/>
      <c r="P739" s="22"/>
    </row>
    <row r="740" ht="14.25" customHeight="1">
      <c r="O740" s="22"/>
      <c r="P740" s="22"/>
    </row>
    <row r="741" ht="14.25" customHeight="1">
      <c r="O741" s="22"/>
      <c r="P741" s="22"/>
    </row>
    <row r="742" ht="14.25" customHeight="1">
      <c r="O742" s="22"/>
      <c r="P742" s="22"/>
    </row>
    <row r="743" ht="14.25" customHeight="1">
      <c r="O743" s="22"/>
      <c r="P743" s="22"/>
    </row>
    <row r="744" ht="14.25" customHeight="1">
      <c r="O744" s="22"/>
      <c r="P744" s="22"/>
    </row>
    <row r="745" ht="14.25" customHeight="1">
      <c r="O745" s="22"/>
      <c r="P745" s="22"/>
    </row>
    <row r="746" ht="14.25" customHeight="1">
      <c r="O746" s="22"/>
      <c r="P746" s="22"/>
    </row>
    <row r="747" ht="14.25" customHeight="1">
      <c r="O747" s="22"/>
      <c r="P747" s="22"/>
    </row>
    <row r="748" ht="14.25" customHeight="1">
      <c r="O748" s="22"/>
      <c r="P748" s="22"/>
    </row>
    <row r="749" ht="14.25" customHeight="1">
      <c r="O749" s="22"/>
      <c r="P749" s="22"/>
    </row>
    <row r="750" ht="14.25" customHeight="1">
      <c r="O750" s="22"/>
      <c r="P750" s="22"/>
    </row>
    <row r="751" ht="14.25" customHeight="1">
      <c r="O751" s="22"/>
      <c r="P751" s="22"/>
    </row>
    <row r="752" ht="14.25" customHeight="1">
      <c r="O752" s="22"/>
      <c r="P752" s="22"/>
    </row>
    <row r="753" ht="14.25" customHeight="1">
      <c r="O753" s="22"/>
      <c r="P753" s="22"/>
    </row>
    <row r="754" ht="14.25" customHeight="1">
      <c r="O754" s="22"/>
      <c r="P754" s="22"/>
    </row>
    <row r="755" ht="14.25" customHeight="1">
      <c r="O755" s="22"/>
      <c r="P755" s="22"/>
    </row>
    <row r="756" ht="14.25" customHeight="1">
      <c r="O756" s="22"/>
      <c r="P756" s="22"/>
    </row>
    <row r="757" ht="14.25" customHeight="1">
      <c r="O757" s="22"/>
      <c r="P757" s="22"/>
    </row>
    <row r="758" ht="14.25" customHeight="1">
      <c r="O758" s="22"/>
      <c r="P758" s="22"/>
    </row>
    <row r="759" ht="14.25" customHeight="1">
      <c r="O759" s="22"/>
      <c r="P759" s="22"/>
    </row>
    <row r="760" ht="14.25" customHeight="1">
      <c r="O760" s="22"/>
      <c r="P760" s="22"/>
    </row>
    <row r="761" ht="14.25" customHeight="1">
      <c r="O761" s="22"/>
      <c r="P761" s="22"/>
    </row>
    <row r="762" ht="14.25" customHeight="1">
      <c r="O762" s="22"/>
      <c r="P762" s="22"/>
    </row>
    <row r="763" ht="14.25" customHeight="1">
      <c r="O763" s="22"/>
      <c r="P763" s="22"/>
    </row>
    <row r="764" ht="14.25" customHeight="1">
      <c r="O764" s="22"/>
      <c r="P764" s="22"/>
    </row>
    <row r="765" ht="14.25" customHeight="1">
      <c r="O765" s="22"/>
      <c r="P765" s="22"/>
    </row>
    <row r="766" ht="14.25" customHeight="1">
      <c r="O766" s="22"/>
      <c r="P766" s="22"/>
    </row>
    <row r="767" ht="14.25" customHeight="1">
      <c r="O767" s="22"/>
      <c r="P767" s="22"/>
    </row>
    <row r="768" ht="14.25" customHeight="1">
      <c r="O768" s="22"/>
      <c r="P768" s="22"/>
    </row>
    <row r="769" ht="14.25" customHeight="1">
      <c r="O769" s="22"/>
      <c r="P769" s="22"/>
    </row>
    <row r="770" ht="14.25" customHeight="1">
      <c r="O770" s="22"/>
      <c r="P770" s="22"/>
    </row>
    <row r="771" ht="14.25" customHeight="1">
      <c r="O771" s="22"/>
      <c r="P771" s="22"/>
    </row>
    <row r="772" ht="14.25" customHeight="1">
      <c r="O772" s="22"/>
      <c r="P772" s="22"/>
    </row>
    <row r="773" ht="14.25" customHeight="1">
      <c r="O773" s="22"/>
      <c r="P773" s="22"/>
    </row>
    <row r="774" ht="14.25" customHeight="1">
      <c r="O774" s="22"/>
      <c r="P774" s="22"/>
    </row>
    <row r="775" ht="14.25" customHeight="1">
      <c r="O775" s="22"/>
      <c r="P775" s="22"/>
    </row>
    <row r="776" ht="14.25" customHeight="1">
      <c r="O776" s="22"/>
      <c r="P776" s="22"/>
    </row>
    <row r="777" ht="14.25" customHeight="1">
      <c r="O777" s="22"/>
      <c r="P777" s="22"/>
    </row>
    <row r="778" ht="14.25" customHeight="1">
      <c r="O778" s="22"/>
      <c r="P778" s="22"/>
    </row>
    <row r="779" ht="14.25" customHeight="1">
      <c r="O779" s="22"/>
      <c r="P779" s="22"/>
    </row>
    <row r="780" ht="14.25" customHeight="1">
      <c r="O780" s="22"/>
      <c r="P780" s="22"/>
    </row>
    <row r="781" ht="14.25" customHeight="1">
      <c r="O781" s="22"/>
      <c r="P781" s="22"/>
    </row>
    <row r="782" ht="14.25" customHeight="1">
      <c r="O782" s="22"/>
      <c r="P782" s="22"/>
    </row>
    <row r="783" ht="14.25" customHeight="1">
      <c r="O783" s="22"/>
      <c r="P783" s="22"/>
    </row>
    <row r="784" ht="14.25" customHeight="1">
      <c r="O784" s="22"/>
      <c r="P784" s="22"/>
    </row>
    <row r="785" ht="14.25" customHeight="1">
      <c r="O785" s="22"/>
      <c r="P785" s="22"/>
    </row>
    <row r="786" ht="14.25" customHeight="1">
      <c r="O786" s="22"/>
      <c r="P786" s="22"/>
    </row>
    <row r="787" ht="14.25" customHeight="1">
      <c r="O787" s="22"/>
      <c r="P787" s="22"/>
    </row>
    <row r="788" ht="14.25" customHeight="1">
      <c r="O788" s="22"/>
      <c r="P788" s="22"/>
    </row>
    <row r="789" ht="14.25" customHeight="1">
      <c r="O789" s="22"/>
      <c r="P789" s="22"/>
    </row>
    <row r="790" ht="14.25" customHeight="1">
      <c r="O790" s="22"/>
      <c r="P790" s="22"/>
    </row>
    <row r="791" ht="14.25" customHeight="1">
      <c r="O791" s="22"/>
      <c r="P791" s="22"/>
    </row>
    <row r="792" ht="14.25" customHeight="1">
      <c r="O792" s="22"/>
      <c r="P792" s="22"/>
    </row>
    <row r="793" ht="14.25" customHeight="1">
      <c r="O793" s="22"/>
      <c r="P793" s="22"/>
    </row>
    <row r="794" ht="14.25" customHeight="1">
      <c r="O794" s="22"/>
      <c r="P794" s="22"/>
    </row>
    <row r="795" ht="14.25" customHeight="1">
      <c r="O795" s="22"/>
      <c r="P795" s="22"/>
    </row>
    <row r="796" ht="14.25" customHeight="1">
      <c r="O796" s="22"/>
      <c r="P796" s="22"/>
    </row>
    <row r="797" ht="14.25" customHeight="1">
      <c r="O797" s="22"/>
      <c r="P797" s="22"/>
    </row>
    <row r="798" ht="14.25" customHeight="1">
      <c r="O798" s="22"/>
      <c r="P798" s="22"/>
    </row>
    <row r="799" ht="14.25" customHeight="1">
      <c r="O799" s="22"/>
      <c r="P799" s="22"/>
    </row>
    <row r="800" ht="14.25" customHeight="1">
      <c r="O800" s="22"/>
      <c r="P800" s="22"/>
    </row>
    <row r="801" ht="14.25" customHeight="1">
      <c r="O801" s="22"/>
      <c r="P801" s="22"/>
    </row>
    <row r="802" ht="14.25" customHeight="1">
      <c r="O802" s="22"/>
      <c r="P802" s="22"/>
    </row>
    <row r="803" ht="14.25" customHeight="1">
      <c r="O803" s="22"/>
      <c r="P803" s="22"/>
    </row>
    <row r="804" ht="14.25" customHeight="1">
      <c r="O804" s="22"/>
      <c r="P804" s="22"/>
    </row>
    <row r="805" ht="14.25" customHeight="1">
      <c r="O805" s="22"/>
      <c r="P805" s="22"/>
    </row>
    <row r="806" ht="14.25" customHeight="1">
      <c r="O806" s="22"/>
      <c r="P806" s="22"/>
    </row>
    <row r="807" ht="14.25" customHeight="1">
      <c r="O807" s="22"/>
      <c r="P807" s="22"/>
    </row>
    <row r="808" ht="14.25" customHeight="1">
      <c r="O808" s="22"/>
      <c r="P808" s="22"/>
    </row>
    <row r="809" ht="14.25" customHeight="1">
      <c r="O809" s="22"/>
      <c r="P809" s="22"/>
    </row>
    <row r="810" ht="14.25" customHeight="1">
      <c r="O810" s="22"/>
      <c r="P810" s="22"/>
    </row>
    <row r="811" ht="14.25" customHeight="1">
      <c r="O811" s="22"/>
      <c r="P811" s="22"/>
    </row>
    <row r="812" ht="14.25" customHeight="1">
      <c r="O812" s="22"/>
      <c r="P812" s="22"/>
    </row>
    <row r="813" ht="14.25" customHeight="1">
      <c r="O813" s="22"/>
      <c r="P813" s="22"/>
    </row>
    <row r="814" ht="14.25" customHeight="1">
      <c r="O814" s="22"/>
      <c r="P814" s="22"/>
    </row>
    <row r="815" ht="14.25" customHeight="1">
      <c r="O815" s="22"/>
      <c r="P815" s="22"/>
    </row>
    <row r="816" ht="14.25" customHeight="1">
      <c r="O816" s="22"/>
      <c r="P816" s="22"/>
    </row>
    <row r="817" ht="14.25" customHeight="1">
      <c r="O817" s="22"/>
      <c r="P817" s="22"/>
    </row>
    <row r="818" ht="14.25" customHeight="1">
      <c r="O818" s="22"/>
      <c r="P818" s="22"/>
    </row>
    <row r="819" ht="14.25" customHeight="1">
      <c r="O819" s="22"/>
      <c r="P819" s="22"/>
    </row>
    <row r="820" ht="14.25" customHeight="1">
      <c r="O820" s="22"/>
      <c r="P820" s="22"/>
    </row>
    <row r="821" ht="14.25" customHeight="1">
      <c r="O821" s="22"/>
      <c r="P821" s="22"/>
    </row>
    <row r="822" ht="14.25" customHeight="1">
      <c r="O822" s="22"/>
      <c r="P822" s="22"/>
    </row>
    <row r="823" ht="14.25" customHeight="1">
      <c r="O823" s="22"/>
      <c r="P823" s="22"/>
    </row>
    <row r="824" ht="14.25" customHeight="1">
      <c r="O824" s="22"/>
      <c r="P824" s="22"/>
    </row>
    <row r="825" ht="14.25" customHeight="1">
      <c r="O825" s="22"/>
      <c r="P825" s="22"/>
    </row>
    <row r="826" ht="14.25" customHeight="1">
      <c r="O826" s="22"/>
      <c r="P826" s="22"/>
    </row>
    <row r="827" ht="14.25" customHeight="1">
      <c r="O827" s="22"/>
      <c r="P827" s="22"/>
    </row>
    <row r="828" ht="14.25" customHeight="1">
      <c r="O828" s="22"/>
      <c r="P828" s="22"/>
    </row>
    <row r="829" ht="14.25" customHeight="1">
      <c r="O829" s="22"/>
      <c r="P829" s="22"/>
    </row>
    <row r="830" ht="14.25" customHeight="1">
      <c r="O830" s="22"/>
      <c r="P830" s="22"/>
    </row>
    <row r="831" ht="14.25" customHeight="1">
      <c r="O831" s="22"/>
      <c r="P831" s="22"/>
    </row>
    <row r="832" ht="14.25" customHeight="1">
      <c r="O832" s="22"/>
      <c r="P832" s="22"/>
    </row>
    <row r="833" ht="14.25" customHeight="1">
      <c r="O833" s="22"/>
      <c r="P833" s="22"/>
    </row>
    <row r="834" ht="14.25" customHeight="1">
      <c r="O834" s="22"/>
      <c r="P834" s="22"/>
    </row>
    <row r="835" ht="14.25" customHeight="1">
      <c r="O835" s="22"/>
      <c r="P835" s="22"/>
    </row>
    <row r="836" ht="14.25" customHeight="1">
      <c r="O836" s="22"/>
      <c r="P836" s="22"/>
    </row>
    <row r="837" ht="14.25" customHeight="1">
      <c r="O837" s="22"/>
      <c r="P837" s="22"/>
    </row>
    <row r="838" ht="14.25" customHeight="1">
      <c r="O838" s="22"/>
      <c r="P838" s="22"/>
    </row>
    <row r="839" ht="14.25" customHeight="1">
      <c r="O839" s="22"/>
      <c r="P839" s="22"/>
    </row>
    <row r="840" ht="14.25" customHeight="1">
      <c r="O840" s="22"/>
      <c r="P840" s="22"/>
    </row>
    <row r="841" ht="14.25" customHeight="1">
      <c r="O841" s="22"/>
      <c r="P841" s="22"/>
    </row>
    <row r="842" ht="14.25" customHeight="1">
      <c r="O842" s="22"/>
      <c r="P842" s="22"/>
    </row>
    <row r="843" ht="14.25" customHeight="1">
      <c r="O843" s="22"/>
      <c r="P843" s="22"/>
    </row>
    <row r="844" ht="14.25" customHeight="1">
      <c r="O844" s="22"/>
      <c r="P844" s="22"/>
    </row>
    <row r="845" ht="14.25" customHeight="1">
      <c r="O845" s="22"/>
      <c r="P845" s="22"/>
    </row>
    <row r="846" ht="14.25" customHeight="1">
      <c r="O846" s="22"/>
      <c r="P846" s="22"/>
    </row>
    <row r="847" ht="14.25" customHeight="1">
      <c r="O847" s="22"/>
      <c r="P847" s="22"/>
    </row>
    <row r="848" ht="14.25" customHeight="1">
      <c r="O848" s="22"/>
      <c r="P848" s="22"/>
    </row>
    <row r="849" ht="14.25" customHeight="1">
      <c r="O849" s="22"/>
      <c r="P849" s="22"/>
    </row>
    <row r="850" ht="14.25" customHeight="1">
      <c r="O850" s="22"/>
      <c r="P850" s="22"/>
    </row>
    <row r="851" ht="14.25" customHeight="1">
      <c r="O851" s="22"/>
      <c r="P851" s="22"/>
    </row>
    <row r="852" ht="14.25" customHeight="1">
      <c r="O852" s="22"/>
      <c r="P852" s="22"/>
    </row>
    <row r="853" ht="14.25" customHeight="1">
      <c r="O853" s="22"/>
      <c r="P853" s="22"/>
    </row>
    <row r="854" ht="14.25" customHeight="1">
      <c r="O854" s="22"/>
      <c r="P854" s="22"/>
    </row>
    <row r="855" ht="14.25" customHeight="1">
      <c r="O855" s="22"/>
      <c r="P855" s="22"/>
    </row>
    <row r="856" ht="14.25" customHeight="1">
      <c r="O856" s="22"/>
      <c r="P856" s="22"/>
    </row>
    <row r="857" ht="14.25" customHeight="1">
      <c r="O857" s="22"/>
      <c r="P857" s="22"/>
    </row>
    <row r="858" ht="14.25" customHeight="1">
      <c r="O858" s="22"/>
      <c r="P858" s="22"/>
    </row>
    <row r="859" ht="14.25" customHeight="1">
      <c r="O859" s="22"/>
      <c r="P859" s="22"/>
    </row>
    <row r="860" ht="14.25" customHeight="1">
      <c r="O860" s="22"/>
      <c r="P860" s="22"/>
    </row>
    <row r="861" ht="14.25" customHeight="1">
      <c r="O861" s="22"/>
      <c r="P861" s="22"/>
    </row>
    <row r="862" ht="14.25" customHeight="1">
      <c r="O862" s="22"/>
      <c r="P862" s="22"/>
    </row>
    <row r="863" ht="14.25" customHeight="1">
      <c r="O863" s="22"/>
      <c r="P863" s="22"/>
    </row>
    <row r="864" ht="14.25" customHeight="1">
      <c r="O864" s="22"/>
      <c r="P864" s="22"/>
    </row>
    <row r="865" ht="14.25" customHeight="1">
      <c r="O865" s="22"/>
      <c r="P865" s="22"/>
    </row>
    <row r="866" ht="14.25" customHeight="1">
      <c r="O866" s="22"/>
      <c r="P866" s="22"/>
    </row>
    <row r="867" ht="14.25" customHeight="1">
      <c r="O867" s="22"/>
      <c r="P867" s="22"/>
    </row>
    <row r="868" ht="14.25" customHeight="1">
      <c r="O868" s="22"/>
      <c r="P868" s="22"/>
    </row>
    <row r="869" ht="14.25" customHeight="1">
      <c r="O869" s="22"/>
      <c r="P869" s="22"/>
    </row>
    <row r="870" ht="14.25" customHeight="1">
      <c r="O870" s="22"/>
      <c r="P870" s="22"/>
    </row>
    <row r="871" ht="14.25" customHeight="1">
      <c r="O871" s="22"/>
      <c r="P871" s="22"/>
    </row>
    <row r="872" ht="14.25" customHeight="1">
      <c r="O872" s="22"/>
      <c r="P872" s="22"/>
    </row>
    <row r="873" ht="14.25" customHeight="1">
      <c r="O873" s="22"/>
      <c r="P873" s="22"/>
    </row>
    <row r="874" ht="14.25" customHeight="1">
      <c r="O874" s="22"/>
      <c r="P874" s="22"/>
    </row>
    <row r="875" ht="14.25" customHeight="1">
      <c r="O875" s="22"/>
      <c r="P875" s="22"/>
    </row>
    <row r="876" ht="14.25" customHeight="1">
      <c r="O876" s="22"/>
      <c r="P876" s="22"/>
    </row>
    <row r="877" ht="14.25" customHeight="1">
      <c r="O877" s="22"/>
      <c r="P877" s="22"/>
    </row>
    <row r="878" ht="14.25" customHeight="1">
      <c r="O878" s="22"/>
      <c r="P878" s="22"/>
    </row>
    <row r="879" ht="14.25" customHeight="1">
      <c r="O879" s="22"/>
      <c r="P879" s="22"/>
    </row>
    <row r="880" ht="14.25" customHeight="1">
      <c r="O880" s="22"/>
      <c r="P880" s="22"/>
    </row>
    <row r="881" ht="14.25" customHeight="1">
      <c r="O881" s="22"/>
      <c r="P881" s="22"/>
    </row>
    <row r="882" ht="14.25" customHeight="1">
      <c r="O882" s="22"/>
      <c r="P882" s="22"/>
    </row>
    <row r="883" ht="14.25" customHeight="1">
      <c r="O883" s="22"/>
      <c r="P883" s="22"/>
    </row>
    <row r="884" ht="14.25" customHeight="1">
      <c r="O884" s="22"/>
      <c r="P884" s="22"/>
    </row>
    <row r="885" ht="14.25" customHeight="1">
      <c r="O885" s="22"/>
      <c r="P885" s="22"/>
    </row>
    <row r="886" ht="14.25" customHeight="1">
      <c r="O886" s="22"/>
      <c r="P886" s="22"/>
    </row>
    <row r="887" ht="14.25" customHeight="1">
      <c r="O887" s="22"/>
      <c r="P887" s="22"/>
    </row>
    <row r="888" ht="14.25" customHeight="1">
      <c r="O888" s="22"/>
      <c r="P888" s="22"/>
    </row>
    <row r="889" ht="14.25" customHeight="1">
      <c r="O889" s="22"/>
      <c r="P889" s="22"/>
    </row>
    <row r="890" ht="14.25" customHeight="1">
      <c r="O890" s="22"/>
      <c r="P890" s="22"/>
    </row>
    <row r="891" ht="14.25" customHeight="1">
      <c r="O891" s="22"/>
      <c r="P891" s="22"/>
    </row>
    <row r="892" ht="14.25" customHeight="1">
      <c r="O892" s="22"/>
      <c r="P892" s="22"/>
    </row>
    <row r="893" ht="14.25" customHeight="1">
      <c r="O893" s="22"/>
      <c r="P893" s="22"/>
    </row>
    <row r="894" ht="14.25" customHeight="1">
      <c r="O894" s="22"/>
      <c r="P894" s="22"/>
    </row>
    <row r="895" ht="14.25" customHeight="1">
      <c r="O895" s="22"/>
      <c r="P895" s="22"/>
    </row>
    <row r="896" ht="14.25" customHeight="1">
      <c r="O896" s="22"/>
      <c r="P896" s="22"/>
    </row>
    <row r="897" ht="14.25" customHeight="1">
      <c r="O897" s="22"/>
      <c r="P897" s="22"/>
    </row>
    <row r="898" ht="14.25" customHeight="1">
      <c r="O898" s="22"/>
      <c r="P898" s="22"/>
    </row>
    <row r="899" ht="14.25" customHeight="1">
      <c r="O899" s="22"/>
      <c r="P899" s="22"/>
    </row>
    <row r="900" ht="14.25" customHeight="1">
      <c r="O900" s="22"/>
      <c r="P900" s="22"/>
    </row>
    <row r="901" ht="14.25" customHeight="1">
      <c r="O901" s="22"/>
      <c r="P901" s="22"/>
    </row>
    <row r="902" ht="14.25" customHeight="1">
      <c r="O902" s="22"/>
      <c r="P902" s="22"/>
    </row>
    <row r="903" ht="14.25" customHeight="1">
      <c r="O903" s="22"/>
      <c r="P903" s="22"/>
    </row>
    <row r="904" ht="14.25" customHeight="1">
      <c r="O904" s="22"/>
      <c r="P904" s="22"/>
    </row>
    <row r="905" ht="14.25" customHeight="1">
      <c r="O905" s="22"/>
      <c r="P905" s="22"/>
    </row>
    <row r="906" ht="14.25" customHeight="1">
      <c r="O906" s="22"/>
      <c r="P906" s="22"/>
    </row>
    <row r="907" ht="14.25" customHeight="1">
      <c r="O907" s="22"/>
      <c r="P907" s="22"/>
    </row>
    <row r="908" ht="14.25" customHeight="1">
      <c r="O908" s="22"/>
      <c r="P908" s="22"/>
    </row>
    <row r="909" ht="14.25" customHeight="1">
      <c r="O909" s="22"/>
      <c r="P909" s="22"/>
    </row>
    <row r="910" ht="14.25" customHeight="1">
      <c r="O910" s="22"/>
      <c r="P910" s="22"/>
    </row>
    <row r="911" ht="14.25" customHeight="1">
      <c r="O911" s="22"/>
      <c r="P911" s="22"/>
    </row>
    <row r="912" ht="14.25" customHeight="1">
      <c r="O912" s="22"/>
      <c r="P912" s="22"/>
    </row>
    <row r="913" ht="14.25" customHeight="1">
      <c r="O913" s="22"/>
      <c r="P913" s="22"/>
    </row>
    <row r="914" ht="14.25" customHeight="1">
      <c r="O914" s="22"/>
      <c r="P914" s="22"/>
    </row>
    <row r="915" ht="14.25" customHeight="1">
      <c r="O915" s="22"/>
      <c r="P915" s="22"/>
    </row>
    <row r="916" ht="14.25" customHeight="1">
      <c r="O916" s="22"/>
      <c r="P916" s="22"/>
    </row>
    <row r="917" ht="14.25" customHeight="1">
      <c r="O917" s="22"/>
      <c r="P917" s="22"/>
    </row>
    <row r="918" ht="14.25" customHeight="1">
      <c r="O918" s="22"/>
      <c r="P918" s="22"/>
    </row>
    <row r="919" ht="14.25" customHeight="1">
      <c r="O919" s="22"/>
      <c r="P919" s="22"/>
    </row>
    <row r="920" ht="14.25" customHeight="1">
      <c r="O920" s="22"/>
      <c r="P920" s="22"/>
    </row>
    <row r="921" ht="14.25" customHeight="1">
      <c r="O921" s="22"/>
      <c r="P921" s="22"/>
    </row>
    <row r="922" ht="14.25" customHeight="1">
      <c r="O922" s="22"/>
      <c r="P922" s="22"/>
    </row>
    <row r="923" ht="14.25" customHeight="1">
      <c r="O923" s="22"/>
      <c r="P923" s="22"/>
    </row>
    <row r="924" ht="14.25" customHeight="1">
      <c r="O924" s="22"/>
      <c r="P924" s="22"/>
    </row>
    <row r="925" ht="14.25" customHeight="1">
      <c r="O925" s="22"/>
      <c r="P925" s="22"/>
    </row>
    <row r="926" ht="14.25" customHeight="1">
      <c r="O926" s="22"/>
      <c r="P926" s="22"/>
    </row>
    <row r="927" ht="14.25" customHeight="1">
      <c r="O927" s="22"/>
      <c r="P927" s="22"/>
    </row>
    <row r="928" ht="14.25" customHeight="1">
      <c r="O928" s="22"/>
      <c r="P928" s="22"/>
    </row>
    <row r="929" ht="14.25" customHeight="1">
      <c r="O929" s="22"/>
      <c r="P929" s="22"/>
    </row>
    <row r="930" ht="14.25" customHeight="1">
      <c r="O930" s="22"/>
      <c r="P930" s="22"/>
    </row>
    <row r="931" ht="14.25" customHeight="1">
      <c r="O931" s="22"/>
      <c r="P931" s="22"/>
    </row>
    <row r="932" ht="14.25" customHeight="1">
      <c r="O932" s="22"/>
      <c r="P932" s="22"/>
    </row>
    <row r="933" ht="14.25" customHeight="1">
      <c r="O933" s="22"/>
      <c r="P933" s="22"/>
    </row>
    <row r="934" ht="14.25" customHeight="1">
      <c r="O934" s="22"/>
      <c r="P934" s="22"/>
    </row>
    <row r="935" ht="14.25" customHeight="1">
      <c r="O935" s="22"/>
      <c r="P935" s="22"/>
    </row>
    <row r="936" ht="14.25" customHeight="1">
      <c r="O936" s="22"/>
      <c r="P936" s="22"/>
    </row>
    <row r="937" ht="14.25" customHeight="1">
      <c r="O937" s="22"/>
      <c r="P937" s="22"/>
    </row>
    <row r="938" ht="14.25" customHeight="1">
      <c r="O938" s="22"/>
      <c r="P938" s="22"/>
    </row>
    <row r="939" ht="14.25" customHeight="1">
      <c r="O939" s="22"/>
      <c r="P939" s="22"/>
    </row>
    <row r="940" ht="14.25" customHeight="1">
      <c r="O940" s="22"/>
      <c r="P940" s="22"/>
    </row>
    <row r="941" ht="14.25" customHeight="1">
      <c r="O941" s="22"/>
      <c r="P941" s="22"/>
    </row>
    <row r="942" ht="14.25" customHeight="1">
      <c r="O942" s="22"/>
      <c r="P942" s="22"/>
    </row>
    <row r="943" ht="14.25" customHeight="1">
      <c r="O943" s="22"/>
      <c r="P943" s="22"/>
    </row>
    <row r="944" ht="14.25" customHeight="1">
      <c r="O944" s="22"/>
      <c r="P944" s="22"/>
    </row>
    <row r="945" ht="14.25" customHeight="1">
      <c r="O945" s="22"/>
      <c r="P945" s="22"/>
    </row>
    <row r="946" ht="14.25" customHeight="1">
      <c r="O946" s="22"/>
      <c r="P946" s="22"/>
    </row>
    <row r="947" ht="14.25" customHeight="1">
      <c r="O947" s="22"/>
      <c r="P947" s="22"/>
    </row>
    <row r="948" ht="14.25" customHeight="1">
      <c r="O948" s="22"/>
      <c r="P948" s="22"/>
    </row>
    <row r="949" ht="14.25" customHeight="1">
      <c r="O949" s="22"/>
      <c r="P949" s="22"/>
    </row>
    <row r="950" ht="14.25" customHeight="1">
      <c r="O950" s="22"/>
      <c r="P950" s="22"/>
    </row>
    <row r="951" ht="14.25" customHeight="1">
      <c r="O951" s="22"/>
      <c r="P951" s="22"/>
    </row>
    <row r="952" ht="14.25" customHeight="1">
      <c r="O952" s="22"/>
      <c r="P952" s="22"/>
    </row>
    <row r="953" ht="14.25" customHeight="1">
      <c r="O953" s="22"/>
      <c r="P953" s="22"/>
    </row>
    <row r="954" ht="14.25" customHeight="1">
      <c r="O954" s="22"/>
      <c r="P954" s="22"/>
    </row>
    <row r="955" ht="14.25" customHeight="1">
      <c r="O955" s="22"/>
      <c r="P955" s="22"/>
    </row>
    <row r="956" ht="14.25" customHeight="1">
      <c r="O956" s="22"/>
      <c r="P956" s="22"/>
    </row>
    <row r="957" ht="14.25" customHeight="1">
      <c r="O957" s="22"/>
      <c r="P957" s="22"/>
    </row>
    <row r="958" ht="14.25" customHeight="1">
      <c r="O958" s="22"/>
      <c r="P958" s="22"/>
    </row>
    <row r="959" ht="14.25" customHeight="1">
      <c r="O959" s="22"/>
      <c r="P959" s="22"/>
    </row>
    <row r="960" ht="14.25" customHeight="1">
      <c r="O960" s="22"/>
      <c r="P960" s="22"/>
    </row>
    <row r="961" ht="14.25" customHeight="1">
      <c r="O961" s="22"/>
      <c r="P961" s="22"/>
    </row>
    <row r="962" ht="14.25" customHeight="1">
      <c r="O962" s="22"/>
      <c r="P962" s="22"/>
    </row>
    <row r="963" ht="14.25" customHeight="1">
      <c r="O963" s="22"/>
      <c r="P963" s="22"/>
    </row>
    <row r="964" ht="14.25" customHeight="1">
      <c r="O964" s="22"/>
      <c r="P964" s="22"/>
    </row>
    <row r="965" ht="14.25" customHeight="1">
      <c r="O965" s="22"/>
      <c r="P965" s="22"/>
    </row>
    <row r="966" ht="14.25" customHeight="1">
      <c r="O966" s="22"/>
      <c r="P966" s="22"/>
    </row>
    <row r="967" ht="14.25" customHeight="1">
      <c r="O967" s="22"/>
      <c r="P967" s="22"/>
    </row>
    <row r="968" ht="14.25" customHeight="1">
      <c r="O968" s="22"/>
      <c r="P968" s="22"/>
    </row>
    <row r="969" ht="14.25" customHeight="1">
      <c r="O969" s="22"/>
      <c r="P969" s="22"/>
    </row>
    <row r="970" ht="14.25" customHeight="1">
      <c r="O970" s="22"/>
      <c r="P970" s="22"/>
    </row>
    <row r="971" ht="14.25" customHeight="1">
      <c r="O971" s="22"/>
      <c r="P971" s="22"/>
    </row>
    <row r="972" ht="14.25" customHeight="1">
      <c r="O972" s="22"/>
      <c r="P972" s="22"/>
    </row>
    <row r="973" ht="14.25" customHeight="1">
      <c r="O973" s="22"/>
      <c r="P973" s="22"/>
    </row>
    <row r="974" ht="14.25" customHeight="1">
      <c r="O974" s="22"/>
      <c r="P974" s="22"/>
    </row>
    <row r="975" ht="14.25" customHeight="1">
      <c r="O975" s="22"/>
      <c r="P975" s="22"/>
    </row>
    <row r="976" ht="14.25" customHeight="1">
      <c r="O976" s="22"/>
      <c r="P976" s="22"/>
    </row>
    <row r="977" ht="14.25" customHeight="1">
      <c r="O977" s="22"/>
      <c r="P977" s="22"/>
    </row>
    <row r="978" ht="14.25" customHeight="1">
      <c r="O978" s="22"/>
      <c r="P978" s="22"/>
    </row>
    <row r="979" ht="14.25" customHeight="1">
      <c r="O979" s="22"/>
      <c r="P979" s="22"/>
    </row>
    <row r="980" ht="14.25" customHeight="1">
      <c r="O980" s="22"/>
      <c r="P980" s="22"/>
    </row>
    <row r="981" ht="14.25" customHeight="1">
      <c r="O981" s="22"/>
      <c r="P981" s="22"/>
    </row>
    <row r="982" ht="14.25" customHeight="1">
      <c r="O982" s="22"/>
      <c r="P982" s="22"/>
    </row>
    <row r="983" ht="14.25" customHeight="1">
      <c r="O983" s="22"/>
      <c r="P983" s="22"/>
    </row>
    <row r="984" ht="14.25" customHeight="1">
      <c r="O984" s="22"/>
      <c r="P984" s="22"/>
    </row>
    <row r="985" ht="14.25" customHeight="1">
      <c r="O985" s="22"/>
      <c r="P985" s="22"/>
    </row>
    <row r="986" ht="14.25" customHeight="1">
      <c r="O986" s="22"/>
      <c r="P986" s="22"/>
    </row>
    <row r="987" ht="14.25" customHeight="1">
      <c r="O987" s="22"/>
      <c r="P987" s="22"/>
    </row>
    <row r="988" ht="14.25" customHeight="1">
      <c r="O988" s="22"/>
      <c r="P988" s="22"/>
    </row>
    <row r="989" ht="14.25" customHeight="1">
      <c r="O989" s="22"/>
      <c r="P989" s="22"/>
    </row>
    <row r="990" ht="14.25" customHeight="1">
      <c r="O990" s="22"/>
      <c r="P990" s="22"/>
    </row>
    <row r="991" ht="14.25" customHeight="1">
      <c r="O991" s="22"/>
      <c r="P991" s="22"/>
    </row>
    <row r="992" ht="14.25" customHeight="1">
      <c r="O992" s="22"/>
      <c r="P992" s="22"/>
    </row>
    <row r="993" ht="14.25" customHeight="1">
      <c r="O993" s="22"/>
      <c r="P993" s="22"/>
    </row>
    <row r="994" ht="14.25" customHeight="1">
      <c r="O994" s="22"/>
      <c r="P994" s="22"/>
    </row>
    <row r="995" ht="14.25" customHeight="1">
      <c r="O995" s="22"/>
      <c r="P995" s="22"/>
    </row>
    <row r="996" ht="14.25" customHeight="1">
      <c r="O996" s="22"/>
      <c r="P996" s="22"/>
    </row>
    <row r="997" ht="14.25" customHeight="1">
      <c r="O997" s="22"/>
      <c r="P997" s="22"/>
    </row>
    <row r="998" ht="14.25" customHeight="1">
      <c r="O998" s="22"/>
      <c r="P998" s="22"/>
    </row>
    <row r="999" ht="14.25" customHeight="1">
      <c r="O999" s="22"/>
      <c r="P999" s="22"/>
    </row>
    <row r="1000" ht="14.25" customHeight="1">
      <c r="O1000" s="22"/>
      <c r="P1000" s="22"/>
    </row>
  </sheetData>
  <mergeCells count="195">
    <mergeCell ref="AJ15:AK15"/>
    <mergeCell ref="AJ16:AK16"/>
    <mergeCell ref="AL16:AM16"/>
    <mergeCell ref="AN16:AO16"/>
    <mergeCell ref="AP16:AQ16"/>
    <mergeCell ref="AL17:AM17"/>
    <mergeCell ref="AN17:AO17"/>
    <mergeCell ref="AP17:AQ17"/>
    <mergeCell ref="AJ21:AK21"/>
    <mergeCell ref="AL21:AM21"/>
    <mergeCell ref="AN21:AO21"/>
    <mergeCell ref="AP21:AQ21"/>
    <mergeCell ref="AJ17:AK17"/>
    <mergeCell ref="AJ18:AK18"/>
    <mergeCell ref="AL18:AM18"/>
    <mergeCell ref="AN18:AO18"/>
    <mergeCell ref="AP18:AQ18"/>
    <mergeCell ref="AJ19:AK19"/>
    <mergeCell ref="AL19:AM19"/>
    <mergeCell ref="B1:T5"/>
    <mergeCell ref="AI5:AM5"/>
    <mergeCell ref="B6:T7"/>
    <mergeCell ref="AL7:AM8"/>
    <mergeCell ref="AN7:AO8"/>
    <mergeCell ref="AP7:AQ8"/>
    <mergeCell ref="AP9:AQ9"/>
    <mergeCell ref="AL9:AM9"/>
    <mergeCell ref="AN9:AO9"/>
    <mergeCell ref="AL10:AM10"/>
    <mergeCell ref="AN10:AO10"/>
    <mergeCell ref="AP10:AQ10"/>
    <mergeCell ref="AN11:AO11"/>
    <mergeCell ref="AP11:AQ11"/>
    <mergeCell ref="AL14:AM14"/>
    <mergeCell ref="AN14:AO14"/>
    <mergeCell ref="AP14:AQ14"/>
    <mergeCell ref="AL15:AM15"/>
    <mergeCell ref="AN15:AO15"/>
    <mergeCell ref="AP15:AQ15"/>
    <mergeCell ref="AL11:AM11"/>
    <mergeCell ref="AL12:AM12"/>
    <mergeCell ref="AN12:AO12"/>
    <mergeCell ref="AP12:AQ12"/>
    <mergeCell ref="AL13:AM13"/>
    <mergeCell ref="AN13:AO13"/>
    <mergeCell ref="AP13:AQ13"/>
    <mergeCell ref="AJ7:AK8"/>
    <mergeCell ref="AJ9:AK9"/>
    <mergeCell ref="AJ10:AK10"/>
    <mergeCell ref="AJ11:AK11"/>
    <mergeCell ref="AJ12:AK12"/>
    <mergeCell ref="AJ13:AK13"/>
    <mergeCell ref="AJ14:AK14"/>
    <mergeCell ref="AN19:AO19"/>
    <mergeCell ref="AP19:AQ19"/>
    <mergeCell ref="AJ20:AK20"/>
    <mergeCell ref="AL20:AM20"/>
    <mergeCell ref="AN20:AO20"/>
    <mergeCell ref="AP20:AQ20"/>
    <mergeCell ref="AI23:AL23"/>
    <mergeCell ref="AO23:AQ23"/>
    <mergeCell ref="B9:G9"/>
    <mergeCell ref="C11:E11"/>
    <mergeCell ref="C12:E12"/>
    <mergeCell ref="C13:F13"/>
    <mergeCell ref="B16:F16"/>
    <mergeCell ref="B18:C20"/>
    <mergeCell ref="E18:L20"/>
    <mergeCell ref="V46:Z47"/>
    <mergeCell ref="V48:Z49"/>
    <mergeCell ref="B46:G47"/>
    <mergeCell ref="H46:L47"/>
    <mergeCell ref="Q46:R47"/>
    <mergeCell ref="S46:T47"/>
    <mergeCell ref="U46:U47"/>
    <mergeCell ref="Q48:R49"/>
    <mergeCell ref="S48:T49"/>
    <mergeCell ref="V52:Z53"/>
    <mergeCell ref="V54:Z55"/>
    <mergeCell ref="Q50:R51"/>
    <mergeCell ref="S50:T51"/>
    <mergeCell ref="V50:Z51"/>
    <mergeCell ref="Q52:R53"/>
    <mergeCell ref="S52:T53"/>
    <mergeCell ref="Q54:R55"/>
    <mergeCell ref="S54:T55"/>
    <mergeCell ref="V60:Z61"/>
    <mergeCell ref="V62:Z63"/>
    <mergeCell ref="V64:Z65"/>
    <mergeCell ref="V66:Z67"/>
    <mergeCell ref="V68:Z69"/>
    <mergeCell ref="S70:Z71"/>
    <mergeCell ref="W74:Z74"/>
    <mergeCell ref="Q64:R65"/>
    <mergeCell ref="S64:T65"/>
    <mergeCell ref="Q66:R67"/>
    <mergeCell ref="S66:T67"/>
    <mergeCell ref="Q68:R69"/>
    <mergeCell ref="S68:T69"/>
    <mergeCell ref="Q58:R59"/>
    <mergeCell ref="S58:T59"/>
    <mergeCell ref="V58:Z59"/>
    <mergeCell ref="Q60:R61"/>
    <mergeCell ref="S60:T61"/>
    <mergeCell ref="Q62:R63"/>
    <mergeCell ref="S62:T63"/>
    <mergeCell ref="B39:G39"/>
    <mergeCell ref="H39:L39"/>
    <mergeCell ref="M39:N39"/>
    <mergeCell ref="O39:P39"/>
    <mergeCell ref="Q39:R39"/>
    <mergeCell ref="S39:T39"/>
    <mergeCell ref="V39:Z39"/>
    <mergeCell ref="H40:L41"/>
    <mergeCell ref="M40:N41"/>
    <mergeCell ref="Q40:R41"/>
    <mergeCell ref="S40:T41"/>
    <mergeCell ref="U40:U41"/>
    <mergeCell ref="V40:Z41"/>
    <mergeCell ref="U42:U43"/>
    <mergeCell ref="V42:Z43"/>
    <mergeCell ref="O40:P41"/>
    <mergeCell ref="B42:G43"/>
    <mergeCell ref="H42:L43"/>
    <mergeCell ref="M42:N43"/>
    <mergeCell ref="O42:P43"/>
    <mergeCell ref="Q42:R43"/>
    <mergeCell ref="S42:T43"/>
    <mergeCell ref="B44:G45"/>
    <mergeCell ref="H44:L45"/>
    <mergeCell ref="M44:N45"/>
    <mergeCell ref="O44:P45"/>
    <mergeCell ref="Q44:R45"/>
    <mergeCell ref="S44:T45"/>
    <mergeCell ref="U44:U45"/>
    <mergeCell ref="V44:Z45"/>
    <mergeCell ref="Q56:R57"/>
    <mergeCell ref="S56:T57"/>
    <mergeCell ref="V56:Z57"/>
    <mergeCell ref="B54:G55"/>
    <mergeCell ref="B56:G57"/>
    <mergeCell ref="H56:L57"/>
    <mergeCell ref="M56:N57"/>
    <mergeCell ref="O56:P57"/>
    <mergeCell ref="B58:G59"/>
    <mergeCell ref="H58:L59"/>
    <mergeCell ref="B60:G61"/>
    <mergeCell ref="H60:L61"/>
    <mergeCell ref="M60:N61"/>
    <mergeCell ref="O60:P61"/>
    <mergeCell ref="H62:L63"/>
    <mergeCell ref="M62:N63"/>
    <mergeCell ref="O62:P63"/>
    <mergeCell ref="M66:N67"/>
    <mergeCell ref="O66:P67"/>
    <mergeCell ref="B62:G63"/>
    <mergeCell ref="B64:G65"/>
    <mergeCell ref="H64:L65"/>
    <mergeCell ref="M64:N65"/>
    <mergeCell ref="O64:P65"/>
    <mergeCell ref="B66:G67"/>
    <mergeCell ref="H66:L67"/>
    <mergeCell ref="B70:R71"/>
    <mergeCell ref="B35:F35"/>
    <mergeCell ref="B40:G41"/>
    <mergeCell ref="M46:N47"/>
    <mergeCell ref="O46:P47"/>
    <mergeCell ref="M48:N49"/>
    <mergeCell ref="O48:P49"/>
    <mergeCell ref="M50:N51"/>
    <mergeCell ref="O50:P51"/>
    <mergeCell ref="M52:N53"/>
    <mergeCell ref="O52:P53"/>
    <mergeCell ref="M54:N55"/>
    <mergeCell ref="O54:P55"/>
    <mergeCell ref="B22:C24"/>
    <mergeCell ref="E22:L24"/>
    <mergeCell ref="B26:D28"/>
    <mergeCell ref="E26:L28"/>
    <mergeCell ref="E30:H30"/>
    <mergeCell ref="B37:P37"/>
    <mergeCell ref="A40:A49"/>
    <mergeCell ref="B48:G49"/>
    <mergeCell ref="H48:L49"/>
    <mergeCell ref="B50:G51"/>
    <mergeCell ref="H50:L51"/>
    <mergeCell ref="B52:G53"/>
    <mergeCell ref="H52:L53"/>
    <mergeCell ref="H54:L55"/>
    <mergeCell ref="M58:N59"/>
    <mergeCell ref="O58:P59"/>
    <mergeCell ref="B68:G69"/>
    <mergeCell ref="H68:L69"/>
    <mergeCell ref="M68:N69"/>
    <mergeCell ref="O68:P69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4.29"/>
    <col customWidth="1" min="2" max="2" width="10.71"/>
    <col customWidth="1" min="3" max="3" width="15.29"/>
    <col customWidth="1" min="4" max="4" width="14.29"/>
    <col customWidth="1" min="5" max="6" width="10.71"/>
    <col customWidth="1" min="7" max="7" width="12.43"/>
    <col customWidth="1" min="8" max="11" width="14.29"/>
    <col customWidth="1" min="12" max="12" width="15.86"/>
    <col customWidth="1" min="13" max="13" width="24.71"/>
    <col customWidth="1" min="14" max="16" width="14.29"/>
    <col customWidth="1" min="17" max="17" width="49.86"/>
    <col customWidth="1" min="18" max="18" width="14.29"/>
    <col customWidth="1" min="19" max="20" width="10.71"/>
    <col customWidth="1" min="21" max="21" width="11.71"/>
    <col customWidth="1" min="22" max="26" width="10.71"/>
  </cols>
  <sheetData>
    <row r="1" ht="15.0" customHeight="1">
      <c r="A1" s="1" t="s">
        <v>56</v>
      </c>
      <c r="O1" s="2"/>
      <c r="P1" s="2"/>
      <c r="Q1" s="2"/>
      <c r="R1" s="2"/>
      <c r="S1" s="2"/>
      <c r="T1" s="2"/>
      <c r="U1" s="2"/>
    </row>
    <row r="2" ht="15.0" customHeight="1">
      <c r="O2" s="2"/>
      <c r="P2" s="2"/>
      <c r="Q2" s="2"/>
      <c r="R2" s="2"/>
      <c r="S2" s="2"/>
      <c r="T2" s="2"/>
      <c r="U2" s="2"/>
    </row>
    <row r="3" ht="15.0" customHeight="1">
      <c r="O3" s="2"/>
      <c r="P3" s="2"/>
      <c r="Q3" s="2"/>
      <c r="R3" s="2"/>
      <c r="S3" s="2"/>
      <c r="T3" s="2"/>
      <c r="U3" s="2"/>
    </row>
    <row r="4" ht="15.0" customHeight="1">
      <c r="O4" s="2"/>
      <c r="P4" s="2"/>
      <c r="Q4" s="2"/>
      <c r="R4" s="2"/>
      <c r="S4" s="2"/>
      <c r="T4" s="2"/>
      <c r="U4" s="2"/>
    </row>
    <row r="5" ht="15.0" customHeight="1">
      <c r="O5" s="2"/>
      <c r="P5" s="2"/>
      <c r="Q5" s="2"/>
      <c r="R5" s="2"/>
      <c r="S5" s="2"/>
      <c r="T5" s="2"/>
      <c r="U5" s="2"/>
    </row>
    <row r="6" ht="15.0" customHeight="1">
      <c r="A6" s="5" t="s">
        <v>57</v>
      </c>
      <c r="O6" s="6"/>
      <c r="P6" s="6"/>
      <c r="Q6" s="6"/>
      <c r="R6" s="6"/>
      <c r="S6" s="6"/>
      <c r="T6" s="6"/>
      <c r="U6" s="6"/>
      <c r="V6" s="6"/>
      <c r="W6" s="6"/>
    </row>
    <row r="7" ht="14.25" customHeight="1">
      <c r="O7" s="6"/>
      <c r="P7" s="6"/>
      <c r="Q7" s="6"/>
      <c r="R7" s="6"/>
      <c r="S7" s="6"/>
      <c r="T7" s="6"/>
      <c r="U7" s="6"/>
      <c r="V7" s="6"/>
      <c r="W7" s="6"/>
    </row>
    <row r="8" ht="15.0" customHeight="1"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6"/>
      <c r="W8" s="6"/>
    </row>
    <row r="9" ht="18.75" customHeight="1">
      <c r="A9" s="5" t="s">
        <v>58</v>
      </c>
      <c r="D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6"/>
      <c r="W9" s="6"/>
    </row>
    <row r="10" ht="18.75" customHeight="1">
      <c r="A10" s="18" t="s">
        <v>13</v>
      </c>
      <c r="B10" s="19" t="s">
        <v>59</v>
      </c>
      <c r="D10" s="75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6"/>
      <c r="W10" s="6"/>
    </row>
    <row r="11" ht="18.75" customHeight="1">
      <c r="A11" s="18" t="s">
        <v>18</v>
      </c>
      <c r="B11" s="19" t="s">
        <v>60</v>
      </c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6"/>
      <c r="W11" s="6"/>
    </row>
    <row r="12" ht="18.75" customHeight="1">
      <c r="A12" s="18" t="s">
        <v>61</v>
      </c>
      <c r="B12" s="19" t="s">
        <v>62</v>
      </c>
      <c r="D12" s="75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6"/>
      <c r="W12" s="6"/>
    </row>
    <row r="13" ht="22.5" customHeight="1">
      <c r="B13" s="76"/>
      <c r="C13" s="77"/>
      <c r="D13" s="77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6"/>
      <c r="W13" s="6"/>
    </row>
    <row r="14" ht="22.5" customHeight="1">
      <c r="B14" s="18"/>
      <c r="C14" s="5"/>
      <c r="D14" s="5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6"/>
      <c r="W14" s="6"/>
    </row>
    <row r="15" ht="14.25" customHeight="1"/>
    <row r="16" ht="14.25" customHeight="1">
      <c r="A16" s="78" t="s">
        <v>63</v>
      </c>
    </row>
    <row r="17" ht="14.25" customHeight="1"/>
    <row r="18" ht="14.25" customHeight="1"/>
    <row r="19" ht="14.25" customHeight="1">
      <c r="A19" s="79" t="s">
        <v>64</v>
      </c>
    </row>
    <row r="20" ht="14.25" customHeight="1">
      <c r="B20" s="79"/>
      <c r="C20" s="79"/>
      <c r="D20" s="79"/>
    </row>
    <row r="21" ht="20.25" customHeight="1">
      <c r="A21" s="80" t="s">
        <v>65</v>
      </c>
      <c r="C21" s="81">
        <v>1300000.0</v>
      </c>
      <c r="D21" s="82" t="s">
        <v>66</v>
      </c>
      <c r="G21" s="81">
        <v>162000.0</v>
      </c>
      <c r="J21" s="83"/>
    </row>
    <row r="22" ht="14.25" customHeight="1"/>
    <row r="23" ht="14.25" customHeight="1">
      <c r="A23" s="84" t="s">
        <v>67</v>
      </c>
      <c r="B23" s="85" t="s">
        <v>68</v>
      </c>
      <c r="C23" s="45"/>
      <c r="D23" s="10"/>
      <c r="E23" s="86" t="s">
        <v>69</v>
      </c>
      <c r="F23" s="87" t="s">
        <v>70</v>
      </c>
      <c r="G23" s="10"/>
      <c r="H23" s="88" t="s">
        <v>71</v>
      </c>
      <c r="I23" s="89" t="s">
        <v>72</v>
      </c>
      <c r="J23" s="89" t="s">
        <v>73</v>
      </c>
      <c r="K23" s="89" t="s">
        <v>74</v>
      </c>
      <c r="L23" s="89" t="s">
        <v>75</v>
      </c>
      <c r="M23" s="89" t="s">
        <v>76</v>
      </c>
      <c r="N23" s="89" t="s">
        <v>77</v>
      </c>
      <c r="O23" s="89" t="s">
        <v>78</v>
      </c>
      <c r="P23" s="90" t="s">
        <v>79</v>
      </c>
      <c r="Q23" s="91" t="s">
        <v>80</v>
      </c>
      <c r="R23" s="92" t="s">
        <v>81</v>
      </c>
      <c r="S23" s="26"/>
      <c r="T23" s="92" t="s">
        <v>82</v>
      </c>
      <c r="U23" s="26"/>
    </row>
    <row r="24" ht="14.25" customHeight="1">
      <c r="A24" s="93"/>
      <c r="B24" s="42"/>
      <c r="C24" s="94"/>
      <c r="D24" s="95"/>
      <c r="E24" s="96"/>
      <c r="F24" s="97"/>
      <c r="G24" s="95"/>
      <c r="H24" s="96"/>
      <c r="I24" s="98">
        <v>0.085</v>
      </c>
      <c r="J24" s="98">
        <v>0.12</v>
      </c>
      <c r="K24" s="98">
        <v>0.00522</v>
      </c>
      <c r="L24" s="98">
        <v>0.08333</v>
      </c>
      <c r="M24" s="98">
        <v>0.01</v>
      </c>
      <c r="N24" s="98">
        <v>0.04167</v>
      </c>
      <c r="O24" s="98">
        <v>0.08333</v>
      </c>
      <c r="P24" s="98">
        <v>0.09</v>
      </c>
      <c r="Q24" s="99">
        <v>0.07</v>
      </c>
      <c r="R24" s="29"/>
      <c r="S24" s="31"/>
      <c r="T24" s="29"/>
      <c r="U24" s="31"/>
    </row>
    <row r="25" ht="15.0" customHeight="1">
      <c r="A25" s="93"/>
      <c r="B25" s="100" t="s">
        <v>83</v>
      </c>
      <c r="C25" s="40"/>
      <c r="D25" s="41"/>
      <c r="E25" s="101">
        <v>1.0</v>
      </c>
      <c r="F25" s="102">
        <v>1600000.0</v>
      </c>
      <c r="G25" s="41"/>
      <c r="H25" s="103">
        <f t="shared" ref="H25:H34" si="1">IF(F25&lt;=($C$21*2),$G$21,0)</f>
        <v>162000</v>
      </c>
      <c r="I25" s="104">
        <f t="shared" ref="I25:I34" si="2">(F25+H25)*$I$24</f>
        <v>149770</v>
      </c>
      <c r="J25" s="104">
        <f t="shared" ref="J25:J34" si="3">(F25+H25)*$J$24</f>
        <v>211440</v>
      </c>
      <c r="K25" s="104">
        <f t="shared" ref="K25:K34" si="4">(F25+H25)*$K$24</f>
        <v>9197.64</v>
      </c>
      <c r="L25" s="104">
        <f t="shared" ref="L25:L34" si="5">(F25+H25)*$L$24</f>
        <v>146827.46</v>
      </c>
      <c r="M25" s="104">
        <f t="shared" ref="M25:M34" si="6">(F25+H25)*$M$24</f>
        <v>17620</v>
      </c>
      <c r="N25" s="104">
        <f t="shared" ref="N25:N34" si="7">(F25+H25)*$N$24</f>
        <v>73422.54</v>
      </c>
      <c r="O25" s="104">
        <f t="shared" ref="O25:O34" si="8">(F25+H25)*$O$24</f>
        <v>146827.46</v>
      </c>
      <c r="P25" s="104">
        <f t="shared" ref="P25:P34" si="9">(F25+H25)*$P$24</f>
        <v>158580</v>
      </c>
      <c r="Q25" s="104">
        <f t="shared" ref="Q25:Q34" si="10">(F25+H25)*$Q$24</f>
        <v>123340</v>
      </c>
      <c r="R25" s="105">
        <f t="shared" ref="R25:R34" si="11">IF(F25&lt;&gt;0,SUM(F25:Q25),0)</f>
        <v>2799025.1</v>
      </c>
      <c r="S25" s="41"/>
      <c r="T25" s="105">
        <f t="shared" ref="T25:T34" si="12">R25*12</f>
        <v>33588301.2</v>
      </c>
      <c r="U25" s="41"/>
    </row>
    <row r="26" ht="14.25" customHeight="1">
      <c r="A26" s="93"/>
      <c r="B26" s="100" t="s">
        <v>84</v>
      </c>
      <c r="C26" s="40"/>
      <c r="D26" s="41"/>
      <c r="E26" s="101">
        <v>1.0</v>
      </c>
      <c r="F26" s="106">
        <v>1300000.0</v>
      </c>
      <c r="G26" s="41"/>
      <c r="H26" s="103">
        <f t="shared" si="1"/>
        <v>162000</v>
      </c>
      <c r="I26" s="104">
        <f t="shared" si="2"/>
        <v>124270</v>
      </c>
      <c r="J26" s="104">
        <f t="shared" si="3"/>
        <v>175440</v>
      </c>
      <c r="K26" s="104">
        <f t="shared" si="4"/>
        <v>7631.64</v>
      </c>
      <c r="L26" s="104">
        <f t="shared" si="5"/>
        <v>121828.46</v>
      </c>
      <c r="M26" s="104">
        <f t="shared" si="6"/>
        <v>14620</v>
      </c>
      <c r="N26" s="104">
        <f t="shared" si="7"/>
        <v>60921.54</v>
      </c>
      <c r="O26" s="104">
        <f t="shared" si="8"/>
        <v>121828.46</v>
      </c>
      <c r="P26" s="104">
        <f t="shared" si="9"/>
        <v>131580</v>
      </c>
      <c r="Q26" s="104">
        <f t="shared" si="10"/>
        <v>102340</v>
      </c>
      <c r="R26" s="105">
        <f t="shared" si="11"/>
        <v>2322460.1</v>
      </c>
      <c r="S26" s="41"/>
      <c r="T26" s="105">
        <f t="shared" si="12"/>
        <v>27869521.2</v>
      </c>
      <c r="U26" s="41"/>
    </row>
    <row r="27" ht="14.25" customHeight="1">
      <c r="A27" s="93"/>
      <c r="B27" s="100"/>
      <c r="C27" s="40"/>
      <c r="D27" s="41"/>
      <c r="E27" s="101"/>
      <c r="F27" s="106"/>
      <c r="G27" s="41"/>
      <c r="H27" s="103">
        <f t="shared" si="1"/>
        <v>162000</v>
      </c>
      <c r="I27" s="104">
        <f t="shared" si="2"/>
        <v>13770</v>
      </c>
      <c r="J27" s="104">
        <f t="shared" si="3"/>
        <v>19440</v>
      </c>
      <c r="K27" s="104">
        <f t="shared" si="4"/>
        <v>845.64</v>
      </c>
      <c r="L27" s="104">
        <f t="shared" si="5"/>
        <v>13499.46</v>
      </c>
      <c r="M27" s="104">
        <f t="shared" si="6"/>
        <v>1620</v>
      </c>
      <c r="N27" s="104">
        <f t="shared" si="7"/>
        <v>6750.54</v>
      </c>
      <c r="O27" s="104">
        <f t="shared" si="8"/>
        <v>13499.46</v>
      </c>
      <c r="P27" s="104">
        <f t="shared" si="9"/>
        <v>14580</v>
      </c>
      <c r="Q27" s="104">
        <f t="shared" si="10"/>
        <v>11340</v>
      </c>
      <c r="R27" s="105">
        <f t="shared" si="11"/>
        <v>0</v>
      </c>
      <c r="S27" s="41"/>
      <c r="T27" s="105">
        <f t="shared" si="12"/>
        <v>0</v>
      </c>
      <c r="U27" s="41"/>
    </row>
    <row r="28" ht="14.25" customHeight="1">
      <c r="A28" s="93"/>
      <c r="B28" s="100"/>
      <c r="C28" s="40"/>
      <c r="D28" s="41"/>
      <c r="E28" s="101"/>
      <c r="F28" s="106"/>
      <c r="G28" s="41"/>
      <c r="H28" s="103">
        <f t="shared" si="1"/>
        <v>162000</v>
      </c>
      <c r="I28" s="104">
        <f t="shared" si="2"/>
        <v>13770</v>
      </c>
      <c r="J28" s="104">
        <f t="shared" si="3"/>
        <v>19440</v>
      </c>
      <c r="K28" s="104">
        <f t="shared" si="4"/>
        <v>845.64</v>
      </c>
      <c r="L28" s="104">
        <f t="shared" si="5"/>
        <v>13499.46</v>
      </c>
      <c r="M28" s="104">
        <f t="shared" si="6"/>
        <v>1620</v>
      </c>
      <c r="N28" s="104">
        <f t="shared" si="7"/>
        <v>6750.54</v>
      </c>
      <c r="O28" s="104">
        <f t="shared" si="8"/>
        <v>13499.46</v>
      </c>
      <c r="P28" s="104">
        <f t="shared" si="9"/>
        <v>14580</v>
      </c>
      <c r="Q28" s="104">
        <f t="shared" si="10"/>
        <v>11340</v>
      </c>
      <c r="R28" s="105">
        <f t="shared" si="11"/>
        <v>0</v>
      </c>
      <c r="S28" s="41"/>
      <c r="T28" s="105">
        <f t="shared" si="12"/>
        <v>0</v>
      </c>
      <c r="U28" s="41"/>
    </row>
    <row r="29" ht="14.25" customHeight="1">
      <c r="A29" s="93"/>
      <c r="B29" s="100"/>
      <c r="C29" s="40"/>
      <c r="D29" s="41"/>
      <c r="E29" s="101"/>
      <c r="F29" s="106"/>
      <c r="G29" s="41"/>
      <c r="H29" s="103">
        <f t="shared" si="1"/>
        <v>162000</v>
      </c>
      <c r="I29" s="104">
        <f t="shared" si="2"/>
        <v>13770</v>
      </c>
      <c r="J29" s="104">
        <f t="shared" si="3"/>
        <v>19440</v>
      </c>
      <c r="K29" s="104">
        <f t="shared" si="4"/>
        <v>845.64</v>
      </c>
      <c r="L29" s="104">
        <f t="shared" si="5"/>
        <v>13499.46</v>
      </c>
      <c r="M29" s="104">
        <f t="shared" si="6"/>
        <v>1620</v>
      </c>
      <c r="N29" s="104">
        <f t="shared" si="7"/>
        <v>6750.54</v>
      </c>
      <c r="O29" s="104">
        <f t="shared" si="8"/>
        <v>13499.46</v>
      </c>
      <c r="P29" s="104">
        <f t="shared" si="9"/>
        <v>14580</v>
      </c>
      <c r="Q29" s="104">
        <f t="shared" si="10"/>
        <v>11340</v>
      </c>
      <c r="R29" s="105">
        <f t="shared" si="11"/>
        <v>0</v>
      </c>
      <c r="S29" s="41"/>
      <c r="T29" s="105">
        <f t="shared" si="12"/>
        <v>0</v>
      </c>
      <c r="U29" s="41"/>
    </row>
    <row r="30" ht="14.25" customHeight="1">
      <c r="A30" s="93"/>
      <c r="B30" s="100"/>
      <c r="C30" s="40"/>
      <c r="D30" s="41"/>
      <c r="E30" s="101"/>
      <c r="F30" s="106"/>
      <c r="G30" s="41"/>
      <c r="H30" s="103">
        <f t="shared" si="1"/>
        <v>162000</v>
      </c>
      <c r="I30" s="104">
        <f t="shared" si="2"/>
        <v>13770</v>
      </c>
      <c r="J30" s="104">
        <f t="shared" si="3"/>
        <v>19440</v>
      </c>
      <c r="K30" s="104">
        <f t="shared" si="4"/>
        <v>845.64</v>
      </c>
      <c r="L30" s="104">
        <f t="shared" si="5"/>
        <v>13499.46</v>
      </c>
      <c r="M30" s="104">
        <f t="shared" si="6"/>
        <v>1620</v>
      </c>
      <c r="N30" s="104">
        <f t="shared" si="7"/>
        <v>6750.54</v>
      </c>
      <c r="O30" s="104">
        <f t="shared" si="8"/>
        <v>13499.46</v>
      </c>
      <c r="P30" s="104">
        <f t="shared" si="9"/>
        <v>14580</v>
      </c>
      <c r="Q30" s="104">
        <f t="shared" si="10"/>
        <v>11340</v>
      </c>
      <c r="R30" s="105">
        <f t="shared" si="11"/>
        <v>0</v>
      </c>
      <c r="S30" s="41"/>
      <c r="T30" s="105">
        <f t="shared" si="12"/>
        <v>0</v>
      </c>
      <c r="U30" s="41"/>
    </row>
    <row r="31" ht="14.25" customHeight="1">
      <c r="A31" s="93"/>
      <c r="B31" s="100"/>
      <c r="C31" s="40"/>
      <c r="D31" s="41"/>
      <c r="F31" s="106"/>
      <c r="G31" s="41"/>
      <c r="H31" s="103">
        <f t="shared" si="1"/>
        <v>162000</v>
      </c>
      <c r="I31" s="104">
        <f t="shared" si="2"/>
        <v>13770</v>
      </c>
      <c r="J31" s="104">
        <f t="shared" si="3"/>
        <v>19440</v>
      </c>
      <c r="K31" s="104">
        <f t="shared" si="4"/>
        <v>845.64</v>
      </c>
      <c r="L31" s="104">
        <f t="shared" si="5"/>
        <v>13499.46</v>
      </c>
      <c r="M31" s="104">
        <f t="shared" si="6"/>
        <v>1620</v>
      </c>
      <c r="N31" s="104">
        <f t="shared" si="7"/>
        <v>6750.54</v>
      </c>
      <c r="O31" s="104">
        <f t="shared" si="8"/>
        <v>13499.46</v>
      </c>
      <c r="P31" s="104">
        <f t="shared" si="9"/>
        <v>14580</v>
      </c>
      <c r="Q31" s="104">
        <f t="shared" si="10"/>
        <v>11340</v>
      </c>
      <c r="R31" s="105">
        <f t="shared" si="11"/>
        <v>0</v>
      </c>
      <c r="S31" s="41"/>
      <c r="T31" s="105">
        <f t="shared" si="12"/>
        <v>0</v>
      </c>
      <c r="U31" s="41"/>
    </row>
    <row r="32" ht="14.25" customHeight="1">
      <c r="A32" s="93"/>
      <c r="B32" s="100"/>
      <c r="C32" s="40"/>
      <c r="D32" s="41"/>
      <c r="E32" s="101"/>
      <c r="F32" s="106"/>
      <c r="G32" s="41"/>
      <c r="H32" s="103">
        <f t="shared" si="1"/>
        <v>162000</v>
      </c>
      <c r="I32" s="104">
        <f t="shared" si="2"/>
        <v>13770</v>
      </c>
      <c r="J32" s="104">
        <f t="shared" si="3"/>
        <v>19440</v>
      </c>
      <c r="K32" s="104">
        <f t="shared" si="4"/>
        <v>845.64</v>
      </c>
      <c r="L32" s="104">
        <f t="shared" si="5"/>
        <v>13499.46</v>
      </c>
      <c r="M32" s="104">
        <f t="shared" si="6"/>
        <v>1620</v>
      </c>
      <c r="N32" s="104">
        <f t="shared" si="7"/>
        <v>6750.54</v>
      </c>
      <c r="O32" s="104">
        <f t="shared" si="8"/>
        <v>13499.46</v>
      </c>
      <c r="P32" s="104">
        <f t="shared" si="9"/>
        <v>14580</v>
      </c>
      <c r="Q32" s="104">
        <f t="shared" si="10"/>
        <v>11340</v>
      </c>
      <c r="R32" s="105">
        <f t="shared" si="11"/>
        <v>0</v>
      </c>
      <c r="S32" s="41"/>
      <c r="T32" s="105">
        <f t="shared" si="12"/>
        <v>0</v>
      </c>
      <c r="U32" s="41"/>
    </row>
    <row r="33" ht="14.25" customHeight="1">
      <c r="A33" s="93"/>
      <c r="B33" s="100"/>
      <c r="C33" s="40"/>
      <c r="D33" s="41"/>
      <c r="E33" s="101"/>
      <c r="F33" s="106"/>
      <c r="G33" s="41"/>
      <c r="H33" s="103">
        <f t="shared" si="1"/>
        <v>162000</v>
      </c>
      <c r="I33" s="104">
        <f t="shared" si="2"/>
        <v>13770</v>
      </c>
      <c r="J33" s="104">
        <f t="shared" si="3"/>
        <v>19440</v>
      </c>
      <c r="K33" s="104">
        <f t="shared" si="4"/>
        <v>845.64</v>
      </c>
      <c r="L33" s="104">
        <f t="shared" si="5"/>
        <v>13499.46</v>
      </c>
      <c r="M33" s="104">
        <f t="shared" si="6"/>
        <v>1620</v>
      </c>
      <c r="N33" s="104">
        <f t="shared" si="7"/>
        <v>6750.54</v>
      </c>
      <c r="O33" s="104">
        <f t="shared" si="8"/>
        <v>13499.46</v>
      </c>
      <c r="P33" s="104">
        <f t="shared" si="9"/>
        <v>14580</v>
      </c>
      <c r="Q33" s="104">
        <f t="shared" si="10"/>
        <v>11340</v>
      </c>
      <c r="R33" s="105">
        <f t="shared" si="11"/>
        <v>0</v>
      </c>
      <c r="S33" s="41"/>
      <c r="T33" s="105">
        <f t="shared" si="12"/>
        <v>0</v>
      </c>
      <c r="U33" s="41"/>
    </row>
    <row r="34" ht="14.25" customHeight="1">
      <c r="A34" s="93"/>
      <c r="B34" s="100"/>
      <c r="C34" s="40"/>
      <c r="D34" s="41"/>
      <c r="E34" s="101"/>
      <c r="F34" s="106"/>
      <c r="G34" s="41"/>
      <c r="H34" s="103">
        <f t="shared" si="1"/>
        <v>162000</v>
      </c>
      <c r="I34" s="104">
        <f t="shared" si="2"/>
        <v>13770</v>
      </c>
      <c r="J34" s="104">
        <f t="shared" si="3"/>
        <v>19440</v>
      </c>
      <c r="K34" s="104">
        <f t="shared" si="4"/>
        <v>845.64</v>
      </c>
      <c r="L34" s="104">
        <f t="shared" si="5"/>
        <v>13499.46</v>
      </c>
      <c r="M34" s="104">
        <f t="shared" si="6"/>
        <v>1620</v>
      </c>
      <c r="N34" s="104">
        <f t="shared" si="7"/>
        <v>6750.54</v>
      </c>
      <c r="O34" s="104">
        <f t="shared" si="8"/>
        <v>13499.46</v>
      </c>
      <c r="P34" s="104">
        <f t="shared" si="9"/>
        <v>14580</v>
      </c>
      <c r="Q34" s="104">
        <f t="shared" si="10"/>
        <v>11340</v>
      </c>
      <c r="R34" s="105">
        <f t="shared" si="11"/>
        <v>0</v>
      </c>
      <c r="S34" s="41"/>
      <c r="T34" s="105">
        <f t="shared" si="12"/>
        <v>0</v>
      </c>
      <c r="U34" s="41"/>
    </row>
    <row r="35" ht="14.25" customHeight="1">
      <c r="A35" s="107"/>
      <c r="B35" s="108" t="s">
        <v>85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1"/>
      <c r="R35" s="109">
        <f>SUM(R25:S34)</f>
        <v>5121485.2</v>
      </c>
      <c r="S35" s="41"/>
      <c r="T35" s="109">
        <f>SUM(T25:U34)</f>
        <v>61457822.4</v>
      </c>
      <c r="U35" s="41"/>
    </row>
    <row r="36" ht="14.25" customHeight="1"/>
    <row r="37" ht="37.5" customHeight="1">
      <c r="A37" s="84" t="s">
        <v>86</v>
      </c>
      <c r="B37" s="110" t="s">
        <v>68</v>
      </c>
      <c r="C37" s="25"/>
      <c r="D37" s="26"/>
      <c r="E37" s="111" t="s">
        <v>69</v>
      </c>
      <c r="F37" s="110" t="s">
        <v>70</v>
      </c>
      <c r="G37" s="26"/>
      <c r="H37" s="112" t="s">
        <v>71</v>
      </c>
      <c r="I37" s="113" t="s">
        <v>72</v>
      </c>
      <c r="J37" s="113" t="s">
        <v>73</v>
      </c>
      <c r="K37" s="113" t="s">
        <v>74</v>
      </c>
      <c r="L37" s="113" t="s">
        <v>75</v>
      </c>
      <c r="M37" s="113" t="s">
        <v>76</v>
      </c>
      <c r="N37" s="113" t="s">
        <v>77</v>
      </c>
      <c r="O37" s="113" t="s">
        <v>78</v>
      </c>
      <c r="P37" s="114" t="s">
        <v>79</v>
      </c>
      <c r="Q37" s="113" t="s">
        <v>80</v>
      </c>
      <c r="R37" s="92" t="s">
        <v>81</v>
      </c>
      <c r="S37" s="26"/>
      <c r="T37" s="115" t="s">
        <v>82</v>
      </c>
      <c r="U37" s="26"/>
    </row>
    <row r="38" ht="15.75" customHeight="1">
      <c r="A38" s="93"/>
      <c r="B38" s="29"/>
      <c r="C38" s="30"/>
      <c r="D38" s="31"/>
      <c r="E38" s="107"/>
      <c r="F38" s="29"/>
      <c r="G38" s="31"/>
      <c r="H38" s="107"/>
      <c r="I38" s="116">
        <v>0.085</v>
      </c>
      <c r="J38" s="116">
        <v>0.12</v>
      </c>
      <c r="K38" s="116">
        <v>0.0052</v>
      </c>
      <c r="L38" s="116">
        <v>0.0833</v>
      </c>
      <c r="M38" s="116">
        <v>0.01</v>
      </c>
      <c r="N38" s="116">
        <v>0.0417</v>
      </c>
      <c r="O38" s="116">
        <v>0.0833</v>
      </c>
      <c r="P38" s="116">
        <v>0.09</v>
      </c>
      <c r="Q38" s="116">
        <v>0.07</v>
      </c>
      <c r="R38" s="29"/>
      <c r="S38" s="31"/>
      <c r="T38" s="29"/>
      <c r="U38" s="31"/>
    </row>
    <row r="39" ht="14.25" customHeight="1">
      <c r="A39" s="93"/>
      <c r="B39" s="117"/>
      <c r="C39" s="40"/>
      <c r="D39" s="41"/>
      <c r="E39" s="101"/>
      <c r="F39" s="106"/>
      <c r="G39" s="41"/>
      <c r="H39" s="103">
        <f t="shared" ref="H39:H48" si="13">IF(F39&lt;=($C$21*2),$G$21,0)</f>
        <v>162000</v>
      </c>
      <c r="I39" s="104">
        <f t="shared" ref="I39:I48" si="14">(F39+H39)*$I$24</f>
        <v>13770</v>
      </c>
      <c r="J39" s="104">
        <f t="shared" ref="J39:J48" si="15">(F39+H39)*$J$24</f>
        <v>19440</v>
      </c>
      <c r="K39" s="104">
        <f t="shared" ref="K39:K48" si="16">(F39+H39)*$K$24</f>
        <v>845.64</v>
      </c>
      <c r="L39" s="104">
        <f t="shared" ref="L39:L48" si="17">(F39+H39)*$L$24</f>
        <v>13499.46</v>
      </c>
      <c r="M39" s="104">
        <f t="shared" ref="M39:M48" si="18">(F39+H39)*$M$24</f>
        <v>1620</v>
      </c>
      <c r="N39" s="104">
        <f t="shared" ref="N39:N48" si="19">(F39+H39)*$N$24</f>
        <v>6750.54</v>
      </c>
      <c r="O39" s="104">
        <f t="shared" ref="O39:O48" si="20">(F39+H39)*$O$24</f>
        <v>13499.46</v>
      </c>
      <c r="P39" s="104">
        <f t="shared" ref="P39:P48" si="21">(F39+H39)*$P$24</f>
        <v>14580</v>
      </c>
      <c r="Q39" s="104">
        <f t="shared" ref="Q39:Q48" si="22">(F39+H39)*$Q$38</f>
        <v>11340</v>
      </c>
      <c r="R39" s="105">
        <f t="shared" ref="R39:R48" si="23">IF(F39&lt;&gt;0,SUM(F39:Q39),0)</f>
        <v>0</v>
      </c>
      <c r="S39" s="41"/>
      <c r="T39" s="105">
        <f t="shared" ref="T39:T48" si="24">R39*12</f>
        <v>0</v>
      </c>
      <c r="U39" s="41"/>
    </row>
    <row r="40" ht="14.25" customHeight="1">
      <c r="A40" s="93"/>
      <c r="B40" s="117"/>
      <c r="C40" s="40"/>
      <c r="D40" s="41"/>
      <c r="E40" s="101"/>
      <c r="F40" s="106"/>
      <c r="G40" s="41"/>
      <c r="H40" s="103">
        <f t="shared" si="13"/>
        <v>162000</v>
      </c>
      <c r="I40" s="104">
        <f t="shared" si="14"/>
        <v>13770</v>
      </c>
      <c r="J40" s="104">
        <f t="shared" si="15"/>
        <v>19440</v>
      </c>
      <c r="K40" s="104">
        <f t="shared" si="16"/>
        <v>845.64</v>
      </c>
      <c r="L40" s="104">
        <f t="shared" si="17"/>
        <v>13499.46</v>
      </c>
      <c r="M40" s="104">
        <f t="shared" si="18"/>
        <v>1620</v>
      </c>
      <c r="N40" s="104">
        <f t="shared" si="19"/>
        <v>6750.54</v>
      </c>
      <c r="O40" s="104">
        <f t="shared" si="20"/>
        <v>13499.46</v>
      </c>
      <c r="P40" s="104">
        <f t="shared" si="21"/>
        <v>14580</v>
      </c>
      <c r="Q40" s="104">
        <f t="shared" si="22"/>
        <v>11340</v>
      </c>
      <c r="R40" s="105">
        <f t="shared" si="23"/>
        <v>0</v>
      </c>
      <c r="S40" s="41"/>
      <c r="T40" s="105">
        <f t="shared" si="24"/>
        <v>0</v>
      </c>
      <c r="U40" s="41"/>
    </row>
    <row r="41" ht="14.25" customHeight="1">
      <c r="A41" s="93"/>
      <c r="B41" s="117"/>
      <c r="C41" s="40"/>
      <c r="D41" s="41"/>
      <c r="E41" s="101"/>
      <c r="F41" s="106"/>
      <c r="G41" s="41"/>
      <c r="H41" s="103">
        <f t="shared" si="13"/>
        <v>162000</v>
      </c>
      <c r="I41" s="104">
        <f t="shared" si="14"/>
        <v>13770</v>
      </c>
      <c r="J41" s="104">
        <f t="shared" si="15"/>
        <v>19440</v>
      </c>
      <c r="K41" s="104">
        <f t="shared" si="16"/>
        <v>845.64</v>
      </c>
      <c r="L41" s="104">
        <f t="shared" si="17"/>
        <v>13499.46</v>
      </c>
      <c r="M41" s="104">
        <f t="shared" si="18"/>
        <v>1620</v>
      </c>
      <c r="N41" s="104">
        <f t="shared" si="19"/>
        <v>6750.54</v>
      </c>
      <c r="O41" s="104">
        <f t="shared" si="20"/>
        <v>13499.46</v>
      </c>
      <c r="P41" s="104">
        <f t="shared" si="21"/>
        <v>14580</v>
      </c>
      <c r="Q41" s="104">
        <f t="shared" si="22"/>
        <v>11340</v>
      </c>
      <c r="R41" s="105">
        <f t="shared" si="23"/>
        <v>0</v>
      </c>
      <c r="S41" s="41"/>
      <c r="T41" s="105">
        <f t="shared" si="24"/>
        <v>0</v>
      </c>
      <c r="U41" s="41"/>
    </row>
    <row r="42" ht="14.25" customHeight="1">
      <c r="A42" s="93"/>
      <c r="B42" s="117"/>
      <c r="C42" s="40"/>
      <c r="D42" s="41"/>
      <c r="E42" s="101"/>
      <c r="F42" s="106"/>
      <c r="G42" s="41"/>
      <c r="H42" s="103">
        <f t="shared" si="13"/>
        <v>162000</v>
      </c>
      <c r="I42" s="104">
        <f t="shared" si="14"/>
        <v>13770</v>
      </c>
      <c r="J42" s="104">
        <f t="shared" si="15"/>
        <v>19440</v>
      </c>
      <c r="K42" s="104">
        <f t="shared" si="16"/>
        <v>845.64</v>
      </c>
      <c r="L42" s="104">
        <f t="shared" si="17"/>
        <v>13499.46</v>
      </c>
      <c r="M42" s="104">
        <f t="shared" si="18"/>
        <v>1620</v>
      </c>
      <c r="N42" s="104">
        <f t="shared" si="19"/>
        <v>6750.54</v>
      </c>
      <c r="O42" s="104">
        <f t="shared" si="20"/>
        <v>13499.46</v>
      </c>
      <c r="P42" s="104">
        <f t="shared" si="21"/>
        <v>14580</v>
      </c>
      <c r="Q42" s="104">
        <f t="shared" si="22"/>
        <v>11340</v>
      </c>
      <c r="R42" s="105">
        <f t="shared" si="23"/>
        <v>0</v>
      </c>
      <c r="S42" s="41"/>
      <c r="T42" s="105">
        <f t="shared" si="24"/>
        <v>0</v>
      </c>
      <c r="U42" s="41"/>
    </row>
    <row r="43" ht="14.25" customHeight="1">
      <c r="A43" s="93"/>
      <c r="B43" s="117"/>
      <c r="C43" s="40"/>
      <c r="D43" s="41"/>
      <c r="E43" s="118"/>
      <c r="F43" s="106"/>
      <c r="G43" s="41"/>
      <c r="H43" s="103">
        <f t="shared" si="13"/>
        <v>162000</v>
      </c>
      <c r="I43" s="104">
        <f t="shared" si="14"/>
        <v>13770</v>
      </c>
      <c r="J43" s="104">
        <f t="shared" si="15"/>
        <v>19440</v>
      </c>
      <c r="K43" s="104">
        <f t="shared" si="16"/>
        <v>845.64</v>
      </c>
      <c r="L43" s="104">
        <f t="shared" si="17"/>
        <v>13499.46</v>
      </c>
      <c r="M43" s="104">
        <f t="shared" si="18"/>
        <v>1620</v>
      </c>
      <c r="N43" s="104">
        <f t="shared" si="19"/>
        <v>6750.54</v>
      </c>
      <c r="O43" s="104">
        <f t="shared" si="20"/>
        <v>13499.46</v>
      </c>
      <c r="P43" s="104">
        <f t="shared" si="21"/>
        <v>14580</v>
      </c>
      <c r="Q43" s="104">
        <f t="shared" si="22"/>
        <v>11340</v>
      </c>
      <c r="R43" s="105">
        <f t="shared" si="23"/>
        <v>0</v>
      </c>
      <c r="S43" s="41"/>
      <c r="T43" s="105">
        <f t="shared" si="24"/>
        <v>0</v>
      </c>
      <c r="U43" s="41"/>
    </row>
    <row r="44" ht="14.25" customHeight="1">
      <c r="A44" s="93"/>
      <c r="B44" s="117"/>
      <c r="C44" s="40"/>
      <c r="D44" s="41"/>
      <c r="E44" s="118"/>
      <c r="F44" s="106"/>
      <c r="G44" s="41"/>
      <c r="H44" s="103">
        <f t="shared" si="13"/>
        <v>162000</v>
      </c>
      <c r="I44" s="104">
        <f t="shared" si="14"/>
        <v>13770</v>
      </c>
      <c r="J44" s="104">
        <f t="shared" si="15"/>
        <v>19440</v>
      </c>
      <c r="K44" s="104">
        <f t="shared" si="16"/>
        <v>845.64</v>
      </c>
      <c r="L44" s="104">
        <f t="shared" si="17"/>
        <v>13499.46</v>
      </c>
      <c r="M44" s="104">
        <f t="shared" si="18"/>
        <v>1620</v>
      </c>
      <c r="N44" s="104">
        <f t="shared" si="19"/>
        <v>6750.54</v>
      </c>
      <c r="O44" s="104">
        <f t="shared" si="20"/>
        <v>13499.46</v>
      </c>
      <c r="P44" s="104">
        <f t="shared" si="21"/>
        <v>14580</v>
      </c>
      <c r="Q44" s="104">
        <f t="shared" si="22"/>
        <v>11340</v>
      </c>
      <c r="R44" s="105">
        <f t="shared" si="23"/>
        <v>0</v>
      </c>
      <c r="S44" s="41"/>
      <c r="T44" s="105">
        <f t="shared" si="24"/>
        <v>0</v>
      </c>
      <c r="U44" s="41"/>
    </row>
    <row r="45" ht="14.25" customHeight="1">
      <c r="A45" s="93"/>
      <c r="B45" s="117"/>
      <c r="C45" s="40"/>
      <c r="D45" s="41"/>
      <c r="E45" s="118"/>
      <c r="F45" s="106"/>
      <c r="G45" s="41"/>
      <c r="H45" s="103">
        <f t="shared" si="13"/>
        <v>162000</v>
      </c>
      <c r="I45" s="104">
        <f t="shared" si="14"/>
        <v>13770</v>
      </c>
      <c r="J45" s="104">
        <f t="shared" si="15"/>
        <v>19440</v>
      </c>
      <c r="K45" s="104">
        <f t="shared" si="16"/>
        <v>845.64</v>
      </c>
      <c r="L45" s="104">
        <f t="shared" si="17"/>
        <v>13499.46</v>
      </c>
      <c r="M45" s="104">
        <f t="shared" si="18"/>
        <v>1620</v>
      </c>
      <c r="N45" s="104">
        <f t="shared" si="19"/>
        <v>6750.54</v>
      </c>
      <c r="O45" s="104">
        <f t="shared" si="20"/>
        <v>13499.46</v>
      </c>
      <c r="P45" s="104">
        <f t="shared" si="21"/>
        <v>14580</v>
      </c>
      <c r="Q45" s="104">
        <f t="shared" si="22"/>
        <v>11340</v>
      </c>
      <c r="R45" s="105">
        <f t="shared" si="23"/>
        <v>0</v>
      </c>
      <c r="S45" s="41"/>
      <c r="T45" s="105">
        <f t="shared" si="24"/>
        <v>0</v>
      </c>
      <c r="U45" s="41"/>
    </row>
    <row r="46" ht="14.25" customHeight="1">
      <c r="A46" s="93"/>
      <c r="B46" s="117"/>
      <c r="C46" s="40"/>
      <c r="D46" s="41"/>
      <c r="E46" s="118"/>
      <c r="F46" s="106"/>
      <c r="G46" s="41"/>
      <c r="H46" s="103">
        <f t="shared" si="13"/>
        <v>162000</v>
      </c>
      <c r="I46" s="104">
        <f t="shared" si="14"/>
        <v>13770</v>
      </c>
      <c r="J46" s="104">
        <f t="shared" si="15"/>
        <v>19440</v>
      </c>
      <c r="K46" s="104">
        <f t="shared" si="16"/>
        <v>845.64</v>
      </c>
      <c r="L46" s="104">
        <f t="shared" si="17"/>
        <v>13499.46</v>
      </c>
      <c r="M46" s="104">
        <f t="shared" si="18"/>
        <v>1620</v>
      </c>
      <c r="N46" s="104">
        <f t="shared" si="19"/>
        <v>6750.54</v>
      </c>
      <c r="O46" s="104">
        <f t="shared" si="20"/>
        <v>13499.46</v>
      </c>
      <c r="P46" s="104">
        <f t="shared" si="21"/>
        <v>14580</v>
      </c>
      <c r="Q46" s="104">
        <f t="shared" si="22"/>
        <v>11340</v>
      </c>
      <c r="R46" s="105">
        <f t="shared" si="23"/>
        <v>0</v>
      </c>
      <c r="S46" s="41"/>
      <c r="T46" s="105">
        <f t="shared" si="24"/>
        <v>0</v>
      </c>
      <c r="U46" s="41"/>
    </row>
    <row r="47" ht="14.25" customHeight="1">
      <c r="A47" s="93"/>
      <c r="B47" s="117"/>
      <c r="C47" s="40"/>
      <c r="D47" s="41"/>
      <c r="E47" s="118"/>
      <c r="F47" s="106"/>
      <c r="G47" s="41"/>
      <c r="H47" s="103">
        <f t="shared" si="13"/>
        <v>162000</v>
      </c>
      <c r="I47" s="104">
        <f t="shared" si="14"/>
        <v>13770</v>
      </c>
      <c r="J47" s="104">
        <f t="shared" si="15"/>
        <v>19440</v>
      </c>
      <c r="K47" s="104">
        <f t="shared" si="16"/>
        <v>845.64</v>
      </c>
      <c r="L47" s="104">
        <f t="shared" si="17"/>
        <v>13499.46</v>
      </c>
      <c r="M47" s="104">
        <f t="shared" si="18"/>
        <v>1620</v>
      </c>
      <c r="N47" s="104">
        <f t="shared" si="19"/>
        <v>6750.54</v>
      </c>
      <c r="O47" s="104">
        <f t="shared" si="20"/>
        <v>13499.46</v>
      </c>
      <c r="P47" s="104">
        <f t="shared" si="21"/>
        <v>14580</v>
      </c>
      <c r="Q47" s="104">
        <f t="shared" si="22"/>
        <v>11340</v>
      </c>
      <c r="R47" s="105">
        <f t="shared" si="23"/>
        <v>0</v>
      </c>
      <c r="S47" s="41"/>
      <c r="T47" s="105">
        <f t="shared" si="24"/>
        <v>0</v>
      </c>
      <c r="U47" s="41"/>
    </row>
    <row r="48" ht="18.75" customHeight="1">
      <c r="A48" s="93"/>
      <c r="B48" s="117"/>
      <c r="C48" s="40"/>
      <c r="D48" s="41"/>
      <c r="E48" s="118"/>
      <c r="F48" s="106"/>
      <c r="G48" s="41"/>
      <c r="H48" s="103">
        <f t="shared" si="13"/>
        <v>162000</v>
      </c>
      <c r="I48" s="104">
        <f t="shared" si="14"/>
        <v>13770</v>
      </c>
      <c r="J48" s="104">
        <f t="shared" si="15"/>
        <v>19440</v>
      </c>
      <c r="K48" s="104">
        <f t="shared" si="16"/>
        <v>845.64</v>
      </c>
      <c r="L48" s="104">
        <f t="shared" si="17"/>
        <v>13499.46</v>
      </c>
      <c r="M48" s="104">
        <f t="shared" si="18"/>
        <v>1620</v>
      </c>
      <c r="N48" s="104">
        <f t="shared" si="19"/>
        <v>6750.54</v>
      </c>
      <c r="O48" s="104">
        <f t="shared" si="20"/>
        <v>13499.46</v>
      </c>
      <c r="P48" s="104">
        <f t="shared" si="21"/>
        <v>14580</v>
      </c>
      <c r="Q48" s="104">
        <f t="shared" si="22"/>
        <v>11340</v>
      </c>
      <c r="R48" s="105">
        <f t="shared" si="23"/>
        <v>0</v>
      </c>
      <c r="S48" s="41"/>
      <c r="T48" s="105">
        <f t="shared" si="24"/>
        <v>0</v>
      </c>
      <c r="U48" s="41"/>
    </row>
    <row r="49" ht="14.25" customHeight="1">
      <c r="A49" s="107"/>
      <c r="B49" s="108" t="s">
        <v>85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1"/>
      <c r="R49" s="109">
        <f>SUM(R39:S48)</f>
        <v>0</v>
      </c>
      <c r="S49" s="41"/>
      <c r="T49" s="109">
        <f>SUM(T39:U48)</f>
        <v>0</v>
      </c>
      <c r="U49" s="41"/>
    </row>
    <row r="50" ht="14.25" customHeight="1"/>
    <row r="51" ht="14.25" customHeight="1">
      <c r="K51" s="119" t="s">
        <v>87</v>
      </c>
      <c r="L51" s="40"/>
      <c r="M51" s="41"/>
    </row>
    <row r="52" ht="14.25" customHeight="1"/>
    <row r="53" ht="14.25" customHeight="1">
      <c r="U53" s="120"/>
      <c r="V53" s="120"/>
    </row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10">
    <mergeCell ref="R27:S27"/>
    <mergeCell ref="R28:S28"/>
    <mergeCell ref="R29:S29"/>
    <mergeCell ref="R30:S30"/>
    <mergeCell ref="R31:S31"/>
    <mergeCell ref="R32:S32"/>
    <mergeCell ref="R33:S33"/>
    <mergeCell ref="R34:S34"/>
    <mergeCell ref="R35:S35"/>
    <mergeCell ref="R37:S38"/>
    <mergeCell ref="T37:U38"/>
    <mergeCell ref="R39:S39"/>
    <mergeCell ref="T39:U39"/>
    <mergeCell ref="T40:U40"/>
    <mergeCell ref="R47:S47"/>
    <mergeCell ref="R48:S48"/>
    <mergeCell ref="R49:S49"/>
    <mergeCell ref="R40:S40"/>
    <mergeCell ref="R41:S41"/>
    <mergeCell ref="R42:S42"/>
    <mergeCell ref="R43:S43"/>
    <mergeCell ref="R44:S44"/>
    <mergeCell ref="R45:S45"/>
    <mergeCell ref="R46:S46"/>
    <mergeCell ref="T48:U48"/>
    <mergeCell ref="T49:U49"/>
    <mergeCell ref="T41:U41"/>
    <mergeCell ref="T42:U42"/>
    <mergeCell ref="T43:U43"/>
    <mergeCell ref="T44:U44"/>
    <mergeCell ref="T45:U45"/>
    <mergeCell ref="T46:U46"/>
    <mergeCell ref="T47:U47"/>
    <mergeCell ref="A1:N5"/>
    <mergeCell ref="A6:N7"/>
    <mergeCell ref="A9:C9"/>
    <mergeCell ref="B10:C10"/>
    <mergeCell ref="B11:D11"/>
    <mergeCell ref="B12:C12"/>
    <mergeCell ref="A19:D19"/>
    <mergeCell ref="F23:G24"/>
    <mergeCell ref="F25:G25"/>
    <mergeCell ref="B26:D26"/>
    <mergeCell ref="F26:G26"/>
    <mergeCell ref="B27:D27"/>
    <mergeCell ref="F27:G27"/>
    <mergeCell ref="B28:D28"/>
    <mergeCell ref="F28:G28"/>
    <mergeCell ref="B35:Q35"/>
    <mergeCell ref="T28:U28"/>
    <mergeCell ref="T29:U29"/>
    <mergeCell ref="T30:U30"/>
    <mergeCell ref="T31:U31"/>
    <mergeCell ref="T32:U32"/>
    <mergeCell ref="T33:U33"/>
    <mergeCell ref="T34:U34"/>
    <mergeCell ref="T35:U35"/>
    <mergeCell ref="R23:S24"/>
    <mergeCell ref="T23:U24"/>
    <mergeCell ref="R25:S25"/>
    <mergeCell ref="T25:U25"/>
    <mergeCell ref="R26:S26"/>
    <mergeCell ref="T26:U26"/>
    <mergeCell ref="T27:U27"/>
    <mergeCell ref="B29:D29"/>
    <mergeCell ref="F29:G29"/>
    <mergeCell ref="B30:D30"/>
    <mergeCell ref="F30:G30"/>
    <mergeCell ref="B31:D31"/>
    <mergeCell ref="F31:G31"/>
    <mergeCell ref="B32:D32"/>
    <mergeCell ref="F32:G32"/>
    <mergeCell ref="B33:D33"/>
    <mergeCell ref="F33:G33"/>
    <mergeCell ref="F37:G38"/>
    <mergeCell ref="F39:G39"/>
    <mergeCell ref="B40:D40"/>
    <mergeCell ref="F40:G40"/>
    <mergeCell ref="A21:B21"/>
    <mergeCell ref="D21:F21"/>
    <mergeCell ref="A23:A35"/>
    <mergeCell ref="B23:D24"/>
    <mergeCell ref="E23:E24"/>
    <mergeCell ref="H23:H24"/>
    <mergeCell ref="B25:D25"/>
    <mergeCell ref="B48:D48"/>
    <mergeCell ref="F48:G48"/>
    <mergeCell ref="B34:D34"/>
    <mergeCell ref="F34:G34"/>
    <mergeCell ref="A37:A49"/>
    <mergeCell ref="B37:D38"/>
    <mergeCell ref="E37:E38"/>
    <mergeCell ref="H37:H38"/>
    <mergeCell ref="B39:D39"/>
    <mergeCell ref="B41:D41"/>
    <mergeCell ref="F41:G41"/>
    <mergeCell ref="B42:D42"/>
    <mergeCell ref="F42:G42"/>
    <mergeCell ref="B43:D43"/>
    <mergeCell ref="F43:G43"/>
    <mergeCell ref="B44:D44"/>
    <mergeCell ref="F44:G44"/>
    <mergeCell ref="B45:D45"/>
    <mergeCell ref="F45:G45"/>
    <mergeCell ref="B46:D46"/>
    <mergeCell ref="F46:G46"/>
    <mergeCell ref="B47:D47"/>
    <mergeCell ref="F47:G47"/>
    <mergeCell ref="B49:Q49"/>
    <mergeCell ref="K51:M51"/>
  </mergeCells>
  <printOptions/>
  <pageMargins bottom="0.75" footer="0.0" header="0.0" left="0.7" right="0.7" top="0.75"/>
  <pageSetup orientation="landscape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7.0"/>
    <col customWidth="1" min="2" max="2" width="19.0"/>
    <col customWidth="1" min="3" max="3" width="25.14"/>
    <col customWidth="1" min="4" max="4" width="26.57"/>
    <col customWidth="1" min="5" max="5" width="31.29"/>
    <col customWidth="1" min="6" max="6" width="27.86"/>
    <col customWidth="1" min="7" max="7" width="29.43"/>
    <col customWidth="1" min="8" max="8" width="31.29"/>
    <col customWidth="1" min="9" max="9" width="30.43"/>
    <col customWidth="1" min="10" max="10" width="26.0"/>
    <col customWidth="1" min="11" max="11" width="28.57"/>
    <col customWidth="1" min="12" max="12" width="17.29"/>
    <col customWidth="1" min="13" max="13" width="16.86"/>
    <col customWidth="1" min="14" max="14" width="19.14"/>
    <col customWidth="1" min="15" max="26" width="10.71"/>
  </cols>
  <sheetData>
    <row r="1" ht="15.0" customHeight="1">
      <c r="A1" s="1" t="s">
        <v>88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15.0" customHeight="1"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5.0" customHeight="1"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5.0" customHeight="1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15.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15.0" customHeight="1">
      <c r="A6" s="5" t="s">
        <v>89</v>
      </c>
      <c r="N6" s="6"/>
      <c r="O6" s="6"/>
      <c r="P6" s="6"/>
      <c r="Q6" s="6"/>
      <c r="R6" s="6"/>
      <c r="S6" s="6"/>
      <c r="T6" s="6"/>
      <c r="U6" s="6"/>
      <c r="V6" s="6"/>
    </row>
    <row r="7" ht="15.0" customHeight="1">
      <c r="N7" s="6"/>
      <c r="O7" s="6"/>
      <c r="P7" s="6"/>
      <c r="Q7" s="6"/>
      <c r="R7" s="6"/>
      <c r="S7" s="6"/>
      <c r="T7" s="6"/>
      <c r="U7" s="6"/>
      <c r="V7" s="6"/>
    </row>
    <row r="8" ht="14.25" customHeight="1"/>
    <row r="9" ht="14.25" customHeight="1">
      <c r="A9" s="5" t="s">
        <v>58</v>
      </c>
      <c r="D9" s="74"/>
    </row>
    <row r="10" ht="14.25" customHeight="1">
      <c r="A10" s="5"/>
      <c r="B10" s="5"/>
      <c r="C10" s="5"/>
      <c r="D10" s="121"/>
    </row>
    <row r="11" ht="14.25" customHeight="1">
      <c r="A11" s="18" t="s">
        <v>13</v>
      </c>
      <c r="B11" s="122" t="s">
        <v>90</v>
      </c>
      <c r="C11" s="18" t="s">
        <v>18</v>
      </c>
      <c r="D11" s="122" t="s">
        <v>91</v>
      </c>
      <c r="E11" s="18" t="s">
        <v>61</v>
      </c>
      <c r="F11" s="122" t="s">
        <v>92</v>
      </c>
    </row>
    <row r="12" ht="14.25" customHeight="1">
      <c r="A12" s="18"/>
      <c r="B12" s="123"/>
      <c r="C12" s="18"/>
      <c r="D12" s="123"/>
      <c r="E12" s="18"/>
      <c r="F12" s="123"/>
    </row>
    <row r="13" ht="14.25" customHeight="1">
      <c r="B13" s="122" t="s">
        <v>93</v>
      </c>
      <c r="D13" s="122" t="s">
        <v>94</v>
      </c>
      <c r="E13" s="18" t="s">
        <v>95</v>
      </c>
      <c r="F13" s="122" t="s">
        <v>96</v>
      </c>
    </row>
    <row r="14" ht="15.0" customHeight="1">
      <c r="B14" s="122" t="s">
        <v>97</v>
      </c>
      <c r="D14" s="122" t="s">
        <v>98</v>
      </c>
      <c r="E14" s="18"/>
      <c r="F14" s="123"/>
    </row>
    <row r="15" ht="15.0" customHeight="1">
      <c r="B15" s="122" t="s">
        <v>99</v>
      </c>
      <c r="D15" s="122" t="s">
        <v>100</v>
      </c>
      <c r="F15" s="122" t="s">
        <v>101</v>
      </c>
    </row>
    <row r="16" ht="14.25" customHeight="1">
      <c r="B16" s="123"/>
      <c r="D16" s="122" t="s">
        <v>102</v>
      </c>
      <c r="F16" s="122" t="s">
        <v>103</v>
      </c>
    </row>
    <row r="17" ht="14.25" customHeight="1">
      <c r="B17" s="124"/>
      <c r="D17" s="122" t="s">
        <v>104</v>
      </c>
      <c r="F17" s="122" t="s">
        <v>105</v>
      </c>
    </row>
    <row r="18" ht="14.25" customHeight="1">
      <c r="B18" s="124"/>
      <c r="D18" s="122" t="s">
        <v>106</v>
      </c>
      <c r="F18" s="122" t="s">
        <v>107</v>
      </c>
    </row>
    <row r="19" ht="14.25" customHeight="1">
      <c r="B19" s="124"/>
      <c r="D19" s="122" t="s">
        <v>108</v>
      </c>
      <c r="F19" s="122" t="s">
        <v>109</v>
      </c>
    </row>
    <row r="20" ht="14.25" customHeight="1">
      <c r="B20" s="124"/>
      <c r="D20" s="122" t="s">
        <v>110</v>
      </c>
      <c r="F20" s="122" t="s">
        <v>111</v>
      </c>
    </row>
    <row r="21" ht="14.25" customHeight="1">
      <c r="B21" s="124"/>
      <c r="D21" s="122" t="s">
        <v>112</v>
      </c>
      <c r="F21" s="123"/>
    </row>
    <row r="22" ht="18.75" customHeight="1">
      <c r="D22" s="122" t="s">
        <v>113</v>
      </c>
      <c r="E22" s="18" t="s">
        <v>114</v>
      </c>
      <c r="F22" s="122" t="s">
        <v>115</v>
      </c>
    </row>
    <row r="23" ht="14.25" customHeight="1">
      <c r="D23" s="122" t="s">
        <v>116</v>
      </c>
      <c r="E23" s="18"/>
      <c r="F23" s="123"/>
    </row>
    <row r="24" ht="14.25" customHeight="1">
      <c r="D24" s="122" t="s">
        <v>117</v>
      </c>
      <c r="F24" s="122" t="s">
        <v>118</v>
      </c>
    </row>
    <row r="25" ht="18.75" customHeight="1">
      <c r="D25" s="122" t="s">
        <v>119</v>
      </c>
      <c r="F25" s="122" t="s">
        <v>120</v>
      </c>
    </row>
    <row r="26" ht="14.25" customHeight="1">
      <c r="D26" s="123"/>
      <c r="F26" s="122" t="s">
        <v>121</v>
      </c>
    </row>
    <row r="27" ht="14.25" customHeight="1">
      <c r="D27" s="124"/>
      <c r="F27" s="123"/>
    </row>
    <row r="28" ht="14.25" customHeight="1">
      <c r="F28" s="124"/>
    </row>
    <row r="29" ht="14.25" customHeight="1">
      <c r="F29" s="124"/>
    </row>
    <row r="30" ht="14.25" customHeight="1">
      <c r="A30" s="79" t="s">
        <v>122</v>
      </c>
    </row>
    <row r="31" ht="14.25" customHeight="1">
      <c r="A31" s="79"/>
      <c r="B31" s="79"/>
      <c r="C31" s="79"/>
    </row>
    <row r="32" ht="14.25" customHeight="1">
      <c r="A32" s="125" t="s">
        <v>93</v>
      </c>
      <c r="H32" s="126" t="s">
        <v>123</v>
      </c>
    </row>
    <row r="33" ht="14.25" customHeight="1">
      <c r="A33" s="125"/>
      <c r="B33" s="125"/>
    </row>
    <row r="34" ht="14.25" customHeight="1"/>
    <row r="35" ht="14.25" customHeight="1">
      <c r="A35" s="127" t="s">
        <v>124</v>
      </c>
      <c r="B35" s="41"/>
      <c r="C35" s="127" t="s">
        <v>125</v>
      </c>
      <c r="D35" s="40"/>
      <c r="E35" s="41"/>
      <c r="F35" s="128" t="s">
        <v>69</v>
      </c>
      <c r="G35" s="128" t="s">
        <v>126</v>
      </c>
      <c r="H35" s="128" t="s">
        <v>127</v>
      </c>
    </row>
    <row r="36" ht="15.75" customHeight="1">
      <c r="A36" s="92" t="s">
        <v>128</v>
      </c>
      <c r="B36" s="26"/>
      <c r="C36" s="117"/>
      <c r="D36" s="40"/>
      <c r="E36" s="41"/>
      <c r="F36" s="101"/>
      <c r="G36" s="129"/>
      <c r="H36" s="130">
        <f t="shared" ref="H36:H37" si="1">G36*F36</f>
        <v>0</v>
      </c>
    </row>
    <row r="37" ht="15.75" customHeight="1">
      <c r="A37" s="27"/>
      <c r="B37" s="28"/>
      <c r="C37" s="117"/>
      <c r="D37" s="40"/>
      <c r="E37" s="41"/>
      <c r="F37" s="101"/>
      <c r="G37" s="129"/>
      <c r="H37" s="130">
        <f t="shared" si="1"/>
        <v>0</v>
      </c>
    </row>
    <row r="38" ht="14.25" customHeight="1">
      <c r="A38" s="29"/>
      <c r="B38" s="31"/>
      <c r="C38" s="108" t="s">
        <v>129</v>
      </c>
      <c r="D38" s="40"/>
      <c r="E38" s="40"/>
      <c r="F38" s="40"/>
      <c r="G38" s="41"/>
      <c r="H38" s="131">
        <f>SUM(H36:H37)</f>
        <v>0</v>
      </c>
    </row>
    <row r="39" ht="14.25" customHeight="1">
      <c r="A39" s="110" t="s">
        <v>130</v>
      </c>
      <c r="B39" s="26"/>
      <c r="C39" s="117" t="s">
        <v>131</v>
      </c>
      <c r="D39" s="40"/>
      <c r="E39" s="41"/>
      <c r="F39" s="101">
        <v>1.0</v>
      </c>
      <c r="G39" s="129">
        <v>5.0E7</v>
      </c>
      <c r="H39" s="130">
        <f t="shared" ref="H39:H41" si="2">G39*F39</f>
        <v>50000000</v>
      </c>
    </row>
    <row r="40" ht="14.25" customHeight="1">
      <c r="A40" s="27"/>
      <c r="B40" s="28"/>
      <c r="C40" s="117" t="s">
        <v>132</v>
      </c>
      <c r="D40" s="40"/>
      <c r="E40" s="41"/>
      <c r="F40" s="101">
        <v>2.0</v>
      </c>
      <c r="G40" s="129">
        <v>4.5E7</v>
      </c>
      <c r="H40" s="130">
        <f t="shared" si="2"/>
        <v>90000000</v>
      </c>
    </row>
    <row r="41" ht="14.25" customHeight="1">
      <c r="A41" s="27"/>
      <c r="B41" s="28"/>
      <c r="C41" s="117" t="s">
        <v>133</v>
      </c>
      <c r="D41" s="40"/>
      <c r="E41" s="41"/>
      <c r="F41" s="101">
        <v>2.0</v>
      </c>
      <c r="G41" s="129">
        <v>3.0E7</v>
      </c>
      <c r="H41" s="130">
        <f t="shared" si="2"/>
        <v>60000000</v>
      </c>
    </row>
    <row r="42" ht="14.25" customHeight="1">
      <c r="A42" s="29"/>
      <c r="B42" s="31"/>
      <c r="C42" s="108" t="s">
        <v>129</v>
      </c>
      <c r="D42" s="40"/>
      <c r="E42" s="40"/>
      <c r="F42" s="40"/>
      <c r="G42" s="41"/>
      <c r="H42" s="131">
        <f>SUM(H39:H41)</f>
        <v>200000000</v>
      </c>
    </row>
    <row r="43" ht="14.25" customHeight="1">
      <c r="A43" s="92" t="s">
        <v>134</v>
      </c>
      <c r="B43" s="26"/>
      <c r="C43" s="117" t="s">
        <v>135</v>
      </c>
      <c r="D43" s="40"/>
      <c r="E43" s="41"/>
      <c r="F43" s="101">
        <v>25.0</v>
      </c>
      <c r="G43" s="132">
        <v>194000.0</v>
      </c>
      <c r="H43" s="130">
        <f t="shared" ref="H43:H52" si="3">G43*F43</f>
        <v>4850000</v>
      </c>
    </row>
    <row r="44" ht="14.25" customHeight="1">
      <c r="A44" s="27"/>
      <c r="B44" s="28"/>
      <c r="C44" s="117"/>
      <c r="D44" s="40"/>
      <c r="E44" s="41"/>
      <c r="F44" s="101"/>
      <c r="G44" s="129"/>
      <c r="H44" s="130">
        <f t="shared" si="3"/>
        <v>0</v>
      </c>
    </row>
    <row r="45" ht="14.25" customHeight="1">
      <c r="A45" s="27"/>
      <c r="B45" s="28"/>
      <c r="C45" s="117"/>
      <c r="D45" s="40"/>
      <c r="E45" s="41"/>
      <c r="F45" s="101"/>
      <c r="G45" s="129"/>
      <c r="H45" s="130">
        <f t="shared" si="3"/>
        <v>0</v>
      </c>
    </row>
    <row r="46" ht="14.25" customHeight="1">
      <c r="A46" s="27"/>
      <c r="B46" s="28"/>
      <c r="C46" s="117"/>
      <c r="D46" s="40"/>
      <c r="E46" s="41"/>
      <c r="F46" s="101"/>
      <c r="G46" s="129"/>
      <c r="H46" s="130">
        <f t="shared" si="3"/>
        <v>0</v>
      </c>
    </row>
    <row r="47" ht="14.25" customHeight="1">
      <c r="A47" s="27"/>
      <c r="B47" s="28"/>
      <c r="C47" s="117"/>
      <c r="D47" s="40"/>
      <c r="E47" s="41"/>
      <c r="F47" s="101"/>
      <c r="G47" s="129"/>
      <c r="H47" s="130">
        <f t="shared" si="3"/>
        <v>0</v>
      </c>
    </row>
    <row r="48" ht="14.25" customHeight="1">
      <c r="A48" s="27"/>
      <c r="B48" s="28"/>
      <c r="C48" s="117"/>
      <c r="D48" s="40"/>
      <c r="E48" s="41"/>
      <c r="F48" s="101"/>
      <c r="G48" s="129"/>
      <c r="H48" s="130">
        <f t="shared" si="3"/>
        <v>0</v>
      </c>
    </row>
    <row r="49" ht="14.25" customHeight="1">
      <c r="A49" s="27"/>
      <c r="B49" s="28"/>
      <c r="C49" s="117"/>
      <c r="D49" s="40"/>
      <c r="E49" s="41"/>
      <c r="F49" s="101"/>
      <c r="G49" s="129"/>
      <c r="H49" s="130">
        <f t="shared" si="3"/>
        <v>0</v>
      </c>
    </row>
    <row r="50" ht="14.25" customHeight="1">
      <c r="A50" s="27"/>
      <c r="B50" s="28"/>
      <c r="C50" s="117"/>
      <c r="D50" s="40"/>
      <c r="E50" s="41"/>
      <c r="F50" s="101"/>
      <c r="G50" s="129"/>
      <c r="H50" s="130">
        <f t="shared" si="3"/>
        <v>0</v>
      </c>
    </row>
    <row r="51" ht="14.25" customHeight="1">
      <c r="A51" s="27"/>
      <c r="B51" s="28"/>
      <c r="C51" s="117"/>
      <c r="D51" s="40"/>
      <c r="E51" s="41"/>
      <c r="F51" s="101"/>
      <c r="G51" s="129"/>
      <c r="H51" s="130">
        <f t="shared" si="3"/>
        <v>0</v>
      </c>
    </row>
    <row r="52" ht="14.25" customHeight="1">
      <c r="A52" s="27"/>
      <c r="B52" s="28"/>
      <c r="C52" s="117"/>
      <c r="D52" s="40"/>
      <c r="E52" s="41"/>
      <c r="F52" s="101"/>
      <c r="G52" s="129"/>
      <c r="H52" s="130">
        <f t="shared" si="3"/>
        <v>0</v>
      </c>
    </row>
    <row r="53" ht="14.25" customHeight="1">
      <c r="A53" s="29"/>
      <c r="B53" s="31"/>
      <c r="C53" s="108" t="s">
        <v>129</v>
      </c>
      <c r="D53" s="40"/>
      <c r="E53" s="40"/>
      <c r="F53" s="40"/>
      <c r="G53" s="41"/>
      <c r="H53" s="133">
        <f>SUM(H43:H52)</f>
        <v>4850000</v>
      </c>
    </row>
    <row r="54" ht="14.25" customHeight="1">
      <c r="A54" s="92" t="s">
        <v>136</v>
      </c>
      <c r="B54" s="26"/>
      <c r="C54" s="117" t="s">
        <v>137</v>
      </c>
      <c r="D54" s="40"/>
      <c r="E54" s="41"/>
      <c r="F54" s="101">
        <v>2.0</v>
      </c>
      <c r="G54" s="132">
        <v>2800000.0</v>
      </c>
      <c r="H54" s="130">
        <f t="shared" ref="H54:H63" si="4">G54*F54</f>
        <v>5600000</v>
      </c>
    </row>
    <row r="55" ht="14.25" customHeight="1">
      <c r="A55" s="27"/>
      <c r="B55" s="28"/>
      <c r="C55" s="117" t="s">
        <v>138</v>
      </c>
      <c r="D55" s="40"/>
      <c r="E55" s="41"/>
      <c r="F55" s="101">
        <v>1.0</v>
      </c>
      <c r="G55" s="132">
        <v>5000000.0</v>
      </c>
      <c r="H55" s="130">
        <f t="shared" si="4"/>
        <v>5000000</v>
      </c>
      <c r="I55" s="134"/>
    </row>
    <row r="56" ht="14.25" customHeight="1">
      <c r="A56" s="27"/>
      <c r="B56" s="28"/>
      <c r="C56" s="117" t="s">
        <v>139</v>
      </c>
      <c r="D56" s="40"/>
      <c r="E56" s="41"/>
      <c r="F56" s="101">
        <v>2.0</v>
      </c>
      <c r="G56" s="132">
        <v>4200000.0</v>
      </c>
      <c r="H56" s="130">
        <f t="shared" si="4"/>
        <v>8400000</v>
      </c>
    </row>
    <row r="57" ht="14.25" customHeight="1">
      <c r="A57" s="27"/>
      <c r="B57" s="28"/>
      <c r="C57" s="117"/>
      <c r="D57" s="40"/>
      <c r="E57" s="41"/>
      <c r="F57" s="101"/>
      <c r="G57" s="129"/>
      <c r="H57" s="130">
        <f t="shared" si="4"/>
        <v>0</v>
      </c>
    </row>
    <row r="58" ht="14.25" customHeight="1">
      <c r="A58" s="27"/>
      <c r="B58" s="28"/>
      <c r="C58" s="117"/>
      <c r="D58" s="40"/>
      <c r="E58" s="41"/>
      <c r="F58" s="101"/>
      <c r="G58" s="129"/>
      <c r="H58" s="130">
        <f t="shared" si="4"/>
        <v>0</v>
      </c>
    </row>
    <row r="59" ht="14.25" customHeight="1">
      <c r="A59" s="27"/>
      <c r="B59" s="28"/>
      <c r="C59" s="117"/>
      <c r="D59" s="40"/>
      <c r="E59" s="41"/>
      <c r="F59" s="101"/>
      <c r="G59" s="129"/>
      <c r="H59" s="130">
        <f t="shared" si="4"/>
        <v>0</v>
      </c>
    </row>
    <row r="60" ht="14.25" customHeight="1">
      <c r="A60" s="27"/>
      <c r="B60" s="28"/>
      <c r="C60" s="117"/>
      <c r="D60" s="40"/>
      <c r="E60" s="41"/>
      <c r="F60" s="101"/>
      <c r="G60" s="129"/>
      <c r="H60" s="130">
        <f t="shared" si="4"/>
        <v>0</v>
      </c>
    </row>
    <row r="61" ht="14.25" customHeight="1">
      <c r="A61" s="27"/>
      <c r="B61" s="28"/>
      <c r="C61" s="117"/>
      <c r="D61" s="40"/>
      <c r="E61" s="41"/>
      <c r="F61" s="101"/>
      <c r="G61" s="129"/>
      <c r="H61" s="130">
        <f t="shared" si="4"/>
        <v>0</v>
      </c>
    </row>
    <row r="62" ht="14.25" customHeight="1">
      <c r="A62" s="27"/>
      <c r="B62" s="28"/>
      <c r="C62" s="117"/>
      <c r="D62" s="40"/>
      <c r="E62" s="41"/>
      <c r="F62" s="101"/>
      <c r="G62" s="129"/>
      <c r="H62" s="130">
        <f t="shared" si="4"/>
        <v>0</v>
      </c>
    </row>
    <row r="63" ht="14.25" customHeight="1">
      <c r="A63" s="27"/>
      <c r="B63" s="28"/>
      <c r="C63" s="117"/>
      <c r="D63" s="40"/>
      <c r="E63" s="41"/>
      <c r="F63" s="101"/>
      <c r="G63" s="129"/>
      <c r="H63" s="130">
        <f t="shared" si="4"/>
        <v>0</v>
      </c>
    </row>
    <row r="64" ht="14.25" customHeight="1">
      <c r="A64" s="29"/>
      <c r="B64" s="31"/>
      <c r="C64" s="108" t="s">
        <v>129</v>
      </c>
      <c r="D64" s="40"/>
      <c r="E64" s="40"/>
      <c r="F64" s="40"/>
      <c r="G64" s="41"/>
      <c r="H64" s="133">
        <f>SUM(H54:H63)</f>
        <v>19000000</v>
      </c>
    </row>
    <row r="65" ht="15.0" customHeight="1">
      <c r="A65" s="92" t="s">
        <v>140</v>
      </c>
      <c r="B65" s="26"/>
      <c r="C65" s="117" t="s">
        <v>141</v>
      </c>
      <c r="D65" s="40"/>
      <c r="E65" s="41"/>
      <c r="F65" s="101">
        <v>1.0</v>
      </c>
      <c r="G65" s="132">
        <v>1500000.0</v>
      </c>
      <c r="H65" s="130">
        <f t="shared" ref="H65:H74" si="5">F65*G65</f>
        <v>1500000</v>
      </c>
    </row>
    <row r="66" ht="14.25" customHeight="1">
      <c r="A66" s="27"/>
      <c r="B66" s="28"/>
      <c r="C66" s="117" t="s">
        <v>142</v>
      </c>
      <c r="D66" s="40"/>
      <c r="E66" s="41"/>
      <c r="F66" s="101">
        <v>1.0</v>
      </c>
      <c r="G66" s="129">
        <v>400000.0</v>
      </c>
      <c r="H66" s="130">
        <f t="shared" si="5"/>
        <v>400000</v>
      </c>
    </row>
    <row r="67" ht="14.25" customHeight="1">
      <c r="A67" s="27"/>
      <c r="B67" s="28"/>
      <c r="C67" s="117"/>
      <c r="D67" s="40"/>
      <c r="E67" s="41"/>
      <c r="F67" s="101"/>
      <c r="G67" s="129"/>
      <c r="H67" s="130">
        <f t="shared" si="5"/>
        <v>0</v>
      </c>
    </row>
    <row r="68" ht="14.25" customHeight="1">
      <c r="A68" s="27"/>
      <c r="B68" s="28"/>
      <c r="C68" s="117"/>
      <c r="D68" s="40"/>
      <c r="E68" s="41"/>
      <c r="F68" s="101"/>
      <c r="G68" s="129"/>
      <c r="H68" s="130">
        <f t="shared" si="5"/>
        <v>0</v>
      </c>
    </row>
    <row r="69" ht="14.25" customHeight="1">
      <c r="A69" s="27"/>
      <c r="B69" s="28"/>
      <c r="C69" s="117"/>
      <c r="D69" s="40"/>
      <c r="E69" s="41"/>
      <c r="F69" s="101"/>
      <c r="G69" s="129"/>
      <c r="H69" s="130">
        <f t="shared" si="5"/>
        <v>0</v>
      </c>
    </row>
    <row r="70" ht="14.25" customHeight="1">
      <c r="A70" s="27"/>
      <c r="B70" s="28"/>
      <c r="C70" s="117"/>
      <c r="D70" s="40"/>
      <c r="E70" s="41"/>
      <c r="F70" s="101"/>
      <c r="G70" s="129"/>
      <c r="H70" s="130">
        <f t="shared" si="5"/>
        <v>0</v>
      </c>
    </row>
    <row r="71" ht="14.25" customHeight="1">
      <c r="A71" s="27"/>
      <c r="B71" s="28"/>
      <c r="C71" s="117"/>
      <c r="D71" s="40"/>
      <c r="E71" s="41"/>
      <c r="F71" s="101"/>
      <c r="G71" s="129"/>
      <c r="H71" s="130">
        <f t="shared" si="5"/>
        <v>0</v>
      </c>
    </row>
    <row r="72" ht="14.25" customHeight="1">
      <c r="A72" s="27"/>
      <c r="B72" s="28"/>
      <c r="C72" s="117"/>
      <c r="D72" s="40"/>
      <c r="E72" s="41"/>
      <c r="F72" s="101"/>
      <c r="G72" s="129"/>
      <c r="H72" s="130">
        <f t="shared" si="5"/>
        <v>0</v>
      </c>
    </row>
    <row r="73" ht="14.25" customHeight="1">
      <c r="A73" s="27"/>
      <c r="B73" s="28"/>
      <c r="C73" s="117"/>
      <c r="D73" s="40"/>
      <c r="E73" s="41"/>
      <c r="F73" s="101"/>
      <c r="G73" s="129"/>
      <c r="H73" s="130">
        <f t="shared" si="5"/>
        <v>0</v>
      </c>
    </row>
    <row r="74" ht="14.25" customHeight="1">
      <c r="A74" s="27"/>
      <c r="B74" s="28"/>
      <c r="C74" s="117"/>
      <c r="D74" s="40"/>
      <c r="E74" s="41"/>
      <c r="F74" s="101"/>
      <c r="G74" s="129"/>
      <c r="H74" s="130">
        <f t="shared" si="5"/>
        <v>0</v>
      </c>
    </row>
    <row r="75" ht="14.25" customHeight="1">
      <c r="A75" s="29"/>
      <c r="B75" s="31"/>
      <c r="C75" s="108" t="s">
        <v>129</v>
      </c>
      <c r="D75" s="40"/>
      <c r="E75" s="40"/>
      <c r="F75" s="40"/>
      <c r="G75" s="41"/>
      <c r="H75" s="133">
        <f>SUM(H65:H74)</f>
        <v>1900000</v>
      </c>
    </row>
    <row r="76" ht="14.25" customHeight="1">
      <c r="A76" s="92" t="s">
        <v>143</v>
      </c>
      <c r="B76" s="26"/>
      <c r="C76" s="117"/>
      <c r="D76" s="40"/>
      <c r="E76" s="41"/>
      <c r="F76" s="101"/>
      <c r="G76" s="129"/>
      <c r="H76" s="130">
        <f t="shared" ref="H76:H78" si="6">F76*G76</f>
        <v>0</v>
      </c>
    </row>
    <row r="77" ht="14.25" customHeight="1">
      <c r="A77" s="27"/>
      <c r="B77" s="28"/>
      <c r="C77" s="117"/>
      <c r="D77" s="40"/>
      <c r="E77" s="41"/>
      <c r="F77" s="101"/>
      <c r="G77" s="129"/>
      <c r="H77" s="130">
        <f t="shared" si="6"/>
        <v>0</v>
      </c>
    </row>
    <row r="78" ht="14.25" customHeight="1">
      <c r="A78" s="27"/>
      <c r="B78" s="28"/>
      <c r="C78" s="117"/>
      <c r="D78" s="40"/>
      <c r="E78" s="41"/>
      <c r="F78" s="101"/>
      <c r="G78" s="129"/>
      <c r="H78" s="130">
        <f t="shared" si="6"/>
        <v>0</v>
      </c>
    </row>
    <row r="79" ht="14.25" customHeight="1">
      <c r="A79" s="29"/>
      <c r="B79" s="31"/>
      <c r="C79" s="108" t="s">
        <v>129</v>
      </c>
      <c r="D79" s="40"/>
      <c r="E79" s="40"/>
      <c r="F79" s="40"/>
      <c r="G79" s="41"/>
      <c r="H79" s="133">
        <f>SUM(H76:H78)</f>
        <v>0</v>
      </c>
    </row>
    <row r="80" ht="14.25" customHeight="1">
      <c r="A80" s="108" t="s">
        <v>144</v>
      </c>
      <c r="B80" s="40"/>
      <c r="C80" s="40"/>
      <c r="D80" s="40"/>
      <c r="E80" s="40"/>
      <c r="F80" s="40"/>
      <c r="G80" s="41"/>
      <c r="H80" s="133">
        <f>H79+H75+H64+H53+H42+H38</f>
        <v>225750000</v>
      </c>
    </row>
    <row r="81" ht="14.25" customHeight="1"/>
    <row r="82" ht="14.25" customHeight="1"/>
    <row r="83" ht="14.25" customHeight="1"/>
    <row r="84" ht="14.25" customHeight="1">
      <c r="A84" s="125" t="s">
        <v>97</v>
      </c>
      <c r="H84" s="126" t="s">
        <v>123</v>
      </c>
    </row>
    <row r="85" ht="14.25" customHeight="1">
      <c r="A85" s="125"/>
      <c r="B85" s="125"/>
    </row>
    <row r="86" ht="14.25" customHeight="1"/>
    <row r="87" ht="14.25" customHeight="1">
      <c r="A87" s="127" t="s">
        <v>125</v>
      </c>
      <c r="B87" s="40"/>
      <c r="C87" s="41"/>
      <c r="D87" s="128" t="s">
        <v>127</v>
      </c>
    </row>
    <row r="88" ht="14.25" customHeight="1">
      <c r="A88" s="135" t="s">
        <v>145</v>
      </c>
      <c r="B88" s="40"/>
      <c r="C88" s="41"/>
      <c r="D88" s="136">
        <v>1000000.0</v>
      </c>
    </row>
    <row r="89" ht="14.25" customHeight="1">
      <c r="A89" s="135" t="s">
        <v>146</v>
      </c>
      <c r="B89" s="40"/>
      <c r="C89" s="41"/>
      <c r="D89" s="136">
        <v>500000.0</v>
      </c>
    </row>
    <row r="90" ht="14.25" customHeight="1">
      <c r="A90" s="135" t="s">
        <v>147</v>
      </c>
      <c r="B90" s="40"/>
      <c r="C90" s="41"/>
      <c r="D90" s="136">
        <v>50000.0</v>
      </c>
    </row>
    <row r="91" ht="14.25" customHeight="1">
      <c r="A91" s="135" t="s">
        <v>148</v>
      </c>
      <c r="B91" s="40"/>
      <c r="C91" s="41"/>
      <c r="D91" s="136"/>
    </row>
    <row r="92" ht="14.25" customHeight="1">
      <c r="A92" s="135" t="s">
        <v>149</v>
      </c>
      <c r="B92" s="40"/>
      <c r="C92" s="41"/>
      <c r="D92" s="136"/>
    </row>
    <row r="93" ht="14.25" customHeight="1">
      <c r="A93" s="135" t="s">
        <v>150</v>
      </c>
      <c r="B93" s="40"/>
      <c r="C93" s="41"/>
      <c r="D93" s="136"/>
    </row>
    <row r="94" ht="14.25" customHeight="1">
      <c r="A94" s="135" t="s">
        <v>151</v>
      </c>
      <c r="B94" s="40"/>
      <c r="C94" s="41"/>
      <c r="D94" s="136"/>
    </row>
    <row r="95" ht="14.25" customHeight="1">
      <c r="A95" s="137" t="s">
        <v>152</v>
      </c>
      <c r="B95" s="40"/>
      <c r="C95" s="41"/>
      <c r="D95" s="130">
        <f>'Estudio de Mercados'!S40</f>
        <v>500000</v>
      </c>
    </row>
    <row r="96" ht="14.25" customHeight="1">
      <c r="A96" s="137" t="s">
        <v>153</v>
      </c>
      <c r="B96" s="40"/>
      <c r="C96" s="41"/>
      <c r="D96" s="130">
        <f>D97/5</f>
        <v>410000</v>
      </c>
    </row>
    <row r="97" ht="15.75" customHeight="1">
      <c r="A97" s="138" t="s">
        <v>154</v>
      </c>
      <c r="B97" s="40"/>
      <c r="C97" s="41"/>
      <c r="D97" s="139">
        <f>SUM(D88:D95)</f>
        <v>2050000</v>
      </c>
    </row>
    <row r="98" ht="15.75" customHeight="1"/>
    <row r="99" ht="14.25" customHeight="1"/>
    <row r="100" ht="14.25" customHeight="1"/>
    <row r="101" ht="14.25" customHeight="1">
      <c r="A101" s="125" t="s">
        <v>99</v>
      </c>
      <c r="H101" s="126" t="s">
        <v>123</v>
      </c>
    </row>
    <row r="102" ht="14.25" customHeight="1"/>
    <row r="103" ht="14.25" customHeight="1"/>
    <row r="104" ht="14.25" customHeight="1">
      <c r="A104" s="55" t="s">
        <v>99</v>
      </c>
      <c r="B104" s="56"/>
      <c r="C104" s="15"/>
      <c r="D104" s="140">
        <f>D97+H80+E291</f>
        <v>242527410.2</v>
      </c>
      <c r="E104" s="141" t="s">
        <v>155</v>
      </c>
    </row>
    <row r="105" ht="14.25" customHeight="1">
      <c r="A105" s="142" t="s">
        <v>156</v>
      </c>
      <c r="B105" s="56"/>
      <c r="C105" s="15"/>
      <c r="D105" s="143">
        <f>+D104</f>
        <v>242527410.2</v>
      </c>
      <c r="E105" s="144">
        <f t="shared" ref="E105:E106" si="7">D105/$D$104</f>
        <v>1</v>
      </c>
    </row>
    <row r="106" ht="14.25" customHeight="1">
      <c r="A106" s="142" t="s">
        <v>157</v>
      </c>
      <c r="B106" s="56"/>
      <c r="C106" s="15"/>
      <c r="D106" s="145" t="str">
        <f>D356</f>
        <v/>
      </c>
      <c r="E106" s="144">
        <f t="shared" si="7"/>
        <v>0</v>
      </c>
    </row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>
      <c r="A150" s="79" t="s">
        <v>158</v>
      </c>
    </row>
    <row r="151" ht="14.25" customHeight="1"/>
    <row r="152" ht="14.25" customHeight="1">
      <c r="A152" s="125" t="s">
        <v>94</v>
      </c>
      <c r="E152" s="146" t="s">
        <v>123</v>
      </c>
    </row>
    <row r="153" ht="14.25" customHeight="1">
      <c r="A153" s="125"/>
      <c r="B153" s="125"/>
    </row>
    <row r="154" ht="14.25" customHeight="1">
      <c r="A154" s="147" t="s">
        <v>159</v>
      </c>
      <c r="B154" s="40"/>
      <c r="C154" s="41"/>
      <c r="D154" s="148" t="s">
        <v>160</v>
      </c>
      <c r="E154" s="148" t="s">
        <v>161</v>
      </c>
    </row>
    <row r="155" ht="14.25" customHeight="1">
      <c r="A155" s="135" t="s">
        <v>162</v>
      </c>
      <c r="B155" s="40"/>
      <c r="C155" s="41"/>
      <c r="D155" s="130">
        <f>'Estudio Administrativo'!R35</f>
        <v>5121485.2</v>
      </c>
      <c r="E155" s="130">
        <f>'Estudio Administrativo'!T35</f>
        <v>61457822.4</v>
      </c>
    </row>
    <row r="156" ht="14.25" customHeight="1">
      <c r="A156" s="135" t="s">
        <v>163</v>
      </c>
      <c r="B156" s="40"/>
      <c r="C156" s="41"/>
      <c r="D156" s="130">
        <f>'Estudio Administrativo'!R49</f>
        <v>0</v>
      </c>
      <c r="E156" s="130">
        <f>'Estudio Administrativo'!T49</f>
        <v>0</v>
      </c>
    </row>
    <row r="157" ht="14.25" customHeight="1">
      <c r="A157" s="149" t="s">
        <v>85</v>
      </c>
      <c r="B157" s="40"/>
      <c r="C157" s="41"/>
      <c r="D157" s="150">
        <f t="shared" ref="D157:E157" si="8">SUM(D155:D156)</f>
        <v>5121485.2</v>
      </c>
      <c r="E157" s="150">
        <f t="shared" si="8"/>
        <v>61457822.4</v>
      </c>
    </row>
    <row r="158" ht="14.25" customHeight="1"/>
    <row r="159" ht="14.25" customHeight="1"/>
    <row r="160" ht="14.25" customHeight="1"/>
    <row r="161" ht="14.25" customHeight="1">
      <c r="A161" s="125" t="s">
        <v>98</v>
      </c>
      <c r="E161" s="146" t="s">
        <v>123</v>
      </c>
    </row>
    <row r="162" ht="14.25" customHeight="1"/>
    <row r="163" ht="14.25" customHeight="1"/>
    <row r="164" ht="14.25" customHeight="1">
      <c r="A164" s="147" t="s">
        <v>159</v>
      </c>
      <c r="B164" s="40"/>
      <c r="C164" s="41"/>
      <c r="D164" s="148" t="s">
        <v>164</v>
      </c>
      <c r="E164" s="148" t="s">
        <v>165</v>
      </c>
      <c r="O164" s="151"/>
      <c r="P164" s="151"/>
    </row>
    <row r="165" ht="14.25" customHeight="1">
      <c r="A165" s="135" t="s">
        <v>166</v>
      </c>
      <c r="B165" s="40"/>
      <c r="C165" s="41"/>
      <c r="D165" s="129">
        <v>80000.0</v>
      </c>
      <c r="E165" s="130">
        <f t="shared" ref="E165:E169" si="9">D165*12</f>
        <v>960000</v>
      </c>
    </row>
    <row r="166" ht="14.25" customHeight="1">
      <c r="A166" s="135" t="s">
        <v>167</v>
      </c>
      <c r="B166" s="40"/>
      <c r="C166" s="41"/>
      <c r="D166" s="132">
        <v>12000.0</v>
      </c>
      <c r="E166" s="130">
        <f t="shared" si="9"/>
        <v>144000</v>
      </c>
    </row>
    <row r="167" ht="14.25" customHeight="1">
      <c r="A167" s="135" t="s">
        <v>168</v>
      </c>
      <c r="B167" s="40"/>
      <c r="C167" s="41"/>
      <c r="D167" s="132">
        <v>80000.0</v>
      </c>
      <c r="E167" s="130">
        <f t="shared" si="9"/>
        <v>960000</v>
      </c>
    </row>
    <row r="168" ht="14.25" customHeight="1">
      <c r="A168" s="135" t="s">
        <v>169</v>
      </c>
      <c r="B168" s="40"/>
      <c r="C168" s="41"/>
      <c r="D168" s="132">
        <v>81500.0</v>
      </c>
      <c r="E168" s="130">
        <f t="shared" si="9"/>
        <v>978000</v>
      </c>
    </row>
    <row r="169" ht="14.25" customHeight="1">
      <c r="A169" s="135" t="s">
        <v>170</v>
      </c>
      <c r="B169" s="40"/>
      <c r="C169" s="41"/>
      <c r="D169" s="132">
        <v>1300000.0</v>
      </c>
      <c r="E169" s="130">
        <f t="shared" si="9"/>
        <v>15600000</v>
      </c>
    </row>
    <row r="170" ht="14.25" customHeight="1">
      <c r="A170" s="149" t="s">
        <v>85</v>
      </c>
      <c r="B170" s="40"/>
      <c r="C170" s="41"/>
      <c r="D170" s="150">
        <f t="shared" ref="D170:E170" si="10">SUM(D165:D169)</f>
        <v>1553500</v>
      </c>
      <c r="E170" s="150">
        <f t="shared" si="10"/>
        <v>18642000</v>
      </c>
    </row>
    <row r="171" ht="14.25" customHeight="1"/>
    <row r="172" ht="14.25" customHeight="1"/>
    <row r="173" ht="14.25" customHeight="1"/>
    <row r="174" ht="14.25" customHeight="1">
      <c r="A174" s="125" t="s">
        <v>100</v>
      </c>
      <c r="F174" s="146" t="s">
        <v>123</v>
      </c>
    </row>
    <row r="175" ht="14.25" customHeight="1"/>
    <row r="176" ht="14.25" customHeight="1"/>
    <row r="177" ht="14.25" customHeight="1">
      <c r="A177" s="127" t="s">
        <v>159</v>
      </c>
      <c r="B177" s="41"/>
      <c r="C177" s="152" t="s">
        <v>171</v>
      </c>
      <c r="D177" s="152" t="s">
        <v>172</v>
      </c>
      <c r="E177" s="152" t="s">
        <v>173</v>
      </c>
      <c r="F177" s="152" t="s">
        <v>174</v>
      </c>
    </row>
    <row r="178" ht="14.25" customHeight="1">
      <c r="A178" s="135" t="s">
        <v>130</v>
      </c>
      <c r="B178" s="41"/>
      <c r="C178" s="153">
        <v>20.0</v>
      </c>
      <c r="D178" s="130">
        <f>H42</f>
        <v>200000000</v>
      </c>
      <c r="E178" s="130">
        <f t="shared" ref="E178:E182" si="11">F178/12</f>
        <v>833333.3333</v>
      </c>
      <c r="F178" s="130">
        <f t="shared" ref="F178:F182" si="12">D178/C178</f>
        <v>10000000</v>
      </c>
    </row>
    <row r="179" ht="14.25" customHeight="1">
      <c r="A179" s="154" t="s">
        <v>134</v>
      </c>
      <c r="B179" s="154"/>
      <c r="C179" s="153">
        <v>10.0</v>
      </c>
      <c r="D179" s="130">
        <f>H53</f>
        <v>4850000</v>
      </c>
      <c r="E179" s="130">
        <f t="shared" si="11"/>
        <v>40416.66667</v>
      </c>
      <c r="F179" s="130">
        <f t="shared" si="12"/>
        <v>485000</v>
      </c>
    </row>
    <row r="180" ht="14.25" customHeight="1">
      <c r="A180" s="154" t="s">
        <v>136</v>
      </c>
      <c r="B180" s="154"/>
      <c r="C180" s="153">
        <v>5.0</v>
      </c>
      <c r="D180" s="130">
        <f>H64</f>
        <v>19000000</v>
      </c>
      <c r="E180" s="130">
        <f t="shared" si="11"/>
        <v>316666.6667</v>
      </c>
      <c r="F180" s="130">
        <f t="shared" si="12"/>
        <v>3800000</v>
      </c>
    </row>
    <row r="181" ht="14.25" customHeight="1">
      <c r="A181" s="154" t="s">
        <v>140</v>
      </c>
      <c r="B181" s="154"/>
      <c r="C181" s="153">
        <v>5.0</v>
      </c>
      <c r="D181" s="130">
        <f>H75</f>
        <v>1900000</v>
      </c>
      <c r="E181" s="130">
        <f t="shared" si="11"/>
        <v>31666.66667</v>
      </c>
      <c r="F181" s="130">
        <f t="shared" si="12"/>
        <v>380000</v>
      </c>
    </row>
    <row r="182" ht="14.25" customHeight="1">
      <c r="A182" s="135" t="s">
        <v>143</v>
      </c>
      <c r="B182" s="41"/>
      <c r="C182" s="153">
        <v>5.0</v>
      </c>
      <c r="D182" s="130">
        <f>H79</f>
        <v>0</v>
      </c>
      <c r="E182" s="130">
        <f t="shared" si="11"/>
        <v>0</v>
      </c>
      <c r="F182" s="130">
        <f t="shared" si="12"/>
        <v>0</v>
      </c>
    </row>
    <row r="183" ht="14.25" customHeight="1">
      <c r="A183" s="149" t="s">
        <v>85</v>
      </c>
      <c r="B183" s="40"/>
      <c r="C183" s="40"/>
      <c r="D183" s="41"/>
      <c r="E183" s="150">
        <f t="shared" ref="E183:F183" si="13">SUM(E178:E182)</f>
        <v>1222083.333</v>
      </c>
      <c r="F183" s="150">
        <f t="shared" si="13"/>
        <v>14665000</v>
      </c>
    </row>
    <row r="184" ht="14.25" customHeight="1"/>
    <row r="185" ht="14.25" customHeight="1"/>
    <row r="186" ht="14.25" customHeight="1"/>
    <row r="187" ht="14.25" customHeight="1">
      <c r="A187" s="125" t="s">
        <v>102</v>
      </c>
      <c r="I187" s="146" t="s">
        <v>123</v>
      </c>
    </row>
    <row r="188" ht="14.25" customHeight="1"/>
    <row r="189" ht="14.25" customHeight="1"/>
    <row r="190" ht="41.25" customHeight="1">
      <c r="A190" s="127" t="s">
        <v>159</v>
      </c>
      <c r="B190" s="40"/>
      <c r="C190" s="41"/>
      <c r="D190" s="152" t="s">
        <v>69</v>
      </c>
      <c r="E190" s="113" t="s">
        <v>175</v>
      </c>
      <c r="F190" s="152" t="s">
        <v>176</v>
      </c>
      <c r="G190" s="152" t="s">
        <v>177</v>
      </c>
      <c r="H190" s="152" t="s">
        <v>178</v>
      </c>
      <c r="I190" s="152" t="s">
        <v>179</v>
      </c>
    </row>
    <row r="191" ht="14.25" customHeight="1">
      <c r="A191" s="155" t="s">
        <v>180</v>
      </c>
      <c r="B191" s="40"/>
      <c r="C191" s="41"/>
      <c r="D191" s="156">
        <f>D482</f>
        <v>101.4166667</v>
      </c>
      <c r="E191" s="157">
        <v>25000.0</v>
      </c>
      <c r="F191" s="158">
        <f t="shared" ref="F191:F200" si="14">D191/$D$482</f>
        <v>1</v>
      </c>
      <c r="G191" s="159">
        <f t="shared" ref="G191:G200" si="15">E191*F191</f>
        <v>25000</v>
      </c>
      <c r="H191" s="130">
        <f t="shared" ref="H191:H200" si="16">D191*E191</f>
        <v>2535416.667</v>
      </c>
      <c r="I191" s="160">
        <f t="shared" ref="I191:I200" si="17">H191*12</f>
        <v>30425000</v>
      </c>
    </row>
    <row r="192" ht="14.25" customHeight="1">
      <c r="A192" s="155" t="s">
        <v>181</v>
      </c>
      <c r="B192" s="40"/>
      <c r="C192" s="41"/>
      <c r="D192" s="161">
        <v>1.0</v>
      </c>
      <c r="E192" s="157">
        <v>40000.0</v>
      </c>
      <c r="F192" s="158">
        <f t="shared" si="14"/>
        <v>0.009860312243</v>
      </c>
      <c r="G192" s="159">
        <f t="shared" si="15"/>
        <v>394.4124897</v>
      </c>
      <c r="H192" s="130">
        <f t="shared" si="16"/>
        <v>40000</v>
      </c>
      <c r="I192" s="160">
        <f t="shared" si="17"/>
        <v>480000</v>
      </c>
    </row>
    <row r="193" ht="14.25" customHeight="1">
      <c r="A193" s="162"/>
      <c r="B193" s="40"/>
      <c r="C193" s="41"/>
      <c r="D193" s="161"/>
      <c r="E193" s="163"/>
      <c r="F193" s="158">
        <f t="shared" si="14"/>
        <v>0</v>
      </c>
      <c r="G193" s="159">
        <f t="shared" si="15"/>
        <v>0</v>
      </c>
      <c r="H193" s="130">
        <f t="shared" si="16"/>
        <v>0</v>
      </c>
      <c r="I193" s="160">
        <f t="shared" si="17"/>
        <v>0</v>
      </c>
    </row>
    <row r="194" ht="14.25" customHeight="1">
      <c r="A194" s="155"/>
      <c r="B194" s="40"/>
      <c r="C194" s="41"/>
      <c r="D194" s="161"/>
      <c r="E194" s="157"/>
      <c r="F194" s="158">
        <f t="shared" si="14"/>
        <v>0</v>
      </c>
      <c r="G194" s="159">
        <f t="shared" si="15"/>
        <v>0</v>
      </c>
      <c r="H194" s="130">
        <f t="shared" si="16"/>
        <v>0</v>
      </c>
      <c r="I194" s="160">
        <f t="shared" si="17"/>
        <v>0</v>
      </c>
    </row>
    <row r="195" ht="14.25" customHeight="1">
      <c r="A195" s="155"/>
      <c r="B195" s="40"/>
      <c r="C195" s="41"/>
      <c r="D195" s="161"/>
      <c r="E195" s="157"/>
      <c r="F195" s="158">
        <f t="shared" si="14"/>
        <v>0</v>
      </c>
      <c r="G195" s="159">
        <f t="shared" si="15"/>
        <v>0</v>
      </c>
      <c r="H195" s="130">
        <f t="shared" si="16"/>
        <v>0</v>
      </c>
      <c r="I195" s="160">
        <f t="shared" si="17"/>
        <v>0</v>
      </c>
    </row>
    <row r="196" ht="14.25" customHeight="1">
      <c r="A196" s="155"/>
      <c r="B196" s="40"/>
      <c r="C196" s="41"/>
      <c r="D196" s="161"/>
      <c r="E196" s="157"/>
      <c r="F196" s="158">
        <f t="shared" si="14"/>
        <v>0</v>
      </c>
      <c r="G196" s="159">
        <f t="shared" si="15"/>
        <v>0</v>
      </c>
      <c r="H196" s="130">
        <f t="shared" si="16"/>
        <v>0</v>
      </c>
      <c r="I196" s="160">
        <f t="shared" si="17"/>
        <v>0</v>
      </c>
    </row>
    <row r="197" ht="14.25" customHeight="1">
      <c r="A197" s="155"/>
      <c r="B197" s="40"/>
      <c r="C197" s="41"/>
      <c r="D197" s="161"/>
      <c r="E197" s="157"/>
      <c r="F197" s="158">
        <f t="shared" si="14"/>
        <v>0</v>
      </c>
      <c r="G197" s="159">
        <f t="shared" si="15"/>
        <v>0</v>
      </c>
      <c r="H197" s="130">
        <f t="shared" si="16"/>
        <v>0</v>
      </c>
      <c r="I197" s="160">
        <f t="shared" si="17"/>
        <v>0</v>
      </c>
    </row>
    <row r="198" ht="14.25" customHeight="1">
      <c r="A198" s="155"/>
      <c r="B198" s="40"/>
      <c r="C198" s="41"/>
      <c r="D198" s="161"/>
      <c r="E198" s="157"/>
      <c r="F198" s="158">
        <f t="shared" si="14"/>
        <v>0</v>
      </c>
      <c r="G198" s="159">
        <f t="shared" si="15"/>
        <v>0</v>
      </c>
      <c r="H198" s="130">
        <f t="shared" si="16"/>
        <v>0</v>
      </c>
      <c r="I198" s="160">
        <f t="shared" si="17"/>
        <v>0</v>
      </c>
    </row>
    <row r="199" ht="14.25" customHeight="1">
      <c r="A199" s="155"/>
      <c r="B199" s="40"/>
      <c r="C199" s="41"/>
      <c r="D199" s="161"/>
      <c r="E199" s="157"/>
      <c r="F199" s="158">
        <f t="shared" si="14"/>
        <v>0</v>
      </c>
      <c r="G199" s="159">
        <f t="shared" si="15"/>
        <v>0</v>
      </c>
      <c r="H199" s="130">
        <f t="shared" si="16"/>
        <v>0</v>
      </c>
      <c r="I199" s="160">
        <f t="shared" si="17"/>
        <v>0</v>
      </c>
    </row>
    <row r="200" ht="14.25" customHeight="1">
      <c r="A200" s="155"/>
      <c r="B200" s="40"/>
      <c r="C200" s="41"/>
      <c r="D200" s="161"/>
      <c r="E200" s="157"/>
      <c r="F200" s="158">
        <f t="shared" si="14"/>
        <v>0</v>
      </c>
      <c r="G200" s="159">
        <f t="shared" si="15"/>
        <v>0</v>
      </c>
      <c r="H200" s="130">
        <f t="shared" si="16"/>
        <v>0</v>
      </c>
      <c r="I200" s="160">
        <f t="shared" si="17"/>
        <v>0</v>
      </c>
    </row>
    <row r="201" ht="14.25" customHeight="1">
      <c r="A201" s="108" t="s">
        <v>85</v>
      </c>
      <c r="B201" s="40"/>
      <c r="C201" s="40"/>
      <c r="D201" s="40"/>
      <c r="E201" s="40"/>
      <c r="F201" s="41"/>
      <c r="G201" s="164">
        <f t="shared" ref="G201:I201" si="18">SUM(G191:G200)</f>
        <v>25394.41249</v>
      </c>
      <c r="H201" s="165">
        <f t="shared" si="18"/>
        <v>2575416.667</v>
      </c>
      <c r="I201" s="150">
        <f t="shared" si="18"/>
        <v>30905000</v>
      </c>
    </row>
    <row r="202" ht="14.25" customHeight="1">
      <c r="A202" s="38"/>
      <c r="B202" s="38"/>
      <c r="C202" s="52"/>
      <c r="G202" s="120"/>
      <c r="H202" s="120"/>
      <c r="I202" s="120"/>
    </row>
    <row r="203" ht="14.25" customHeight="1">
      <c r="A203" s="38"/>
      <c r="B203" s="38"/>
      <c r="C203" s="52"/>
      <c r="D203" s="120"/>
      <c r="E203" s="120"/>
      <c r="F203" s="120"/>
    </row>
    <row r="204" ht="14.25" customHeight="1">
      <c r="A204" s="38"/>
      <c r="B204" s="38"/>
      <c r="C204" s="52"/>
      <c r="D204" s="120"/>
      <c r="E204" s="120"/>
      <c r="F204" s="120"/>
    </row>
    <row r="205" ht="14.25" customHeight="1">
      <c r="A205" s="125" t="s">
        <v>104</v>
      </c>
      <c r="D205" s="120"/>
      <c r="E205" s="120"/>
      <c r="F205" s="146" t="s">
        <v>123</v>
      </c>
    </row>
    <row r="206" ht="14.25" customHeight="1">
      <c r="A206" s="125"/>
      <c r="B206" s="125"/>
      <c r="C206" s="125"/>
      <c r="D206" s="120"/>
      <c r="E206" s="120"/>
      <c r="F206" s="120"/>
    </row>
    <row r="207" ht="14.25" customHeight="1">
      <c r="A207" s="125"/>
      <c r="B207" s="125"/>
      <c r="C207" s="125"/>
      <c r="D207" s="120"/>
      <c r="E207" s="120"/>
      <c r="F207" s="120"/>
    </row>
    <row r="208" ht="14.25" customHeight="1">
      <c r="A208" s="127" t="s">
        <v>159</v>
      </c>
      <c r="B208" s="40"/>
      <c r="C208" s="40"/>
      <c r="D208" s="41"/>
      <c r="E208" s="152" t="s">
        <v>160</v>
      </c>
      <c r="F208" s="152" t="s">
        <v>161</v>
      </c>
    </row>
    <row r="209" ht="14.25" customHeight="1">
      <c r="A209" s="135" t="s">
        <v>182</v>
      </c>
      <c r="B209" s="40"/>
      <c r="C209" s="40"/>
      <c r="D209" s="166">
        <v>0.05</v>
      </c>
      <c r="E209" s="130">
        <f t="shared" ref="E209:E211" si="19">F209/12</f>
        <v>20208.33333</v>
      </c>
      <c r="F209" s="130">
        <f>D209*D179</f>
        <v>242500</v>
      </c>
    </row>
    <row r="210" ht="14.25" customHeight="1">
      <c r="A210" s="135" t="s">
        <v>183</v>
      </c>
      <c r="B210" s="40"/>
      <c r="C210" s="40"/>
      <c r="D210" s="167">
        <v>0.013</v>
      </c>
      <c r="E210" s="130">
        <f t="shared" si="19"/>
        <v>237250</v>
      </c>
      <c r="F210" s="130">
        <f>((D178*F229)+(D179*F230)+(D180*F231)+(D181*F232)+(D182*F233))*D210</f>
        <v>2847000</v>
      </c>
    </row>
    <row r="211" ht="14.25" customHeight="1">
      <c r="A211" s="135" t="s">
        <v>184</v>
      </c>
      <c r="B211" s="40"/>
      <c r="C211" s="40"/>
      <c r="D211" s="41"/>
      <c r="E211" s="130">
        <f t="shared" si="19"/>
        <v>1150000</v>
      </c>
      <c r="F211" s="130">
        <f>H234</f>
        <v>13800000</v>
      </c>
    </row>
    <row r="212" ht="14.25" customHeight="1">
      <c r="A212" s="135" t="s">
        <v>185</v>
      </c>
      <c r="B212" s="40"/>
      <c r="C212" s="40"/>
      <c r="D212" s="41"/>
      <c r="E212" s="130">
        <f>H228-H227</f>
        <v>253500</v>
      </c>
      <c r="F212" s="130">
        <f t="shared" ref="F212:F213" si="20">E212*12</f>
        <v>3042000</v>
      </c>
    </row>
    <row r="213" ht="14.25" customHeight="1">
      <c r="A213" s="135" t="s">
        <v>170</v>
      </c>
      <c r="B213" s="40"/>
      <c r="C213" s="40"/>
      <c r="D213" s="41"/>
      <c r="E213" s="130">
        <f>H227</f>
        <v>1300000</v>
      </c>
      <c r="F213" s="130">
        <f t="shared" si="20"/>
        <v>15600000</v>
      </c>
    </row>
    <row r="214" ht="14.25" customHeight="1">
      <c r="A214" s="135" t="s">
        <v>186</v>
      </c>
      <c r="B214" s="40"/>
      <c r="C214" s="40"/>
      <c r="D214" s="41"/>
      <c r="E214" s="136"/>
      <c r="F214" s="136"/>
    </row>
    <row r="215" ht="14.25" customHeight="1">
      <c r="A215" s="108" t="s">
        <v>85</v>
      </c>
      <c r="B215" s="40"/>
      <c r="C215" s="40"/>
      <c r="D215" s="41"/>
      <c r="E215" s="165">
        <f t="shared" ref="E215:F215" si="21">SUM(E209:E214)</f>
        <v>2960958.333</v>
      </c>
      <c r="F215" s="168">
        <f t="shared" si="21"/>
        <v>35531500</v>
      </c>
    </row>
    <row r="216" ht="14.25" customHeight="1">
      <c r="A216" s="125"/>
      <c r="B216" s="125"/>
      <c r="C216" s="125"/>
      <c r="D216" s="120"/>
      <c r="E216" s="120"/>
      <c r="F216" s="120"/>
    </row>
    <row r="217" ht="14.25" customHeight="1">
      <c r="A217" s="125"/>
      <c r="B217" s="125"/>
      <c r="C217" s="125"/>
      <c r="D217" s="120"/>
      <c r="E217" s="120"/>
      <c r="F217" s="120"/>
    </row>
    <row r="218" ht="14.25" customHeight="1">
      <c r="A218" s="125"/>
      <c r="B218" s="125"/>
      <c r="C218" s="125"/>
      <c r="D218" s="120"/>
      <c r="E218" s="120"/>
      <c r="F218" s="120"/>
    </row>
    <row r="219" ht="14.25" customHeight="1">
      <c r="A219" s="169" t="str">
        <f>UPPER("Prorrateo de costos y gastos")</f>
        <v>PRORRATEO DE COSTOS Y GASTOS</v>
      </c>
      <c r="F219" s="151"/>
      <c r="G219" s="151"/>
      <c r="I219" s="146" t="s">
        <v>123</v>
      </c>
    </row>
    <row r="220" ht="14.25" customHeight="1">
      <c r="A220" s="151"/>
      <c r="B220" s="151"/>
      <c r="C220" s="151"/>
      <c r="F220" s="151"/>
      <c r="G220" s="151"/>
    </row>
    <row r="221" ht="18.75" customHeight="1">
      <c r="F221" s="170" t="s">
        <v>187</v>
      </c>
      <c r="G221" s="41"/>
      <c r="H221" s="127" t="s">
        <v>188</v>
      </c>
      <c r="I221" s="41"/>
    </row>
    <row r="222" ht="14.25" customHeight="1">
      <c r="A222" s="127" t="s">
        <v>159</v>
      </c>
      <c r="B222" s="40"/>
      <c r="C222" s="41"/>
      <c r="D222" s="152" t="s">
        <v>160</v>
      </c>
      <c r="E222" s="152" t="s">
        <v>161</v>
      </c>
      <c r="F222" s="152" t="s">
        <v>189</v>
      </c>
      <c r="G222" s="113" t="s">
        <v>190</v>
      </c>
      <c r="H222" s="152" t="s">
        <v>189</v>
      </c>
      <c r="I222" s="152" t="s">
        <v>190</v>
      </c>
    </row>
    <row r="223" ht="15.0" customHeight="1">
      <c r="A223" s="84" t="s">
        <v>191</v>
      </c>
      <c r="B223" s="135" t="s">
        <v>166</v>
      </c>
      <c r="C223" s="41"/>
      <c r="D223" s="130">
        <f t="shared" ref="D223:E223" si="22">D165</f>
        <v>80000</v>
      </c>
      <c r="E223" s="130">
        <f t="shared" si="22"/>
        <v>960000</v>
      </c>
      <c r="F223" s="171">
        <v>1.0</v>
      </c>
      <c r="G223" s="172">
        <f t="shared" ref="G223:G227" si="24">1-F223</f>
        <v>0</v>
      </c>
      <c r="H223" s="130">
        <f t="shared" ref="H223:H227" si="25">F223*D223</f>
        <v>80000</v>
      </c>
      <c r="I223" s="130">
        <f t="shared" ref="I223:I227" si="26">D223*G223</f>
        <v>0</v>
      </c>
    </row>
    <row r="224" ht="14.25" customHeight="1">
      <c r="A224" s="93"/>
      <c r="B224" s="135" t="s">
        <v>167</v>
      </c>
      <c r="C224" s="41"/>
      <c r="D224" s="130">
        <f t="shared" ref="D224:E224" si="23">D166</f>
        <v>12000</v>
      </c>
      <c r="E224" s="130">
        <f t="shared" si="23"/>
        <v>144000</v>
      </c>
      <c r="F224" s="171">
        <v>1.0</v>
      </c>
      <c r="G224" s="172">
        <f t="shared" si="24"/>
        <v>0</v>
      </c>
      <c r="H224" s="130">
        <f t="shared" si="25"/>
        <v>12000</v>
      </c>
      <c r="I224" s="130">
        <f t="shared" si="26"/>
        <v>0</v>
      </c>
    </row>
    <row r="225" ht="14.25" customHeight="1">
      <c r="A225" s="93"/>
      <c r="B225" s="135" t="s">
        <v>168</v>
      </c>
      <c r="C225" s="41"/>
      <c r="D225" s="130">
        <f t="shared" ref="D225:E225" si="27">D167</f>
        <v>80000</v>
      </c>
      <c r="E225" s="130">
        <f t="shared" si="27"/>
        <v>960000</v>
      </c>
      <c r="F225" s="171">
        <v>1.0</v>
      </c>
      <c r="G225" s="172">
        <f t="shared" si="24"/>
        <v>0</v>
      </c>
      <c r="H225" s="130">
        <f t="shared" si="25"/>
        <v>80000</v>
      </c>
      <c r="I225" s="130">
        <f t="shared" si="26"/>
        <v>0</v>
      </c>
    </row>
    <row r="226" ht="14.25" customHeight="1">
      <c r="A226" s="93"/>
      <c r="B226" s="135" t="s">
        <v>169</v>
      </c>
      <c r="C226" s="41"/>
      <c r="D226" s="130">
        <f t="shared" ref="D226:E226" si="28">D168</f>
        <v>81500</v>
      </c>
      <c r="E226" s="130">
        <f t="shared" si="28"/>
        <v>978000</v>
      </c>
      <c r="F226" s="171">
        <v>1.0</v>
      </c>
      <c r="G226" s="172">
        <f t="shared" si="24"/>
        <v>0</v>
      </c>
      <c r="H226" s="130">
        <f t="shared" si="25"/>
        <v>81500</v>
      </c>
      <c r="I226" s="130">
        <f t="shared" si="26"/>
        <v>0</v>
      </c>
    </row>
    <row r="227" ht="14.25" customHeight="1">
      <c r="A227" s="93"/>
      <c r="B227" s="135" t="s">
        <v>170</v>
      </c>
      <c r="C227" s="41"/>
      <c r="D227" s="130">
        <f t="shared" ref="D227:E227" si="29">D169</f>
        <v>1300000</v>
      </c>
      <c r="E227" s="130">
        <f t="shared" si="29"/>
        <v>15600000</v>
      </c>
      <c r="F227" s="171">
        <v>1.0</v>
      </c>
      <c r="G227" s="172">
        <f t="shared" si="24"/>
        <v>0</v>
      </c>
      <c r="H227" s="130">
        <f t="shared" si="25"/>
        <v>1300000</v>
      </c>
      <c r="I227" s="130">
        <f t="shared" si="26"/>
        <v>0</v>
      </c>
    </row>
    <row r="228" ht="14.25" customHeight="1">
      <c r="A228" s="107"/>
      <c r="B228" s="108" t="s">
        <v>85</v>
      </c>
      <c r="C228" s="40"/>
      <c r="D228" s="40"/>
      <c r="E228" s="40"/>
      <c r="F228" s="40"/>
      <c r="G228" s="41"/>
      <c r="H228" s="133">
        <f t="shared" ref="H228:I228" si="30">SUM(H223:H227)</f>
        <v>1553500</v>
      </c>
      <c r="I228" s="133">
        <f t="shared" si="30"/>
        <v>0</v>
      </c>
    </row>
    <row r="229" ht="14.25" customHeight="1">
      <c r="A229" s="84" t="s">
        <v>100</v>
      </c>
      <c r="B229" s="135" t="str">
        <f t="shared" ref="B229:B233" si="31">A178</f>
        <v>Construcciones</v>
      </c>
      <c r="C229" s="40"/>
      <c r="D229" s="41"/>
      <c r="E229" s="130">
        <f t="shared" ref="E229:E233" si="32">F178</f>
        <v>10000000</v>
      </c>
      <c r="F229" s="171">
        <v>1.0</v>
      </c>
      <c r="G229" s="172">
        <f t="shared" ref="G229:G233" si="33">1-F229</f>
        <v>0</v>
      </c>
      <c r="H229" s="130">
        <f t="shared" ref="H229:H233" si="34">F229*F178</f>
        <v>10000000</v>
      </c>
      <c r="I229" s="130">
        <f t="shared" ref="I229:I233" si="35">F178*G229</f>
        <v>0</v>
      </c>
    </row>
    <row r="230" ht="14.25" customHeight="1">
      <c r="A230" s="93"/>
      <c r="B230" s="135" t="str">
        <f t="shared" si="31"/>
        <v>Maquinaria y equipos</v>
      </c>
      <c r="C230" s="40"/>
      <c r="D230" s="41"/>
      <c r="E230" s="130">
        <f t="shared" si="32"/>
        <v>485000</v>
      </c>
      <c r="F230" s="171">
        <v>0.0</v>
      </c>
      <c r="G230" s="172">
        <f t="shared" si="33"/>
        <v>1</v>
      </c>
      <c r="H230" s="130">
        <f t="shared" si="34"/>
        <v>0</v>
      </c>
      <c r="I230" s="130">
        <f t="shared" si="35"/>
        <v>485000</v>
      </c>
    </row>
    <row r="231" ht="14.25" customHeight="1">
      <c r="A231" s="93"/>
      <c r="B231" s="135" t="str">
        <f t="shared" si="31"/>
        <v>Muebles y enseres</v>
      </c>
      <c r="C231" s="40"/>
      <c r="D231" s="41"/>
      <c r="E231" s="130">
        <f t="shared" si="32"/>
        <v>3800000</v>
      </c>
      <c r="F231" s="173">
        <v>1.0</v>
      </c>
      <c r="G231" s="172">
        <f t="shared" si="33"/>
        <v>0</v>
      </c>
      <c r="H231" s="130">
        <f t="shared" si="34"/>
        <v>3800000</v>
      </c>
      <c r="I231" s="130">
        <f t="shared" si="35"/>
        <v>0</v>
      </c>
    </row>
    <row r="232" ht="14.25" customHeight="1">
      <c r="A232" s="93"/>
      <c r="B232" s="135" t="str">
        <f t="shared" si="31"/>
        <v>Equipos de oficina</v>
      </c>
      <c r="C232" s="40"/>
      <c r="D232" s="41"/>
      <c r="E232" s="130">
        <f t="shared" si="32"/>
        <v>380000</v>
      </c>
      <c r="F232" s="171"/>
      <c r="G232" s="172">
        <f t="shared" si="33"/>
        <v>1</v>
      </c>
      <c r="H232" s="130">
        <f t="shared" si="34"/>
        <v>0</v>
      </c>
      <c r="I232" s="130">
        <f t="shared" si="35"/>
        <v>380000</v>
      </c>
    </row>
    <row r="233" ht="14.25" customHeight="1">
      <c r="A233" s="93"/>
      <c r="B233" s="135" t="str">
        <f t="shared" si="31"/>
        <v>Vehículos</v>
      </c>
      <c r="C233" s="40"/>
      <c r="D233" s="41"/>
      <c r="E233" s="130">
        <f t="shared" si="32"/>
        <v>0</v>
      </c>
      <c r="F233" s="171"/>
      <c r="G233" s="172">
        <f t="shared" si="33"/>
        <v>1</v>
      </c>
      <c r="H233" s="130">
        <f t="shared" si="34"/>
        <v>0</v>
      </c>
      <c r="I233" s="130">
        <f t="shared" si="35"/>
        <v>0</v>
      </c>
    </row>
    <row r="234" ht="14.25" customHeight="1">
      <c r="A234" s="107"/>
      <c r="B234" s="108" t="s">
        <v>85</v>
      </c>
      <c r="C234" s="40"/>
      <c r="D234" s="40"/>
      <c r="E234" s="40"/>
      <c r="F234" s="40"/>
      <c r="G234" s="41"/>
      <c r="H234" s="133">
        <f t="shared" ref="H234:I234" si="36">SUM(H229:H233)</f>
        <v>13800000</v>
      </c>
      <c r="I234" s="133">
        <f t="shared" si="36"/>
        <v>865000</v>
      </c>
    </row>
    <row r="235" ht="14.25" customHeight="1">
      <c r="A235" s="174"/>
      <c r="B235" s="38"/>
      <c r="C235" s="52"/>
      <c r="D235" s="120"/>
      <c r="E235" s="120"/>
      <c r="F235" s="120"/>
    </row>
    <row r="236" ht="14.25" customHeight="1">
      <c r="A236" s="174"/>
      <c r="B236" s="38"/>
      <c r="C236" s="52"/>
      <c r="D236" s="120"/>
      <c r="E236" s="120"/>
      <c r="F236" s="120"/>
    </row>
    <row r="237" ht="14.25" customHeight="1">
      <c r="A237" s="174"/>
      <c r="B237" s="38"/>
      <c r="C237" s="52"/>
      <c r="D237" s="120"/>
      <c r="E237" s="120"/>
      <c r="F237" s="120"/>
    </row>
    <row r="238" ht="14.25" customHeight="1">
      <c r="A238" s="169" t="s">
        <v>108</v>
      </c>
      <c r="D238" s="120"/>
      <c r="E238" s="146" t="s">
        <v>123</v>
      </c>
      <c r="F238" s="120"/>
    </row>
    <row r="239" ht="14.25" customHeight="1">
      <c r="A239" s="174"/>
      <c r="B239" s="38"/>
      <c r="C239" s="52"/>
      <c r="D239" s="120"/>
      <c r="E239" s="120"/>
      <c r="F239" s="120"/>
    </row>
    <row r="240" ht="14.25" customHeight="1"/>
    <row r="241" ht="14.25" customHeight="1">
      <c r="A241" s="127" t="s">
        <v>159</v>
      </c>
      <c r="B241" s="40"/>
      <c r="C241" s="41"/>
      <c r="D241" s="152" t="s">
        <v>160</v>
      </c>
      <c r="E241" s="152" t="s">
        <v>161</v>
      </c>
    </row>
    <row r="242" ht="14.25" customHeight="1">
      <c r="A242" s="135" t="s">
        <v>192</v>
      </c>
      <c r="B242" s="40"/>
      <c r="C242" s="41"/>
      <c r="D242" s="103">
        <f t="shared" ref="D242:E242" si="37">D155</f>
        <v>5121485.2</v>
      </c>
      <c r="E242" s="103">
        <f t="shared" si="37"/>
        <v>61457822.4</v>
      </c>
    </row>
    <row r="243" ht="14.25" customHeight="1">
      <c r="A243" s="135" t="s">
        <v>193</v>
      </c>
      <c r="B243" s="40"/>
      <c r="C243" s="41"/>
      <c r="D243" s="103">
        <f t="shared" ref="D243:E243" si="38">H201</f>
        <v>2575416.667</v>
      </c>
      <c r="E243" s="103">
        <f t="shared" si="38"/>
        <v>30905000</v>
      </c>
    </row>
    <row r="244" ht="14.25" customHeight="1">
      <c r="A244" s="135" t="s">
        <v>194</v>
      </c>
      <c r="B244" s="40"/>
      <c r="C244" s="41"/>
      <c r="D244" s="103">
        <f t="shared" ref="D244:E244" si="39">E215</f>
        <v>2960958.333</v>
      </c>
      <c r="E244" s="103">
        <f t="shared" si="39"/>
        <v>35531500</v>
      </c>
    </row>
    <row r="245" ht="14.25" customHeight="1">
      <c r="A245" s="108" t="s">
        <v>85</v>
      </c>
      <c r="B245" s="40"/>
      <c r="C245" s="41"/>
      <c r="D245" s="175">
        <f t="shared" ref="D245:E245" si="40">SUM(D242:D244)</f>
        <v>10657860.2</v>
      </c>
      <c r="E245" s="175">
        <f t="shared" si="40"/>
        <v>127894322.4</v>
      </c>
    </row>
    <row r="246" ht="14.25" customHeight="1"/>
    <row r="247" ht="14.25" customHeight="1"/>
    <row r="248" ht="14.25" customHeight="1"/>
    <row r="249" ht="14.25" customHeight="1">
      <c r="A249" s="169" t="s">
        <v>110</v>
      </c>
      <c r="E249" s="146" t="s">
        <v>123</v>
      </c>
    </row>
    <row r="250" ht="14.25" customHeight="1"/>
    <row r="251" ht="14.25" customHeight="1"/>
    <row r="252" ht="14.25" customHeight="1">
      <c r="A252" s="127" t="s">
        <v>159</v>
      </c>
      <c r="B252" s="40"/>
      <c r="C252" s="41"/>
      <c r="D252" s="152" t="s">
        <v>160</v>
      </c>
      <c r="E252" s="152" t="s">
        <v>161</v>
      </c>
    </row>
    <row r="253" ht="15.0" customHeight="1">
      <c r="A253" s="135" t="s">
        <v>182</v>
      </c>
      <c r="B253" s="41"/>
      <c r="C253" s="166">
        <v>0.05</v>
      </c>
      <c r="D253" s="176">
        <f t="shared" ref="D253:D255" si="41">E253/12</f>
        <v>7916.666667</v>
      </c>
      <c r="E253" s="176">
        <f>C253*D181</f>
        <v>95000</v>
      </c>
    </row>
    <row r="254" ht="15.0" customHeight="1">
      <c r="A254" s="135" t="s">
        <v>183</v>
      </c>
      <c r="B254" s="41"/>
      <c r="C254" s="167"/>
      <c r="D254" s="176">
        <f t="shared" si="41"/>
        <v>0</v>
      </c>
      <c r="E254" s="176">
        <f>((D178*G229)+(D179*G230)+(D180*G231)+(D181*G232)+(D182*G233))*C254</f>
        <v>0</v>
      </c>
    </row>
    <row r="255" ht="15.0" customHeight="1">
      <c r="A255" s="135" t="s">
        <v>184</v>
      </c>
      <c r="B255" s="40"/>
      <c r="C255" s="41"/>
      <c r="D255" s="176">
        <f t="shared" si="41"/>
        <v>72083.33333</v>
      </c>
      <c r="E255" s="176">
        <f>I234</f>
        <v>865000</v>
      </c>
    </row>
    <row r="256" ht="15.0" customHeight="1">
      <c r="A256" s="135" t="s">
        <v>185</v>
      </c>
      <c r="B256" s="40"/>
      <c r="C256" s="41"/>
      <c r="D256" s="176">
        <f>SUM(I223:I226)</f>
        <v>0</v>
      </c>
      <c r="E256" s="176">
        <f t="shared" ref="E256:E261" si="42">D256*12</f>
        <v>0</v>
      </c>
    </row>
    <row r="257" ht="15.0" customHeight="1">
      <c r="A257" s="135" t="s">
        <v>170</v>
      </c>
      <c r="B257" s="40"/>
      <c r="C257" s="41"/>
      <c r="D257" s="176">
        <f>I227</f>
        <v>0</v>
      </c>
      <c r="E257" s="176">
        <f t="shared" si="42"/>
        <v>0</v>
      </c>
    </row>
    <row r="258" ht="15.0" customHeight="1">
      <c r="A258" s="135" t="s">
        <v>195</v>
      </c>
      <c r="B258" s="40"/>
      <c r="C258" s="41"/>
      <c r="D258" s="177">
        <v>50000.0</v>
      </c>
      <c r="E258" s="176">
        <f t="shared" si="42"/>
        <v>600000</v>
      </c>
    </row>
    <row r="259" ht="15.0" customHeight="1">
      <c r="A259" s="135" t="s">
        <v>196</v>
      </c>
      <c r="B259" s="40"/>
      <c r="C259" s="41"/>
      <c r="D259" s="178"/>
      <c r="E259" s="176">
        <f t="shared" si="42"/>
        <v>0</v>
      </c>
    </row>
    <row r="260" ht="15.0" customHeight="1">
      <c r="A260" s="135" t="s">
        <v>197</v>
      </c>
      <c r="B260" s="40"/>
      <c r="C260" s="41"/>
      <c r="D260" s="176" t="str">
        <f>'Estudio de Mercados'!S42</f>
        <v/>
      </c>
      <c r="E260" s="176">
        <f t="shared" si="42"/>
        <v>0</v>
      </c>
    </row>
    <row r="261" ht="15.0" customHeight="1">
      <c r="A261" s="135" t="s">
        <v>198</v>
      </c>
      <c r="B261" s="40"/>
      <c r="C261" s="41"/>
      <c r="D261" s="177">
        <v>30000.0</v>
      </c>
      <c r="E261" s="176">
        <f t="shared" si="42"/>
        <v>360000</v>
      </c>
    </row>
    <row r="262" ht="14.25" customHeight="1">
      <c r="A262" s="135" t="s">
        <v>199</v>
      </c>
      <c r="B262" s="40"/>
      <c r="C262" s="41"/>
      <c r="D262" s="176">
        <f>E262/12</f>
        <v>34166.66667</v>
      </c>
      <c r="E262" s="176">
        <f>D96</f>
        <v>410000</v>
      </c>
    </row>
    <row r="263" ht="14.25" customHeight="1">
      <c r="A263" s="135" t="s">
        <v>200</v>
      </c>
      <c r="B263" s="40"/>
      <c r="C263" s="41"/>
      <c r="D263" s="179">
        <f>606000+480000+952000+500000</f>
        <v>2538000</v>
      </c>
      <c r="E263" s="176">
        <f>D263*12</f>
        <v>30456000</v>
      </c>
    </row>
    <row r="264" ht="14.25" customHeight="1">
      <c r="A264" s="135" t="s">
        <v>163</v>
      </c>
      <c r="B264" s="40"/>
      <c r="C264" s="41"/>
      <c r="D264" s="136">
        <f t="shared" ref="D264:E264" si="43">D156</f>
        <v>0</v>
      </c>
      <c r="E264" s="136">
        <f t="shared" si="43"/>
        <v>0</v>
      </c>
    </row>
    <row r="265" ht="14.25" customHeight="1">
      <c r="A265" s="108" t="s">
        <v>85</v>
      </c>
      <c r="B265" s="40"/>
      <c r="C265" s="41"/>
      <c r="D265" s="175">
        <f t="shared" ref="D265:E265" si="44">SUM(D253:D264)</f>
        <v>2732166.667</v>
      </c>
      <c r="E265" s="175">
        <f t="shared" si="44"/>
        <v>32786000</v>
      </c>
    </row>
    <row r="266" ht="14.25" customHeight="1"/>
    <row r="267" ht="14.25" customHeight="1"/>
    <row r="268" ht="14.25" customHeight="1"/>
    <row r="269" ht="14.25" customHeight="1">
      <c r="A269" s="169" t="s">
        <v>112</v>
      </c>
      <c r="E269" s="146" t="s">
        <v>123</v>
      </c>
    </row>
    <row r="270" ht="14.25" customHeight="1"/>
    <row r="271" ht="14.25" customHeight="1"/>
    <row r="272" ht="14.25" customHeight="1">
      <c r="A272" s="147" t="s">
        <v>159</v>
      </c>
      <c r="B272" s="41"/>
      <c r="C272" s="175" t="s">
        <v>161</v>
      </c>
    </row>
    <row r="273" ht="14.25" customHeight="1">
      <c r="A273" s="135" t="s">
        <v>201</v>
      </c>
      <c r="B273" s="41"/>
      <c r="C273" s="130">
        <f t="shared" ref="C273:C277" si="45">C366</f>
        <v>0</v>
      </c>
    </row>
    <row r="274" ht="14.25" customHeight="1">
      <c r="A274" s="135" t="s">
        <v>202</v>
      </c>
      <c r="B274" s="41"/>
      <c r="C274" s="130">
        <f t="shared" si="45"/>
        <v>0</v>
      </c>
    </row>
    <row r="275" ht="14.25" customHeight="1">
      <c r="A275" s="135" t="s">
        <v>203</v>
      </c>
      <c r="B275" s="41"/>
      <c r="C275" s="130">
        <f t="shared" si="45"/>
        <v>0</v>
      </c>
    </row>
    <row r="276" ht="14.25" customHeight="1">
      <c r="A276" s="135" t="s">
        <v>204</v>
      </c>
      <c r="B276" s="41"/>
      <c r="C276" s="130">
        <f t="shared" si="45"/>
        <v>0</v>
      </c>
    </row>
    <row r="277" ht="14.25" customHeight="1">
      <c r="A277" s="135" t="s">
        <v>205</v>
      </c>
      <c r="B277" s="41"/>
      <c r="C277" s="130">
        <f t="shared" si="45"/>
        <v>0</v>
      </c>
    </row>
    <row r="278" ht="14.25" customHeight="1">
      <c r="A278" s="149" t="s">
        <v>85</v>
      </c>
      <c r="B278" s="41"/>
      <c r="C278" s="180">
        <f>SUM(C273:C277)</f>
        <v>0</v>
      </c>
    </row>
    <row r="279" ht="14.25" customHeight="1"/>
    <row r="280" ht="14.25" customHeight="1"/>
    <row r="281" ht="14.25" customHeight="1"/>
    <row r="282" ht="14.25" customHeight="1">
      <c r="A282" s="169" t="s">
        <v>113</v>
      </c>
      <c r="D282" s="181">
        <v>1.0</v>
      </c>
      <c r="E282" s="182" t="s">
        <v>206</v>
      </c>
    </row>
    <row r="283" ht="14.25" customHeight="1"/>
    <row r="284" ht="14.25" customHeight="1"/>
    <row r="285" ht="14.25" customHeight="1">
      <c r="A285" s="127" t="s">
        <v>159</v>
      </c>
      <c r="B285" s="40"/>
      <c r="C285" s="41"/>
      <c r="D285" s="152" t="s">
        <v>207</v>
      </c>
      <c r="E285" s="152" t="s">
        <v>208</v>
      </c>
    </row>
    <row r="286" ht="14.25" customHeight="1">
      <c r="A286" s="135" t="s">
        <v>209</v>
      </c>
      <c r="B286" s="40"/>
      <c r="C286" s="41"/>
      <c r="D286" s="176">
        <f>D245</f>
        <v>10657860.2</v>
      </c>
      <c r="E286" s="176">
        <f t="shared" ref="E286:E287" si="46">D286*$D$282</f>
        <v>10657860.2</v>
      </c>
    </row>
    <row r="287" ht="14.25" customHeight="1">
      <c r="A287" s="135" t="s">
        <v>210</v>
      </c>
      <c r="B287" s="40"/>
      <c r="C287" s="41"/>
      <c r="D287" s="176">
        <f>D265</f>
        <v>2732166.667</v>
      </c>
      <c r="E287" s="176">
        <f t="shared" si="46"/>
        <v>2732166.667</v>
      </c>
    </row>
    <row r="288" ht="14.25" customHeight="1">
      <c r="A288" s="135" t="s">
        <v>211</v>
      </c>
      <c r="B288" s="40"/>
      <c r="C288" s="41"/>
      <c r="D288" s="176">
        <f>C380</f>
        <v>0</v>
      </c>
      <c r="E288" s="176">
        <f>D288+C381</f>
        <v>0</v>
      </c>
    </row>
    <row r="289" ht="14.25" customHeight="1">
      <c r="A289" s="135" t="s">
        <v>212</v>
      </c>
      <c r="B289" s="40"/>
      <c r="C289" s="41"/>
      <c r="D289" s="176">
        <f>(D506*0.004)/12</f>
        <v>81133.33333</v>
      </c>
      <c r="E289" s="176">
        <f>D289*D282</f>
        <v>81133.33333</v>
      </c>
    </row>
    <row r="290" ht="14.25" customHeight="1">
      <c r="A290" s="135" t="s">
        <v>213</v>
      </c>
      <c r="B290" s="40"/>
      <c r="C290" s="41"/>
      <c r="D290" s="176">
        <f>D255+E211+D262</f>
        <v>1256250</v>
      </c>
      <c r="E290" s="176">
        <f>D290*D282</f>
        <v>1256250</v>
      </c>
    </row>
    <row r="291" ht="14.25" customHeight="1">
      <c r="A291" s="108" t="s">
        <v>85</v>
      </c>
      <c r="B291" s="40"/>
      <c r="C291" s="41"/>
      <c r="D291" s="175">
        <f>SUM(D286:D289)-D290</f>
        <v>12214910.2</v>
      </c>
      <c r="E291" s="175">
        <f>SUM(E286:E290)</f>
        <v>14727410.2</v>
      </c>
    </row>
    <row r="292" ht="14.25" customHeight="1"/>
    <row r="293" ht="14.25" customHeight="1"/>
    <row r="294" ht="14.25" customHeight="1"/>
    <row r="295" ht="14.25" customHeight="1">
      <c r="A295" s="169" t="s">
        <v>116</v>
      </c>
      <c r="E295" s="146" t="s">
        <v>123</v>
      </c>
    </row>
    <row r="296" ht="14.25" customHeight="1"/>
    <row r="297" ht="14.25" customHeight="1"/>
    <row r="298" ht="14.25" customHeight="1">
      <c r="A298" s="127" t="s">
        <v>159</v>
      </c>
      <c r="B298" s="40"/>
      <c r="C298" s="41"/>
      <c r="D298" s="152" t="s">
        <v>161</v>
      </c>
    </row>
    <row r="299" ht="14.25" customHeight="1">
      <c r="A299" s="135" t="s">
        <v>162</v>
      </c>
      <c r="B299" s="40"/>
      <c r="C299" s="41"/>
      <c r="D299" s="176">
        <f>E155</f>
        <v>61457822.4</v>
      </c>
    </row>
    <row r="300" ht="14.25" customHeight="1">
      <c r="A300" s="183" t="s">
        <v>214</v>
      </c>
      <c r="B300" s="184" t="s">
        <v>170</v>
      </c>
      <c r="C300" s="130">
        <f>F213</f>
        <v>15600000</v>
      </c>
      <c r="D300" s="185">
        <f>SUM(C300:C305)</f>
        <v>33097900</v>
      </c>
    </row>
    <row r="301" ht="14.25" customHeight="1">
      <c r="A301" s="28"/>
      <c r="B301" s="184" t="s">
        <v>215</v>
      </c>
      <c r="C301" s="130">
        <f>F212*0.2</f>
        <v>608400</v>
      </c>
      <c r="D301" s="93"/>
    </row>
    <row r="302" ht="14.25" customHeight="1">
      <c r="A302" s="28"/>
      <c r="B302" s="184" t="s">
        <v>216</v>
      </c>
      <c r="C302" s="130">
        <f>F211</f>
        <v>13800000</v>
      </c>
      <c r="D302" s="93"/>
    </row>
    <row r="303" ht="14.25" customHeight="1">
      <c r="A303" s="28"/>
      <c r="B303" s="184" t="s">
        <v>182</v>
      </c>
      <c r="C303" s="130">
        <f t="shared" ref="C303:C304" si="47">F209</f>
        <v>242500</v>
      </c>
      <c r="D303" s="93"/>
    </row>
    <row r="304" ht="14.25" customHeight="1">
      <c r="A304" s="28"/>
      <c r="B304" s="184" t="s">
        <v>183</v>
      </c>
      <c r="C304" s="130">
        <f t="shared" si="47"/>
        <v>2847000</v>
      </c>
      <c r="D304" s="93"/>
    </row>
    <row r="305" ht="14.25" customHeight="1">
      <c r="A305" s="31"/>
      <c r="B305" s="184" t="s">
        <v>186</v>
      </c>
      <c r="C305" s="130" t="str">
        <f>E214</f>
        <v/>
      </c>
      <c r="D305" s="107"/>
    </row>
    <row r="306" ht="14.25" customHeight="1">
      <c r="A306" s="135" t="s">
        <v>210</v>
      </c>
      <c r="B306" s="40"/>
      <c r="C306" s="41"/>
      <c r="D306" s="130">
        <f>E265</f>
        <v>32786000</v>
      </c>
    </row>
    <row r="307" ht="14.25" customHeight="1">
      <c r="A307" s="108" t="s">
        <v>85</v>
      </c>
      <c r="B307" s="40"/>
      <c r="C307" s="41"/>
      <c r="D307" s="175">
        <f>SUM(D299:D306)</f>
        <v>127341722.4</v>
      </c>
    </row>
    <row r="308" ht="14.25" customHeight="1"/>
    <row r="309" ht="14.25" customHeight="1"/>
    <row r="310" ht="14.25" customHeight="1"/>
    <row r="311" ht="14.25" customHeight="1">
      <c r="A311" s="169" t="s">
        <v>117</v>
      </c>
      <c r="D311" s="146" t="s">
        <v>123</v>
      </c>
    </row>
    <row r="312" ht="14.25" customHeight="1"/>
    <row r="313" ht="14.25" customHeight="1"/>
    <row r="314" ht="14.25" customHeight="1">
      <c r="A314" s="127" t="s">
        <v>159</v>
      </c>
      <c r="B314" s="40"/>
      <c r="C314" s="41"/>
      <c r="D314" s="152" t="s">
        <v>161</v>
      </c>
    </row>
    <row r="315" ht="14.25" customHeight="1">
      <c r="A315" s="135" t="s">
        <v>193</v>
      </c>
      <c r="B315" s="40"/>
      <c r="C315" s="41"/>
      <c r="D315" s="176">
        <f>I201</f>
        <v>30905000</v>
      </c>
    </row>
    <row r="316" ht="15.0" customHeight="1">
      <c r="A316" s="135" t="s">
        <v>217</v>
      </c>
      <c r="B316" s="40"/>
      <c r="C316" s="41"/>
      <c r="D316" s="130">
        <f>F212*0.8</f>
        <v>2433600</v>
      </c>
    </row>
    <row r="317" ht="14.25" customHeight="1">
      <c r="A317" s="108" t="s">
        <v>85</v>
      </c>
      <c r="B317" s="40"/>
      <c r="C317" s="41"/>
      <c r="D317" s="175">
        <f>SUM(D315:D316)</f>
        <v>33338600</v>
      </c>
    </row>
    <row r="318" ht="14.25" customHeight="1"/>
    <row r="319" ht="14.25" customHeight="1"/>
    <row r="320" ht="14.25" customHeight="1"/>
    <row r="321" ht="14.25" customHeight="1">
      <c r="A321" s="169" t="s">
        <v>119</v>
      </c>
      <c r="D321" s="146" t="s">
        <v>123</v>
      </c>
    </row>
    <row r="322" ht="14.25" customHeight="1"/>
    <row r="323" ht="14.25" customHeight="1"/>
    <row r="324" ht="14.25" customHeight="1">
      <c r="A324" s="127" t="s">
        <v>159</v>
      </c>
      <c r="B324" s="40"/>
      <c r="C324" s="41"/>
      <c r="D324" s="152" t="s">
        <v>161</v>
      </c>
      <c r="E324" s="152" t="s">
        <v>177</v>
      </c>
    </row>
    <row r="325" ht="14.25" customHeight="1">
      <c r="A325" s="135" t="s">
        <v>218</v>
      </c>
      <c r="B325" s="40"/>
      <c r="C325" s="41"/>
      <c r="D325" s="176">
        <f>D307</f>
        <v>127341722.4</v>
      </c>
      <c r="E325" s="130">
        <f t="shared" ref="E325:E326" si="48">D325/$D$481</f>
        <v>104635.762</v>
      </c>
    </row>
    <row r="326" ht="14.25" customHeight="1">
      <c r="A326" s="135" t="s">
        <v>219</v>
      </c>
      <c r="B326" s="40"/>
      <c r="C326" s="41"/>
      <c r="D326" s="130">
        <f>D317</f>
        <v>33338600</v>
      </c>
      <c r="E326" s="130">
        <f t="shared" si="48"/>
        <v>27394.08381</v>
      </c>
    </row>
    <row r="327" ht="14.25" customHeight="1">
      <c r="A327" s="108" t="s">
        <v>85</v>
      </c>
      <c r="B327" s="40"/>
      <c r="C327" s="41"/>
      <c r="D327" s="175">
        <f t="shared" ref="D327:E327" si="49">SUM(D325:D326)</f>
        <v>160680322.4</v>
      </c>
      <c r="E327" s="175">
        <f t="shared" si="49"/>
        <v>132029.8459</v>
      </c>
    </row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>
      <c r="A353" s="79" t="s">
        <v>220</v>
      </c>
      <c r="E353" s="146" t="s">
        <v>123</v>
      </c>
    </row>
    <row r="354" ht="14.25" customHeight="1"/>
    <row r="355" ht="14.25" customHeight="1"/>
    <row r="356" ht="14.25" customHeight="1">
      <c r="A356" s="186" t="s">
        <v>221</v>
      </c>
      <c r="B356" s="40"/>
      <c r="C356" s="41"/>
      <c r="D356" s="187"/>
      <c r="E356" s="41"/>
    </row>
    <row r="357" ht="14.25" customHeight="1">
      <c r="A357" s="186" t="s">
        <v>222</v>
      </c>
      <c r="B357" s="40"/>
      <c r="C357" s="41"/>
      <c r="D357" s="188"/>
      <c r="E357" s="41"/>
    </row>
    <row r="358" ht="14.25" customHeight="1">
      <c r="A358" s="186" t="s">
        <v>223</v>
      </c>
      <c r="B358" s="40"/>
      <c r="C358" s="41"/>
      <c r="D358" s="189"/>
      <c r="E358" s="41"/>
    </row>
    <row r="359" ht="14.25" customHeight="1">
      <c r="A359" s="190" t="s">
        <v>224</v>
      </c>
      <c r="B359" s="40"/>
      <c r="C359" s="41"/>
      <c r="D359" s="191">
        <f>((1+D358)^12)-1</f>
        <v>0</v>
      </c>
      <c r="E359" s="41"/>
    </row>
    <row r="360" ht="14.25" customHeight="1">
      <c r="A360" s="186" t="s">
        <v>225</v>
      </c>
      <c r="B360" s="40"/>
      <c r="C360" s="41"/>
      <c r="D360" s="192" t="str">
        <f>-(PMT(D358,D357,D356))</f>
        <v>#NUM!</v>
      </c>
      <c r="E360" s="41"/>
    </row>
    <row r="361" ht="14.25" customHeight="1"/>
    <row r="362" ht="14.25" customHeight="1"/>
    <row r="363" ht="14.25" customHeight="1">
      <c r="A363" s="125" t="s">
        <v>226</v>
      </c>
    </row>
    <row r="364" ht="14.25" customHeight="1"/>
    <row r="365" ht="14.25" customHeight="1">
      <c r="A365" s="193" t="s">
        <v>227</v>
      </c>
      <c r="B365" s="194" t="s">
        <v>228</v>
      </c>
      <c r="C365" s="194" t="s">
        <v>229</v>
      </c>
      <c r="D365" s="194" t="s">
        <v>230</v>
      </c>
      <c r="E365" s="194" t="s">
        <v>231</v>
      </c>
    </row>
    <row r="366" ht="14.25" customHeight="1">
      <c r="A366" s="195">
        <v>1.0</v>
      </c>
      <c r="B366" s="196">
        <f t="shared" ref="B366:B370" si="50">IF(($D$357/12)&gt;=A366,B380*12,0)</f>
        <v>0</v>
      </c>
      <c r="C366" s="196">
        <f>IF(B366=0,0,SUM(C380:C391))</f>
        <v>0</v>
      </c>
      <c r="D366" s="196">
        <f t="shared" ref="D366:D370" si="51">B366-C366</f>
        <v>0</v>
      </c>
      <c r="E366" s="196">
        <f>IF(E391&lt;0,0,E391)</f>
        <v>0</v>
      </c>
    </row>
    <row r="367" ht="14.25" customHeight="1">
      <c r="A367" s="195">
        <v>2.0</v>
      </c>
      <c r="B367" s="196">
        <f t="shared" si="50"/>
        <v>0</v>
      </c>
      <c r="C367" s="196">
        <f>IF(B367=0,0,SUM(C392:C403))</f>
        <v>0</v>
      </c>
      <c r="D367" s="196">
        <f t="shared" si="51"/>
        <v>0</v>
      </c>
      <c r="E367" s="196">
        <f>IF(E403&lt;0,0,E403)</f>
        <v>0</v>
      </c>
    </row>
    <row r="368" ht="14.25" customHeight="1">
      <c r="A368" s="195">
        <v>3.0</v>
      </c>
      <c r="B368" s="196">
        <f t="shared" si="50"/>
        <v>0</v>
      </c>
      <c r="C368" s="196">
        <f>IF(B368=0,0,SUM(C404:C415))</f>
        <v>0</v>
      </c>
      <c r="D368" s="196">
        <f t="shared" si="51"/>
        <v>0</v>
      </c>
      <c r="E368" s="196">
        <f>IF(E415&lt;0,0,E415)</f>
        <v>0</v>
      </c>
    </row>
    <row r="369" ht="14.25" customHeight="1">
      <c r="A369" s="195">
        <v>4.0</v>
      </c>
      <c r="B369" s="196">
        <f t="shared" si="50"/>
        <v>0</v>
      </c>
      <c r="C369" s="196">
        <f>IF(B369=0,0,SUM(C416:C427))</f>
        <v>0</v>
      </c>
      <c r="D369" s="196">
        <f t="shared" si="51"/>
        <v>0</v>
      </c>
      <c r="E369" s="196">
        <f>IF(E427,0,E427)</f>
        <v>0</v>
      </c>
    </row>
    <row r="370" ht="14.25" customHeight="1">
      <c r="A370" s="195">
        <v>5.0</v>
      </c>
      <c r="B370" s="196">
        <f t="shared" si="50"/>
        <v>0</v>
      </c>
      <c r="C370" s="196">
        <f>IF(B370=0,0,SUM(C428:C439))</f>
        <v>0</v>
      </c>
      <c r="D370" s="196">
        <f t="shared" si="51"/>
        <v>0</v>
      </c>
      <c r="E370" s="196">
        <f>IF(E439&lt;0,0,E439)</f>
        <v>0</v>
      </c>
    </row>
    <row r="371" ht="14.25" customHeight="1">
      <c r="A371" s="194" t="s">
        <v>85</v>
      </c>
      <c r="B371" s="197">
        <f t="shared" ref="B371:C371" si="52">SUM(B366:B370)</f>
        <v>0</v>
      </c>
      <c r="C371" s="197">
        <f t="shared" si="52"/>
        <v>0</v>
      </c>
      <c r="D371" s="198">
        <f>SUM(D366:E370)</f>
        <v>0</v>
      </c>
    </row>
    <row r="372" ht="14.25" customHeight="1"/>
    <row r="373" ht="14.25" customHeight="1"/>
    <row r="374" ht="14.25" customHeight="1"/>
    <row r="375" ht="14.25" customHeight="1"/>
    <row r="376" ht="14.25" customHeight="1">
      <c r="A376" s="38" t="s">
        <v>232</v>
      </c>
    </row>
    <row r="377" ht="14.25" customHeight="1"/>
    <row r="378" ht="14.25" customHeight="1">
      <c r="A378" s="193" t="s">
        <v>233</v>
      </c>
      <c r="B378" s="193" t="s">
        <v>228</v>
      </c>
      <c r="C378" s="193" t="s">
        <v>229</v>
      </c>
      <c r="D378" s="193" t="s">
        <v>230</v>
      </c>
      <c r="E378" s="193" t="s">
        <v>231</v>
      </c>
    </row>
    <row r="379" ht="14.25" customHeight="1">
      <c r="A379" s="199">
        <v>0.0</v>
      </c>
      <c r="B379" s="200"/>
      <c r="C379" s="200"/>
      <c r="D379" s="200"/>
      <c r="E379" s="201" t="str">
        <f>D356</f>
        <v/>
      </c>
    </row>
    <row r="380" ht="14.25" customHeight="1">
      <c r="A380" s="199">
        <v>1.0</v>
      </c>
      <c r="B380" s="202">
        <f t="shared" ref="B380:B439" si="53">IF(A380&lt;=$D$357,$D$360,0)</f>
        <v>0</v>
      </c>
      <c r="C380" s="203">
        <f t="shared" ref="C380:C439" si="54">IF(E379=0,0,E379*$D$358)</f>
        <v>0</v>
      </c>
      <c r="D380" s="202">
        <f t="shared" ref="D380:D439" si="55">IF(C380=0,0,B380-C380)</f>
        <v>0</v>
      </c>
      <c r="E380" s="202">
        <f t="shared" ref="E380:E439" si="56">IF(E379-D380&lt;0,0,E379-D380)</f>
        <v>0</v>
      </c>
    </row>
    <row r="381" ht="14.25" customHeight="1">
      <c r="A381" s="199">
        <v>2.0</v>
      </c>
      <c r="B381" s="202">
        <f t="shared" si="53"/>
        <v>0</v>
      </c>
      <c r="C381" s="203">
        <f t="shared" si="54"/>
        <v>0</v>
      </c>
      <c r="D381" s="202">
        <f t="shared" si="55"/>
        <v>0</v>
      </c>
      <c r="E381" s="202">
        <f t="shared" si="56"/>
        <v>0</v>
      </c>
    </row>
    <row r="382" ht="14.25" customHeight="1">
      <c r="A382" s="199">
        <v>3.0</v>
      </c>
      <c r="B382" s="202">
        <f t="shared" si="53"/>
        <v>0</v>
      </c>
      <c r="C382" s="203">
        <f t="shared" si="54"/>
        <v>0</v>
      </c>
      <c r="D382" s="202">
        <f t="shared" si="55"/>
        <v>0</v>
      </c>
      <c r="E382" s="202">
        <f t="shared" si="56"/>
        <v>0</v>
      </c>
    </row>
    <row r="383" ht="14.25" customHeight="1">
      <c r="A383" s="199">
        <v>4.0</v>
      </c>
      <c r="B383" s="202">
        <f t="shared" si="53"/>
        <v>0</v>
      </c>
      <c r="C383" s="203">
        <f t="shared" si="54"/>
        <v>0</v>
      </c>
      <c r="D383" s="202">
        <f t="shared" si="55"/>
        <v>0</v>
      </c>
      <c r="E383" s="202">
        <f t="shared" si="56"/>
        <v>0</v>
      </c>
    </row>
    <row r="384" ht="14.25" customHeight="1">
      <c r="A384" s="199">
        <v>5.0</v>
      </c>
      <c r="B384" s="202">
        <f t="shared" si="53"/>
        <v>0</v>
      </c>
      <c r="C384" s="203">
        <f t="shared" si="54"/>
        <v>0</v>
      </c>
      <c r="D384" s="202">
        <f t="shared" si="55"/>
        <v>0</v>
      </c>
      <c r="E384" s="202">
        <f t="shared" si="56"/>
        <v>0</v>
      </c>
    </row>
    <row r="385" ht="14.25" customHeight="1">
      <c r="A385" s="199">
        <v>6.0</v>
      </c>
      <c r="B385" s="202">
        <f t="shared" si="53"/>
        <v>0</v>
      </c>
      <c r="C385" s="203">
        <f t="shared" si="54"/>
        <v>0</v>
      </c>
      <c r="D385" s="202">
        <f t="shared" si="55"/>
        <v>0</v>
      </c>
      <c r="E385" s="202">
        <f t="shared" si="56"/>
        <v>0</v>
      </c>
    </row>
    <row r="386" ht="14.25" customHeight="1">
      <c r="A386" s="199">
        <v>7.0</v>
      </c>
      <c r="B386" s="202">
        <f t="shared" si="53"/>
        <v>0</v>
      </c>
      <c r="C386" s="203">
        <f t="shared" si="54"/>
        <v>0</v>
      </c>
      <c r="D386" s="202">
        <f t="shared" si="55"/>
        <v>0</v>
      </c>
      <c r="E386" s="202">
        <f t="shared" si="56"/>
        <v>0</v>
      </c>
    </row>
    <row r="387" ht="14.25" customHeight="1">
      <c r="A387" s="199">
        <v>8.0</v>
      </c>
      <c r="B387" s="202">
        <f t="shared" si="53"/>
        <v>0</v>
      </c>
      <c r="C387" s="203">
        <f t="shared" si="54"/>
        <v>0</v>
      </c>
      <c r="D387" s="202">
        <f t="shared" si="55"/>
        <v>0</v>
      </c>
      <c r="E387" s="202">
        <f t="shared" si="56"/>
        <v>0</v>
      </c>
    </row>
    <row r="388" ht="14.25" customHeight="1">
      <c r="A388" s="199">
        <v>9.0</v>
      </c>
      <c r="B388" s="202">
        <f t="shared" si="53"/>
        <v>0</v>
      </c>
      <c r="C388" s="203">
        <f t="shared" si="54"/>
        <v>0</v>
      </c>
      <c r="D388" s="202">
        <f t="shared" si="55"/>
        <v>0</v>
      </c>
      <c r="E388" s="202">
        <f t="shared" si="56"/>
        <v>0</v>
      </c>
    </row>
    <row r="389" ht="14.25" customHeight="1">
      <c r="A389" s="199">
        <v>10.0</v>
      </c>
      <c r="B389" s="202">
        <f t="shared" si="53"/>
        <v>0</v>
      </c>
      <c r="C389" s="203">
        <f t="shared" si="54"/>
        <v>0</v>
      </c>
      <c r="D389" s="202">
        <f t="shared" si="55"/>
        <v>0</v>
      </c>
      <c r="E389" s="202">
        <f t="shared" si="56"/>
        <v>0</v>
      </c>
    </row>
    <row r="390" ht="14.25" customHeight="1">
      <c r="A390" s="199">
        <v>11.0</v>
      </c>
      <c r="B390" s="202">
        <f t="shared" si="53"/>
        <v>0</v>
      </c>
      <c r="C390" s="203">
        <f t="shared" si="54"/>
        <v>0</v>
      </c>
      <c r="D390" s="202">
        <f t="shared" si="55"/>
        <v>0</v>
      </c>
      <c r="E390" s="202">
        <f t="shared" si="56"/>
        <v>0</v>
      </c>
    </row>
    <row r="391" ht="14.25" customHeight="1">
      <c r="A391" s="204">
        <v>12.0</v>
      </c>
      <c r="B391" s="205">
        <f t="shared" si="53"/>
        <v>0</v>
      </c>
      <c r="C391" s="206">
        <f t="shared" si="54"/>
        <v>0</v>
      </c>
      <c r="D391" s="205">
        <f t="shared" si="55"/>
        <v>0</v>
      </c>
      <c r="E391" s="205">
        <f t="shared" si="56"/>
        <v>0</v>
      </c>
    </row>
    <row r="392" ht="14.25" customHeight="1">
      <c r="A392" s="207">
        <v>13.0</v>
      </c>
      <c r="B392" s="208">
        <f t="shared" si="53"/>
        <v>0</v>
      </c>
      <c r="C392" s="209">
        <f t="shared" si="54"/>
        <v>0</v>
      </c>
      <c r="D392" s="208">
        <f t="shared" si="55"/>
        <v>0</v>
      </c>
      <c r="E392" s="208">
        <f t="shared" si="56"/>
        <v>0</v>
      </c>
    </row>
    <row r="393" ht="14.25" customHeight="1">
      <c r="A393" s="199">
        <v>14.0</v>
      </c>
      <c r="B393" s="202">
        <f t="shared" si="53"/>
        <v>0</v>
      </c>
      <c r="C393" s="203">
        <f t="shared" si="54"/>
        <v>0</v>
      </c>
      <c r="D393" s="202">
        <f t="shared" si="55"/>
        <v>0</v>
      </c>
      <c r="E393" s="202">
        <f t="shared" si="56"/>
        <v>0</v>
      </c>
    </row>
    <row r="394" ht="14.25" customHeight="1">
      <c r="A394" s="199">
        <v>15.0</v>
      </c>
      <c r="B394" s="202">
        <f t="shared" si="53"/>
        <v>0</v>
      </c>
      <c r="C394" s="203">
        <f t="shared" si="54"/>
        <v>0</v>
      </c>
      <c r="D394" s="202">
        <f t="shared" si="55"/>
        <v>0</v>
      </c>
      <c r="E394" s="202">
        <f t="shared" si="56"/>
        <v>0</v>
      </c>
    </row>
    <row r="395" ht="14.25" customHeight="1">
      <c r="A395" s="199">
        <v>16.0</v>
      </c>
      <c r="B395" s="202">
        <f t="shared" si="53"/>
        <v>0</v>
      </c>
      <c r="C395" s="203">
        <f t="shared" si="54"/>
        <v>0</v>
      </c>
      <c r="D395" s="202">
        <f t="shared" si="55"/>
        <v>0</v>
      </c>
      <c r="E395" s="202">
        <f t="shared" si="56"/>
        <v>0</v>
      </c>
    </row>
    <row r="396" ht="14.25" customHeight="1">
      <c r="A396" s="199">
        <v>17.0</v>
      </c>
      <c r="B396" s="202">
        <f t="shared" si="53"/>
        <v>0</v>
      </c>
      <c r="C396" s="203">
        <f t="shared" si="54"/>
        <v>0</v>
      </c>
      <c r="D396" s="202">
        <f t="shared" si="55"/>
        <v>0</v>
      </c>
      <c r="E396" s="202">
        <f t="shared" si="56"/>
        <v>0</v>
      </c>
    </row>
    <row r="397" ht="14.25" customHeight="1">
      <c r="A397" s="199">
        <v>18.0</v>
      </c>
      <c r="B397" s="202">
        <f t="shared" si="53"/>
        <v>0</v>
      </c>
      <c r="C397" s="203">
        <f t="shared" si="54"/>
        <v>0</v>
      </c>
      <c r="D397" s="202">
        <f t="shared" si="55"/>
        <v>0</v>
      </c>
      <c r="E397" s="202">
        <f t="shared" si="56"/>
        <v>0</v>
      </c>
    </row>
    <row r="398" ht="14.25" customHeight="1">
      <c r="A398" s="199">
        <v>19.0</v>
      </c>
      <c r="B398" s="202">
        <f t="shared" si="53"/>
        <v>0</v>
      </c>
      <c r="C398" s="203">
        <f t="shared" si="54"/>
        <v>0</v>
      </c>
      <c r="D398" s="202">
        <f t="shared" si="55"/>
        <v>0</v>
      </c>
      <c r="E398" s="202">
        <f t="shared" si="56"/>
        <v>0</v>
      </c>
    </row>
    <row r="399" ht="14.25" customHeight="1">
      <c r="A399" s="199">
        <v>20.0</v>
      </c>
      <c r="B399" s="202">
        <f t="shared" si="53"/>
        <v>0</v>
      </c>
      <c r="C399" s="203">
        <f t="shared" si="54"/>
        <v>0</v>
      </c>
      <c r="D399" s="202">
        <f t="shared" si="55"/>
        <v>0</v>
      </c>
      <c r="E399" s="202">
        <f t="shared" si="56"/>
        <v>0</v>
      </c>
    </row>
    <row r="400" ht="14.25" customHeight="1">
      <c r="A400" s="199">
        <v>21.0</v>
      </c>
      <c r="B400" s="202">
        <f t="shared" si="53"/>
        <v>0</v>
      </c>
      <c r="C400" s="203">
        <f t="shared" si="54"/>
        <v>0</v>
      </c>
      <c r="D400" s="202">
        <f t="shared" si="55"/>
        <v>0</v>
      </c>
      <c r="E400" s="202">
        <f t="shared" si="56"/>
        <v>0</v>
      </c>
    </row>
    <row r="401" ht="14.25" customHeight="1">
      <c r="A401" s="199">
        <v>22.0</v>
      </c>
      <c r="B401" s="202">
        <f t="shared" si="53"/>
        <v>0</v>
      </c>
      <c r="C401" s="203">
        <f t="shared" si="54"/>
        <v>0</v>
      </c>
      <c r="D401" s="202">
        <f t="shared" si="55"/>
        <v>0</v>
      </c>
      <c r="E401" s="202">
        <f t="shared" si="56"/>
        <v>0</v>
      </c>
    </row>
    <row r="402" ht="14.25" customHeight="1">
      <c r="A402" s="199">
        <v>23.0</v>
      </c>
      <c r="B402" s="202">
        <f t="shared" si="53"/>
        <v>0</v>
      </c>
      <c r="C402" s="203">
        <f t="shared" si="54"/>
        <v>0</v>
      </c>
      <c r="D402" s="202">
        <f t="shared" si="55"/>
        <v>0</v>
      </c>
      <c r="E402" s="202">
        <f t="shared" si="56"/>
        <v>0</v>
      </c>
    </row>
    <row r="403" ht="14.25" customHeight="1">
      <c r="A403" s="204">
        <v>24.0</v>
      </c>
      <c r="B403" s="205">
        <f t="shared" si="53"/>
        <v>0</v>
      </c>
      <c r="C403" s="206">
        <f t="shared" si="54"/>
        <v>0</v>
      </c>
      <c r="D403" s="205">
        <f t="shared" si="55"/>
        <v>0</v>
      </c>
      <c r="E403" s="205">
        <f t="shared" si="56"/>
        <v>0</v>
      </c>
    </row>
    <row r="404" ht="14.25" customHeight="1">
      <c r="A404" s="207">
        <v>25.0</v>
      </c>
      <c r="B404" s="208">
        <f t="shared" si="53"/>
        <v>0</v>
      </c>
      <c r="C404" s="209">
        <f t="shared" si="54"/>
        <v>0</v>
      </c>
      <c r="D404" s="208">
        <f t="shared" si="55"/>
        <v>0</v>
      </c>
      <c r="E404" s="208">
        <f t="shared" si="56"/>
        <v>0</v>
      </c>
    </row>
    <row r="405" ht="14.25" customHeight="1">
      <c r="A405" s="199">
        <v>26.0</v>
      </c>
      <c r="B405" s="202">
        <f t="shared" si="53"/>
        <v>0</v>
      </c>
      <c r="C405" s="203">
        <f t="shared" si="54"/>
        <v>0</v>
      </c>
      <c r="D405" s="202">
        <f t="shared" si="55"/>
        <v>0</v>
      </c>
      <c r="E405" s="202">
        <f t="shared" si="56"/>
        <v>0</v>
      </c>
    </row>
    <row r="406" ht="14.25" customHeight="1">
      <c r="A406" s="199">
        <v>27.0</v>
      </c>
      <c r="B406" s="202">
        <f t="shared" si="53"/>
        <v>0</v>
      </c>
      <c r="C406" s="203">
        <f t="shared" si="54"/>
        <v>0</v>
      </c>
      <c r="D406" s="202">
        <f t="shared" si="55"/>
        <v>0</v>
      </c>
      <c r="E406" s="202">
        <f t="shared" si="56"/>
        <v>0</v>
      </c>
    </row>
    <row r="407" ht="14.25" customHeight="1">
      <c r="A407" s="199">
        <v>28.0</v>
      </c>
      <c r="B407" s="202">
        <f t="shared" si="53"/>
        <v>0</v>
      </c>
      <c r="C407" s="203">
        <f t="shared" si="54"/>
        <v>0</v>
      </c>
      <c r="D407" s="202">
        <f t="shared" si="55"/>
        <v>0</v>
      </c>
      <c r="E407" s="202">
        <f t="shared" si="56"/>
        <v>0</v>
      </c>
    </row>
    <row r="408" ht="14.25" customHeight="1">
      <c r="A408" s="199">
        <v>29.0</v>
      </c>
      <c r="B408" s="202">
        <f t="shared" si="53"/>
        <v>0</v>
      </c>
      <c r="C408" s="203">
        <f t="shared" si="54"/>
        <v>0</v>
      </c>
      <c r="D408" s="202">
        <f t="shared" si="55"/>
        <v>0</v>
      </c>
      <c r="E408" s="202">
        <f t="shared" si="56"/>
        <v>0</v>
      </c>
    </row>
    <row r="409" ht="14.25" customHeight="1">
      <c r="A409" s="199">
        <v>30.0</v>
      </c>
      <c r="B409" s="202">
        <f t="shared" si="53"/>
        <v>0</v>
      </c>
      <c r="C409" s="203">
        <f t="shared" si="54"/>
        <v>0</v>
      </c>
      <c r="D409" s="202">
        <f t="shared" si="55"/>
        <v>0</v>
      </c>
      <c r="E409" s="202">
        <f t="shared" si="56"/>
        <v>0</v>
      </c>
    </row>
    <row r="410" ht="14.25" customHeight="1">
      <c r="A410" s="199">
        <v>31.0</v>
      </c>
      <c r="B410" s="202">
        <f t="shared" si="53"/>
        <v>0</v>
      </c>
      <c r="C410" s="203">
        <f t="shared" si="54"/>
        <v>0</v>
      </c>
      <c r="D410" s="202">
        <f t="shared" si="55"/>
        <v>0</v>
      </c>
      <c r="E410" s="202">
        <f t="shared" si="56"/>
        <v>0</v>
      </c>
    </row>
    <row r="411" ht="14.25" customHeight="1">
      <c r="A411" s="199">
        <v>32.0</v>
      </c>
      <c r="B411" s="202">
        <f t="shared" si="53"/>
        <v>0</v>
      </c>
      <c r="C411" s="203">
        <f t="shared" si="54"/>
        <v>0</v>
      </c>
      <c r="D411" s="202">
        <f t="shared" si="55"/>
        <v>0</v>
      </c>
      <c r="E411" s="202">
        <f t="shared" si="56"/>
        <v>0</v>
      </c>
    </row>
    <row r="412" ht="14.25" customHeight="1">
      <c r="A412" s="199">
        <v>33.0</v>
      </c>
      <c r="B412" s="202">
        <f t="shared" si="53"/>
        <v>0</v>
      </c>
      <c r="C412" s="203">
        <f t="shared" si="54"/>
        <v>0</v>
      </c>
      <c r="D412" s="202">
        <f t="shared" si="55"/>
        <v>0</v>
      </c>
      <c r="E412" s="202">
        <f t="shared" si="56"/>
        <v>0</v>
      </c>
    </row>
    <row r="413" ht="14.25" customHeight="1">
      <c r="A413" s="199">
        <v>34.0</v>
      </c>
      <c r="B413" s="202">
        <f t="shared" si="53"/>
        <v>0</v>
      </c>
      <c r="C413" s="203">
        <f t="shared" si="54"/>
        <v>0</v>
      </c>
      <c r="D413" s="202">
        <f t="shared" si="55"/>
        <v>0</v>
      </c>
      <c r="E413" s="202">
        <f t="shared" si="56"/>
        <v>0</v>
      </c>
    </row>
    <row r="414" ht="14.25" customHeight="1">
      <c r="A414" s="199">
        <v>35.0</v>
      </c>
      <c r="B414" s="202">
        <f t="shared" si="53"/>
        <v>0</v>
      </c>
      <c r="C414" s="203">
        <f t="shared" si="54"/>
        <v>0</v>
      </c>
      <c r="D414" s="202">
        <f t="shared" si="55"/>
        <v>0</v>
      </c>
      <c r="E414" s="202">
        <f t="shared" si="56"/>
        <v>0</v>
      </c>
    </row>
    <row r="415" ht="14.25" customHeight="1">
      <c r="A415" s="204">
        <v>36.0</v>
      </c>
      <c r="B415" s="205">
        <f t="shared" si="53"/>
        <v>0</v>
      </c>
      <c r="C415" s="206">
        <f t="shared" si="54"/>
        <v>0</v>
      </c>
      <c r="D415" s="205">
        <f t="shared" si="55"/>
        <v>0</v>
      </c>
      <c r="E415" s="205">
        <f t="shared" si="56"/>
        <v>0</v>
      </c>
    </row>
    <row r="416" ht="14.25" customHeight="1">
      <c r="A416" s="207">
        <v>37.0</v>
      </c>
      <c r="B416" s="208">
        <f t="shared" si="53"/>
        <v>0</v>
      </c>
      <c r="C416" s="209">
        <f t="shared" si="54"/>
        <v>0</v>
      </c>
      <c r="D416" s="208">
        <f t="shared" si="55"/>
        <v>0</v>
      </c>
      <c r="E416" s="208">
        <f t="shared" si="56"/>
        <v>0</v>
      </c>
    </row>
    <row r="417" ht="14.25" customHeight="1">
      <c r="A417" s="199">
        <v>38.0</v>
      </c>
      <c r="B417" s="202">
        <f t="shared" si="53"/>
        <v>0</v>
      </c>
      <c r="C417" s="203">
        <f t="shared" si="54"/>
        <v>0</v>
      </c>
      <c r="D417" s="202">
        <f t="shared" si="55"/>
        <v>0</v>
      </c>
      <c r="E417" s="202">
        <f t="shared" si="56"/>
        <v>0</v>
      </c>
    </row>
    <row r="418" ht="14.25" customHeight="1">
      <c r="A418" s="199">
        <v>39.0</v>
      </c>
      <c r="B418" s="202">
        <f t="shared" si="53"/>
        <v>0</v>
      </c>
      <c r="C418" s="203">
        <f t="shared" si="54"/>
        <v>0</v>
      </c>
      <c r="D418" s="202">
        <f t="shared" si="55"/>
        <v>0</v>
      </c>
      <c r="E418" s="202">
        <f t="shared" si="56"/>
        <v>0</v>
      </c>
    </row>
    <row r="419" ht="14.25" customHeight="1">
      <c r="A419" s="199">
        <v>40.0</v>
      </c>
      <c r="B419" s="202">
        <f t="shared" si="53"/>
        <v>0</v>
      </c>
      <c r="C419" s="203">
        <f t="shared" si="54"/>
        <v>0</v>
      </c>
      <c r="D419" s="202">
        <f t="shared" si="55"/>
        <v>0</v>
      </c>
      <c r="E419" s="202">
        <f t="shared" si="56"/>
        <v>0</v>
      </c>
    </row>
    <row r="420" ht="14.25" customHeight="1">
      <c r="A420" s="199">
        <v>41.0</v>
      </c>
      <c r="B420" s="202">
        <f t="shared" si="53"/>
        <v>0</v>
      </c>
      <c r="C420" s="203">
        <f t="shared" si="54"/>
        <v>0</v>
      </c>
      <c r="D420" s="202">
        <f t="shared" si="55"/>
        <v>0</v>
      </c>
      <c r="E420" s="202">
        <f t="shared" si="56"/>
        <v>0</v>
      </c>
    </row>
    <row r="421" ht="14.25" customHeight="1">
      <c r="A421" s="199">
        <v>42.0</v>
      </c>
      <c r="B421" s="202">
        <f t="shared" si="53"/>
        <v>0</v>
      </c>
      <c r="C421" s="203">
        <f t="shared" si="54"/>
        <v>0</v>
      </c>
      <c r="D421" s="202">
        <f t="shared" si="55"/>
        <v>0</v>
      </c>
      <c r="E421" s="202">
        <f t="shared" si="56"/>
        <v>0</v>
      </c>
    </row>
    <row r="422" ht="14.25" customHeight="1">
      <c r="A422" s="199">
        <v>43.0</v>
      </c>
      <c r="B422" s="202">
        <f t="shared" si="53"/>
        <v>0</v>
      </c>
      <c r="C422" s="203">
        <f t="shared" si="54"/>
        <v>0</v>
      </c>
      <c r="D422" s="202">
        <f t="shared" si="55"/>
        <v>0</v>
      </c>
      <c r="E422" s="202">
        <f t="shared" si="56"/>
        <v>0</v>
      </c>
    </row>
    <row r="423" ht="14.25" customHeight="1">
      <c r="A423" s="199">
        <v>44.0</v>
      </c>
      <c r="B423" s="202">
        <f t="shared" si="53"/>
        <v>0</v>
      </c>
      <c r="C423" s="203">
        <f t="shared" si="54"/>
        <v>0</v>
      </c>
      <c r="D423" s="202">
        <f t="shared" si="55"/>
        <v>0</v>
      </c>
      <c r="E423" s="202">
        <f t="shared" si="56"/>
        <v>0</v>
      </c>
    </row>
    <row r="424" ht="14.25" customHeight="1">
      <c r="A424" s="199">
        <v>45.0</v>
      </c>
      <c r="B424" s="202">
        <f t="shared" si="53"/>
        <v>0</v>
      </c>
      <c r="C424" s="203">
        <f t="shared" si="54"/>
        <v>0</v>
      </c>
      <c r="D424" s="202">
        <f t="shared" si="55"/>
        <v>0</v>
      </c>
      <c r="E424" s="202">
        <f t="shared" si="56"/>
        <v>0</v>
      </c>
    </row>
    <row r="425" ht="14.25" customHeight="1">
      <c r="A425" s="199">
        <v>46.0</v>
      </c>
      <c r="B425" s="202">
        <f t="shared" si="53"/>
        <v>0</v>
      </c>
      <c r="C425" s="203">
        <f t="shared" si="54"/>
        <v>0</v>
      </c>
      <c r="D425" s="202">
        <f t="shared" si="55"/>
        <v>0</v>
      </c>
      <c r="E425" s="202">
        <f t="shared" si="56"/>
        <v>0</v>
      </c>
    </row>
    <row r="426" ht="14.25" customHeight="1">
      <c r="A426" s="199">
        <v>47.0</v>
      </c>
      <c r="B426" s="202">
        <f t="shared" si="53"/>
        <v>0</v>
      </c>
      <c r="C426" s="203">
        <f t="shared" si="54"/>
        <v>0</v>
      </c>
      <c r="D426" s="202">
        <f t="shared" si="55"/>
        <v>0</v>
      </c>
      <c r="E426" s="202">
        <f t="shared" si="56"/>
        <v>0</v>
      </c>
    </row>
    <row r="427" ht="14.25" customHeight="1">
      <c r="A427" s="204">
        <v>48.0</v>
      </c>
      <c r="B427" s="205">
        <f t="shared" si="53"/>
        <v>0</v>
      </c>
      <c r="C427" s="206">
        <f t="shared" si="54"/>
        <v>0</v>
      </c>
      <c r="D427" s="205">
        <f t="shared" si="55"/>
        <v>0</v>
      </c>
      <c r="E427" s="205">
        <f t="shared" si="56"/>
        <v>0</v>
      </c>
    </row>
    <row r="428" ht="14.25" customHeight="1">
      <c r="A428" s="207">
        <v>49.0</v>
      </c>
      <c r="B428" s="208">
        <f t="shared" si="53"/>
        <v>0</v>
      </c>
      <c r="C428" s="209">
        <f t="shared" si="54"/>
        <v>0</v>
      </c>
      <c r="D428" s="208">
        <f t="shared" si="55"/>
        <v>0</v>
      </c>
      <c r="E428" s="208">
        <f t="shared" si="56"/>
        <v>0</v>
      </c>
    </row>
    <row r="429" ht="14.25" customHeight="1">
      <c r="A429" s="199">
        <v>50.0</v>
      </c>
      <c r="B429" s="202">
        <f t="shared" si="53"/>
        <v>0</v>
      </c>
      <c r="C429" s="203">
        <f t="shared" si="54"/>
        <v>0</v>
      </c>
      <c r="D429" s="202">
        <f t="shared" si="55"/>
        <v>0</v>
      </c>
      <c r="E429" s="202">
        <f t="shared" si="56"/>
        <v>0</v>
      </c>
    </row>
    <row r="430" ht="14.25" customHeight="1">
      <c r="A430" s="199">
        <v>51.0</v>
      </c>
      <c r="B430" s="202">
        <f t="shared" si="53"/>
        <v>0</v>
      </c>
      <c r="C430" s="203">
        <f t="shared" si="54"/>
        <v>0</v>
      </c>
      <c r="D430" s="202">
        <f t="shared" si="55"/>
        <v>0</v>
      </c>
      <c r="E430" s="202">
        <f t="shared" si="56"/>
        <v>0</v>
      </c>
    </row>
    <row r="431" ht="14.25" customHeight="1">
      <c r="A431" s="199">
        <v>52.0</v>
      </c>
      <c r="B431" s="202">
        <f t="shared" si="53"/>
        <v>0</v>
      </c>
      <c r="C431" s="203">
        <f t="shared" si="54"/>
        <v>0</v>
      </c>
      <c r="D431" s="202">
        <f t="shared" si="55"/>
        <v>0</v>
      </c>
      <c r="E431" s="202">
        <f t="shared" si="56"/>
        <v>0</v>
      </c>
    </row>
    <row r="432" ht="14.25" customHeight="1">
      <c r="A432" s="199">
        <v>53.0</v>
      </c>
      <c r="B432" s="202">
        <f t="shared" si="53"/>
        <v>0</v>
      </c>
      <c r="C432" s="203">
        <f t="shared" si="54"/>
        <v>0</v>
      </c>
      <c r="D432" s="202">
        <f t="shared" si="55"/>
        <v>0</v>
      </c>
      <c r="E432" s="202">
        <f t="shared" si="56"/>
        <v>0</v>
      </c>
    </row>
    <row r="433" ht="14.25" customHeight="1">
      <c r="A433" s="199">
        <v>54.0</v>
      </c>
      <c r="B433" s="202">
        <f t="shared" si="53"/>
        <v>0</v>
      </c>
      <c r="C433" s="203">
        <f t="shared" si="54"/>
        <v>0</v>
      </c>
      <c r="D433" s="202">
        <f t="shared" si="55"/>
        <v>0</v>
      </c>
      <c r="E433" s="202">
        <f t="shared" si="56"/>
        <v>0</v>
      </c>
    </row>
    <row r="434" ht="14.25" customHeight="1">
      <c r="A434" s="199">
        <v>55.0</v>
      </c>
      <c r="B434" s="202">
        <f t="shared" si="53"/>
        <v>0</v>
      </c>
      <c r="C434" s="203">
        <f t="shared" si="54"/>
        <v>0</v>
      </c>
      <c r="D434" s="202">
        <f t="shared" si="55"/>
        <v>0</v>
      </c>
      <c r="E434" s="202">
        <f t="shared" si="56"/>
        <v>0</v>
      </c>
    </row>
    <row r="435" ht="14.25" customHeight="1">
      <c r="A435" s="199">
        <v>56.0</v>
      </c>
      <c r="B435" s="202">
        <f t="shared" si="53"/>
        <v>0</v>
      </c>
      <c r="C435" s="203">
        <f t="shared" si="54"/>
        <v>0</v>
      </c>
      <c r="D435" s="202">
        <f t="shared" si="55"/>
        <v>0</v>
      </c>
      <c r="E435" s="202">
        <f t="shared" si="56"/>
        <v>0</v>
      </c>
    </row>
    <row r="436" ht="14.25" customHeight="1">
      <c r="A436" s="199">
        <v>57.0</v>
      </c>
      <c r="B436" s="202">
        <f t="shared" si="53"/>
        <v>0</v>
      </c>
      <c r="C436" s="203">
        <f t="shared" si="54"/>
        <v>0</v>
      </c>
      <c r="D436" s="202">
        <f t="shared" si="55"/>
        <v>0</v>
      </c>
      <c r="E436" s="202">
        <f t="shared" si="56"/>
        <v>0</v>
      </c>
    </row>
    <row r="437" ht="14.25" customHeight="1">
      <c r="A437" s="199">
        <v>58.0</v>
      </c>
      <c r="B437" s="202">
        <f t="shared" si="53"/>
        <v>0</v>
      </c>
      <c r="C437" s="203">
        <f t="shared" si="54"/>
        <v>0</v>
      </c>
      <c r="D437" s="202">
        <f t="shared" si="55"/>
        <v>0</v>
      </c>
      <c r="E437" s="202">
        <f t="shared" si="56"/>
        <v>0</v>
      </c>
    </row>
    <row r="438" ht="14.25" customHeight="1">
      <c r="A438" s="199">
        <v>59.0</v>
      </c>
      <c r="B438" s="202">
        <f t="shared" si="53"/>
        <v>0</v>
      </c>
      <c r="C438" s="203">
        <f t="shared" si="54"/>
        <v>0</v>
      </c>
      <c r="D438" s="202">
        <f t="shared" si="55"/>
        <v>0</v>
      </c>
      <c r="E438" s="202">
        <f t="shared" si="56"/>
        <v>0</v>
      </c>
    </row>
    <row r="439" ht="14.25" customHeight="1">
      <c r="A439" s="204">
        <v>60.0</v>
      </c>
      <c r="B439" s="205">
        <f t="shared" si="53"/>
        <v>0</v>
      </c>
      <c r="C439" s="206">
        <f t="shared" si="54"/>
        <v>0</v>
      </c>
      <c r="D439" s="205">
        <f t="shared" si="55"/>
        <v>0</v>
      </c>
      <c r="E439" s="205">
        <f t="shared" si="56"/>
        <v>0</v>
      </c>
    </row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>
      <c r="A478" s="79" t="s">
        <v>234</v>
      </c>
    </row>
    <row r="479" ht="15.75" customHeight="1">
      <c r="A479" s="79"/>
      <c r="B479" s="79"/>
      <c r="C479" s="79"/>
    </row>
    <row r="480" ht="14.25" customHeight="1"/>
    <row r="481" ht="15.75" customHeight="1">
      <c r="A481" s="210" t="str">
        <f>UPPER("Unidades proyectadas a producir en el año")</f>
        <v>UNIDADES PROYECTADAS A PRODUCIR EN EL AÑO</v>
      </c>
      <c r="B481" s="56"/>
      <c r="C481" s="15"/>
      <c r="D481" s="211">
        <v>1217.0</v>
      </c>
    </row>
    <row r="482" ht="15.75" customHeight="1">
      <c r="A482" s="210" t="str">
        <f>UPPER("Unidades proyectadas a producir en el MES")</f>
        <v>UNIDADES PROYECTADAS A PRODUCIR EN EL MES</v>
      </c>
      <c r="B482" s="56"/>
      <c r="C482" s="15"/>
      <c r="D482" s="212">
        <f>D481/12</f>
        <v>101.4166667</v>
      </c>
    </row>
    <row r="483" ht="15.75" customHeight="1"/>
    <row r="484" ht="15.75" customHeight="1"/>
    <row r="485" ht="15.75" customHeight="1">
      <c r="A485" s="125" t="s">
        <v>235</v>
      </c>
    </row>
    <row r="486" ht="15.0" customHeight="1"/>
    <row r="487" ht="14.25" customHeight="1"/>
    <row r="488" ht="14.25" customHeight="1">
      <c r="A488" s="210" t="str">
        <f>UPPER("Costo de producción por unidad")</f>
        <v>COSTO DE PRODUCCIÓN POR UNIDAD</v>
      </c>
      <c r="B488" s="56"/>
      <c r="C488" s="15"/>
      <c r="D488" s="213">
        <f>E327</f>
        <v>132029.8459</v>
      </c>
    </row>
    <row r="489" ht="14.25" customHeight="1">
      <c r="A489" s="210" t="str">
        <f>UPPER("Margen de utilidad")</f>
        <v>MARGEN DE UTILIDAD</v>
      </c>
      <c r="B489" s="56"/>
      <c r="C489" s="15"/>
      <c r="D489" s="214">
        <f>1-(D488/D490)</f>
        <v>0.3398507707</v>
      </c>
    </row>
    <row r="490" ht="14.25" customHeight="1">
      <c r="A490" s="210" t="str">
        <f>UPPER("Precio estimado de venta")</f>
        <v>PRECIO ESTIMADO DE VENTA</v>
      </c>
      <c r="B490" s="56"/>
      <c r="C490" s="15"/>
      <c r="D490" s="215">
        <v>200000.0</v>
      </c>
    </row>
    <row r="491" ht="14.25" customHeight="1"/>
    <row r="492" ht="14.25" customHeight="1"/>
    <row r="493" ht="14.25" customHeight="1"/>
    <row r="494" ht="14.25" customHeight="1">
      <c r="A494" s="125" t="s">
        <v>101</v>
      </c>
      <c r="D494" s="146" t="s">
        <v>123</v>
      </c>
    </row>
    <row r="495" ht="14.25" customHeight="1">
      <c r="A495" s="125"/>
      <c r="B495" s="125"/>
      <c r="C495" s="125"/>
    </row>
    <row r="496" ht="14.25" customHeight="1"/>
    <row r="497" ht="14.25" customHeight="1">
      <c r="C497" s="216" t="s">
        <v>236</v>
      </c>
      <c r="D497" s="216" t="s">
        <v>237</v>
      </c>
      <c r="E497" s="216" t="s">
        <v>238</v>
      </c>
      <c r="F497" s="216" t="s">
        <v>239</v>
      </c>
      <c r="G497" s="216" t="s">
        <v>240</v>
      </c>
    </row>
    <row r="498" ht="14.25" customHeight="1">
      <c r="A498" s="217" t="s">
        <v>241</v>
      </c>
      <c r="B498" s="15"/>
      <c r="C498" s="218">
        <f>D481</f>
        <v>1217</v>
      </c>
      <c r="D498" s="218">
        <f>ROUNDUP(C498*(1+D499),0)</f>
        <v>1349</v>
      </c>
      <c r="E498" s="218">
        <f t="shared" ref="E498:G498" si="57">D498*(1+E499)</f>
        <v>1507.6424</v>
      </c>
      <c r="F498" s="218">
        <f t="shared" si="57"/>
        <v>1699.716042</v>
      </c>
      <c r="G498" s="218">
        <f t="shared" si="57"/>
        <v>1932.917083</v>
      </c>
    </row>
    <row r="499" ht="14.25" customHeight="1">
      <c r="A499" s="217" t="s">
        <v>242</v>
      </c>
      <c r="B499" s="15"/>
      <c r="C499" s="219" t="s">
        <v>243</v>
      </c>
      <c r="D499" s="220">
        <v>0.10779999999999745</v>
      </c>
      <c r="E499" s="220">
        <v>0.11759999999999948</v>
      </c>
      <c r="F499" s="220">
        <v>0.12739999999999796</v>
      </c>
      <c r="G499" s="220">
        <v>0.13719999999999644</v>
      </c>
    </row>
    <row r="500" ht="14.25" customHeight="1">
      <c r="D500" s="221"/>
      <c r="E500" s="221"/>
      <c r="F500" s="221"/>
      <c r="G500" s="221"/>
    </row>
    <row r="501" ht="14.25" customHeight="1"/>
    <row r="502" ht="14.25" customHeight="1">
      <c r="A502" s="125" t="s">
        <v>103</v>
      </c>
      <c r="H502" s="146" t="s">
        <v>123</v>
      </c>
    </row>
    <row r="503" ht="14.25" customHeight="1"/>
    <row r="504" ht="14.25" customHeight="1"/>
    <row r="505" ht="14.25" customHeight="1">
      <c r="D505" s="222" t="s">
        <v>236</v>
      </c>
      <c r="E505" s="222" t="s">
        <v>237</v>
      </c>
      <c r="F505" s="222" t="s">
        <v>238</v>
      </c>
      <c r="G505" s="222" t="s">
        <v>239</v>
      </c>
      <c r="H505" s="222" t="s">
        <v>240</v>
      </c>
    </row>
    <row r="506" ht="14.25" customHeight="1">
      <c r="A506" s="108" t="str">
        <f>UPPER("Ingresos operacionales por ventas")</f>
        <v>INGRESOS OPERACIONALES POR VENTAS</v>
      </c>
      <c r="B506" s="40"/>
      <c r="C506" s="41"/>
      <c r="D506" s="223">
        <f t="shared" ref="D506:H506" si="58">C498*$D$490</f>
        <v>243400000</v>
      </c>
      <c r="E506" s="223">
        <f t="shared" si="58"/>
        <v>269800000</v>
      </c>
      <c r="F506" s="223">
        <f t="shared" si="58"/>
        <v>301528480</v>
      </c>
      <c r="G506" s="223">
        <f t="shared" si="58"/>
        <v>339943208.4</v>
      </c>
      <c r="H506" s="223">
        <f t="shared" si="58"/>
        <v>386583416.5</v>
      </c>
    </row>
    <row r="507" ht="14.25" customHeight="1">
      <c r="A507" s="224" t="s">
        <v>244</v>
      </c>
      <c r="B507" s="40"/>
      <c r="C507" s="41"/>
      <c r="D507" s="225">
        <f t="shared" ref="D507:H507" si="59">SUM(D508:D511)</f>
        <v>127894322.4</v>
      </c>
      <c r="E507" s="225">
        <f t="shared" si="59"/>
        <v>141703448.3</v>
      </c>
      <c r="F507" s="225">
        <f t="shared" si="59"/>
        <v>158367773.9</v>
      </c>
      <c r="G507" s="225">
        <f t="shared" si="59"/>
        <v>178543828.3</v>
      </c>
      <c r="H507" s="225">
        <f t="shared" si="59"/>
        <v>203040041.5</v>
      </c>
    </row>
    <row r="508" ht="14.25" customHeight="1">
      <c r="A508" s="226" t="s">
        <v>162</v>
      </c>
      <c r="B508" s="40"/>
      <c r="C508" s="41"/>
      <c r="D508" s="130">
        <f>$E$155</f>
        <v>61457822.4</v>
      </c>
      <c r="E508" s="130">
        <f t="shared" ref="E508:H508" si="60">D508*(1+D499)</f>
        <v>68082975.65</v>
      </c>
      <c r="F508" s="130">
        <f t="shared" si="60"/>
        <v>76089533.59</v>
      </c>
      <c r="G508" s="130">
        <f t="shared" si="60"/>
        <v>85783340.17</v>
      </c>
      <c r="H508" s="130">
        <f t="shared" si="60"/>
        <v>97552814.44</v>
      </c>
    </row>
    <row r="509" ht="14.25" customHeight="1">
      <c r="A509" s="226" t="s">
        <v>193</v>
      </c>
      <c r="B509" s="40"/>
      <c r="C509" s="41"/>
      <c r="D509" s="130">
        <f t="shared" ref="D509:H509" si="61">C498*$G$201</f>
        <v>30905000</v>
      </c>
      <c r="E509" s="130">
        <f t="shared" si="61"/>
        <v>34257062.45</v>
      </c>
      <c r="F509" s="130">
        <f t="shared" si="61"/>
        <v>38285692.99</v>
      </c>
      <c r="G509" s="130">
        <f t="shared" si="61"/>
        <v>43163290.28</v>
      </c>
      <c r="H509" s="130">
        <f t="shared" si="61"/>
        <v>49085293.71</v>
      </c>
    </row>
    <row r="510" ht="14.25" customHeight="1">
      <c r="A510" s="226" t="s">
        <v>245</v>
      </c>
      <c r="B510" s="40"/>
      <c r="C510" s="41"/>
      <c r="D510" s="130">
        <f>$D$300</f>
        <v>33097900</v>
      </c>
      <c r="E510" s="130">
        <f t="shared" ref="E510:H510" si="62">D510*(1+D499)</f>
        <v>36665853.62</v>
      </c>
      <c r="F510" s="130">
        <f t="shared" si="62"/>
        <v>40977758.01</v>
      </c>
      <c r="G510" s="130">
        <f t="shared" si="62"/>
        <v>46198324.38</v>
      </c>
      <c r="H510" s="130">
        <f t="shared" si="62"/>
        <v>52536734.48</v>
      </c>
    </row>
    <row r="511" ht="14.25" customHeight="1">
      <c r="A511" s="226" t="s">
        <v>246</v>
      </c>
      <c r="B511" s="40"/>
      <c r="C511" s="41"/>
      <c r="D511" s="130">
        <f>D316</f>
        <v>2433600</v>
      </c>
      <c r="E511" s="130">
        <f t="shared" ref="E511:H511" si="63">(($D$511/$C$498)*D498)</f>
        <v>2697556.615</v>
      </c>
      <c r="F511" s="130">
        <f t="shared" si="63"/>
        <v>3014789.273</v>
      </c>
      <c r="G511" s="130">
        <f t="shared" si="63"/>
        <v>3398873.426</v>
      </c>
      <c r="H511" s="130">
        <f t="shared" si="63"/>
        <v>3865198.86</v>
      </c>
    </row>
    <row r="512" ht="14.25" customHeight="1">
      <c r="A512" s="108" t="s">
        <v>247</v>
      </c>
      <c r="B512" s="40"/>
      <c r="C512" s="41"/>
      <c r="D512" s="133">
        <f t="shared" ref="D512:H512" si="64">D506-D507</f>
        <v>115505677.6</v>
      </c>
      <c r="E512" s="133">
        <f t="shared" si="64"/>
        <v>128096551.7</v>
      </c>
      <c r="F512" s="133">
        <f t="shared" si="64"/>
        <v>143160706.1</v>
      </c>
      <c r="G512" s="133">
        <f t="shared" si="64"/>
        <v>161399380.1</v>
      </c>
      <c r="H512" s="133">
        <f t="shared" si="64"/>
        <v>183543375</v>
      </c>
    </row>
    <row r="513" ht="14.25" customHeight="1">
      <c r="A513" s="224" t="str">
        <f>UPPER("Gastos administrativos y de ventas")</f>
        <v>GASTOS ADMINISTRATIVOS Y DE VENTAS</v>
      </c>
      <c r="B513" s="40"/>
      <c r="C513" s="41"/>
      <c r="D513" s="225">
        <f>$E$265</f>
        <v>32786000</v>
      </c>
      <c r="E513" s="225">
        <f t="shared" ref="E513:H513" si="65">$E$265*(1+D499)</f>
        <v>36320330.8</v>
      </c>
      <c r="F513" s="225">
        <f t="shared" si="65"/>
        <v>36641633.6</v>
      </c>
      <c r="G513" s="225">
        <f t="shared" si="65"/>
        <v>36962936.4</v>
      </c>
      <c r="H513" s="225">
        <f t="shared" si="65"/>
        <v>37284239.2</v>
      </c>
    </row>
    <row r="514" ht="14.25" customHeight="1">
      <c r="A514" s="108" t="s">
        <v>248</v>
      </c>
      <c r="B514" s="40"/>
      <c r="C514" s="41"/>
      <c r="D514" s="133">
        <f t="shared" ref="D514:H514" si="66">D512-D513</f>
        <v>82719677.6</v>
      </c>
      <c r="E514" s="133">
        <f t="shared" si="66"/>
        <v>91776220.86</v>
      </c>
      <c r="F514" s="133">
        <f t="shared" si="66"/>
        <v>106519072.5</v>
      </c>
      <c r="G514" s="133">
        <f t="shared" si="66"/>
        <v>124436443.7</v>
      </c>
      <c r="H514" s="133">
        <f t="shared" si="66"/>
        <v>146259135.8</v>
      </c>
    </row>
    <row r="515" ht="14.25" customHeight="1">
      <c r="A515" s="226" t="s">
        <v>211</v>
      </c>
      <c r="B515" s="40"/>
      <c r="C515" s="41"/>
      <c r="D515" s="130">
        <f>C273</f>
        <v>0</v>
      </c>
      <c r="E515" s="130">
        <f>C274</f>
        <v>0</v>
      </c>
      <c r="F515" s="130">
        <f>C275</f>
        <v>0</v>
      </c>
      <c r="G515" s="130">
        <f>C276</f>
        <v>0</v>
      </c>
      <c r="H515" s="130">
        <f>C277</f>
        <v>0</v>
      </c>
    </row>
    <row r="516" ht="14.25" customHeight="1">
      <c r="A516" s="226" t="s">
        <v>212</v>
      </c>
      <c r="B516" s="40"/>
      <c r="C516" s="41"/>
      <c r="D516" s="130">
        <f t="shared" ref="D516:H516" si="67">D506*0.004</f>
        <v>973600</v>
      </c>
      <c r="E516" s="130">
        <f t="shared" si="67"/>
        <v>1079200</v>
      </c>
      <c r="F516" s="130">
        <f t="shared" si="67"/>
        <v>1206113.92</v>
      </c>
      <c r="G516" s="130">
        <f t="shared" si="67"/>
        <v>1359772.833</v>
      </c>
      <c r="H516" s="130">
        <f t="shared" si="67"/>
        <v>1546333.666</v>
      </c>
    </row>
    <row r="517" ht="14.25" customHeight="1">
      <c r="A517" s="226" t="s">
        <v>249</v>
      </c>
      <c r="B517" s="40"/>
      <c r="C517" s="41"/>
      <c r="D517" s="136"/>
      <c r="E517" s="227"/>
      <c r="F517" s="227"/>
      <c r="G517" s="227"/>
      <c r="H517" s="136"/>
    </row>
    <row r="518" ht="14.25" customHeight="1">
      <c r="A518" s="108" t="s">
        <v>250</v>
      </c>
      <c r="B518" s="40"/>
      <c r="C518" s="41"/>
      <c r="D518" s="133">
        <f t="shared" ref="D518:H518" si="68">D514-SUM(D515:D517)</f>
        <v>81746077.6</v>
      </c>
      <c r="E518" s="133">
        <f t="shared" si="68"/>
        <v>90697020.86</v>
      </c>
      <c r="F518" s="133">
        <f t="shared" si="68"/>
        <v>105312958.6</v>
      </c>
      <c r="G518" s="133">
        <f t="shared" si="68"/>
        <v>123076670.9</v>
      </c>
      <c r="H518" s="133">
        <f t="shared" si="68"/>
        <v>144712802.2</v>
      </c>
    </row>
    <row r="519" ht="14.25" customHeight="1">
      <c r="A519" s="226" t="s">
        <v>251</v>
      </c>
      <c r="B519" s="41"/>
      <c r="C519" s="166">
        <v>0.33</v>
      </c>
      <c r="D519" s="136">
        <f t="shared" ref="D519:H519" si="69">IF(D518&gt;0,D518*$C$519,0)</f>
        <v>26976205.61</v>
      </c>
      <c r="E519" s="136">
        <f t="shared" si="69"/>
        <v>29930016.88</v>
      </c>
      <c r="F519" s="136">
        <f t="shared" si="69"/>
        <v>34753276.34</v>
      </c>
      <c r="G519" s="136">
        <f t="shared" si="69"/>
        <v>40615301.39</v>
      </c>
      <c r="H519" s="136">
        <f t="shared" si="69"/>
        <v>47755224.72</v>
      </c>
    </row>
    <row r="520" ht="14.25" customHeight="1">
      <c r="A520" s="108" t="s">
        <v>252</v>
      </c>
      <c r="B520" s="40"/>
      <c r="C520" s="41"/>
      <c r="D520" s="133">
        <f t="shared" ref="D520:H520" si="70">D518-D519</f>
        <v>54769871.99</v>
      </c>
      <c r="E520" s="133">
        <f t="shared" si="70"/>
        <v>60767003.98</v>
      </c>
      <c r="F520" s="133">
        <f t="shared" si="70"/>
        <v>70559682.27</v>
      </c>
      <c r="G520" s="133">
        <f t="shared" si="70"/>
        <v>82461369.48</v>
      </c>
      <c r="H520" s="133">
        <f t="shared" si="70"/>
        <v>96957577.46</v>
      </c>
    </row>
    <row r="521" ht="14.25" customHeight="1">
      <c r="A521" s="226" t="s">
        <v>253</v>
      </c>
      <c r="B521" s="41"/>
      <c r="C521" s="166">
        <v>0.1</v>
      </c>
      <c r="D521" s="136">
        <f t="shared" ref="D521:H521" si="71">IF(D520&lt;0,0,D520*$C$521)</f>
        <v>5476987.199</v>
      </c>
      <c r="E521" s="136">
        <f t="shared" si="71"/>
        <v>6076700.398</v>
      </c>
      <c r="F521" s="136">
        <f t="shared" si="71"/>
        <v>7055968.227</v>
      </c>
      <c r="G521" s="136">
        <f t="shared" si="71"/>
        <v>8246136.948</v>
      </c>
      <c r="H521" s="136">
        <f t="shared" si="71"/>
        <v>9695757.746</v>
      </c>
    </row>
    <row r="522" ht="14.25" customHeight="1">
      <c r="A522" s="108" t="s">
        <v>254</v>
      </c>
      <c r="B522" s="40"/>
      <c r="C522" s="41"/>
      <c r="D522" s="133">
        <f t="shared" ref="D522:H522" si="72">D520-D521</f>
        <v>49292884.79</v>
      </c>
      <c r="E522" s="133">
        <f t="shared" si="72"/>
        <v>54690303.58</v>
      </c>
      <c r="F522" s="133">
        <f t="shared" si="72"/>
        <v>63503714.05</v>
      </c>
      <c r="G522" s="133">
        <f t="shared" si="72"/>
        <v>74215232.53</v>
      </c>
      <c r="H522" s="133">
        <f t="shared" si="72"/>
        <v>87261819.72</v>
      </c>
    </row>
    <row r="523" ht="14.25" customHeight="1"/>
    <row r="524" ht="14.25" customHeight="1"/>
    <row r="525" ht="14.25" customHeight="1">
      <c r="A525" s="125" t="s">
        <v>105</v>
      </c>
      <c r="I525" s="146" t="s">
        <v>123</v>
      </c>
    </row>
    <row r="526" ht="14.25" customHeight="1"/>
    <row r="527" ht="14.25" customHeight="1">
      <c r="D527" s="194" t="s">
        <v>255</v>
      </c>
      <c r="E527" s="194" t="s">
        <v>256</v>
      </c>
      <c r="F527" s="194" t="s">
        <v>257</v>
      </c>
      <c r="G527" s="194" t="s">
        <v>258</v>
      </c>
      <c r="H527" s="194" t="s">
        <v>259</v>
      </c>
      <c r="I527" s="194" t="s">
        <v>260</v>
      </c>
    </row>
    <row r="528" ht="14.25" customHeight="1">
      <c r="A528" s="228" t="s">
        <v>261</v>
      </c>
      <c r="B528" s="40"/>
      <c r="C528" s="41"/>
      <c r="D528" s="229"/>
      <c r="E528" s="104">
        <f t="shared" ref="E528:I528" si="73">D506</f>
        <v>243400000</v>
      </c>
      <c r="F528" s="104">
        <f t="shared" si="73"/>
        <v>269800000</v>
      </c>
      <c r="G528" s="104">
        <f t="shared" si="73"/>
        <v>301528480</v>
      </c>
      <c r="H528" s="104">
        <f t="shared" si="73"/>
        <v>339943208.4</v>
      </c>
      <c r="I528" s="104">
        <f t="shared" si="73"/>
        <v>386583416.5</v>
      </c>
    </row>
    <row r="529" ht="14.25" customHeight="1">
      <c r="A529" s="226" t="s">
        <v>262</v>
      </c>
      <c r="B529" s="40"/>
      <c r="C529" s="41"/>
      <c r="D529" s="229"/>
      <c r="E529" s="230"/>
      <c r="F529" s="231"/>
      <c r="G529" s="231"/>
      <c r="H529" s="231"/>
      <c r="I529" s="231"/>
    </row>
    <row r="530" ht="14.25" customHeight="1">
      <c r="A530" s="108" t="s">
        <v>263</v>
      </c>
      <c r="B530" s="40"/>
      <c r="C530" s="41"/>
      <c r="D530" s="232"/>
      <c r="E530" s="223">
        <f t="shared" ref="E530:I530" si="74">SUM(E528:E529)</f>
        <v>243400000</v>
      </c>
      <c r="F530" s="223">
        <f t="shared" si="74"/>
        <v>269800000</v>
      </c>
      <c r="G530" s="223">
        <f t="shared" si="74"/>
        <v>301528480</v>
      </c>
      <c r="H530" s="223">
        <f t="shared" si="74"/>
        <v>339943208.4</v>
      </c>
      <c r="I530" s="223">
        <f t="shared" si="74"/>
        <v>386583416.5</v>
      </c>
    </row>
    <row r="531" ht="14.25" customHeight="1">
      <c r="A531" s="186" t="s">
        <v>264</v>
      </c>
      <c r="B531" s="40"/>
      <c r="C531" s="41"/>
      <c r="D531" s="232"/>
      <c r="E531" s="223">
        <f t="shared" ref="E531:I531" si="75">SUM(E532:E536)</f>
        <v>114094322.4</v>
      </c>
      <c r="F531" s="223">
        <f t="shared" si="75"/>
        <v>127903448.3</v>
      </c>
      <c r="G531" s="223">
        <f t="shared" si="75"/>
        <v>144567773.9</v>
      </c>
      <c r="H531" s="223">
        <f t="shared" si="75"/>
        <v>164743828.3</v>
      </c>
      <c r="I531" s="223">
        <f t="shared" si="75"/>
        <v>189240041.5</v>
      </c>
    </row>
    <row r="532" ht="14.25" customHeight="1">
      <c r="A532" s="226" t="s">
        <v>193</v>
      </c>
      <c r="B532" s="40"/>
      <c r="C532" s="41"/>
      <c r="D532" s="229"/>
      <c r="E532" s="104">
        <f>D315</f>
        <v>30905000</v>
      </c>
      <c r="F532" s="104">
        <f t="shared" ref="F532:I532" si="76">E509</f>
        <v>34257062.45</v>
      </c>
      <c r="G532" s="104">
        <f t="shared" si="76"/>
        <v>38285692.99</v>
      </c>
      <c r="H532" s="104">
        <f t="shared" si="76"/>
        <v>43163290.28</v>
      </c>
      <c r="I532" s="104">
        <f t="shared" si="76"/>
        <v>49085293.71</v>
      </c>
    </row>
    <row r="533" ht="14.25" customHeight="1">
      <c r="A533" s="226" t="s">
        <v>162</v>
      </c>
      <c r="B533" s="40"/>
      <c r="C533" s="41"/>
      <c r="D533" s="229"/>
      <c r="E533" s="104">
        <f t="shared" ref="E533:E534" si="78">D299</f>
        <v>61457822.4</v>
      </c>
      <c r="F533" s="104">
        <f t="shared" ref="F533:I533" si="77">E508</f>
        <v>68082975.65</v>
      </c>
      <c r="G533" s="104">
        <f t="shared" si="77"/>
        <v>76089533.59</v>
      </c>
      <c r="H533" s="104">
        <f t="shared" si="77"/>
        <v>85783340.17</v>
      </c>
      <c r="I533" s="104">
        <f t="shared" si="77"/>
        <v>97552814.44</v>
      </c>
    </row>
    <row r="534" ht="14.25" customHeight="1">
      <c r="A534" s="226" t="s">
        <v>214</v>
      </c>
      <c r="B534" s="40"/>
      <c r="C534" s="41"/>
      <c r="D534" s="229"/>
      <c r="E534" s="104">
        <f t="shared" si="78"/>
        <v>33097900</v>
      </c>
      <c r="F534" s="104">
        <f t="shared" ref="F534:I534" si="79">E534*(1+D499)</f>
        <v>36665853.62</v>
      </c>
      <c r="G534" s="104">
        <f t="shared" si="79"/>
        <v>40977758.01</v>
      </c>
      <c r="H534" s="104">
        <f t="shared" si="79"/>
        <v>46198324.38</v>
      </c>
      <c r="I534" s="104">
        <f t="shared" si="79"/>
        <v>52536734.48</v>
      </c>
    </row>
    <row r="535" ht="14.25" customHeight="1">
      <c r="A535" s="226" t="s">
        <v>265</v>
      </c>
      <c r="B535" s="40"/>
      <c r="C535" s="41"/>
      <c r="D535" s="229"/>
      <c r="E535" s="104">
        <f>D316</f>
        <v>2433600</v>
      </c>
      <c r="F535" s="104">
        <f t="shared" ref="F535:I535" si="80">E511</f>
        <v>2697556.615</v>
      </c>
      <c r="G535" s="104">
        <f t="shared" si="80"/>
        <v>3014789.273</v>
      </c>
      <c r="H535" s="104">
        <f t="shared" si="80"/>
        <v>3398873.426</v>
      </c>
      <c r="I535" s="104">
        <f t="shared" si="80"/>
        <v>3865198.86</v>
      </c>
    </row>
    <row r="536" ht="14.25" customHeight="1">
      <c r="A536" s="226" t="s">
        <v>266</v>
      </c>
      <c r="B536" s="40"/>
      <c r="C536" s="41"/>
      <c r="D536" s="229"/>
      <c r="E536" s="104">
        <f t="shared" ref="E536:I536" si="81">-$H$234</f>
        <v>-13800000</v>
      </c>
      <c r="F536" s="104">
        <f t="shared" si="81"/>
        <v>-13800000</v>
      </c>
      <c r="G536" s="104">
        <f t="shared" si="81"/>
        <v>-13800000</v>
      </c>
      <c r="H536" s="104">
        <f t="shared" si="81"/>
        <v>-13800000</v>
      </c>
      <c r="I536" s="104">
        <f t="shared" si="81"/>
        <v>-13800000</v>
      </c>
    </row>
    <row r="537" ht="14.25" customHeight="1">
      <c r="A537" s="108" t="str">
        <f>UPPER("flujo de caja operacional bruto")</f>
        <v>FLUJO DE CAJA OPERACIONAL BRUTO</v>
      </c>
      <c r="B537" s="40"/>
      <c r="C537" s="41"/>
      <c r="D537" s="232"/>
      <c r="E537" s="223">
        <f t="shared" ref="E537:I537" si="82">E530-E531</f>
        <v>129305677.6</v>
      </c>
      <c r="F537" s="223">
        <f t="shared" si="82"/>
        <v>141896551.7</v>
      </c>
      <c r="G537" s="223">
        <f t="shared" si="82"/>
        <v>156960706.1</v>
      </c>
      <c r="H537" s="223">
        <f t="shared" si="82"/>
        <v>175199380.1</v>
      </c>
      <c r="I537" s="223">
        <f t="shared" si="82"/>
        <v>197343375</v>
      </c>
    </row>
    <row r="538" ht="14.25" customHeight="1">
      <c r="A538" s="226" t="s">
        <v>210</v>
      </c>
      <c r="B538" s="40"/>
      <c r="C538" s="41"/>
      <c r="D538" s="229"/>
      <c r="E538" s="104">
        <f>E265</f>
        <v>32786000</v>
      </c>
      <c r="F538" s="104">
        <f t="shared" ref="F538:I538" si="83">E513</f>
        <v>36320330.8</v>
      </c>
      <c r="G538" s="104">
        <f t="shared" si="83"/>
        <v>36641633.6</v>
      </c>
      <c r="H538" s="104">
        <f t="shared" si="83"/>
        <v>36962936.4</v>
      </c>
      <c r="I538" s="104">
        <f t="shared" si="83"/>
        <v>37284239.2</v>
      </c>
    </row>
    <row r="539" ht="14.25" customHeight="1">
      <c r="A539" s="226" t="s">
        <v>267</v>
      </c>
      <c r="B539" s="40"/>
      <c r="C539" s="41"/>
      <c r="D539" s="229"/>
      <c r="E539" s="104">
        <f>-D96</f>
        <v>-410000</v>
      </c>
      <c r="F539" s="104">
        <f t="shared" ref="F539:I539" si="84">E539</f>
        <v>-410000</v>
      </c>
      <c r="G539" s="104">
        <f t="shared" si="84"/>
        <v>-410000</v>
      </c>
      <c r="H539" s="104">
        <f t="shared" si="84"/>
        <v>-410000</v>
      </c>
      <c r="I539" s="104">
        <f t="shared" si="84"/>
        <v>-410000</v>
      </c>
    </row>
    <row r="540" ht="14.25" customHeight="1">
      <c r="A540" s="226" t="s">
        <v>266</v>
      </c>
      <c r="B540" s="40"/>
      <c r="C540" s="41"/>
      <c r="D540" s="229"/>
      <c r="E540" s="104">
        <f>-I234</f>
        <v>-865000</v>
      </c>
      <c r="F540" s="104">
        <f t="shared" ref="F540:I540" si="85">E540</f>
        <v>-865000</v>
      </c>
      <c r="G540" s="104">
        <f t="shared" si="85"/>
        <v>-865000</v>
      </c>
      <c r="H540" s="104">
        <f t="shared" si="85"/>
        <v>-865000</v>
      </c>
      <c r="I540" s="104">
        <f t="shared" si="85"/>
        <v>-865000</v>
      </c>
    </row>
    <row r="541" ht="14.25" customHeight="1">
      <c r="A541" s="226" t="s">
        <v>268</v>
      </c>
      <c r="B541" s="40"/>
      <c r="C541" s="41"/>
      <c r="D541" s="229"/>
      <c r="E541" s="229"/>
      <c r="F541" s="104">
        <f t="shared" ref="F541:I541" si="86">D519</f>
        <v>26976205.61</v>
      </c>
      <c r="G541" s="104">
        <f t="shared" si="86"/>
        <v>29930016.88</v>
      </c>
      <c r="H541" s="104">
        <f t="shared" si="86"/>
        <v>34753276.34</v>
      </c>
      <c r="I541" s="104">
        <f t="shared" si="86"/>
        <v>40615301.39</v>
      </c>
    </row>
    <row r="542" ht="14.25" customHeight="1">
      <c r="A542" s="108" t="s">
        <v>269</v>
      </c>
      <c r="B542" s="40"/>
      <c r="C542" s="41"/>
      <c r="D542" s="232"/>
      <c r="E542" s="223">
        <f>E537-(SUM(E538:E541))</f>
        <v>97794677.6</v>
      </c>
      <c r="F542" s="223">
        <f t="shared" ref="F542:I542" si="87">F537-SUM(F538:F541)</f>
        <v>79875015.25</v>
      </c>
      <c r="G542" s="223">
        <f t="shared" si="87"/>
        <v>91664055.65</v>
      </c>
      <c r="H542" s="223">
        <f t="shared" si="87"/>
        <v>104758167.4</v>
      </c>
      <c r="I542" s="223">
        <f t="shared" si="87"/>
        <v>120718834.5</v>
      </c>
    </row>
    <row r="543" ht="14.25" customHeight="1">
      <c r="A543" s="135" t="s">
        <v>90</v>
      </c>
      <c r="B543" s="40"/>
      <c r="C543" s="41"/>
      <c r="D543" s="104">
        <f>D104</f>
        <v>242527410.2</v>
      </c>
      <c r="E543" s="231"/>
      <c r="F543" s="231"/>
      <c r="G543" s="231"/>
      <c r="H543" s="231"/>
      <c r="I543" s="231"/>
    </row>
    <row r="544" ht="14.25" customHeight="1">
      <c r="A544" s="108" t="s">
        <v>270</v>
      </c>
      <c r="B544" s="40"/>
      <c r="C544" s="41"/>
      <c r="D544" s="223">
        <f t="shared" ref="D544:I544" si="88">D542-D543</f>
        <v>-242527410.2</v>
      </c>
      <c r="E544" s="223">
        <f t="shared" si="88"/>
        <v>97794677.6</v>
      </c>
      <c r="F544" s="223">
        <f t="shared" si="88"/>
        <v>79875015.25</v>
      </c>
      <c r="G544" s="223">
        <f t="shared" si="88"/>
        <v>91664055.65</v>
      </c>
      <c r="H544" s="223">
        <f t="shared" si="88"/>
        <v>104758167.4</v>
      </c>
      <c r="I544" s="223">
        <f t="shared" si="88"/>
        <v>120718834.5</v>
      </c>
    </row>
    <row r="545" ht="14.25" customHeight="1">
      <c r="A545" s="186" t="s">
        <v>271</v>
      </c>
      <c r="B545" s="40"/>
      <c r="C545" s="41"/>
      <c r="D545" s="223">
        <f t="shared" ref="D545:I545" si="89">SUM(D546:D552)</f>
        <v>242527410.2</v>
      </c>
      <c r="E545" s="223">
        <f t="shared" si="89"/>
        <v>-973600</v>
      </c>
      <c r="F545" s="223">
        <f t="shared" si="89"/>
        <v>-1079200</v>
      </c>
      <c r="G545" s="223">
        <f t="shared" si="89"/>
        <v>-1206113.92</v>
      </c>
      <c r="H545" s="223">
        <f t="shared" si="89"/>
        <v>-1359772.833</v>
      </c>
      <c r="I545" s="223">
        <f t="shared" si="89"/>
        <v>-1546333.666</v>
      </c>
    </row>
    <row r="546" ht="14.25" customHeight="1">
      <c r="A546" s="135" t="s">
        <v>272</v>
      </c>
      <c r="B546" s="40"/>
      <c r="C546" s="41"/>
      <c r="D546" s="104">
        <f t="shared" ref="D546:D548" si="90">D105</f>
        <v>242527410.2</v>
      </c>
      <c r="E546" s="229"/>
      <c r="F546" s="229"/>
      <c r="G546" s="229"/>
      <c r="H546" s="229"/>
      <c r="I546" s="229"/>
    </row>
    <row r="547" ht="14.25" customHeight="1">
      <c r="A547" s="135" t="s">
        <v>273</v>
      </c>
      <c r="B547" s="40"/>
      <c r="C547" s="41"/>
      <c r="D547" s="104" t="str">
        <f t="shared" si="90"/>
        <v/>
      </c>
      <c r="E547" s="229"/>
      <c r="F547" s="229"/>
      <c r="G547" s="229"/>
      <c r="H547" s="229"/>
      <c r="I547" s="229"/>
    </row>
    <row r="548" ht="14.25" customHeight="1">
      <c r="A548" s="135" t="s">
        <v>274</v>
      </c>
      <c r="B548" s="40"/>
      <c r="C548" s="41"/>
      <c r="D548" s="104" t="str">
        <f t="shared" si="90"/>
        <v/>
      </c>
      <c r="E548" s="229"/>
      <c r="F548" s="229"/>
      <c r="G548" s="229"/>
      <c r="H548" s="229"/>
      <c r="I548" s="229"/>
    </row>
    <row r="549" ht="14.25" customHeight="1">
      <c r="A549" s="135" t="s">
        <v>275</v>
      </c>
      <c r="B549" s="40"/>
      <c r="C549" s="41"/>
      <c r="D549" s="104"/>
      <c r="E549" s="104">
        <f>-D366</f>
        <v>0</v>
      </c>
      <c r="F549" s="104">
        <f>-D367</f>
        <v>0</v>
      </c>
      <c r="G549" s="104">
        <f>-D368</f>
        <v>0</v>
      </c>
      <c r="H549" s="104">
        <f>-D369</f>
        <v>0</v>
      </c>
      <c r="I549" s="104">
        <f>-D370</f>
        <v>0</v>
      </c>
    </row>
    <row r="550" ht="14.25" customHeight="1">
      <c r="A550" s="135" t="s">
        <v>276</v>
      </c>
      <c r="B550" s="40"/>
      <c r="C550" s="41"/>
      <c r="D550" s="104"/>
      <c r="E550" s="104">
        <f>-C366</f>
        <v>0</v>
      </c>
      <c r="F550" s="104">
        <f>-C367</f>
        <v>0</v>
      </c>
      <c r="G550" s="104">
        <f>-C368</f>
        <v>0</v>
      </c>
      <c r="H550" s="104">
        <f>-C369</f>
        <v>0</v>
      </c>
      <c r="I550" s="104">
        <f>-C370</f>
        <v>0</v>
      </c>
    </row>
    <row r="551" ht="14.25" customHeight="1">
      <c r="A551" s="135" t="s">
        <v>277</v>
      </c>
      <c r="B551" s="40"/>
      <c r="C551" s="41"/>
      <c r="D551" s="104"/>
      <c r="E551" s="104">
        <f t="shared" ref="E551:I551" si="91">-D516</f>
        <v>-973600</v>
      </c>
      <c r="F551" s="104">
        <f t="shared" si="91"/>
        <v>-1079200</v>
      </c>
      <c r="G551" s="104">
        <f t="shared" si="91"/>
        <v>-1206113.92</v>
      </c>
      <c r="H551" s="104">
        <f t="shared" si="91"/>
        <v>-1359772.833</v>
      </c>
      <c r="I551" s="104">
        <f t="shared" si="91"/>
        <v>-1546333.666</v>
      </c>
    </row>
    <row r="552" ht="14.25" customHeight="1">
      <c r="A552" s="135" t="s">
        <v>278</v>
      </c>
      <c r="B552" s="40"/>
      <c r="C552" s="41"/>
      <c r="D552" s="104"/>
      <c r="E552" s="231"/>
      <c r="F552" s="231"/>
      <c r="G552" s="231"/>
      <c r="H552" s="231"/>
      <c r="I552" s="231"/>
    </row>
    <row r="553" ht="14.25" customHeight="1">
      <c r="A553" s="108" t="s">
        <v>279</v>
      </c>
      <c r="B553" s="40"/>
      <c r="C553" s="41"/>
      <c r="D553" s="223">
        <f t="shared" ref="D553:I553" si="92">D544+D545</f>
        <v>0</v>
      </c>
      <c r="E553" s="223">
        <f t="shared" si="92"/>
        <v>96821077.6</v>
      </c>
      <c r="F553" s="223">
        <f t="shared" si="92"/>
        <v>78795815.25</v>
      </c>
      <c r="G553" s="223">
        <f t="shared" si="92"/>
        <v>90457941.73</v>
      </c>
      <c r="H553" s="223">
        <f t="shared" si="92"/>
        <v>103398394.5</v>
      </c>
      <c r="I553" s="223">
        <f t="shared" si="92"/>
        <v>119172500.8</v>
      </c>
    </row>
    <row r="554" ht="14.25" customHeight="1">
      <c r="A554" s="135" t="s">
        <v>280</v>
      </c>
      <c r="B554" s="40"/>
      <c r="C554" s="41"/>
      <c r="D554" s="233"/>
      <c r="E554" s="130">
        <f>E291</f>
        <v>14727410.2</v>
      </c>
      <c r="F554" s="104">
        <f t="shared" ref="F554:I554" si="93">E555</f>
        <v>111548487.8</v>
      </c>
      <c r="G554" s="104">
        <f t="shared" si="93"/>
        <v>190344303.1</v>
      </c>
      <c r="H554" s="104">
        <f t="shared" si="93"/>
        <v>280802244.8</v>
      </c>
      <c r="I554" s="104">
        <f t="shared" si="93"/>
        <v>384200639.3</v>
      </c>
    </row>
    <row r="555" ht="14.25" customHeight="1">
      <c r="A555" s="108" t="s">
        <v>281</v>
      </c>
      <c r="B555" s="40"/>
      <c r="C555" s="41"/>
      <c r="D555" s="223">
        <f>D544+D554</f>
        <v>-242527410.2</v>
      </c>
      <c r="E555" s="223">
        <f t="shared" ref="E555:I555" si="94">E553+E554</f>
        <v>111548487.8</v>
      </c>
      <c r="F555" s="223">
        <f t="shared" si="94"/>
        <v>190344303.1</v>
      </c>
      <c r="G555" s="223">
        <f t="shared" si="94"/>
        <v>280802244.8</v>
      </c>
      <c r="H555" s="223">
        <f t="shared" si="94"/>
        <v>384200639.3</v>
      </c>
      <c r="I555" s="223">
        <f t="shared" si="94"/>
        <v>503373140.1</v>
      </c>
    </row>
    <row r="556" ht="14.25" customHeight="1"/>
    <row r="557" ht="14.25" customHeight="1"/>
    <row r="558" ht="14.25" customHeight="1"/>
    <row r="559" ht="14.25" customHeight="1">
      <c r="A559" s="125" t="s">
        <v>107</v>
      </c>
      <c r="I559" s="146" t="s">
        <v>123</v>
      </c>
    </row>
    <row r="560" ht="14.25" customHeight="1"/>
    <row r="561" ht="14.25" customHeight="1">
      <c r="D561" s="216" t="s">
        <v>255</v>
      </c>
      <c r="E561" s="216" t="s">
        <v>256</v>
      </c>
      <c r="F561" s="216" t="s">
        <v>257</v>
      </c>
      <c r="G561" s="216" t="s">
        <v>258</v>
      </c>
      <c r="H561" s="216" t="s">
        <v>259</v>
      </c>
      <c r="I561" s="216" t="s">
        <v>260</v>
      </c>
    </row>
    <row r="562" ht="14.25" customHeight="1">
      <c r="A562" s="234" t="s">
        <v>282</v>
      </c>
      <c r="B562" s="40"/>
      <c r="C562" s="41"/>
      <c r="D562" s="235">
        <f>E554</f>
        <v>14727410.2</v>
      </c>
      <c r="E562" s="235">
        <f t="shared" ref="E562:I562" si="95">E555</f>
        <v>111548487.8</v>
      </c>
      <c r="F562" s="235">
        <f t="shared" si="95"/>
        <v>190344303.1</v>
      </c>
      <c r="G562" s="235">
        <f t="shared" si="95"/>
        <v>280802244.8</v>
      </c>
      <c r="H562" s="235">
        <f t="shared" si="95"/>
        <v>384200639.3</v>
      </c>
      <c r="I562" s="235">
        <f t="shared" si="95"/>
        <v>503373140.1</v>
      </c>
    </row>
    <row r="563" ht="14.25" customHeight="1">
      <c r="A563" s="236" t="s">
        <v>283</v>
      </c>
      <c r="B563" s="237"/>
      <c r="C563" s="238"/>
      <c r="D563" s="239">
        <f t="shared" ref="D563:I563" si="96">D562</f>
        <v>14727410.2</v>
      </c>
      <c r="E563" s="239">
        <f t="shared" si="96"/>
        <v>111548487.8</v>
      </c>
      <c r="F563" s="239">
        <f t="shared" si="96"/>
        <v>190344303.1</v>
      </c>
      <c r="G563" s="239">
        <f t="shared" si="96"/>
        <v>280802244.8</v>
      </c>
      <c r="H563" s="239">
        <f t="shared" si="96"/>
        <v>384200639.3</v>
      </c>
      <c r="I563" s="239">
        <f t="shared" si="96"/>
        <v>503373140.1</v>
      </c>
    </row>
    <row r="564" ht="14.25" customHeight="1">
      <c r="A564" s="240" t="s">
        <v>284</v>
      </c>
      <c r="B564" s="56"/>
      <c r="C564" s="15"/>
      <c r="D564" s="241">
        <f t="shared" ref="D564:I564" si="97">$H$38</f>
        <v>0</v>
      </c>
      <c r="E564" s="241">
        <f t="shared" si="97"/>
        <v>0</v>
      </c>
      <c r="F564" s="241">
        <f t="shared" si="97"/>
        <v>0</v>
      </c>
      <c r="G564" s="241">
        <f t="shared" si="97"/>
        <v>0</v>
      </c>
      <c r="H564" s="241">
        <f t="shared" si="97"/>
        <v>0</v>
      </c>
      <c r="I564" s="241">
        <f t="shared" si="97"/>
        <v>0</v>
      </c>
    </row>
    <row r="565" ht="14.25" customHeight="1">
      <c r="A565" s="240" t="s">
        <v>130</v>
      </c>
      <c r="B565" s="56"/>
      <c r="C565" s="15"/>
      <c r="D565" s="241">
        <f t="shared" ref="D565:I565" si="98">$H$42</f>
        <v>200000000</v>
      </c>
      <c r="E565" s="241">
        <f t="shared" si="98"/>
        <v>200000000</v>
      </c>
      <c r="F565" s="241">
        <f t="shared" si="98"/>
        <v>200000000</v>
      </c>
      <c r="G565" s="241">
        <f t="shared" si="98"/>
        <v>200000000</v>
      </c>
      <c r="H565" s="241">
        <f t="shared" si="98"/>
        <v>200000000</v>
      </c>
      <c r="I565" s="241">
        <f t="shared" si="98"/>
        <v>200000000</v>
      </c>
    </row>
    <row r="566" ht="14.25" customHeight="1">
      <c r="A566" s="240" t="s">
        <v>285</v>
      </c>
      <c r="B566" s="56"/>
      <c r="C566" s="15"/>
      <c r="D566" s="241">
        <f t="shared" ref="D566:I566" si="99">$H$53</f>
        <v>4850000</v>
      </c>
      <c r="E566" s="241">
        <f t="shared" si="99"/>
        <v>4850000</v>
      </c>
      <c r="F566" s="241">
        <f t="shared" si="99"/>
        <v>4850000</v>
      </c>
      <c r="G566" s="241">
        <f t="shared" si="99"/>
        <v>4850000</v>
      </c>
      <c r="H566" s="241">
        <f t="shared" si="99"/>
        <v>4850000</v>
      </c>
      <c r="I566" s="241">
        <f t="shared" si="99"/>
        <v>4850000</v>
      </c>
    </row>
    <row r="567" ht="14.25" customHeight="1">
      <c r="A567" s="240" t="s">
        <v>136</v>
      </c>
      <c r="B567" s="56"/>
      <c r="C567" s="15"/>
      <c r="D567" s="241">
        <f t="shared" ref="D567:I567" si="100">$H$64</f>
        <v>19000000</v>
      </c>
      <c r="E567" s="241">
        <f t="shared" si="100"/>
        <v>19000000</v>
      </c>
      <c r="F567" s="241">
        <f t="shared" si="100"/>
        <v>19000000</v>
      </c>
      <c r="G567" s="241">
        <f t="shared" si="100"/>
        <v>19000000</v>
      </c>
      <c r="H567" s="241">
        <f t="shared" si="100"/>
        <v>19000000</v>
      </c>
      <c r="I567" s="241">
        <f t="shared" si="100"/>
        <v>19000000</v>
      </c>
    </row>
    <row r="568" ht="14.25" customHeight="1">
      <c r="A568" s="240" t="s">
        <v>140</v>
      </c>
      <c r="B568" s="56"/>
      <c r="C568" s="15"/>
      <c r="D568" s="241">
        <f t="shared" ref="D568:I568" si="101">$H$75</f>
        <v>1900000</v>
      </c>
      <c r="E568" s="241">
        <f t="shared" si="101"/>
        <v>1900000</v>
      </c>
      <c r="F568" s="241">
        <f t="shared" si="101"/>
        <v>1900000</v>
      </c>
      <c r="G568" s="241">
        <f t="shared" si="101"/>
        <v>1900000</v>
      </c>
      <c r="H568" s="241">
        <f t="shared" si="101"/>
        <v>1900000</v>
      </c>
      <c r="I568" s="241">
        <f t="shared" si="101"/>
        <v>1900000</v>
      </c>
    </row>
    <row r="569" ht="14.25" customHeight="1">
      <c r="A569" s="240" t="s">
        <v>143</v>
      </c>
      <c r="B569" s="56"/>
      <c r="C569" s="15"/>
      <c r="D569" s="241">
        <f t="shared" ref="D569:I569" si="102">$H$79</f>
        <v>0</v>
      </c>
      <c r="E569" s="241">
        <f t="shared" si="102"/>
        <v>0</v>
      </c>
      <c r="F569" s="241">
        <f t="shared" si="102"/>
        <v>0</v>
      </c>
      <c r="G569" s="241">
        <f t="shared" si="102"/>
        <v>0</v>
      </c>
      <c r="H569" s="241">
        <f t="shared" si="102"/>
        <v>0</v>
      </c>
      <c r="I569" s="241">
        <f t="shared" si="102"/>
        <v>0</v>
      </c>
    </row>
    <row r="570" ht="14.25" customHeight="1">
      <c r="A570" s="242" t="s">
        <v>286</v>
      </c>
      <c r="B570" s="56"/>
      <c r="C570" s="15"/>
      <c r="D570" s="241">
        <f t="shared" ref="D570:E570" si="103">D536+D540</f>
        <v>0</v>
      </c>
      <c r="E570" s="241">
        <f t="shared" si="103"/>
        <v>-14665000</v>
      </c>
      <c r="F570" s="241">
        <f t="shared" ref="F570:I570" si="104">F536+F540+E570</f>
        <v>-29330000</v>
      </c>
      <c r="G570" s="241">
        <f t="shared" si="104"/>
        <v>-43995000</v>
      </c>
      <c r="H570" s="241">
        <f t="shared" si="104"/>
        <v>-58660000</v>
      </c>
      <c r="I570" s="241">
        <f t="shared" si="104"/>
        <v>-73325000</v>
      </c>
    </row>
    <row r="571" ht="14.25" customHeight="1">
      <c r="A571" s="217" t="s">
        <v>287</v>
      </c>
      <c r="B571" s="56"/>
      <c r="C571" s="15"/>
      <c r="D571" s="243">
        <f t="shared" ref="D571:I571" si="105">SUM(D564:D570)</f>
        <v>225750000</v>
      </c>
      <c r="E571" s="243">
        <f t="shared" si="105"/>
        <v>211085000</v>
      </c>
      <c r="F571" s="243">
        <f t="shared" si="105"/>
        <v>196420000</v>
      </c>
      <c r="G571" s="243">
        <f t="shared" si="105"/>
        <v>181755000</v>
      </c>
      <c r="H571" s="243">
        <f t="shared" si="105"/>
        <v>167090000</v>
      </c>
      <c r="I571" s="243">
        <f t="shared" si="105"/>
        <v>152425000</v>
      </c>
    </row>
    <row r="572" ht="14.25" customHeight="1">
      <c r="A572" s="240" t="s">
        <v>288</v>
      </c>
      <c r="B572" s="56"/>
      <c r="C572" s="15"/>
      <c r="D572" s="244">
        <f t="shared" ref="D572:I572" si="106">$D$97</f>
        <v>2050000</v>
      </c>
      <c r="E572" s="244">
        <f t="shared" si="106"/>
        <v>2050000</v>
      </c>
      <c r="F572" s="244">
        <f t="shared" si="106"/>
        <v>2050000</v>
      </c>
      <c r="G572" s="244">
        <f t="shared" si="106"/>
        <v>2050000</v>
      </c>
      <c r="H572" s="244">
        <f t="shared" si="106"/>
        <v>2050000</v>
      </c>
      <c r="I572" s="244">
        <f t="shared" si="106"/>
        <v>2050000</v>
      </c>
    </row>
    <row r="573" ht="14.25" customHeight="1">
      <c r="A573" s="240" t="s">
        <v>289</v>
      </c>
      <c r="B573" s="56"/>
      <c r="C573" s="15"/>
      <c r="D573" s="244"/>
      <c r="E573" s="244">
        <f>E539</f>
        <v>-410000</v>
      </c>
      <c r="F573" s="244">
        <f t="shared" ref="F573:I573" si="107">E573+F539</f>
        <v>-820000</v>
      </c>
      <c r="G573" s="244">
        <f t="shared" si="107"/>
        <v>-1230000</v>
      </c>
      <c r="H573" s="244">
        <f t="shared" si="107"/>
        <v>-1640000</v>
      </c>
      <c r="I573" s="244">
        <f t="shared" si="107"/>
        <v>-2050000</v>
      </c>
    </row>
    <row r="574" ht="14.25" customHeight="1">
      <c r="A574" s="217" t="s">
        <v>290</v>
      </c>
      <c r="B574" s="56"/>
      <c r="C574" s="15"/>
      <c r="D574" s="243">
        <f t="shared" ref="D574:I574" si="108">D573+D572</f>
        <v>2050000</v>
      </c>
      <c r="E574" s="243">
        <f t="shared" si="108"/>
        <v>1640000</v>
      </c>
      <c r="F574" s="243">
        <f t="shared" si="108"/>
        <v>1230000</v>
      </c>
      <c r="G574" s="243">
        <f t="shared" si="108"/>
        <v>820000</v>
      </c>
      <c r="H574" s="243">
        <f t="shared" si="108"/>
        <v>410000</v>
      </c>
      <c r="I574" s="243">
        <f t="shared" si="108"/>
        <v>0</v>
      </c>
    </row>
    <row r="575" ht="14.25" customHeight="1">
      <c r="A575" s="245" t="s">
        <v>291</v>
      </c>
      <c r="B575" s="56"/>
      <c r="C575" s="15"/>
      <c r="D575" s="246">
        <f t="shared" ref="D575:I575" si="109">D574+D571+D563</f>
        <v>242527410.2</v>
      </c>
      <c r="E575" s="246">
        <f t="shared" si="109"/>
        <v>324273487.8</v>
      </c>
      <c r="F575" s="246">
        <f t="shared" si="109"/>
        <v>387994303.1</v>
      </c>
      <c r="G575" s="246">
        <f t="shared" si="109"/>
        <v>463377244.8</v>
      </c>
      <c r="H575" s="246">
        <f t="shared" si="109"/>
        <v>551700639.3</v>
      </c>
      <c r="I575" s="246">
        <f t="shared" si="109"/>
        <v>655798140.1</v>
      </c>
    </row>
    <row r="576" ht="14.25" customHeight="1">
      <c r="A576" s="240" t="s">
        <v>292</v>
      </c>
      <c r="B576" s="56"/>
      <c r="C576" s="15"/>
      <c r="D576" s="241">
        <f>D366</f>
        <v>0</v>
      </c>
      <c r="E576" s="241">
        <f t="shared" ref="E576:I576" si="110">D367</f>
        <v>0</v>
      </c>
      <c r="F576" s="241">
        <f t="shared" si="110"/>
        <v>0</v>
      </c>
      <c r="G576" s="241" t="str">
        <f t="shared" si="110"/>
        <v/>
      </c>
      <c r="H576" s="241" t="str">
        <f t="shared" si="110"/>
        <v/>
      </c>
      <c r="I576" s="241" t="str">
        <f t="shared" si="110"/>
        <v/>
      </c>
    </row>
    <row r="577" ht="14.25" customHeight="1">
      <c r="A577" s="240" t="s">
        <v>293</v>
      </c>
      <c r="B577" s="56"/>
      <c r="C577" s="15"/>
      <c r="D577" s="241"/>
      <c r="E577" s="241">
        <f t="shared" ref="E577:I577" si="111">D519</f>
        <v>26976205.61</v>
      </c>
      <c r="F577" s="241">
        <f t="shared" si="111"/>
        <v>29930016.88</v>
      </c>
      <c r="G577" s="241">
        <f t="shared" si="111"/>
        <v>34753276.34</v>
      </c>
      <c r="H577" s="241">
        <f t="shared" si="111"/>
        <v>40615301.39</v>
      </c>
      <c r="I577" s="241">
        <f t="shared" si="111"/>
        <v>47755224.72</v>
      </c>
    </row>
    <row r="578" ht="14.25" customHeight="1">
      <c r="A578" s="217" t="s">
        <v>294</v>
      </c>
      <c r="B578" s="56"/>
      <c r="C578" s="15"/>
      <c r="D578" s="243">
        <f>D576-D577</f>
        <v>0</v>
      </c>
      <c r="E578" s="243">
        <f t="shared" ref="E578:I578" si="112">E576+E577</f>
        <v>26976205.61</v>
      </c>
      <c r="F578" s="243">
        <f t="shared" si="112"/>
        <v>29930016.88</v>
      </c>
      <c r="G578" s="243">
        <f t="shared" si="112"/>
        <v>34753276.34</v>
      </c>
      <c r="H578" s="243">
        <f t="shared" si="112"/>
        <v>40615301.39</v>
      </c>
      <c r="I578" s="243">
        <f t="shared" si="112"/>
        <v>47755224.72</v>
      </c>
    </row>
    <row r="579" ht="14.25" customHeight="1">
      <c r="A579" s="142" t="s">
        <v>295</v>
      </c>
      <c r="B579" s="56"/>
      <c r="C579" s="15"/>
      <c r="D579" s="241">
        <f>E366</f>
        <v>0</v>
      </c>
      <c r="E579" s="241">
        <f t="shared" ref="E579:I579" si="113">E367</f>
        <v>0</v>
      </c>
      <c r="F579" s="241" t="str">
        <f t="shared" si="113"/>
        <v/>
      </c>
      <c r="G579" s="241" t="str">
        <f t="shared" si="113"/>
        <v/>
      </c>
      <c r="H579" s="241" t="str">
        <f t="shared" si="113"/>
        <v/>
      </c>
      <c r="I579" s="241" t="str">
        <f t="shared" si="113"/>
        <v/>
      </c>
    </row>
    <row r="580" ht="14.25" customHeight="1">
      <c r="A580" s="245" t="s">
        <v>296</v>
      </c>
      <c r="B580" s="56"/>
      <c r="C580" s="15"/>
      <c r="D580" s="243">
        <f t="shared" ref="D580:I580" si="114">D579+D578</f>
        <v>0</v>
      </c>
      <c r="E580" s="243">
        <f t="shared" si="114"/>
        <v>26976205.61</v>
      </c>
      <c r="F580" s="243">
        <f t="shared" si="114"/>
        <v>29930016.88</v>
      </c>
      <c r="G580" s="243">
        <f t="shared" si="114"/>
        <v>34753276.34</v>
      </c>
      <c r="H580" s="243">
        <f t="shared" si="114"/>
        <v>40615301.39</v>
      </c>
      <c r="I580" s="243">
        <f t="shared" si="114"/>
        <v>47755224.72</v>
      </c>
    </row>
    <row r="581" ht="14.25" customHeight="1">
      <c r="A581" s="142" t="s">
        <v>272</v>
      </c>
      <c r="B581" s="56"/>
      <c r="C581" s="15"/>
      <c r="D581" s="241">
        <f>D105</f>
        <v>242527410.2</v>
      </c>
      <c r="E581" s="241">
        <f t="shared" ref="E581:I581" si="115">D581</f>
        <v>242527410.2</v>
      </c>
      <c r="F581" s="241">
        <f t="shared" si="115"/>
        <v>242527410.2</v>
      </c>
      <c r="G581" s="241">
        <f t="shared" si="115"/>
        <v>242527410.2</v>
      </c>
      <c r="H581" s="241">
        <f t="shared" si="115"/>
        <v>242527410.2</v>
      </c>
      <c r="I581" s="241">
        <f t="shared" si="115"/>
        <v>242527410.2</v>
      </c>
    </row>
    <row r="582" ht="14.25" customHeight="1">
      <c r="A582" s="142" t="s">
        <v>297</v>
      </c>
      <c r="B582" s="56"/>
      <c r="C582" s="15"/>
      <c r="D582" s="241"/>
      <c r="E582" s="241">
        <f>D522</f>
        <v>49292884.79</v>
      </c>
      <c r="F582" s="241">
        <f t="shared" ref="F582:I582" si="116">E522+E582</f>
        <v>103983188.4</v>
      </c>
      <c r="G582" s="241">
        <f t="shared" si="116"/>
        <v>167486902.4</v>
      </c>
      <c r="H582" s="241">
        <f t="shared" si="116"/>
        <v>241702135</v>
      </c>
      <c r="I582" s="241">
        <f t="shared" si="116"/>
        <v>328963954.7</v>
      </c>
    </row>
    <row r="583" ht="14.25" customHeight="1">
      <c r="A583" s="142" t="s">
        <v>298</v>
      </c>
      <c r="B583" s="56"/>
      <c r="C583" s="15"/>
      <c r="D583" s="241"/>
      <c r="E583" s="241">
        <f>D521</f>
        <v>5476987.199</v>
      </c>
      <c r="F583" s="241">
        <f t="shared" ref="F583:I583" si="117">E583+E521</f>
        <v>11553687.6</v>
      </c>
      <c r="G583" s="241">
        <f t="shared" si="117"/>
        <v>18609655.82</v>
      </c>
      <c r="H583" s="241">
        <f t="shared" si="117"/>
        <v>26855792.77</v>
      </c>
      <c r="I583" s="241">
        <f t="shared" si="117"/>
        <v>36551550.52</v>
      </c>
    </row>
    <row r="584" ht="14.25" customHeight="1">
      <c r="A584" s="245" t="s">
        <v>299</v>
      </c>
      <c r="B584" s="56"/>
      <c r="C584" s="15"/>
      <c r="D584" s="243">
        <f t="shared" ref="D584:I584" si="118">SUM(D581:D583)</f>
        <v>242527410.2</v>
      </c>
      <c r="E584" s="243">
        <f t="shared" si="118"/>
        <v>297297282.2</v>
      </c>
      <c r="F584" s="243">
        <f t="shared" si="118"/>
        <v>358064286.2</v>
      </c>
      <c r="G584" s="243">
        <f t="shared" si="118"/>
        <v>428623968.4</v>
      </c>
      <c r="H584" s="243">
        <f t="shared" si="118"/>
        <v>511085337.9</v>
      </c>
      <c r="I584" s="243">
        <f t="shared" si="118"/>
        <v>608042915.4</v>
      </c>
    </row>
    <row r="585" ht="14.25" customHeight="1">
      <c r="A585" s="245" t="s">
        <v>300</v>
      </c>
      <c r="B585" s="56"/>
      <c r="C585" s="15"/>
      <c r="D585" s="243">
        <f t="shared" ref="D585:I585" si="119">D584+D580</f>
        <v>242527410.2</v>
      </c>
      <c r="E585" s="243">
        <f t="shared" si="119"/>
        <v>324273487.8</v>
      </c>
      <c r="F585" s="243">
        <f t="shared" si="119"/>
        <v>387994303.1</v>
      </c>
      <c r="G585" s="243">
        <f t="shared" si="119"/>
        <v>463377244.8</v>
      </c>
      <c r="H585" s="243">
        <f t="shared" si="119"/>
        <v>551700639.3</v>
      </c>
      <c r="I585" s="243">
        <f t="shared" si="119"/>
        <v>655798140.1</v>
      </c>
    </row>
    <row r="586" ht="14.25" customHeight="1"/>
    <row r="587" ht="14.25" customHeight="1"/>
    <row r="588" ht="14.25" customHeight="1">
      <c r="A588" s="125" t="s">
        <v>109</v>
      </c>
      <c r="I588" s="146" t="s">
        <v>123</v>
      </c>
    </row>
    <row r="589" ht="14.25" customHeight="1"/>
    <row r="590" ht="14.25" customHeight="1">
      <c r="A590" s="217" t="s">
        <v>300</v>
      </c>
      <c r="B590" s="56"/>
      <c r="C590" s="15"/>
      <c r="D590" s="247">
        <f t="shared" ref="D590:I590" si="120">D575-D585</f>
        <v>0</v>
      </c>
      <c r="E590" s="243">
        <f t="shared" si="120"/>
        <v>0.00000005960464478</v>
      </c>
      <c r="F590" s="247">
        <f t="shared" si="120"/>
        <v>0</v>
      </c>
      <c r="G590" s="247">
        <f t="shared" si="120"/>
        <v>0</v>
      </c>
      <c r="H590" s="247">
        <f t="shared" si="120"/>
        <v>0</v>
      </c>
      <c r="I590" s="247">
        <f t="shared" si="120"/>
        <v>0</v>
      </c>
    </row>
    <row r="591" ht="14.25" customHeight="1"/>
    <row r="592" ht="14.25" customHeight="1">
      <c r="A592" s="248" t="s">
        <v>301</v>
      </c>
    </row>
    <row r="593" ht="14.25" customHeight="1"/>
    <row r="594" ht="14.25" customHeight="1"/>
    <row r="595" ht="14.25" customHeight="1">
      <c r="A595" s="125" t="s">
        <v>111</v>
      </c>
      <c r="H595" s="146" t="s">
        <v>123</v>
      </c>
    </row>
    <row r="596" ht="14.25" customHeight="1">
      <c r="A596" s="125"/>
      <c r="B596" s="125"/>
      <c r="C596" s="125"/>
    </row>
    <row r="597" ht="14.25" customHeight="1">
      <c r="D597" s="222" t="s">
        <v>256</v>
      </c>
      <c r="E597" s="222" t="s">
        <v>257</v>
      </c>
      <c r="F597" s="222" t="s">
        <v>258</v>
      </c>
      <c r="G597" s="222" t="s">
        <v>259</v>
      </c>
      <c r="H597" s="222" t="s">
        <v>260</v>
      </c>
    </row>
    <row r="598" ht="14.25" customHeight="1">
      <c r="A598" s="249" t="s">
        <v>302</v>
      </c>
      <c r="B598" s="56"/>
      <c r="C598" s="15"/>
      <c r="D598" s="250">
        <f t="shared" ref="D598:H598" si="121">E563/E578</f>
        <v>4.135069602</v>
      </c>
      <c r="E598" s="250">
        <f t="shared" si="121"/>
        <v>6.359645696</v>
      </c>
      <c r="F598" s="250">
        <f t="shared" si="121"/>
        <v>8.07987834</v>
      </c>
      <c r="G598" s="250">
        <f t="shared" si="121"/>
        <v>9.459504822</v>
      </c>
      <c r="H598" s="250">
        <f t="shared" si="121"/>
        <v>10.54069252</v>
      </c>
    </row>
    <row r="599" ht="14.25" customHeight="1">
      <c r="A599" s="249" t="s">
        <v>303</v>
      </c>
      <c r="B599" s="56"/>
      <c r="C599" s="15"/>
      <c r="D599" s="251">
        <f t="shared" ref="D599:H599" si="122">E580/E575</f>
        <v>0.0831896736</v>
      </c>
      <c r="E599" s="251">
        <f t="shared" si="122"/>
        <v>0.07714035141</v>
      </c>
      <c r="F599" s="251">
        <f t="shared" si="122"/>
        <v>0.07499996328</v>
      </c>
      <c r="G599" s="251">
        <f t="shared" si="122"/>
        <v>0.07361836926</v>
      </c>
      <c r="H599" s="251">
        <f t="shared" si="122"/>
        <v>0.07282000634</v>
      </c>
    </row>
    <row r="600" ht="14.25" customHeight="1">
      <c r="A600" s="249" t="s">
        <v>304</v>
      </c>
      <c r="B600" s="56"/>
      <c r="C600" s="15"/>
      <c r="D600" s="250">
        <f t="shared" ref="D600:H600" si="123">D506/E575</f>
        <v>0.750600987</v>
      </c>
      <c r="E600" s="250">
        <f t="shared" si="123"/>
        <v>0.6953710348</v>
      </c>
      <c r="F600" s="250">
        <f t="shared" si="123"/>
        <v>0.6507192215</v>
      </c>
      <c r="G600" s="250">
        <f t="shared" si="123"/>
        <v>0.6161733087</v>
      </c>
      <c r="H600" s="250">
        <f t="shared" si="123"/>
        <v>0.5894853811</v>
      </c>
    </row>
    <row r="601" ht="14.25" customHeight="1">
      <c r="A601" s="249" t="s">
        <v>305</v>
      </c>
      <c r="B601" s="56"/>
      <c r="C601" s="15"/>
      <c r="D601" s="251">
        <f t="shared" ref="D601:H601" si="124">D512/D506</f>
        <v>0.4745508529</v>
      </c>
      <c r="E601" s="251">
        <f t="shared" si="124"/>
        <v>0.4747833642</v>
      </c>
      <c r="F601" s="251">
        <f t="shared" si="124"/>
        <v>0.4747833642</v>
      </c>
      <c r="G601" s="251">
        <f t="shared" si="124"/>
        <v>0.4747833642</v>
      </c>
      <c r="H601" s="251">
        <f t="shared" si="124"/>
        <v>0.4747833642</v>
      </c>
    </row>
    <row r="602" ht="14.25" customHeight="1">
      <c r="A602" s="249" t="s">
        <v>306</v>
      </c>
      <c r="B602" s="56"/>
      <c r="C602" s="15"/>
      <c r="D602" s="251">
        <f t="shared" ref="D602:H602" si="125">D520/D506</f>
        <v>0.2250200164</v>
      </c>
      <c r="E602" s="251">
        <f t="shared" si="125"/>
        <v>0.2252298146</v>
      </c>
      <c r="F602" s="251">
        <f t="shared" si="125"/>
        <v>0.2340066924</v>
      </c>
      <c r="G602" s="251">
        <f t="shared" si="125"/>
        <v>0.2425739578</v>
      </c>
      <c r="H602" s="251">
        <f t="shared" si="125"/>
        <v>0.2508063546</v>
      </c>
    </row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>
      <c r="A636" s="79" t="s">
        <v>307</v>
      </c>
    </row>
    <row r="637" ht="14.25" customHeight="1">
      <c r="A637" s="79"/>
      <c r="B637" s="79"/>
      <c r="C637" s="79"/>
    </row>
    <row r="638" ht="14.25" customHeight="1"/>
    <row r="639" ht="14.25" customHeight="1">
      <c r="D639" s="222" t="s">
        <v>255</v>
      </c>
      <c r="E639" s="222" t="s">
        <v>256</v>
      </c>
      <c r="F639" s="222" t="s">
        <v>257</v>
      </c>
      <c r="G639" s="222" t="s">
        <v>258</v>
      </c>
      <c r="H639" s="222" t="s">
        <v>259</v>
      </c>
      <c r="I639" s="222" t="s">
        <v>260</v>
      </c>
    </row>
    <row r="640" ht="14.25" customHeight="1">
      <c r="A640" s="217" t="s">
        <v>270</v>
      </c>
      <c r="B640" s="56"/>
      <c r="C640" s="15"/>
      <c r="D640" s="247">
        <f t="shared" ref="D640:I640" si="126">D544</f>
        <v>-242527410.2</v>
      </c>
      <c r="E640" s="247">
        <f t="shared" si="126"/>
        <v>97794677.6</v>
      </c>
      <c r="F640" s="247">
        <f t="shared" si="126"/>
        <v>79875015.25</v>
      </c>
      <c r="G640" s="247">
        <f t="shared" si="126"/>
        <v>91664055.65</v>
      </c>
      <c r="H640" s="247">
        <f t="shared" si="126"/>
        <v>104758167.4</v>
      </c>
      <c r="I640" s="247">
        <f t="shared" si="126"/>
        <v>120718834.5</v>
      </c>
    </row>
    <row r="641" ht="14.25" customHeight="1"/>
    <row r="642" ht="14.25" customHeight="1"/>
    <row r="643" ht="14.25" customHeight="1"/>
    <row r="644" ht="14.25" customHeight="1">
      <c r="A644" s="125" t="s">
        <v>118</v>
      </c>
      <c r="D644" s="146" t="s">
        <v>123</v>
      </c>
    </row>
    <row r="645" ht="14.25" customHeight="1">
      <c r="A645" s="125"/>
      <c r="B645" s="125"/>
      <c r="C645" s="125"/>
    </row>
    <row r="646" ht="14.25" customHeight="1"/>
    <row r="647" ht="14.25" customHeight="1">
      <c r="C647" s="252" t="s">
        <v>308</v>
      </c>
    </row>
    <row r="648" ht="14.25" customHeight="1">
      <c r="A648" s="252" t="s">
        <v>309</v>
      </c>
      <c r="B648" s="253">
        <v>0.10855</v>
      </c>
      <c r="C648" s="254">
        <f>((1+B648)*(1+B649))-1</f>
        <v>0.219405</v>
      </c>
      <c r="D648" s="78" t="s">
        <v>310</v>
      </c>
    </row>
    <row r="649" ht="14.25" customHeight="1">
      <c r="A649" s="252" t="s">
        <v>311</v>
      </c>
      <c r="B649" s="255">
        <v>0.1</v>
      </c>
      <c r="C649" s="65"/>
    </row>
    <row r="650" ht="14.25" customHeight="1"/>
    <row r="651" ht="14.25" customHeight="1"/>
    <row r="652" ht="14.25" customHeight="1"/>
    <row r="653" ht="14.25" customHeight="1">
      <c r="A653" s="125" t="s">
        <v>120</v>
      </c>
      <c r="D653" s="146" t="s">
        <v>123</v>
      </c>
    </row>
    <row r="654" ht="14.25" customHeight="1">
      <c r="A654" s="125"/>
      <c r="B654" s="125"/>
      <c r="C654" s="125"/>
    </row>
    <row r="655" ht="14.25" customHeight="1"/>
    <row r="656" ht="14.25" customHeight="1">
      <c r="B656" s="256" t="s">
        <v>312</v>
      </c>
      <c r="C656" s="15"/>
      <c r="D656" s="257" t="s">
        <v>313</v>
      </c>
    </row>
    <row r="657" ht="14.25" customHeight="1">
      <c r="A657" s="257" t="s">
        <v>255</v>
      </c>
      <c r="B657" s="258">
        <f>D640</f>
        <v>-242527410.2</v>
      </c>
      <c r="C657" s="15"/>
      <c r="D657" s="259">
        <f t="array" ref="D657">NPV(C648,B658:C662)+D544</f>
        <v>34097695.74</v>
      </c>
    </row>
    <row r="658" ht="14.25" customHeight="1">
      <c r="A658" s="257" t="s">
        <v>256</v>
      </c>
      <c r="B658" s="258">
        <f>E640</f>
        <v>97794677.6</v>
      </c>
      <c r="C658" s="15"/>
      <c r="D658" s="64"/>
    </row>
    <row r="659" ht="14.25" customHeight="1">
      <c r="A659" s="257" t="s">
        <v>257</v>
      </c>
      <c r="B659" s="258">
        <f>F640</f>
        <v>79875015.25</v>
      </c>
      <c r="C659" s="15"/>
      <c r="D659" s="64"/>
    </row>
    <row r="660" ht="14.25" customHeight="1">
      <c r="A660" s="257" t="s">
        <v>258</v>
      </c>
      <c r="B660" s="258">
        <f>G640</f>
        <v>91664055.65</v>
      </c>
      <c r="C660" s="15"/>
      <c r="D660" s="64"/>
    </row>
    <row r="661" ht="14.25" customHeight="1">
      <c r="A661" s="257" t="s">
        <v>259</v>
      </c>
      <c r="B661" s="258">
        <f>H640</f>
        <v>104758167.4</v>
      </c>
      <c r="C661" s="15"/>
      <c r="D661" s="64"/>
    </row>
    <row r="662" ht="14.25" customHeight="1">
      <c r="A662" s="257" t="s">
        <v>260</v>
      </c>
      <c r="B662" s="258">
        <f>I640</f>
        <v>120718834.5</v>
      </c>
      <c r="C662" s="15"/>
      <c r="D662" s="65"/>
    </row>
    <row r="663" ht="14.25" customHeight="1"/>
    <row r="664" ht="14.25" customHeight="1"/>
    <row r="665" ht="14.25" customHeight="1"/>
    <row r="666" ht="14.25" customHeight="1">
      <c r="A666" s="125" t="s">
        <v>121</v>
      </c>
      <c r="D666" s="146" t="s">
        <v>123</v>
      </c>
    </row>
    <row r="667" ht="14.25" customHeight="1">
      <c r="A667" s="125"/>
      <c r="B667" s="125"/>
      <c r="C667" s="125"/>
    </row>
    <row r="668" ht="14.25" customHeight="1"/>
    <row r="669" ht="14.25" customHeight="1">
      <c r="B669" s="256" t="s">
        <v>312</v>
      </c>
      <c r="C669" s="15"/>
      <c r="D669" s="257" t="s">
        <v>314</v>
      </c>
    </row>
    <row r="670" ht="14.25" customHeight="1">
      <c r="A670" s="257" t="s">
        <v>255</v>
      </c>
      <c r="B670" s="258">
        <f t="shared" ref="B670:B675" si="127">B657</f>
        <v>-242527410.2</v>
      </c>
      <c r="C670" s="15"/>
      <c r="D670" s="254">
        <f>IRR(B670:C675)</f>
        <v>0.2809958961</v>
      </c>
    </row>
    <row r="671" ht="14.25" customHeight="1">
      <c r="A671" s="257" t="s">
        <v>256</v>
      </c>
      <c r="B671" s="258">
        <f t="shared" si="127"/>
        <v>97794677.6</v>
      </c>
      <c r="C671" s="15"/>
      <c r="D671" s="64"/>
    </row>
    <row r="672" ht="14.25" customHeight="1">
      <c r="A672" s="257" t="s">
        <v>257</v>
      </c>
      <c r="B672" s="258">
        <f t="shared" si="127"/>
        <v>79875015.25</v>
      </c>
      <c r="C672" s="15"/>
      <c r="D672" s="64"/>
    </row>
    <row r="673" ht="14.25" customHeight="1">
      <c r="A673" s="257" t="s">
        <v>258</v>
      </c>
      <c r="B673" s="258">
        <f t="shared" si="127"/>
        <v>91664055.65</v>
      </c>
      <c r="C673" s="15"/>
      <c r="D673" s="64"/>
    </row>
    <row r="674" ht="14.25" customHeight="1">
      <c r="A674" s="257" t="s">
        <v>259</v>
      </c>
      <c r="B674" s="258">
        <f t="shared" si="127"/>
        <v>104758167.4</v>
      </c>
      <c r="C674" s="15"/>
      <c r="D674" s="64"/>
    </row>
    <row r="675" ht="14.25" customHeight="1">
      <c r="A675" s="257" t="s">
        <v>260</v>
      </c>
      <c r="B675" s="258">
        <f t="shared" si="127"/>
        <v>120718834.5</v>
      </c>
      <c r="C675" s="15"/>
      <c r="D675" s="65"/>
      <c r="E675" s="260" t="s">
        <v>224</v>
      </c>
    </row>
    <row r="676" ht="14.25" customHeight="1"/>
    <row r="677" ht="14.25" customHeight="1"/>
    <row r="678" ht="14.25" customHeight="1">
      <c r="A678" s="125" t="s">
        <v>315</v>
      </c>
    </row>
    <row r="679" ht="14.25" customHeight="1">
      <c r="A679" s="125"/>
      <c r="B679" s="125"/>
      <c r="C679" s="125"/>
    </row>
    <row r="680" ht="14.25" customHeight="1">
      <c r="A680" s="261" t="s">
        <v>316</v>
      </c>
      <c r="B680" s="262"/>
      <c r="C680" s="263">
        <f>-B670</f>
        <v>242527410.2</v>
      </c>
    </row>
    <row r="681" ht="14.25" customHeight="1"/>
    <row r="682" ht="14.25" customHeight="1">
      <c r="A682" s="264"/>
      <c r="B682" s="265" t="s">
        <v>312</v>
      </c>
      <c r="C682" s="266"/>
      <c r="D682" s="267" t="s">
        <v>317</v>
      </c>
      <c r="E682" s="267" t="s">
        <v>318</v>
      </c>
    </row>
    <row r="683" ht="14.25" customHeight="1">
      <c r="A683" s="268" t="s">
        <v>256</v>
      </c>
      <c r="B683" s="269">
        <f t="shared" ref="B683:B687" si="128">+B671</f>
        <v>97794677.6</v>
      </c>
      <c r="C683" s="266"/>
      <c r="D683" s="270">
        <f>+B683</f>
        <v>97794677.6</v>
      </c>
      <c r="E683" s="270">
        <f t="shared" ref="E683:E687" si="129">-$C$680+D683</f>
        <v>-144732732.6</v>
      </c>
    </row>
    <row r="684" ht="14.25" customHeight="1">
      <c r="A684" s="268" t="s">
        <v>257</v>
      </c>
      <c r="B684" s="269">
        <f t="shared" si="128"/>
        <v>79875015.25</v>
      </c>
      <c r="C684" s="266"/>
      <c r="D684" s="270">
        <f t="shared" ref="D684:D687" si="130">+B684+D683</f>
        <v>177669692.9</v>
      </c>
      <c r="E684" s="270">
        <f t="shared" si="129"/>
        <v>-64857717.35</v>
      </c>
    </row>
    <row r="685" ht="14.25" customHeight="1">
      <c r="A685" s="268" t="s">
        <v>258</v>
      </c>
      <c r="B685" s="269">
        <f t="shared" si="128"/>
        <v>91664055.65</v>
      </c>
      <c r="C685" s="266"/>
      <c r="D685" s="270">
        <f t="shared" si="130"/>
        <v>269333748.5</v>
      </c>
      <c r="E685" s="270">
        <f t="shared" si="129"/>
        <v>26806338.31</v>
      </c>
      <c r="F685" s="38" t="s">
        <v>319</v>
      </c>
    </row>
    <row r="686" ht="14.25" customHeight="1">
      <c r="A686" s="268" t="s">
        <v>259</v>
      </c>
      <c r="B686" s="269">
        <f t="shared" si="128"/>
        <v>104758167.4</v>
      </c>
      <c r="C686" s="266"/>
      <c r="D686" s="270">
        <f t="shared" si="130"/>
        <v>374091915.9</v>
      </c>
      <c r="E686" s="270">
        <f t="shared" si="129"/>
        <v>131564505.7</v>
      </c>
    </row>
    <row r="687" ht="14.25" customHeight="1">
      <c r="A687" s="268" t="s">
        <v>260</v>
      </c>
      <c r="B687" s="269">
        <f t="shared" si="128"/>
        <v>120718834.5</v>
      </c>
      <c r="C687" s="266"/>
      <c r="D687" s="270">
        <f t="shared" si="130"/>
        <v>494810750.3</v>
      </c>
      <c r="E687" s="270">
        <f t="shared" si="129"/>
        <v>252283340.1</v>
      </c>
    </row>
    <row r="688" ht="14.25" customHeight="1">
      <c r="C688" s="271"/>
    </row>
    <row r="689" ht="14.25" customHeight="1">
      <c r="A689" s="272" t="s">
        <v>320</v>
      </c>
      <c r="C689" s="273"/>
    </row>
    <row r="690" ht="14.25" customHeight="1">
      <c r="A690" s="265" t="s">
        <v>321</v>
      </c>
      <c r="B690" s="274"/>
      <c r="C690" s="266"/>
      <c r="D690" s="275">
        <f>+B685/365</f>
        <v>251134.399</v>
      </c>
    </row>
    <row r="691" ht="14.25" customHeight="1">
      <c r="A691" s="265" t="s">
        <v>322</v>
      </c>
      <c r="B691" s="274"/>
      <c r="C691" s="266"/>
      <c r="D691" s="275">
        <f>-E684/D690</f>
        <v>258.2589944</v>
      </c>
      <c r="E691" s="78">
        <f>D691/365</f>
        <v>0.7075588886</v>
      </c>
    </row>
    <row r="692" ht="14.25" customHeight="1">
      <c r="A692" s="265" t="s">
        <v>323</v>
      </c>
      <c r="B692" s="274"/>
      <c r="C692" s="266"/>
      <c r="D692" s="264">
        <f>+D691/30</f>
        <v>8.608633145</v>
      </c>
    </row>
    <row r="693" ht="14.25" customHeight="1">
      <c r="A693" s="265" t="s">
        <v>324</v>
      </c>
      <c r="B693" s="274"/>
      <c r="C693" s="266"/>
      <c r="D693" s="264">
        <f>ROUNDUP(((D692-8)*30),0)</f>
        <v>19</v>
      </c>
    </row>
    <row r="694" ht="14.25" customHeight="1"/>
    <row r="695" ht="14.25" customHeight="1">
      <c r="A695" s="272" t="s">
        <v>325</v>
      </c>
    </row>
    <row r="696" ht="14.25" customHeight="1"/>
    <row r="697" ht="14.25" customHeight="1">
      <c r="A697" s="276" t="s">
        <v>326</v>
      </c>
      <c r="B697" s="277">
        <v>0.0</v>
      </c>
    </row>
    <row r="698" ht="14.25" customHeight="1">
      <c r="A698" s="276" t="s">
        <v>327</v>
      </c>
      <c r="B698" s="277">
        <v>1.0</v>
      </c>
    </row>
    <row r="699" ht="14.25" customHeight="1">
      <c r="A699" s="276" t="s">
        <v>328</v>
      </c>
      <c r="B699" s="277">
        <v>0.0</v>
      </c>
      <c r="F699" s="276" t="s">
        <v>329</v>
      </c>
      <c r="G699" s="78">
        <f>(1+(1-0.33)*B699)*B700</f>
        <v>1.17</v>
      </c>
    </row>
    <row r="700" ht="14.25" customHeight="1">
      <c r="A700" s="278" t="s">
        <v>330</v>
      </c>
      <c r="B700" s="279">
        <v>1.17</v>
      </c>
      <c r="F700" s="280"/>
    </row>
    <row r="701" ht="14.25" customHeight="1">
      <c r="A701" s="278" t="s">
        <v>331</v>
      </c>
      <c r="B701" s="281">
        <v>0.04035</v>
      </c>
      <c r="C701" s="272" t="s">
        <v>332</v>
      </c>
      <c r="D701" s="214">
        <f t="shared" ref="D701:D703" si="131">(1+B701)*(1+$B$706)-1</f>
        <v>0.09169817553</v>
      </c>
      <c r="E701" s="272" t="s">
        <v>333</v>
      </c>
      <c r="F701" s="276" t="s">
        <v>334</v>
      </c>
      <c r="G701" s="214">
        <f>D701+D703*G699</f>
        <v>0.2976959209</v>
      </c>
    </row>
    <row r="702" ht="14.25" customHeight="1">
      <c r="A702" s="278" t="s">
        <v>335</v>
      </c>
      <c r="B702" s="281">
        <v>0.1611</v>
      </c>
      <c r="C702" s="272" t="s">
        <v>332</v>
      </c>
      <c r="D702" s="214">
        <f t="shared" si="131"/>
        <v>0.2184079892</v>
      </c>
      <c r="E702" s="272" t="s">
        <v>333</v>
      </c>
      <c r="F702" s="280"/>
    </row>
    <row r="703" ht="14.25" customHeight="1">
      <c r="A703" s="278" t="s">
        <v>336</v>
      </c>
      <c r="B703" s="214">
        <f>B702-B701</f>
        <v>0.12075</v>
      </c>
      <c r="D703" s="214">
        <f t="shared" si="131"/>
        <v>0.176066449</v>
      </c>
      <c r="E703" s="272" t="s">
        <v>333</v>
      </c>
      <c r="F703" s="276" t="s">
        <v>337</v>
      </c>
      <c r="G703" s="214">
        <f>G701</f>
        <v>0.2976959209</v>
      </c>
      <c r="H703" s="272" t="s">
        <v>338</v>
      </c>
    </row>
    <row r="704" ht="14.25" customHeight="1">
      <c r="A704" s="278" t="s">
        <v>339</v>
      </c>
      <c r="B704" s="281">
        <v>0.0928</v>
      </c>
      <c r="F704" s="280"/>
    </row>
    <row r="705" ht="14.25" customHeight="1">
      <c r="A705" s="278" t="s">
        <v>340</v>
      </c>
      <c r="B705" s="281">
        <v>0.0414</v>
      </c>
      <c r="F705" s="276" t="s">
        <v>341</v>
      </c>
      <c r="G705" s="282">
        <f>G703*B709</f>
        <v>72199420.72</v>
      </c>
    </row>
    <row r="706" ht="14.25" customHeight="1">
      <c r="A706" s="278" t="s">
        <v>342</v>
      </c>
      <c r="B706" s="214">
        <f>((B704+1)/(B705+1))-1</f>
        <v>0.0493566353</v>
      </c>
      <c r="F706" s="280"/>
    </row>
    <row r="707" ht="14.25" customHeight="1">
      <c r="A707" s="276" t="s">
        <v>343</v>
      </c>
      <c r="B707" s="272">
        <v>0.0</v>
      </c>
      <c r="F707" s="276" t="s">
        <v>344</v>
      </c>
      <c r="G707" s="281">
        <f>(D520/B709)-G703</f>
        <v>-0.07186630456</v>
      </c>
    </row>
    <row r="708" ht="14.25" customHeight="1">
      <c r="A708" s="276" t="s">
        <v>345</v>
      </c>
      <c r="B708" s="78">
        <f>B707*(1-0.33)</f>
        <v>0</v>
      </c>
    </row>
    <row r="709" ht="14.25" customHeight="1">
      <c r="A709" s="276" t="s">
        <v>346</v>
      </c>
      <c r="B709" s="283">
        <f>D585</f>
        <v>242527410.2</v>
      </c>
    </row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>
      <c r="B790" s="272" t="s">
        <v>347</v>
      </c>
    </row>
    <row r="791" ht="14.25" customHeight="1">
      <c r="B791" s="284" t="s">
        <v>348</v>
      </c>
    </row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>
      <c r="B798" s="272" t="s">
        <v>349</v>
      </c>
    </row>
    <row r="799" ht="14.25" customHeight="1">
      <c r="B799" s="285" t="s">
        <v>350</v>
      </c>
    </row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27">
    <mergeCell ref="A533:C533"/>
    <mergeCell ref="A534:C534"/>
    <mergeCell ref="A535:C535"/>
    <mergeCell ref="A536:C536"/>
    <mergeCell ref="A537:C537"/>
    <mergeCell ref="A538:C538"/>
    <mergeCell ref="A539:C539"/>
    <mergeCell ref="A540:C540"/>
    <mergeCell ref="A541:C541"/>
    <mergeCell ref="A542:C542"/>
    <mergeCell ref="A543:C543"/>
    <mergeCell ref="A544:C544"/>
    <mergeCell ref="A545:C545"/>
    <mergeCell ref="A546:C546"/>
    <mergeCell ref="A547:C547"/>
    <mergeCell ref="A548:C548"/>
    <mergeCell ref="A549:C549"/>
    <mergeCell ref="A550:C550"/>
    <mergeCell ref="A551:C551"/>
    <mergeCell ref="A552:C552"/>
    <mergeCell ref="A553:C553"/>
    <mergeCell ref="A554:C554"/>
    <mergeCell ref="A555:C555"/>
    <mergeCell ref="A559:C559"/>
    <mergeCell ref="A562:C562"/>
    <mergeCell ref="A563:C563"/>
    <mergeCell ref="A564:C564"/>
    <mergeCell ref="A565:C565"/>
    <mergeCell ref="A566:C566"/>
    <mergeCell ref="A567:C567"/>
    <mergeCell ref="A568:C568"/>
    <mergeCell ref="A569:C569"/>
    <mergeCell ref="A570:C570"/>
    <mergeCell ref="A571:C571"/>
    <mergeCell ref="A572:C572"/>
    <mergeCell ref="A590:C590"/>
    <mergeCell ref="A592:I592"/>
    <mergeCell ref="A595:C595"/>
    <mergeCell ref="A598:C598"/>
    <mergeCell ref="A599:C599"/>
    <mergeCell ref="A600:C600"/>
    <mergeCell ref="A601:C601"/>
    <mergeCell ref="A602:C602"/>
    <mergeCell ref="B674:C674"/>
    <mergeCell ref="B675:C675"/>
    <mergeCell ref="A678:C678"/>
    <mergeCell ref="A680:B680"/>
    <mergeCell ref="B682:C682"/>
    <mergeCell ref="B683:C683"/>
    <mergeCell ref="B684:C684"/>
    <mergeCell ref="B685:C685"/>
    <mergeCell ref="B686:C686"/>
    <mergeCell ref="B687:C687"/>
    <mergeCell ref="A690:C690"/>
    <mergeCell ref="A691:C691"/>
    <mergeCell ref="A692:C692"/>
    <mergeCell ref="A693:C693"/>
    <mergeCell ref="A695:C695"/>
    <mergeCell ref="A573:C573"/>
    <mergeCell ref="A574:C574"/>
    <mergeCell ref="A575:C575"/>
    <mergeCell ref="A576:C576"/>
    <mergeCell ref="A577:C577"/>
    <mergeCell ref="A578:C578"/>
    <mergeCell ref="A579:C579"/>
    <mergeCell ref="A580:C580"/>
    <mergeCell ref="A581:C581"/>
    <mergeCell ref="A582:C582"/>
    <mergeCell ref="A583:C583"/>
    <mergeCell ref="A584:C584"/>
    <mergeCell ref="A585:C585"/>
    <mergeCell ref="A588:C588"/>
    <mergeCell ref="B657:C657"/>
    <mergeCell ref="B658:C658"/>
    <mergeCell ref="B659:C659"/>
    <mergeCell ref="B660:C660"/>
    <mergeCell ref="A636:C636"/>
    <mergeCell ref="A640:C640"/>
    <mergeCell ref="A644:C644"/>
    <mergeCell ref="C648:C649"/>
    <mergeCell ref="A653:C653"/>
    <mergeCell ref="B656:C656"/>
    <mergeCell ref="D657:D662"/>
    <mergeCell ref="B672:C672"/>
    <mergeCell ref="B673:C673"/>
    <mergeCell ref="B661:C661"/>
    <mergeCell ref="B662:C662"/>
    <mergeCell ref="A666:C666"/>
    <mergeCell ref="B669:C669"/>
    <mergeCell ref="B670:C670"/>
    <mergeCell ref="D670:D675"/>
    <mergeCell ref="B671:C671"/>
    <mergeCell ref="C35:E35"/>
    <mergeCell ref="C36:E36"/>
    <mergeCell ref="A1:H4"/>
    <mergeCell ref="A6:M7"/>
    <mergeCell ref="A9:C9"/>
    <mergeCell ref="A30:C30"/>
    <mergeCell ref="A32:B32"/>
    <mergeCell ref="A35:B35"/>
    <mergeCell ref="A36:B38"/>
    <mergeCell ref="C42:G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G53"/>
    <mergeCell ref="C37:E37"/>
    <mergeCell ref="C38:G38"/>
    <mergeCell ref="A39:B42"/>
    <mergeCell ref="C39:E39"/>
    <mergeCell ref="C40:E40"/>
    <mergeCell ref="C41:E41"/>
    <mergeCell ref="A43:B53"/>
    <mergeCell ref="C60:E60"/>
    <mergeCell ref="C61:E61"/>
    <mergeCell ref="C62:E62"/>
    <mergeCell ref="C63:E63"/>
    <mergeCell ref="C64:G64"/>
    <mergeCell ref="C66:E66"/>
    <mergeCell ref="C67:E67"/>
    <mergeCell ref="C68:E68"/>
    <mergeCell ref="C69:E69"/>
    <mergeCell ref="C70:E70"/>
    <mergeCell ref="C71:E71"/>
    <mergeCell ref="C75:G75"/>
    <mergeCell ref="C79:G79"/>
    <mergeCell ref="A80:G80"/>
    <mergeCell ref="A155:C155"/>
    <mergeCell ref="A156:C156"/>
    <mergeCell ref="A157:C157"/>
    <mergeCell ref="A161:C161"/>
    <mergeCell ref="A164:C164"/>
    <mergeCell ref="A165:C165"/>
    <mergeCell ref="A166:C166"/>
    <mergeCell ref="A167:C167"/>
    <mergeCell ref="A168:C168"/>
    <mergeCell ref="A169:C169"/>
    <mergeCell ref="A170:C170"/>
    <mergeCell ref="A174:C174"/>
    <mergeCell ref="A177:B177"/>
    <mergeCell ref="A178:B178"/>
    <mergeCell ref="C59:E59"/>
    <mergeCell ref="C65:E65"/>
    <mergeCell ref="C72:E72"/>
    <mergeCell ref="C73:E73"/>
    <mergeCell ref="C76:E76"/>
    <mergeCell ref="C77:E77"/>
    <mergeCell ref="C78:E78"/>
    <mergeCell ref="A54:B64"/>
    <mergeCell ref="C54:E54"/>
    <mergeCell ref="C55:E55"/>
    <mergeCell ref="C56:E56"/>
    <mergeCell ref="C57:E57"/>
    <mergeCell ref="C58:E58"/>
    <mergeCell ref="C74:E74"/>
    <mergeCell ref="A65:B75"/>
    <mergeCell ref="A76:B79"/>
    <mergeCell ref="A84:B84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101:B101"/>
    <mergeCell ref="A104:C104"/>
    <mergeCell ref="A105:C105"/>
    <mergeCell ref="A106:C106"/>
    <mergeCell ref="A150:C150"/>
    <mergeCell ref="A152:B152"/>
    <mergeCell ref="A154:C154"/>
    <mergeCell ref="A182:B182"/>
    <mergeCell ref="A183:D183"/>
    <mergeCell ref="A187:C187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1:F201"/>
    <mergeCell ref="A200:C200"/>
    <mergeCell ref="A205:C205"/>
    <mergeCell ref="A208:D208"/>
    <mergeCell ref="A209:C209"/>
    <mergeCell ref="A210:C210"/>
    <mergeCell ref="A211:D211"/>
    <mergeCell ref="A212:D212"/>
    <mergeCell ref="A222:C222"/>
    <mergeCell ref="B223:C223"/>
    <mergeCell ref="B224:C224"/>
    <mergeCell ref="B225:C225"/>
    <mergeCell ref="B228:G228"/>
    <mergeCell ref="B229:D229"/>
    <mergeCell ref="B230:D230"/>
    <mergeCell ref="B231:D231"/>
    <mergeCell ref="B232:D232"/>
    <mergeCell ref="B233:D233"/>
    <mergeCell ref="B234:G234"/>
    <mergeCell ref="A213:D213"/>
    <mergeCell ref="A214:D214"/>
    <mergeCell ref="A215:D215"/>
    <mergeCell ref="A219:C219"/>
    <mergeCell ref="F221:G221"/>
    <mergeCell ref="H221:I221"/>
    <mergeCell ref="A223:A228"/>
    <mergeCell ref="B226:C226"/>
    <mergeCell ref="B227:C227"/>
    <mergeCell ref="A229:A234"/>
    <mergeCell ref="A238:C238"/>
    <mergeCell ref="A241:C241"/>
    <mergeCell ref="A242:C242"/>
    <mergeCell ref="A243:C243"/>
    <mergeCell ref="A244:C244"/>
    <mergeCell ref="A245:C245"/>
    <mergeCell ref="A249:C249"/>
    <mergeCell ref="A252:C252"/>
    <mergeCell ref="A253:B253"/>
    <mergeCell ref="A254:B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9:C269"/>
    <mergeCell ref="A272:B272"/>
    <mergeCell ref="A273:B273"/>
    <mergeCell ref="A274:B274"/>
    <mergeCell ref="A275:B275"/>
    <mergeCell ref="A276:B276"/>
    <mergeCell ref="A277:B277"/>
    <mergeCell ref="A278:B278"/>
    <mergeCell ref="A282:C282"/>
    <mergeCell ref="E282:F282"/>
    <mergeCell ref="A285:C285"/>
    <mergeCell ref="A286:C286"/>
    <mergeCell ref="A287:C287"/>
    <mergeCell ref="A288:C288"/>
    <mergeCell ref="A289:C289"/>
    <mergeCell ref="A290:C290"/>
    <mergeCell ref="A291:C291"/>
    <mergeCell ref="A295:C295"/>
    <mergeCell ref="A298:C298"/>
    <mergeCell ref="A299:C299"/>
    <mergeCell ref="A300:A305"/>
    <mergeCell ref="D300:D305"/>
    <mergeCell ref="A306:C306"/>
    <mergeCell ref="A307:C307"/>
    <mergeCell ref="A311:C311"/>
    <mergeCell ref="A314:C314"/>
    <mergeCell ref="A315:C315"/>
    <mergeCell ref="A316:C316"/>
    <mergeCell ref="A317:C317"/>
    <mergeCell ref="A321:C321"/>
    <mergeCell ref="A324:C324"/>
    <mergeCell ref="A325:C325"/>
    <mergeCell ref="A326:C326"/>
    <mergeCell ref="A327:C327"/>
    <mergeCell ref="A353:C353"/>
    <mergeCell ref="A356:C356"/>
    <mergeCell ref="D356:E356"/>
    <mergeCell ref="A357:C357"/>
    <mergeCell ref="D357:E357"/>
    <mergeCell ref="A358:C358"/>
    <mergeCell ref="D358:E358"/>
    <mergeCell ref="A359:C359"/>
    <mergeCell ref="D359:E359"/>
    <mergeCell ref="A360:C360"/>
    <mergeCell ref="D360:E360"/>
    <mergeCell ref="A376:E376"/>
    <mergeCell ref="A363:B363"/>
    <mergeCell ref="A478:C478"/>
    <mergeCell ref="A481:C481"/>
    <mergeCell ref="A482:C482"/>
    <mergeCell ref="A485:C485"/>
    <mergeCell ref="A488:C488"/>
    <mergeCell ref="A489:C489"/>
    <mergeCell ref="A490:C490"/>
    <mergeCell ref="A494:C494"/>
    <mergeCell ref="A498:B498"/>
    <mergeCell ref="A499:B499"/>
    <mergeCell ref="A502:C502"/>
    <mergeCell ref="A506:C506"/>
    <mergeCell ref="A507:C507"/>
    <mergeCell ref="A508:C508"/>
    <mergeCell ref="A509:C509"/>
    <mergeCell ref="A510:C510"/>
    <mergeCell ref="A511:C511"/>
    <mergeCell ref="A512:C512"/>
    <mergeCell ref="A513:C513"/>
    <mergeCell ref="A514:C514"/>
    <mergeCell ref="A515:C515"/>
    <mergeCell ref="A516:C516"/>
    <mergeCell ref="A517:C517"/>
    <mergeCell ref="A518:C518"/>
    <mergeCell ref="A519:B519"/>
    <mergeCell ref="A520:C520"/>
    <mergeCell ref="A521:B521"/>
    <mergeCell ref="A522:C522"/>
    <mergeCell ref="A525:C525"/>
    <mergeCell ref="A528:C528"/>
    <mergeCell ref="A529:C529"/>
    <mergeCell ref="A530:C530"/>
    <mergeCell ref="A531:C531"/>
    <mergeCell ref="A532:C532"/>
  </mergeCells>
  <dataValidations>
    <dataValidation type="decimal" operator="equal" allowBlank="1" showInputMessage="1" prompt="DEBE SER 0" sqref="D590:I590">
      <formula1>0.0</formula1>
    </dataValidation>
  </dataValidations>
  <hyperlinks>
    <hyperlink display="Inversiones" location="'Estudio Financiero'!A30" ref="B11"/>
    <hyperlink display="Costos y gastos" location="'Estudio Financiero'!A150" ref="D11"/>
    <hyperlink display="Crédito" location="'Estudio Financiero'!A353" ref="F11"/>
    <hyperlink display="INVERSIÓN FIJA" location="'Estudio Financiero'!A32" ref="B13"/>
    <hyperlink display="TALENTO HUMANO" location="'Estudio Financiero'!A152" ref="D13"/>
    <hyperlink display="Proyecciones" location="'Estudio Financiero'!A478" ref="F13"/>
    <hyperlink display="INVERSIÓN DIFERIDA" location="'Estudio Financiero'!A84" ref="B14"/>
    <hyperlink display="SERVICIOS PUBLICOS Y ARRENDAMIENTO" location="'Estudio Financiero'!A161" ref="D14"/>
    <hyperlink display="INVERSIÓN INICIAL" location="'Estudio Financiero'!A101" ref="B15"/>
    <hyperlink display="DEPRECIACIÓN" location="'Estudio Financiero'!A174" ref="D15"/>
    <hyperlink display="PROYECCIÓN DE UNIDADES A VENDER" location="'Estudio Financiero'!A494" ref="F15"/>
    <hyperlink display="MATERIA PRIMA Y/O INSUMOS" location="'Estudio Financiero'!A187" ref="D16"/>
    <hyperlink display="ESTADO DE RESULTADOS PROYECTADOS" location="'Estudio Financiero'!A502" ref="F16"/>
    <hyperlink display="COSTOS INDIRECTOS DE FABRICACIÓN" location="'Estudio Financiero'!A205" ref="D17"/>
    <hyperlink display="FLUJO DE CAJA PROYECTADO" location="'Estudio Financiero'!A525" ref="F17"/>
    <hyperlink display="PRORRATEO DE COSTOS Y GASTOS" location="'Estudio Financiero'!A219" ref="D18"/>
    <hyperlink display="BALANCE GENERAL PROYECTADO" location="'Estudio Financiero'!A559" ref="F18"/>
    <hyperlink display="COSTO DEL PRODUCTO O SERVICIO" location="'Estudio Financiero'!A238" ref="D19"/>
    <hyperlink display="VERIFICACIÓN DE SALDOS" location="'Estudio Financiero'!A588" ref="F19"/>
    <hyperlink display="GASTOS DE ADMINISTRACIÓN Y VENTAS" location="'Estudio Financiero'!A249" ref="D20"/>
    <hyperlink display="RAZONES FINANCIERAS" location="'Estudio Financiero'!A595" ref="F20"/>
    <hyperlink display="GASTOS FINANCIEROS" location="'Estudio Financiero'!A269" ref="D21"/>
    <hyperlink display="CAPITAL DE TRABAJO" location="'Estudio Financiero'!A282" ref="D22"/>
    <hyperlink display="Evaluación" location="'Estudio Financiero'!A636" ref="F22"/>
    <hyperlink display="COSTOS FIJOS" location="'Estudio Financiero'!A295" ref="D23"/>
    <hyperlink display="COSTOS VARIBLES" location="'Estudio Financiero'!A311" ref="D24"/>
    <hyperlink display="TASA DE OPORTUNIDAD" location="'Estudio Financiero'!A644" ref="F24"/>
    <hyperlink display="COSTOS TOTALES UNITARIOS" location="'Estudio Financiero'!A321" ref="D25"/>
    <hyperlink display="VALOR PRESENTE NETO" location="'Estudio Financiero'!A653" ref="F25"/>
    <hyperlink display="TASA INTERNA DE RETORNO" location="'Estudio Financiero'!A666" ref="F26"/>
    <hyperlink display="IR ESTUDIO FINANCIERO" location="'Estudio Financiero'!A1" ref="H32"/>
    <hyperlink display="IR ESTUDIO FINANCIERO" location="'Estudio Financiero'!A1" ref="H84"/>
    <hyperlink display="IR ESTUDIO FINANCIERO" location="'Estudio Financiero'!A1" ref="H101"/>
    <hyperlink display="IR ESTUDIO FINANCIERO" location="'Estudio Financiero'!A1" ref="E152"/>
    <hyperlink display="IR ESTUDIO FINANCIERO" location="'Estudio Financiero'!A1" ref="E161"/>
    <hyperlink display="IR ESTUDIO FINANCIERO" location="'Estudio Financiero'!A1" ref="F174"/>
    <hyperlink display="IR ESTUDIO FINANCIERO" location="'Estudio Financiero'!A1" ref="I187"/>
    <hyperlink display="IR ESTUDIO FINANCIERO" location="'Estudio Financiero'!A1" ref="F205"/>
    <hyperlink display="IR ESTUDIO FINANCIERO" location="'Estudio Financiero'!A1" ref="I219"/>
    <hyperlink display="IR ESTUDIO FINANCIERO" location="'Estudio Financiero'!A1" ref="E238"/>
    <hyperlink display="IR ESTUDIO FINANCIERO" location="'Estudio Financiero'!A1" ref="E249"/>
    <hyperlink display="IR ESTUDIO FINANCIERO" location="'Estudio Financiero'!A1" ref="E269"/>
    <hyperlink display="IR ESTUDIO FINANCIERO" location="'Estudio Financiero'!A1" ref="E295"/>
    <hyperlink display="IR ESTUDIO FINANCIERO" location="'Estudio Financiero'!A1" ref="D311"/>
    <hyperlink display="IR ESTUDIO FINANCIERO" location="'Estudio Financiero'!A1" ref="D321"/>
    <hyperlink display="IR ESTUDIO FINANCIERO" location="'Estudio Financiero'!A1" ref="E353"/>
    <hyperlink display="IR ESTUDIO FINANCIERO" location="'Estudio Financiero'!A1" ref="D494"/>
    <hyperlink display="IR ESTUDIO FINANCIERO" location="'Estudio Financiero'!A1" ref="H502"/>
    <hyperlink display="IR ESTUDIO FINANCIERO" location="'Estudio Financiero'!A1" ref="I525"/>
    <hyperlink display="IR ESTUDIO FINANCIERO" location="'Estudio Financiero'!A1" ref="I559"/>
    <hyperlink display="IR ESTUDIO FINANCIERO" location="'Estudio Financiero'!A1" ref="I588"/>
    <hyperlink display="IR ESTUDIO FINANCIERO" location="'Estudio Financiero'!A1" ref="H595"/>
    <hyperlink display="IR ESTUDIO FINANCIERO" location="'Estudio Financiero'!A1" ref="D644"/>
    <hyperlink display="IR ESTUDIO FINANCIERO" location="'Estudio Financiero'!A1" ref="D653"/>
    <hyperlink display="IR ESTUDIO FINANCIERO" location="'Estudio Financiero'!A1" ref="D666"/>
    <hyperlink r:id="rId2" ref="B791"/>
    <hyperlink r:id="rId3" ref="B799"/>
  </hyperlinks>
  <printOptions/>
  <pageMargins bottom="0.75" footer="0.0" header="0.0" left="0.7" right="0.7" top="0.75"/>
  <pageSetup paperSize="9" orientation="portrait"/>
  <drawing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7.0"/>
    <col customWidth="1" min="2" max="2" width="19.0"/>
    <col customWidth="1" min="3" max="3" width="25.14"/>
    <col customWidth="1" min="4" max="4" width="26.57"/>
    <col customWidth="1" min="5" max="5" width="31.29"/>
    <col customWidth="1" min="6" max="6" width="27.86"/>
    <col customWidth="1" min="7" max="7" width="29.43"/>
    <col customWidth="1" min="8" max="8" width="31.29"/>
    <col customWidth="1" min="9" max="9" width="30.43"/>
    <col customWidth="1" min="10" max="10" width="26.0"/>
    <col customWidth="1" min="11" max="11" width="28.57"/>
    <col customWidth="1" min="12" max="12" width="17.29"/>
    <col customWidth="1" min="13" max="13" width="16.86"/>
    <col customWidth="1" min="14" max="14" width="19.14"/>
    <col customWidth="1" min="15" max="26" width="10.71"/>
  </cols>
  <sheetData>
    <row r="1" ht="15.0" customHeight="1">
      <c r="A1" s="1" t="s">
        <v>88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15.0" customHeight="1"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5.0" customHeight="1"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5.0" customHeight="1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15.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15.0" customHeight="1">
      <c r="A6" s="5" t="s">
        <v>89</v>
      </c>
      <c r="N6" s="6"/>
      <c r="O6" s="6"/>
      <c r="P6" s="6"/>
      <c r="Q6" s="6"/>
      <c r="R6" s="6"/>
      <c r="S6" s="6"/>
      <c r="T6" s="6"/>
      <c r="U6" s="6"/>
      <c r="V6" s="6"/>
    </row>
    <row r="7" ht="15.0" customHeight="1">
      <c r="N7" s="6"/>
      <c r="O7" s="6"/>
      <c r="P7" s="6"/>
      <c r="Q7" s="6"/>
      <c r="R7" s="6"/>
      <c r="S7" s="6"/>
      <c r="T7" s="6"/>
      <c r="U7" s="6"/>
      <c r="V7" s="6"/>
    </row>
    <row r="8" ht="14.25" customHeight="1"/>
    <row r="9" ht="14.25" customHeight="1">
      <c r="A9" s="5" t="s">
        <v>58</v>
      </c>
      <c r="D9" s="74"/>
    </row>
    <row r="10" ht="14.25" customHeight="1">
      <c r="A10" s="5"/>
      <c r="B10" s="5"/>
      <c r="C10" s="5"/>
      <c r="D10" s="121"/>
    </row>
    <row r="11" ht="14.25" customHeight="1">
      <c r="A11" s="18" t="s">
        <v>13</v>
      </c>
      <c r="B11" s="122" t="s">
        <v>90</v>
      </c>
      <c r="C11" s="18" t="s">
        <v>18</v>
      </c>
      <c r="D11" s="122" t="s">
        <v>91</v>
      </c>
      <c r="E11" s="18" t="s">
        <v>61</v>
      </c>
      <c r="F11" s="122" t="s">
        <v>92</v>
      </c>
    </row>
    <row r="12" ht="14.25" customHeight="1">
      <c r="A12" s="18"/>
      <c r="B12" s="123"/>
      <c r="C12" s="18"/>
      <c r="D12" s="123"/>
      <c r="E12" s="18"/>
      <c r="F12" s="123"/>
    </row>
    <row r="13" ht="14.25" customHeight="1">
      <c r="B13" s="122" t="s">
        <v>93</v>
      </c>
      <c r="D13" s="122" t="s">
        <v>94</v>
      </c>
      <c r="E13" s="18" t="s">
        <v>95</v>
      </c>
      <c r="F13" s="122" t="s">
        <v>96</v>
      </c>
    </row>
    <row r="14" ht="15.0" customHeight="1">
      <c r="B14" s="122" t="s">
        <v>97</v>
      </c>
      <c r="D14" s="122" t="s">
        <v>98</v>
      </c>
      <c r="E14" s="18"/>
      <c r="F14" s="123"/>
    </row>
    <row r="15" ht="15.0" customHeight="1">
      <c r="B15" s="122" t="s">
        <v>99</v>
      </c>
      <c r="D15" s="122" t="s">
        <v>100</v>
      </c>
      <c r="F15" s="122" t="s">
        <v>101</v>
      </c>
    </row>
    <row r="16" ht="14.25" customHeight="1">
      <c r="B16" s="123"/>
      <c r="D16" s="122" t="s">
        <v>102</v>
      </c>
      <c r="F16" s="122" t="s">
        <v>103</v>
      </c>
    </row>
    <row r="17" ht="14.25" customHeight="1">
      <c r="B17" s="124"/>
      <c r="D17" s="122" t="s">
        <v>104</v>
      </c>
      <c r="F17" s="122" t="s">
        <v>105</v>
      </c>
    </row>
    <row r="18" ht="14.25" customHeight="1">
      <c r="B18" s="124"/>
      <c r="D18" s="122" t="s">
        <v>106</v>
      </c>
      <c r="F18" s="122" t="s">
        <v>107</v>
      </c>
    </row>
    <row r="19" ht="14.25" customHeight="1">
      <c r="B19" s="124"/>
      <c r="D19" s="122" t="s">
        <v>108</v>
      </c>
      <c r="F19" s="122" t="s">
        <v>109</v>
      </c>
    </row>
    <row r="20" ht="14.25" customHeight="1">
      <c r="B20" s="124"/>
      <c r="D20" s="122" t="s">
        <v>110</v>
      </c>
      <c r="F20" s="122" t="s">
        <v>111</v>
      </c>
    </row>
    <row r="21" ht="14.25" customHeight="1">
      <c r="B21" s="124"/>
      <c r="D21" s="122" t="s">
        <v>112</v>
      </c>
      <c r="F21" s="123"/>
    </row>
    <row r="22" ht="18.75" customHeight="1">
      <c r="D22" s="122" t="s">
        <v>113</v>
      </c>
      <c r="E22" s="18" t="s">
        <v>114</v>
      </c>
      <c r="F22" s="122" t="s">
        <v>115</v>
      </c>
    </row>
    <row r="23" ht="14.25" customHeight="1">
      <c r="D23" s="122" t="s">
        <v>116</v>
      </c>
      <c r="E23" s="18"/>
      <c r="F23" s="123"/>
    </row>
    <row r="24" ht="14.25" customHeight="1">
      <c r="D24" s="122" t="s">
        <v>117</v>
      </c>
      <c r="F24" s="122" t="s">
        <v>118</v>
      </c>
    </row>
    <row r="25" ht="18.75" customHeight="1">
      <c r="D25" s="122" t="s">
        <v>119</v>
      </c>
      <c r="F25" s="122" t="s">
        <v>120</v>
      </c>
    </row>
    <row r="26" ht="14.25" customHeight="1">
      <c r="D26" s="123"/>
      <c r="F26" s="122" t="s">
        <v>121</v>
      </c>
    </row>
    <row r="27" ht="14.25" customHeight="1">
      <c r="D27" s="124"/>
      <c r="F27" s="123"/>
    </row>
    <row r="28" ht="14.25" customHeight="1">
      <c r="F28" s="124"/>
    </row>
    <row r="29" ht="14.25" customHeight="1">
      <c r="F29" s="124"/>
    </row>
    <row r="30" ht="14.25" customHeight="1">
      <c r="A30" s="79" t="s">
        <v>122</v>
      </c>
    </row>
    <row r="31" ht="14.25" customHeight="1">
      <c r="A31" s="79"/>
      <c r="B31" s="79"/>
      <c r="C31" s="79"/>
    </row>
    <row r="32" ht="14.25" customHeight="1">
      <c r="A32" s="125" t="s">
        <v>93</v>
      </c>
      <c r="H32" s="126" t="s">
        <v>123</v>
      </c>
    </row>
    <row r="33" ht="14.25" customHeight="1">
      <c r="A33" s="125"/>
      <c r="B33" s="125"/>
    </row>
    <row r="34" ht="14.25" customHeight="1"/>
    <row r="35" ht="14.25" customHeight="1">
      <c r="A35" s="127" t="s">
        <v>124</v>
      </c>
      <c r="B35" s="41"/>
      <c r="C35" s="127" t="s">
        <v>125</v>
      </c>
      <c r="D35" s="40"/>
      <c r="E35" s="41"/>
      <c r="F35" s="128" t="s">
        <v>69</v>
      </c>
      <c r="G35" s="128" t="s">
        <v>126</v>
      </c>
      <c r="H35" s="128" t="s">
        <v>127</v>
      </c>
    </row>
    <row r="36" ht="15.75" customHeight="1">
      <c r="A36" s="92" t="s">
        <v>128</v>
      </c>
      <c r="B36" s="26"/>
      <c r="C36" s="117"/>
      <c r="D36" s="40"/>
      <c r="E36" s="41"/>
      <c r="F36" s="101"/>
      <c r="G36" s="129"/>
      <c r="H36" s="130">
        <f t="shared" ref="H36:H37" si="1">G36*F36</f>
        <v>0</v>
      </c>
    </row>
    <row r="37" ht="15.75" customHeight="1">
      <c r="A37" s="27"/>
      <c r="B37" s="28"/>
      <c r="C37" s="117"/>
      <c r="D37" s="40"/>
      <c r="E37" s="41"/>
      <c r="F37" s="101"/>
      <c r="G37" s="129"/>
      <c r="H37" s="130">
        <f t="shared" si="1"/>
        <v>0</v>
      </c>
    </row>
    <row r="38" ht="14.25" customHeight="1">
      <c r="A38" s="29"/>
      <c r="B38" s="31"/>
      <c r="C38" s="108" t="s">
        <v>129</v>
      </c>
      <c r="D38" s="40"/>
      <c r="E38" s="40"/>
      <c r="F38" s="40"/>
      <c r="G38" s="41"/>
      <c r="H38" s="131">
        <f>SUM(H36:H37)</f>
        <v>0</v>
      </c>
    </row>
    <row r="39" ht="14.25" customHeight="1">
      <c r="A39" s="110" t="s">
        <v>130</v>
      </c>
      <c r="B39" s="26"/>
      <c r="C39" s="117" t="s">
        <v>131</v>
      </c>
      <c r="D39" s="40"/>
      <c r="E39" s="41"/>
      <c r="F39" s="101">
        <v>1.0</v>
      </c>
      <c r="G39" s="129">
        <v>5.0E7</v>
      </c>
      <c r="H39" s="130">
        <f t="shared" ref="H39:H41" si="2">G39*F39</f>
        <v>50000000</v>
      </c>
    </row>
    <row r="40" ht="14.25" customHeight="1">
      <c r="A40" s="27"/>
      <c r="B40" s="28"/>
      <c r="C40" s="117" t="s">
        <v>132</v>
      </c>
      <c r="D40" s="40"/>
      <c r="E40" s="41"/>
      <c r="F40" s="101">
        <v>2.0</v>
      </c>
      <c r="G40" s="129">
        <v>4.5E7</v>
      </c>
      <c r="H40" s="130">
        <f t="shared" si="2"/>
        <v>90000000</v>
      </c>
    </row>
    <row r="41" ht="14.25" customHeight="1">
      <c r="A41" s="27"/>
      <c r="B41" s="28"/>
      <c r="C41" s="117" t="s">
        <v>133</v>
      </c>
      <c r="D41" s="40"/>
      <c r="E41" s="41"/>
      <c r="F41" s="101">
        <v>2.0</v>
      </c>
      <c r="G41" s="129">
        <v>3.0E7</v>
      </c>
      <c r="H41" s="130">
        <f t="shared" si="2"/>
        <v>60000000</v>
      </c>
    </row>
    <row r="42" ht="14.25" customHeight="1">
      <c r="A42" s="29"/>
      <c r="B42" s="31"/>
      <c r="C42" s="108" t="s">
        <v>129</v>
      </c>
      <c r="D42" s="40"/>
      <c r="E42" s="40"/>
      <c r="F42" s="40"/>
      <c r="G42" s="41"/>
      <c r="H42" s="131">
        <f>SUM(H39:H41)</f>
        <v>200000000</v>
      </c>
    </row>
    <row r="43" ht="14.25" customHeight="1">
      <c r="A43" s="92" t="s">
        <v>134</v>
      </c>
      <c r="B43" s="26"/>
      <c r="C43" s="117" t="s">
        <v>135</v>
      </c>
      <c r="D43" s="40"/>
      <c r="E43" s="41"/>
      <c r="F43" s="101">
        <v>25.0</v>
      </c>
      <c r="G43" s="132">
        <v>194000.0</v>
      </c>
      <c r="H43" s="130">
        <f t="shared" ref="H43:H52" si="3">G43*F43</f>
        <v>4850000</v>
      </c>
    </row>
    <row r="44" ht="14.25" customHeight="1">
      <c r="A44" s="27"/>
      <c r="B44" s="28"/>
      <c r="C44" s="117"/>
      <c r="D44" s="40"/>
      <c r="E44" s="41"/>
      <c r="F44" s="101"/>
      <c r="G44" s="129"/>
      <c r="H44" s="130">
        <f t="shared" si="3"/>
        <v>0</v>
      </c>
    </row>
    <row r="45" ht="14.25" customHeight="1">
      <c r="A45" s="27"/>
      <c r="B45" s="28"/>
      <c r="C45" s="117"/>
      <c r="D45" s="40"/>
      <c r="E45" s="41"/>
      <c r="F45" s="101"/>
      <c r="G45" s="129"/>
      <c r="H45" s="130">
        <f t="shared" si="3"/>
        <v>0</v>
      </c>
    </row>
    <row r="46" ht="14.25" customHeight="1">
      <c r="A46" s="27"/>
      <c r="B46" s="28"/>
      <c r="C46" s="117"/>
      <c r="D46" s="40"/>
      <c r="E46" s="41"/>
      <c r="F46" s="101"/>
      <c r="G46" s="129"/>
      <c r="H46" s="130">
        <f t="shared" si="3"/>
        <v>0</v>
      </c>
    </row>
    <row r="47" ht="14.25" customHeight="1">
      <c r="A47" s="27"/>
      <c r="B47" s="28"/>
      <c r="C47" s="117"/>
      <c r="D47" s="40"/>
      <c r="E47" s="41"/>
      <c r="F47" s="101"/>
      <c r="G47" s="129"/>
      <c r="H47" s="130">
        <f t="shared" si="3"/>
        <v>0</v>
      </c>
    </row>
    <row r="48" ht="14.25" customHeight="1">
      <c r="A48" s="27"/>
      <c r="B48" s="28"/>
      <c r="C48" s="117"/>
      <c r="D48" s="40"/>
      <c r="E48" s="41"/>
      <c r="F48" s="101"/>
      <c r="G48" s="129"/>
      <c r="H48" s="130">
        <f t="shared" si="3"/>
        <v>0</v>
      </c>
    </row>
    <row r="49" ht="14.25" customHeight="1">
      <c r="A49" s="27"/>
      <c r="B49" s="28"/>
      <c r="C49" s="117"/>
      <c r="D49" s="40"/>
      <c r="E49" s="41"/>
      <c r="F49" s="101"/>
      <c r="G49" s="129"/>
      <c r="H49" s="130">
        <f t="shared" si="3"/>
        <v>0</v>
      </c>
    </row>
    <row r="50" ht="14.25" customHeight="1">
      <c r="A50" s="27"/>
      <c r="B50" s="28"/>
      <c r="C50" s="117"/>
      <c r="D50" s="40"/>
      <c r="E50" s="41"/>
      <c r="F50" s="101"/>
      <c r="G50" s="129"/>
      <c r="H50" s="130">
        <f t="shared" si="3"/>
        <v>0</v>
      </c>
    </row>
    <row r="51" ht="14.25" customHeight="1">
      <c r="A51" s="27"/>
      <c r="B51" s="28"/>
      <c r="C51" s="117"/>
      <c r="D51" s="40"/>
      <c r="E51" s="41"/>
      <c r="F51" s="101"/>
      <c r="G51" s="129"/>
      <c r="H51" s="130">
        <f t="shared" si="3"/>
        <v>0</v>
      </c>
    </row>
    <row r="52" ht="14.25" customHeight="1">
      <c r="A52" s="27"/>
      <c r="B52" s="28"/>
      <c r="C52" s="117"/>
      <c r="D52" s="40"/>
      <c r="E52" s="41"/>
      <c r="F52" s="101"/>
      <c r="G52" s="129"/>
      <c r="H52" s="130">
        <f t="shared" si="3"/>
        <v>0</v>
      </c>
    </row>
    <row r="53" ht="14.25" customHeight="1">
      <c r="A53" s="29"/>
      <c r="B53" s="31"/>
      <c r="C53" s="108" t="s">
        <v>129</v>
      </c>
      <c r="D53" s="40"/>
      <c r="E53" s="40"/>
      <c r="F53" s="40"/>
      <c r="G53" s="41"/>
      <c r="H53" s="133">
        <f>SUM(H43:H52)</f>
        <v>4850000</v>
      </c>
    </row>
    <row r="54" ht="14.25" customHeight="1">
      <c r="A54" s="92" t="s">
        <v>136</v>
      </c>
      <c r="B54" s="26"/>
      <c r="C54" s="117" t="s">
        <v>137</v>
      </c>
      <c r="D54" s="40"/>
      <c r="E54" s="41"/>
      <c r="F54" s="101">
        <v>2.0</v>
      </c>
      <c r="G54" s="132">
        <v>2800000.0</v>
      </c>
      <c r="H54" s="130">
        <f t="shared" ref="H54:H63" si="4">G54*F54</f>
        <v>5600000</v>
      </c>
    </row>
    <row r="55" ht="14.25" customHeight="1">
      <c r="A55" s="27"/>
      <c r="B55" s="28"/>
      <c r="C55" s="117" t="s">
        <v>138</v>
      </c>
      <c r="D55" s="40"/>
      <c r="E55" s="41"/>
      <c r="F55" s="101">
        <v>1.0</v>
      </c>
      <c r="G55" s="132">
        <v>5000000.0</v>
      </c>
      <c r="H55" s="130">
        <f t="shared" si="4"/>
        <v>5000000</v>
      </c>
      <c r="I55" s="134"/>
    </row>
    <row r="56" ht="14.25" customHeight="1">
      <c r="A56" s="27"/>
      <c r="B56" s="28"/>
      <c r="C56" s="117" t="s">
        <v>139</v>
      </c>
      <c r="D56" s="40"/>
      <c r="E56" s="41"/>
      <c r="F56" s="101">
        <v>2.0</v>
      </c>
      <c r="G56" s="132">
        <v>4200000.0</v>
      </c>
      <c r="H56" s="130">
        <f t="shared" si="4"/>
        <v>8400000</v>
      </c>
    </row>
    <row r="57" ht="14.25" customHeight="1">
      <c r="A57" s="27"/>
      <c r="B57" s="28"/>
      <c r="C57" s="117"/>
      <c r="D57" s="40"/>
      <c r="E57" s="41"/>
      <c r="F57" s="101"/>
      <c r="G57" s="129"/>
      <c r="H57" s="130">
        <f t="shared" si="4"/>
        <v>0</v>
      </c>
    </row>
    <row r="58" ht="14.25" customHeight="1">
      <c r="A58" s="27"/>
      <c r="B58" s="28"/>
      <c r="C58" s="117"/>
      <c r="D58" s="40"/>
      <c r="E58" s="41"/>
      <c r="F58" s="101"/>
      <c r="G58" s="129"/>
      <c r="H58" s="130">
        <f t="shared" si="4"/>
        <v>0</v>
      </c>
    </row>
    <row r="59" ht="14.25" customHeight="1">
      <c r="A59" s="27"/>
      <c r="B59" s="28"/>
      <c r="C59" s="117"/>
      <c r="D59" s="40"/>
      <c r="E59" s="41"/>
      <c r="F59" s="101"/>
      <c r="G59" s="129"/>
      <c r="H59" s="130">
        <f t="shared" si="4"/>
        <v>0</v>
      </c>
    </row>
    <row r="60" ht="14.25" customHeight="1">
      <c r="A60" s="27"/>
      <c r="B60" s="28"/>
      <c r="C60" s="117"/>
      <c r="D60" s="40"/>
      <c r="E60" s="41"/>
      <c r="F60" s="101"/>
      <c r="G60" s="129"/>
      <c r="H60" s="130">
        <f t="shared" si="4"/>
        <v>0</v>
      </c>
    </row>
    <row r="61" ht="14.25" customHeight="1">
      <c r="A61" s="27"/>
      <c r="B61" s="28"/>
      <c r="C61" s="117"/>
      <c r="D61" s="40"/>
      <c r="E61" s="41"/>
      <c r="F61" s="101"/>
      <c r="G61" s="129"/>
      <c r="H61" s="130">
        <f t="shared" si="4"/>
        <v>0</v>
      </c>
    </row>
    <row r="62" ht="14.25" customHeight="1">
      <c r="A62" s="27"/>
      <c r="B62" s="28"/>
      <c r="C62" s="117"/>
      <c r="D62" s="40"/>
      <c r="E62" s="41"/>
      <c r="F62" s="101"/>
      <c r="G62" s="129"/>
      <c r="H62" s="130">
        <f t="shared" si="4"/>
        <v>0</v>
      </c>
    </row>
    <row r="63" ht="14.25" customHeight="1">
      <c r="A63" s="27"/>
      <c r="B63" s="28"/>
      <c r="C63" s="117"/>
      <c r="D63" s="40"/>
      <c r="E63" s="41"/>
      <c r="F63" s="101"/>
      <c r="G63" s="129"/>
      <c r="H63" s="130">
        <f t="shared" si="4"/>
        <v>0</v>
      </c>
    </row>
    <row r="64" ht="14.25" customHeight="1">
      <c r="A64" s="29"/>
      <c r="B64" s="31"/>
      <c r="C64" s="108" t="s">
        <v>129</v>
      </c>
      <c r="D64" s="40"/>
      <c r="E64" s="40"/>
      <c r="F64" s="40"/>
      <c r="G64" s="41"/>
      <c r="H64" s="133">
        <f>SUM(H54:H63)</f>
        <v>19000000</v>
      </c>
    </row>
    <row r="65" ht="15.0" customHeight="1">
      <c r="A65" s="92" t="s">
        <v>140</v>
      </c>
      <c r="B65" s="26"/>
      <c r="C65" s="117" t="s">
        <v>141</v>
      </c>
      <c r="D65" s="40"/>
      <c r="E65" s="41"/>
      <c r="F65" s="101">
        <v>1.0</v>
      </c>
      <c r="G65" s="132">
        <v>1500000.0</v>
      </c>
      <c r="H65" s="130">
        <f t="shared" ref="H65:H74" si="5">F65*G65</f>
        <v>1500000</v>
      </c>
    </row>
    <row r="66" ht="14.25" customHeight="1">
      <c r="A66" s="27"/>
      <c r="B66" s="28"/>
      <c r="C66" s="117" t="s">
        <v>142</v>
      </c>
      <c r="D66" s="40"/>
      <c r="E66" s="41"/>
      <c r="F66" s="101">
        <v>1.0</v>
      </c>
      <c r="G66" s="129">
        <v>400000.0</v>
      </c>
      <c r="H66" s="130">
        <f t="shared" si="5"/>
        <v>400000</v>
      </c>
    </row>
    <row r="67" ht="14.25" customHeight="1">
      <c r="A67" s="27"/>
      <c r="B67" s="28"/>
      <c r="C67" s="117"/>
      <c r="D67" s="40"/>
      <c r="E67" s="41"/>
      <c r="F67" s="101"/>
      <c r="G67" s="129"/>
      <c r="H67" s="130">
        <f t="shared" si="5"/>
        <v>0</v>
      </c>
    </row>
    <row r="68" ht="14.25" customHeight="1">
      <c r="A68" s="27"/>
      <c r="B68" s="28"/>
      <c r="C68" s="117"/>
      <c r="D68" s="40"/>
      <c r="E68" s="41"/>
      <c r="F68" s="101"/>
      <c r="G68" s="129"/>
      <c r="H68" s="130">
        <f t="shared" si="5"/>
        <v>0</v>
      </c>
    </row>
    <row r="69" ht="14.25" customHeight="1">
      <c r="A69" s="27"/>
      <c r="B69" s="28"/>
      <c r="C69" s="117"/>
      <c r="D69" s="40"/>
      <c r="E69" s="41"/>
      <c r="F69" s="101"/>
      <c r="G69" s="129"/>
      <c r="H69" s="130">
        <f t="shared" si="5"/>
        <v>0</v>
      </c>
    </row>
    <row r="70" ht="14.25" customHeight="1">
      <c r="A70" s="27"/>
      <c r="B70" s="28"/>
      <c r="C70" s="117"/>
      <c r="D70" s="40"/>
      <c r="E70" s="41"/>
      <c r="F70" s="101"/>
      <c r="G70" s="129"/>
      <c r="H70" s="130">
        <f t="shared" si="5"/>
        <v>0</v>
      </c>
    </row>
    <row r="71" ht="14.25" customHeight="1">
      <c r="A71" s="27"/>
      <c r="B71" s="28"/>
      <c r="C71" s="117"/>
      <c r="D71" s="40"/>
      <c r="E71" s="41"/>
      <c r="F71" s="101"/>
      <c r="G71" s="129"/>
      <c r="H71" s="130">
        <f t="shared" si="5"/>
        <v>0</v>
      </c>
    </row>
    <row r="72" ht="14.25" customHeight="1">
      <c r="A72" s="27"/>
      <c r="B72" s="28"/>
      <c r="C72" s="117"/>
      <c r="D72" s="40"/>
      <c r="E72" s="41"/>
      <c r="F72" s="101"/>
      <c r="G72" s="129"/>
      <c r="H72" s="130">
        <f t="shared" si="5"/>
        <v>0</v>
      </c>
    </row>
    <row r="73" ht="14.25" customHeight="1">
      <c r="A73" s="27"/>
      <c r="B73" s="28"/>
      <c r="C73" s="117"/>
      <c r="D73" s="40"/>
      <c r="E73" s="41"/>
      <c r="F73" s="101"/>
      <c r="G73" s="129"/>
      <c r="H73" s="130">
        <f t="shared" si="5"/>
        <v>0</v>
      </c>
    </row>
    <row r="74" ht="14.25" customHeight="1">
      <c r="A74" s="27"/>
      <c r="B74" s="28"/>
      <c r="C74" s="117"/>
      <c r="D74" s="40"/>
      <c r="E74" s="41"/>
      <c r="F74" s="101"/>
      <c r="G74" s="129"/>
      <c r="H74" s="130">
        <f t="shared" si="5"/>
        <v>0</v>
      </c>
    </row>
    <row r="75" ht="14.25" customHeight="1">
      <c r="A75" s="29"/>
      <c r="B75" s="31"/>
      <c r="C75" s="108" t="s">
        <v>129</v>
      </c>
      <c r="D75" s="40"/>
      <c r="E75" s="40"/>
      <c r="F75" s="40"/>
      <c r="G75" s="41"/>
      <c r="H75" s="133">
        <f>SUM(H65:H74)</f>
        <v>1900000</v>
      </c>
    </row>
    <row r="76" ht="14.25" customHeight="1">
      <c r="A76" s="92" t="s">
        <v>143</v>
      </c>
      <c r="B76" s="26"/>
      <c r="C76" s="117"/>
      <c r="D76" s="40"/>
      <c r="E76" s="41"/>
      <c r="F76" s="101"/>
      <c r="G76" s="129"/>
      <c r="H76" s="130">
        <f t="shared" ref="H76:H78" si="6">F76*G76</f>
        <v>0</v>
      </c>
    </row>
    <row r="77" ht="14.25" customHeight="1">
      <c r="A77" s="27"/>
      <c r="B77" s="28"/>
      <c r="C77" s="117"/>
      <c r="D77" s="40"/>
      <c r="E77" s="41"/>
      <c r="F77" s="101"/>
      <c r="G77" s="129"/>
      <c r="H77" s="130">
        <f t="shared" si="6"/>
        <v>0</v>
      </c>
    </row>
    <row r="78" ht="14.25" customHeight="1">
      <c r="A78" s="27"/>
      <c r="B78" s="28"/>
      <c r="C78" s="117"/>
      <c r="D78" s="40"/>
      <c r="E78" s="41"/>
      <c r="F78" s="101"/>
      <c r="G78" s="129"/>
      <c r="H78" s="130">
        <f t="shared" si="6"/>
        <v>0</v>
      </c>
    </row>
    <row r="79" ht="14.25" customHeight="1">
      <c r="A79" s="29"/>
      <c r="B79" s="31"/>
      <c r="C79" s="108" t="s">
        <v>129</v>
      </c>
      <c r="D79" s="40"/>
      <c r="E79" s="40"/>
      <c r="F79" s="40"/>
      <c r="G79" s="41"/>
      <c r="H79" s="133">
        <f>SUM(H76:H78)</f>
        <v>0</v>
      </c>
    </row>
    <row r="80" ht="14.25" customHeight="1">
      <c r="A80" s="108" t="s">
        <v>144</v>
      </c>
      <c r="B80" s="40"/>
      <c r="C80" s="40"/>
      <c r="D80" s="40"/>
      <c r="E80" s="40"/>
      <c r="F80" s="40"/>
      <c r="G80" s="41"/>
      <c r="H80" s="133">
        <f>H79+H75+H64+H53+H42+H38</f>
        <v>225750000</v>
      </c>
    </row>
    <row r="81" ht="14.25" customHeight="1"/>
    <row r="82" ht="14.25" customHeight="1"/>
    <row r="83" ht="14.25" customHeight="1"/>
    <row r="84" ht="14.25" customHeight="1">
      <c r="A84" s="125" t="s">
        <v>97</v>
      </c>
      <c r="H84" s="126" t="s">
        <v>123</v>
      </c>
    </row>
    <row r="85" ht="14.25" customHeight="1">
      <c r="A85" s="125"/>
      <c r="B85" s="125"/>
    </row>
    <row r="86" ht="14.25" customHeight="1"/>
    <row r="87" ht="14.25" customHeight="1">
      <c r="A87" s="127" t="s">
        <v>125</v>
      </c>
      <c r="B87" s="40"/>
      <c r="C87" s="41"/>
      <c r="D87" s="128" t="s">
        <v>127</v>
      </c>
    </row>
    <row r="88" ht="14.25" customHeight="1">
      <c r="A88" s="135" t="s">
        <v>145</v>
      </c>
      <c r="B88" s="40"/>
      <c r="C88" s="41"/>
      <c r="D88" s="136">
        <v>1000000.0</v>
      </c>
    </row>
    <row r="89" ht="14.25" customHeight="1">
      <c r="A89" s="135" t="s">
        <v>146</v>
      </c>
      <c r="B89" s="40"/>
      <c r="C89" s="41"/>
      <c r="D89" s="136">
        <v>500000.0</v>
      </c>
    </row>
    <row r="90" ht="14.25" customHeight="1">
      <c r="A90" s="135" t="s">
        <v>147</v>
      </c>
      <c r="B90" s="40"/>
      <c r="C90" s="41"/>
      <c r="D90" s="136">
        <v>50000.0</v>
      </c>
    </row>
    <row r="91" ht="14.25" customHeight="1">
      <c r="A91" s="135" t="s">
        <v>148</v>
      </c>
      <c r="B91" s="40"/>
      <c r="C91" s="41"/>
      <c r="D91" s="136"/>
    </row>
    <row r="92" ht="14.25" customHeight="1">
      <c r="A92" s="135" t="s">
        <v>149</v>
      </c>
      <c r="B92" s="40"/>
      <c r="C92" s="41"/>
      <c r="D92" s="136"/>
    </row>
    <row r="93" ht="14.25" customHeight="1">
      <c r="A93" s="135" t="s">
        <v>150</v>
      </c>
      <c r="B93" s="40"/>
      <c r="C93" s="41"/>
      <c r="D93" s="136"/>
    </row>
    <row r="94" ht="14.25" customHeight="1">
      <c r="A94" s="135" t="s">
        <v>151</v>
      </c>
      <c r="B94" s="40"/>
      <c r="C94" s="41"/>
      <c r="D94" s="136"/>
    </row>
    <row r="95" ht="14.25" customHeight="1">
      <c r="A95" s="137" t="s">
        <v>152</v>
      </c>
      <c r="B95" s="40"/>
      <c r="C95" s="41"/>
      <c r="D95" s="130">
        <f>'Estudio de Mercados'!S40</f>
        <v>500000</v>
      </c>
    </row>
    <row r="96" ht="14.25" customHeight="1">
      <c r="A96" s="137" t="s">
        <v>153</v>
      </c>
      <c r="B96" s="40"/>
      <c r="C96" s="41"/>
      <c r="D96" s="130">
        <f>D97/5</f>
        <v>410000</v>
      </c>
    </row>
    <row r="97" ht="15.75" customHeight="1">
      <c r="A97" s="138" t="s">
        <v>154</v>
      </c>
      <c r="B97" s="40"/>
      <c r="C97" s="41"/>
      <c r="D97" s="139">
        <f>SUM(D88:D95)</f>
        <v>2050000</v>
      </c>
    </row>
    <row r="98" ht="15.75" customHeight="1"/>
    <row r="99" ht="14.25" customHeight="1"/>
    <row r="100" ht="14.25" customHeight="1"/>
    <row r="101" ht="14.25" customHeight="1">
      <c r="A101" s="125" t="s">
        <v>99</v>
      </c>
      <c r="H101" s="126" t="s">
        <v>123</v>
      </c>
    </row>
    <row r="102" ht="14.25" customHeight="1"/>
    <row r="103" ht="14.25" customHeight="1"/>
    <row r="104" ht="14.25" customHeight="1">
      <c r="A104" s="55" t="s">
        <v>99</v>
      </c>
      <c r="B104" s="56"/>
      <c r="C104" s="15"/>
      <c r="D104" s="140">
        <f>D97+H80+E291</f>
        <v>242789065.2</v>
      </c>
      <c r="E104" s="141" t="s">
        <v>155</v>
      </c>
    </row>
    <row r="105" ht="14.25" customHeight="1">
      <c r="A105" s="142" t="s">
        <v>156</v>
      </c>
      <c r="B105" s="56"/>
      <c r="C105" s="15"/>
      <c r="D105" s="143">
        <f>+D104</f>
        <v>242789065.2</v>
      </c>
      <c r="E105" s="144">
        <f t="shared" ref="E105:E106" si="7">D105/$D$104</f>
        <v>1</v>
      </c>
    </row>
    <row r="106" ht="14.25" customHeight="1">
      <c r="A106" s="142" t="s">
        <v>157</v>
      </c>
      <c r="B106" s="56"/>
      <c r="C106" s="15"/>
      <c r="D106" s="145" t="str">
        <f>D356</f>
        <v/>
      </c>
      <c r="E106" s="144">
        <f t="shared" si="7"/>
        <v>0</v>
      </c>
    </row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>
      <c r="A150" s="79" t="s">
        <v>158</v>
      </c>
    </row>
    <row r="151" ht="14.25" customHeight="1"/>
    <row r="152" ht="14.25" customHeight="1">
      <c r="A152" s="125" t="s">
        <v>94</v>
      </c>
      <c r="E152" s="146" t="s">
        <v>123</v>
      </c>
    </row>
    <row r="153" ht="14.25" customHeight="1">
      <c r="A153" s="125"/>
      <c r="B153" s="125"/>
    </row>
    <row r="154" ht="14.25" customHeight="1">
      <c r="A154" s="147" t="s">
        <v>159</v>
      </c>
      <c r="B154" s="40"/>
      <c r="C154" s="41"/>
      <c r="D154" s="148" t="s">
        <v>160</v>
      </c>
      <c r="E154" s="148" t="s">
        <v>161</v>
      </c>
    </row>
    <row r="155" ht="14.25" customHeight="1">
      <c r="A155" s="135" t="s">
        <v>162</v>
      </c>
      <c r="B155" s="40"/>
      <c r="C155" s="41"/>
      <c r="D155" s="130">
        <f>'Estudio Administrativo'!R35</f>
        <v>5121485.2</v>
      </c>
      <c r="E155" s="130">
        <f>'Estudio Administrativo'!T35</f>
        <v>61457822.4</v>
      </c>
    </row>
    <row r="156" ht="14.25" customHeight="1">
      <c r="A156" s="135" t="s">
        <v>163</v>
      </c>
      <c r="B156" s="40"/>
      <c r="C156" s="41"/>
      <c r="D156" s="130">
        <f>'Estudio Administrativo'!R49</f>
        <v>0</v>
      </c>
      <c r="E156" s="130">
        <f>'Estudio Administrativo'!T49</f>
        <v>0</v>
      </c>
    </row>
    <row r="157" ht="14.25" customHeight="1">
      <c r="A157" s="149" t="s">
        <v>85</v>
      </c>
      <c r="B157" s="40"/>
      <c r="C157" s="41"/>
      <c r="D157" s="150">
        <f t="shared" ref="D157:E157" si="8">SUM(D155:D156)</f>
        <v>5121485.2</v>
      </c>
      <c r="E157" s="150">
        <f t="shared" si="8"/>
        <v>61457822.4</v>
      </c>
    </row>
    <row r="158" ht="14.25" customHeight="1"/>
    <row r="159" ht="14.25" customHeight="1"/>
    <row r="160" ht="14.25" customHeight="1"/>
    <row r="161" ht="14.25" customHeight="1">
      <c r="A161" s="125" t="s">
        <v>98</v>
      </c>
      <c r="E161" s="146" t="s">
        <v>123</v>
      </c>
    </row>
    <row r="162" ht="14.25" customHeight="1"/>
    <row r="163" ht="14.25" customHeight="1"/>
    <row r="164" ht="14.25" customHeight="1">
      <c r="A164" s="147" t="s">
        <v>159</v>
      </c>
      <c r="B164" s="40"/>
      <c r="C164" s="41"/>
      <c r="D164" s="148" t="s">
        <v>164</v>
      </c>
      <c r="E164" s="148" t="s">
        <v>165</v>
      </c>
      <c r="O164" s="151"/>
      <c r="P164" s="151"/>
    </row>
    <row r="165" ht="14.25" customHeight="1">
      <c r="A165" s="135" t="s">
        <v>166</v>
      </c>
      <c r="B165" s="40"/>
      <c r="C165" s="41"/>
      <c r="D165" s="129">
        <v>80000.0</v>
      </c>
      <c r="E165" s="130">
        <f t="shared" ref="E165:E169" si="9">D165*12</f>
        <v>960000</v>
      </c>
    </row>
    <row r="166" ht="14.25" customHeight="1">
      <c r="A166" s="135" t="s">
        <v>167</v>
      </c>
      <c r="B166" s="40"/>
      <c r="C166" s="41"/>
      <c r="D166" s="132">
        <v>12000.0</v>
      </c>
      <c r="E166" s="130">
        <f t="shared" si="9"/>
        <v>144000</v>
      </c>
    </row>
    <row r="167" ht="14.25" customHeight="1">
      <c r="A167" s="135" t="s">
        <v>168</v>
      </c>
      <c r="B167" s="40"/>
      <c r="C167" s="41"/>
      <c r="D167" s="132">
        <v>80000.0</v>
      </c>
      <c r="E167" s="130">
        <f t="shared" si="9"/>
        <v>960000</v>
      </c>
    </row>
    <row r="168" ht="14.25" customHeight="1">
      <c r="A168" s="135" t="s">
        <v>169</v>
      </c>
      <c r="B168" s="40"/>
      <c r="C168" s="41"/>
      <c r="D168" s="132">
        <v>81500.0</v>
      </c>
      <c r="E168" s="130">
        <f t="shared" si="9"/>
        <v>978000</v>
      </c>
    </row>
    <row r="169" ht="14.25" customHeight="1">
      <c r="A169" s="135" t="s">
        <v>170</v>
      </c>
      <c r="B169" s="40"/>
      <c r="C169" s="41"/>
      <c r="D169" s="132">
        <v>1300000.0</v>
      </c>
      <c r="E169" s="130">
        <f t="shared" si="9"/>
        <v>15600000</v>
      </c>
    </row>
    <row r="170" ht="14.25" customHeight="1">
      <c r="A170" s="149" t="s">
        <v>85</v>
      </c>
      <c r="B170" s="40"/>
      <c r="C170" s="41"/>
      <c r="D170" s="150">
        <f t="shared" ref="D170:E170" si="10">SUM(D165:D169)</f>
        <v>1553500</v>
      </c>
      <c r="E170" s="150">
        <f t="shared" si="10"/>
        <v>18642000</v>
      </c>
    </row>
    <row r="171" ht="14.25" customHeight="1"/>
    <row r="172" ht="14.25" customHeight="1"/>
    <row r="173" ht="14.25" customHeight="1"/>
    <row r="174" ht="14.25" customHeight="1">
      <c r="A174" s="125" t="s">
        <v>100</v>
      </c>
      <c r="F174" s="146" t="s">
        <v>123</v>
      </c>
    </row>
    <row r="175" ht="14.25" customHeight="1"/>
    <row r="176" ht="14.25" customHeight="1"/>
    <row r="177" ht="14.25" customHeight="1">
      <c r="A177" s="127" t="s">
        <v>159</v>
      </c>
      <c r="B177" s="41"/>
      <c r="C177" s="152" t="s">
        <v>171</v>
      </c>
      <c r="D177" s="152" t="s">
        <v>172</v>
      </c>
      <c r="E177" s="152" t="s">
        <v>173</v>
      </c>
      <c r="F177" s="152" t="s">
        <v>174</v>
      </c>
    </row>
    <row r="178" ht="14.25" customHeight="1">
      <c r="A178" s="135" t="s">
        <v>130</v>
      </c>
      <c r="B178" s="41"/>
      <c r="C178" s="153">
        <v>20.0</v>
      </c>
      <c r="D178" s="130">
        <f>H42</f>
        <v>200000000</v>
      </c>
      <c r="E178" s="130">
        <f t="shared" ref="E178:E182" si="11">F178/12</f>
        <v>833333.3333</v>
      </c>
      <c r="F178" s="130">
        <f t="shared" ref="F178:F182" si="12">D178/C178</f>
        <v>10000000</v>
      </c>
    </row>
    <row r="179" ht="14.25" customHeight="1">
      <c r="A179" s="154" t="s">
        <v>134</v>
      </c>
      <c r="B179" s="154"/>
      <c r="C179" s="153">
        <v>10.0</v>
      </c>
      <c r="D179" s="130">
        <f>H53</f>
        <v>4850000</v>
      </c>
      <c r="E179" s="130">
        <f t="shared" si="11"/>
        <v>40416.66667</v>
      </c>
      <c r="F179" s="130">
        <f t="shared" si="12"/>
        <v>485000</v>
      </c>
    </row>
    <row r="180" ht="14.25" customHeight="1">
      <c r="A180" s="154" t="s">
        <v>136</v>
      </c>
      <c r="B180" s="154"/>
      <c r="C180" s="153">
        <v>5.0</v>
      </c>
      <c r="D180" s="130">
        <f>H64</f>
        <v>19000000</v>
      </c>
      <c r="E180" s="130">
        <f t="shared" si="11"/>
        <v>316666.6667</v>
      </c>
      <c r="F180" s="130">
        <f t="shared" si="12"/>
        <v>3800000</v>
      </c>
    </row>
    <row r="181" ht="14.25" customHeight="1">
      <c r="A181" s="154" t="s">
        <v>140</v>
      </c>
      <c r="B181" s="154"/>
      <c r="C181" s="153">
        <v>5.0</v>
      </c>
      <c r="D181" s="130">
        <f>H75</f>
        <v>1900000</v>
      </c>
      <c r="E181" s="130">
        <f t="shared" si="11"/>
        <v>31666.66667</v>
      </c>
      <c r="F181" s="130">
        <f t="shared" si="12"/>
        <v>380000</v>
      </c>
    </row>
    <row r="182" ht="14.25" customHeight="1">
      <c r="A182" s="135" t="s">
        <v>143</v>
      </c>
      <c r="B182" s="41"/>
      <c r="C182" s="153">
        <v>5.0</v>
      </c>
      <c r="D182" s="130">
        <f>H79</f>
        <v>0</v>
      </c>
      <c r="E182" s="130">
        <f t="shared" si="11"/>
        <v>0</v>
      </c>
      <c r="F182" s="130">
        <f t="shared" si="12"/>
        <v>0</v>
      </c>
    </row>
    <row r="183" ht="14.25" customHeight="1">
      <c r="A183" s="149" t="s">
        <v>85</v>
      </c>
      <c r="B183" s="40"/>
      <c r="C183" s="40"/>
      <c r="D183" s="41"/>
      <c r="E183" s="150">
        <f t="shared" ref="E183:F183" si="13">SUM(E178:E182)</f>
        <v>1222083.333</v>
      </c>
      <c r="F183" s="150">
        <f t="shared" si="13"/>
        <v>14665000</v>
      </c>
    </row>
    <row r="184" ht="14.25" customHeight="1"/>
    <row r="185" ht="14.25" customHeight="1"/>
    <row r="186" ht="14.25" customHeight="1"/>
    <row r="187" ht="14.25" customHeight="1">
      <c r="A187" s="125" t="s">
        <v>102</v>
      </c>
      <c r="I187" s="146" t="s">
        <v>123</v>
      </c>
    </row>
    <row r="188" ht="14.25" customHeight="1"/>
    <row r="189" ht="14.25" customHeight="1"/>
    <row r="190" ht="41.25" customHeight="1">
      <c r="A190" s="127" t="s">
        <v>159</v>
      </c>
      <c r="B190" s="40"/>
      <c r="C190" s="41"/>
      <c r="D190" s="152" t="s">
        <v>69</v>
      </c>
      <c r="E190" s="113" t="s">
        <v>175</v>
      </c>
      <c r="F190" s="152" t="s">
        <v>176</v>
      </c>
      <c r="G190" s="152" t="s">
        <v>177</v>
      </c>
      <c r="H190" s="152" t="s">
        <v>178</v>
      </c>
      <c r="I190" s="152" t="s">
        <v>179</v>
      </c>
    </row>
    <row r="191" ht="14.25" customHeight="1">
      <c r="A191" s="155" t="s">
        <v>180</v>
      </c>
      <c r="B191" s="40"/>
      <c r="C191" s="41"/>
      <c r="D191" s="156">
        <f>D482</f>
        <v>111.5583333</v>
      </c>
      <c r="E191" s="157">
        <v>25000.0</v>
      </c>
      <c r="F191" s="158">
        <f t="shared" ref="F191:F200" si="14">D191/$D$482</f>
        <v>1</v>
      </c>
      <c r="G191" s="159">
        <f t="shared" ref="G191:G200" si="15">E191*F191</f>
        <v>25000</v>
      </c>
      <c r="H191" s="130">
        <f t="shared" ref="H191:H200" si="16">D191*E191</f>
        <v>2788958.333</v>
      </c>
      <c r="I191" s="160">
        <f t="shared" ref="I191:I200" si="17">H191*12</f>
        <v>33467500</v>
      </c>
    </row>
    <row r="192" ht="14.25" customHeight="1">
      <c r="A192" s="155" t="s">
        <v>181</v>
      </c>
      <c r="B192" s="40"/>
      <c r="C192" s="41"/>
      <c r="D192" s="161">
        <v>1.0</v>
      </c>
      <c r="E192" s="157">
        <v>40000.0</v>
      </c>
      <c r="F192" s="158">
        <f t="shared" si="14"/>
        <v>0.008963920221</v>
      </c>
      <c r="G192" s="159">
        <f t="shared" si="15"/>
        <v>358.5568088</v>
      </c>
      <c r="H192" s="130">
        <f t="shared" si="16"/>
        <v>40000</v>
      </c>
      <c r="I192" s="160">
        <f t="shared" si="17"/>
        <v>480000</v>
      </c>
    </row>
    <row r="193" ht="14.25" customHeight="1">
      <c r="A193" s="162"/>
      <c r="B193" s="40"/>
      <c r="C193" s="41"/>
      <c r="D193" s="161"/>
      <c r="E193" s="163"/>
      <c r="F193" s="158">
        <f t="shared" si="14"/>
        <v>0</v>
      </c>
      <c r="G193" s="159">
        <f t="shared" si="15"/>
        <v>0</v>
      </c>
      <c r="H193" s="130">
        <f t="shared" si="16"/>
        <v>0</v>
      </c>
      <c r="I193" s="160">
        <f t="shared" si="17"/>
        <v>0</v>
      </c>
    </row>
    <row r="194" ht="14.25" customHeight="1">
      <c r="A194" s="155"/>
      <c r="B194" s="40"/>
      <c r="C194" s="41"/>
      <c r="D194" s="161"/>
      <c r="E194" s="157"/>
      <c r="F194" s="158">
        <f t="shared" si="14"/>
        <v>0</v>
      </c>
      <c r="G194" s="159">
        <f t="shared" si="15"/>
        <v>0</v>
      </c>
      <c r="H194" s="130">
        <f t="shared" si="16"/>
        <v>0</v>
      </c>
      <c r="I194" s="160">
        <f t="shared" si="17"/>
        <v>0</v>
      </c>
    </row>
    <row r="195" ht="14.25" customHeight="1">
      <c r="A195" s="155"/>
      <c r="B195" s="40"/>
      <c r="C195" s="41"/>
      <c r="D195" s="161"/>
      <c r="E195" s="157"/>
      <c r="F195" s="158">
        <f t="shared" si="14"/>
        <v>0</v>
      </c>
      <c r="G195" s="159">
        <f t="shared" si="15"/>
        <v>0</v>
      </c>
      <c r="H195" s="130">
        <f t="shared" si="16"/>
        <v>0</v>
      </c>
      <c r="I195" s="160">
        <f t="shared" si="17"/>
        <v>0</v>
      </c>
    </row>
    <row r="196" ht="14.25" customHeight="1">
      <c r="A196" s="155"/>
      <c r="B196" s="40"/>
      <c r="C196" s="41"/>
      <c r="D196" s="161"/>
      <c r="E196" s="157"/>
      <c r="F196" s="158">
        <f t="shared" si="14"/>
        <v>0</v>
      </c>
      <c r="G196" s="159">
        <f t="shared" si="15"/>
        <v>0</v>
      </c>
      <c r="H196" s="130">
        <f t="shared" si="16"/>
        <v>0</v>
      </c>
      <c r="I196" s="160">
        <f t="shared" si="17"/>
        <v>0</v>
      </c>
    </row>
    <row r="197" ht="14.25" customHeight="1">
      <c r="A197" s="155"/>
      <c r="B197" s="40"/>
      <c r="C197" s="41"/>
      <c r="D197" s="161"/>
      <c r="E197" s="157"/>
      <c r="F197" s="158">
        <f t="shared" si="14"/>
        <v>0</v>
      </c>
      <c r="G197" s="159">
        <f t="shared" si="15"/>
        <v>0</v>
      </c>
      <c r="H197" s="130">
        <f t="shared" si="16"/>
        <v>0</v>
      </c>
      <c r="I197" s="160">
        <f t="shared" si="17"/>
        <v>0</v>
      </c>
    </row>
    <row r="198" ht="14.25" customHeight="1">
      <c r="A198" s="155"/>
      <c r="B198" s="40"/>
      <c r="C198" s="41"/>
      <c r="D198" s="161"/>
      <c r="E198" s="157"/>
      <c r="F198" s="158">
        <f t="shared" si="14"/>
        <v>0</v>
      </c>
      <c r="G198" s="159">
        <f t="shared" si="15"/>
        <v>0</v>
      </c>
      <c r="H198" s="130">
        <f t="shared" si="16"/>
        <v>0</v>
      </c>
      <c r="I198" s="160">
        <f t="shared" si="17"/>
        <v>0</v>
      </c>
    </row>
    <row r="199" ht="14.25" customHeight="1">
      <c r="A199" s="155"/>
      <c r="B199" s="40"/>
      <c r="C199" s="41"/>
      <c r="D199" s="161"/>
      <c r="E199" s="157"/>
      <c r="F199" s="158">
        <f t="shared" si="14"/>
        <v>0</v>
      </c>
      <c r="G199" s="159">
        <f t="shared" si="15"/>
        <v>0</v>
      </c>
      <c r="H199" s="130">
        <f t="shared" si="16"/>
        <v>0</v>
      </c>
      <c r="I199" s="160">
        <f t="shared" si="17"/>
        <v>0</v>
      </c>
    </row>
    <row r="200" ht="14.25" customHeight="1">
      <c r="A200" s="155"/>
      <c r="B200" s="40"/>
      <c r="C200" s="41"/>
      <c r="D200" s="161"/>
      <c r="E200" s="157"/>
      <c r="F200" s="158">
        <f t="shared" si="14"/>
        <v>0</v>
      </c>
      <c r="G200" s="159">
        <f t="shared" si="15"/>
        <v>0</v>
      </c>
      <c r="H200" s="130">
        <f t="shared" si="16"/>
        <v>0</v>
      </c>
      <c r="I200" s="160">
        <f t="shared" si="17"/>
        <v>0</v>
      </c>
    </row>
    <row r="201" ht="14.25" customHeight="1">
      <c r="A201" s="108" t="s">
        <v>85</v>
      </c>
      <c r="B201" s="40"/>
      <c r="C201" s="40"/>
      <c r="D201" s="40"/>
      <c r="E201" s="40"/>
      <c r="F201" s="41"/>
      <c r="G201" s="164">
        <f t="shared" ref="G201:I201" si="18">SUM(G191:G200)</f>
        <v>25358.55681</v>
      </c>
      <c r="H201" s="165">
        <f t="shared" si="18"/>
        <v>2828958.333</v>
      </c>
      <c r="I201" s="150">
        <f t="shared" si="18"/>
        <v>33947500</v>
      </c>
    </row>
    <row r="202" ht="14.25" customHeight="1">
      <c r="A202" s="38"/>
      <c r="B202" s="38"/>
      <c r="C202" s="52"/>
      <c r="G202" s="120"/>
      <c r="H202" s="120"/>
      <c r="I202" s="120"/>
    </row>
    <row r="203" ht="14.25" customHeight="1">
      <c r="A203" s="38"/>
      <c r="B203" s="38"/>
      <c r="C203" s="52"/>
      <c r="D203" s="120"/>
      <c r="E203" s="120"/>
      <c r="F203" s="120"/>
    </row>
    <row r="204" ht="14.25" customHeight="1">
      <c r="A204" s="38"/>
      <c r="B204" s="38"/>
      <c r="C204" s="52"/>
      <c r="D204" s="120"/>
      <c r="E204" s="120"/>
      <c r="F204" s="120"/>
    </row>
    <row r="205" ht="14.25" customHeight="1">
      <c r="A205" s="125" t="s">
        <v>104</v>
      </c>
      <c r="D205" s="120"/>
      <c r="E205" s="120"/>
      <c r="F205" s="146" t="s">
        <v>123</v>
      </c>
    </row>
    <row r="206" ht="14.25" customHeight="1">
      <c r="A206" s="125"/>
      <c r="B206" s="125"/>
      <c r="C206" s="125"/>
      <c r="D206" s="120"/>
      <c r="E206" s="120"/>
      <c r="F206" s="120"/>
    </row>
    <row r="207" ht="14.25" customHeight="1">
      <c r="A207" s="125"/>
      <c r="B207" s="125"/>
      <c r="C207" s="125"/>
      <c r="D207" s="120"/>
      <c r="E207" s="120"/>
      <c r="F207" s="120"/>
    </row>
    <row r="208" ht="14.25" customHeight="1">
      <c r="A208" s="127" t="s">
        <v>159</v>
      </c>
      <c r="B208" s="40"/>
      <c r="C208" s="40"/>
      <c r="D208" s="41"/>
      <c r="E208" s="152" t="s">
        <v>160</v>
      </c>
      <c r="F208" s="152" t="s">
        <v>161</v>
      </c>
    </row>
    <row r="209" ht="14.25" customHeight="1">
      <c r="A209" s="135" t="s">
        <v>182</v>
      </c>
      <c r="B209" s="40"/>
      <c r="C209" s="40"/>
      <c r="D209" s="166">
        <v>0.05</v>
      </c>
      <c r="E209" s="130">
        <f t="shared" ref="E209:E211" si="19">F209/12</f>
        <v>20208.33333</v>
      </c>
      <c r="F209" s="130">
        <f>D209*D179</f>
        <v>242500</v>
      </c>
    </row>
    <row r="210" ht="14.25" customHeight="1">
      <c r="A210" s="135" t="s">
        <v>183</v>
      </c>
      <c r="B210" s="40"/>
      <c r="C210" s="40"/>
      <c r="D210" s="167">
        <v>0.013</v>
      </c>
      <c r="E210" s="130">
        <f t="shared" si="19"/>
        <v>237250</v>
      </c>
      <c r="F210" s="130">
        <f>((D178*F229)+(D179*F230)+(D180*F231)+(D181*F232)+(D182*F233))*D210</f>
        <v>2847000</v>
      </c>
    </row>
    <row r="211" ht="14.25" customHeight="1">
      <c r="A211" s="135" t="s">
        <v>184</v>
      </c>
      <c r="B211" s="40"/>
      <c r="C211" s="40"/>
      <c r="D211" s="41"/>
      <c r="E211" s="130">
        <f t="shared" si="19"/>
        <v>1150000</v>
      </c>
      <c r="F211" s="130">
        <f>H234</f>
        <v>13800000</v>
      </c>
    </row>
    <row r="212" ht="14.25" customHeight="1">
      <c r="A212" s="135" t="s">
        <v>185</v>
      </c>
      <c r="B212" s="40"/>
      <c r="C212" s="40"/>
      <c r="D212" s="41"/>
      <c r="E212" s="130">
        <f>H228-H227</f>
        <v>253500</v>
      </c>
      <c r="F212" s="130">
        <f t="shared" ref="F212:F213" si="20">E212*12</f>
        <v>3042000</v>
      </c>
    </row>
    <row r="213" ht="14.25" customHeight="1">
      <c r="A213" s="135" t="s">
        <v>170</v>
      </c>
      <c r="B213" s="40"/>
      <c r="C213" s="40"/>
      <c r="D213" s="41"/>
      <c r="E213" s="130">
        <f>H227</f>
        <v>1300000</v>
      </c>
      <c r="F213" s="130">
        <f t="shared" si="20"/>
        <v>15600000</v>
      </c>
    </row>
    <row r="214" ht="14.25" customHeight="1">
      <c r="A214" s="135" t="s">
        <v>186</v>
      </c>
      <c r="B214" s="40"/>
      <c r="C214" s="40"/>
      <c r="D214" s="41"/>
      <c r="E214" s="136"/>
      <c r="F214" s="136"/>
    </row>
    <row r="215" ht="14.25" customHeight="1">
      <c r="A215" s="108" t="s">
        <v>85</v>
      </c>
      <c r="B215" s="40"/>
      <c r="C215" s="40"/>
      <c r="D215" s="41"/>
      <c r="E215" s="165">
        <f t="shared" ref="E215:F215" si="21">SUM(E209:E214)</f>
        <v>2960958.333</v>
      </c>
      <c r="F215" s="168">
        <f t="shared" si="21"/>
        <v>35531500</v>
      </c>
    </row>
    <row r="216" ht="14.25" customHeight="1">
      <c r="A216" s="125"/>
      <c r="B216" s="125"/>
      <c r="C216" s="125"/>
      <c r="D216" s="120"/>
      <c r="E216" s="120"/>
      <c r="F216" s="120"/>
    </row>
    <row r="217" ht="14.25" customHeight="1">
      <c r="A217" s="125"/>
      <c r="B217" s="125"/>
      <c r="C217" s="125"/>
      <c r="D217" s="120"/>
      <c r="E217" s="120"/>
      <c r="F217" s="120"/>
    </row>
    <row r="218" ht="14.25" customHeight="1">
      <c r="A218" s="125"/>
      <c r="B218" s="125"/>
      <c r="C218" s="125"/>
      <c r="D218" s="120"/>
      <c r="E218" s="120"/>
      <c r="F218" s="120"/>
    </row>
    <row r="219" ht="14.25" customHeight="1">
      <c r="A219" s="169" t="str">
        <f>UPPER("Prorrateo de costos y gastos")</f>
        <v>PRORRATEO DE COSTOS Y GASTOS</v>
      </c>
      <c r="F219" s="151"/>
      <c r="G219" s="151"/>
      <c r="I219" s="146" t="s">
        <v>123</v>
      </c>
    </row>
    <row r="220" ht="14.25" customHeight="1">
      <c r="A220" s="151"/>
      <c r="B220" s="151"/>
      <c r="C220" s="151"/>
      <c r="F220" s="151"/>
      <c r="G220" s="151"/>
    </row>
    <row r="221" ht="18.75" customHeight="1">
      <c r="F221" s="170" t="s">
        <v>187</v>
      </c>
      <c r="G221" s="41"/>
      <c r="H221" s="127" t="s">
        <v>188</v>
      </c>
      <c r="I221" s="41"/>
    </row>
    <row r="222" ht="14.25" customHeight="1">
      <c r="A222" s="127" t="s">
        <v>159</v>
      </c>
      <c r="B222" s="40"/>
      <c r="C222" s="41"/>
      <c r="D222" s="152" t="s">
        <v>160</v>
      </c>
      <c r="E222" s="152" t="s">
        <v>161</v>
      </c>
      <c r="F222" s="152" t="s">
        <v>189</v>
      </c>
      <c r="G222" s="113" t="s">
        <v>190</v>
      </c>
      <c r="H222" s="152" t="s">
        <v>189</v>
      </c>
      <c r="I222" s="152" t="s">
        <v>190</v>
      </c>
    </row>
    <row r="223" ht="15.0" customHeight="1">
      <c r="A223" s="84" t="s">
        <v>191</v>
      </c>
      <c r="B223" s="135" t="s">
        <v>166</v>
      </c>
      <c r="C223" s="41"/>
      <c r="D223" s="130">
        <f t="shared" ref="D223:E223" si="22">D165</f>
        <v>80000</v>
      </c>
      <c r="E223" s="130">
        <f t="shared" si="22"/>
        <v>960000</v>
      </c>
      <c r="F223" s="171">
        <v>1.0</v>
      </c>
      <c r="G223" s="172">
        <f t="shared" ref="G223:G227" si="24">1-F223</f>
        <v>0</v>
      </c>
      <c r="H223" s="130">
        <f t="shared" ref="H223:H227" si="25">F223*D223</f>
        <v>80000</v>
      </c>
      <c r="I223" s="130">
        <f t="shared" ref="I223:I227" si="26">D223*G223</f>
        <v>0</v>
      </c>
    </row>
    <row r="224" ht="14.25" customHeight="1">
      <c r="A224" s="93"/>
      <c r="B224" s="135" t="s">
        <v>167</v>
      </c>
      <c r="C224" s="41"/>
      <c r="D224" s="130">
        <f t="shared" ref="D224:E224" si="23">D166</f>
        <v>12000</v>
      </c>
      <c r="E224" s="130">
        <f t="shared" si="23"/>
        <v>144000</v>
      </c>
      <c r="F224" s="171">
        <v>1.0</v>
      </c>
      <c r="G224" s="172">
        <f t="shared" si="24"/>
        <v>0</v>
      </c>
      <c r="H224" s="130">
        <f t="shared" si="25"/>
        <v>12000</v>
      </c>
      <c r="I224" s="130">
        <f t="shared" si="26"/>
        <v>0</v>
      </c>
    </row>
    <row r="225" ht="14.25" customHeight="1">
      <c r="A225" s="93"/>
      <c r="B225" s="135" t="s">
        <v>168</v>
      </c>
      <c r="C225" s="41"/>
      <c r="D225" s="130">
        <f t="shared" ref="D225:E225" si="27">D167</f>
        <v>80000</v>
      </c>
      <c r="E225" s="130">
        <f t="shared" si="27"/>
        <v>960000</v>
      </c>
      <c r="F225" s="171">
        <v>1.0</v>
      </c>
      <c r="G225" s="172">
        <f t="shared" si="24"/>
        <v>0</v>
      </c>
      <c r="H225" s="130">
        <f t="shared" si="25"/>
        <v>80000</v>
      </c>
      <c r="I225" s="130">
        <f t="shared" si="26"/>
        <v>0</v>
      </c>
    </row>
    <row r="226" ht="14.25" customHeight="1">
      <c r="A226" s="93"/>
      <c r="B226" s="135" t="s">
        <v>169</v>
      </c>
      <c r="C226" s="41"/>
      <c r="D226" s="130">
        <f t="shared" ref="D226:E226" si="28">D168</f>
        <v>81500</v>
      </c>
      <c r="E226" s="130">
        <f t="shared" si="28"/>
        <v>978000</v>
      </c>
      <c r="F226" s="171">
        <v>1.0</v>
      </c>
      <c r="G226" s="172">
        <f t="shared" si="24"/>
        <v>0</v>
      </c>
      <c r="H226" s="130">
        <f t="shared" si="25"/>
        <v>81500</v>
      </c>
      <c r="I226" s="130">
        <f t="shared" si="26"/>
        <v>0</v>
      </c>
    </row>
    <row r="227" ht="14.25" customHeight="1">
      <c r="A227" s="93"/>
      <c r="B227" s="135" t="s">
        <v>170</v>
      </c>
      <c r="C227" s="41"/>
      <c r="D227" s="130">
        <f t="shared" ref="D227:E227" si="29">D169</f>
        <v>1300000</v>
      </c>
      <c r="E227" s="130">
        <f t="shared" si="29"/>
        <v>15600000</v>
      </c>
      <c r="F227" s="171">
        <v>1.0</v>
      </c>
      <c r="G227" s="172">
        <f t="shared" si="24"/>
        <v>0</v>
      </c>
      <c r="H227" s="130">
        <f t="shared" si="25"/>
        <v>1300000</v>
      </c>
      <c r="I227" s="130">
        <f t="shared" si="26"/>
        <v>0</v>
      </c>
    </row>
    <row r="228" ht="14.25" customHeight="1">
      <c r="A228" s="107"/>
      <c r="B228" s="108" t="s">
        <v>85</v>
      </c>
      <c r="C228" s="40"/>
      <c r="D228" s="40"/>
      <c r="E228" s="40"/>
      <c r="F228" s="40"/>
      <c r="G228" s="41"/>
      <c r="H228" s="133">
        <f t="shared" ref="H228:I228" si="30">SUM(H223:H227)</f>
        <v>1553500</v>
      </c>
      <c r="I228" s="133">
        <f t="shared" si="30"/>
        <v>0</v>
      </c>
    </row>
    <row r="229" ht="14.25" customHeight="1">
      <c r="A229" s="84" t="s">
        <v>100</v>
      </c>
      <c r="B229" s="135" t="str">
        <f t="shared" ref="B229:B233" si="31">A178</f>
        <v>Construcciones</v>
      </c>
      <c r="C229" s="40"/>
      <c r="D229" s="41"/>
      <c r="E229" s="130">
        <f t="shared" ref="E229:E233" si="32">F178</f>
        <v>10000000</v>
      </c>
      <c r="F229" s="171">
        <v>1.0</v>
      </c>
      <c r="G229" s="172">
        <f t="shared" ref="G229:G233" si="33">1-F229</f>
        <v>0</v>
      </c>
      <c r="H229" s="130">
        <f t="shared" ref="H229:H233" si="34">F229*F178</f>
        <v>10000000</v>
      </c>
      <c r="I229" s="130">
        <f t="shared" ref="I229:I233" si="35">F178*G229</f>
        <v>0</v>
      </c>
    </row>
    <row r="230" ht="14.25" customHeight="1">
      <c r="A230" s="93"/>
      <c r="B230" s="135" t="str">
        <f t="shared" si="31"/>
        <v>Maquinaria y equipos</v>
      </c>
      <c r="C230" s="40"/>
      <c r="D230" s="41"/>
      <c r="E230" s="130">
        <f t="shared" si="32"/>
        <v>485000</v>
      </c>
      <c r="F230" s="171">
        <v>0.0</v>
      </c>
      <c r="G230" s="172">
        <f t="shared" si="33"/>
        <v>1</v>
      </c>
      <c r="H230" s="130">
        <f t="shared" si="34"/>
        <v>0</v>
      </c>
      <c r="I230" s="130">
        <f t="shared" si="35"/>
        <v>485000</v>
      </c>
    </row>
    <row r="231" ht="14.25" customHeight="1">
      <c r="A231" s="93"/>
      <c r="B231" s="135" t="str">
        <f t="shared" si="31"/>
        <v>Muebles y enseres</v>
      </c>
      <c r="C231" s="40"/>
      <c r="D231" s="41"/>
      <c r="E231" s="130">
        <f t="shared" si="32"/>
        <v>3800000</v>
      </c>
      <c r="F231" s="173">
        <v>1.0</v>
      </c>
      <c r="G231" s="172">
        <f t="shared" si="33"/>
        <v>0</v>
      </c>
      <c r="H231" s="130">
        <f t="shared" si="34"/>
        <v>3800000</v>
      </c>
      <c r="I231" s="130">
        <f t="shared" si="35"/>
        <v>0</v>
      </c>
    </row>
    <row r="232" ht="14.25" customHeight="1">
      <c r="A232" s="93"/>
      <c r="B232" s="135" t="str">
        <f t="shared" si="31"/>
        <v>Equipos de oficina</v>
      </c>
      <c r="C232" s="40"/>
      <c r="D232" s="41"/>
      <c r="E232" s="130">
        <f t="shared" si="32"/>
        <v>380000</v>
      </c>
      <c r="F232" s="171"/>
      <c r="G232" s="172">
        <f t="shared" si="33"/>
        <v>1</v>
      </c>
      <c r="H232" s="130">
        <f t="shared" si="34"/>
        <v>0</v>
      </c>
      <c r="I232" s="130">
        <f t="shared" si="35"/>
        <v>380000</v>
      </c>
    </row>
    <row r="233" ht="14.25" customHeight="1">
      <c r="A233" s="93"/>
      <c r="B233" s="135" t="str">
        <f t="shared" si="31"/>
        <v>Vehículos</v>
      </c>
      <c r="C233" s="40"/>
      <c r="D233" s="41"/>
      <c r="E233" s="130">
        <f t="shared" si="32"/>
        <v>0</v>
      </c>
      <c r="F233" s="171"/>
      <c r="G233" s="172">
        <f t="shared" si="33"/>
        <v>1</v>
      </c>
      <c r="H233" s="130">
        <f t="shared" si="34"/>
        <v>0</v>
      </c>
      <c r="I233" s="130">
        <f t="shared" si="35"/>
        <v>0</v>
      </c>
    </row>
    <row r="234" ht="14.25" customHeight="1">
      <c r="A234" s="107"/>
      <c r="B234" s="108" t="s">
        <v>85</v>
      </c>
      <c r="C234" s="40"/>
      <c r="D234" s="40"/>
      <c r="E234" s="40"/>
      <c r="F234" s="40"/>
      <c r="G234" s="41"/>
      <c r="H234" s="133">
        <f t="shared" ref="H234:I234" si="36">SUM(H229:H233)</f>
        <v>13800000</v>
      </c>
      <c r="I234" s="133">
        <f t="shared" si="36"/>
        <v>865000</v>
      </c>
    </row>
    <row r="235" ht="14.25" customHeight="1">
      <c r="A235" s="174"/>
      <c r="B235" s="38"/>
      <c r="C235" s="52"/>
      <c r="D235" s="120"/>
      <c r="E235" s="120"/>
      <c r="F235" s="120"/>
    </row>
    <row r="236" ht="14.25" customHeight="1">
      <c r="A236" s="174"/>
      <c r="B236" s="38"/>
      <c r="C236" s="52"/>
      <c r="D236" s="120"/>
      <c r="E236" s="120"/>
      <c r="F236" s="120"/>
    </row>
    <row r="237" ht="14.25" customHeight="1">
      <c r="A237" s="174"/>
      <c r="B237" s="38"/>
      <c r="C237" s="52"/>
      <c r="D237" s="120"/>
      <c r="E237" s="120"/>
      <c r="F237" s="120"/>
    </row>
    <row r="238" ht="14.25" customHeight="1">
      <c r="A238" s="169" t="s">
        <v>108</v>
      </c>
      <c r="D238" s="120"/>
      <c r="E238" s="146" t="s">
        <v>123</v>
      </c>
      <c r="F238" s="120"/>
    </row>
    <row r="239" ht="14.25" customHeight="1">
      <c r="A239" s="174"/>
      <c r="B239" s="38"/>
      <c r="C239" s="52"/>
      <c r="D239" s="120"/>
      <c r="E239" s="120"/>
      <c r="F239" s="120"/>
    </row>
    <row r="240" ht="14.25" customHeight="1"/>
    <row r="241" ht="14.25" customHeight="1">
      <c r="A241" s="127" t="s">
        <v>159</v>
      </c>
      <c r="B241" s="40"/>
      <c r="C241" s="41"/>
      <c r="D241" s="152" t="s">
        <v>160</v>
      </c>
      <c r="E241" s="152" t="s">
        <v>161</v>
      </c>
    </row>
    <row r="242" ht="14.25" customHeight="1">
      <c r="A242" s="135" t="s">
        <v>192</v>
      </c>
      <c r="B242" s="40"/>
      <c r="C242" s="41"/>
      <c r="D242" s="103">
        <f t="shared" ref="D242:E242" si="37">D155</f>
        <v>5121485.2</v>
      </c>
      <c r="E242" s="103">
        <f t="shared" si="37"/>
        <v>61457822.4</v>
      </c>
    </row>
    <row r="243" ht="14.25" customHeight="1">
      <c r="A243" s="135" t="s">
        <v>193</v>
      </c>
      <c r="B243" s="40"/>
      <c r="C243" s="41"/>
      <c r="D243" s="103">
        <f t="shared" ref="D243:E243" si="38">H201</f>
        <v>2828958.333</v>
      </c>
      <c r="E243" s="103">
        <f t="shared" si="38"/>
        <v>33947500</v>
      </c>
    </row>
    <row r="244" ht="14.25" customHeight="1">
      <c r="A244" s="135" t="s">
        <v>194</v>
      </c>
      <c r="B244" s="40"/>
      <c r="C244" s="41"/>
      <c r="D244" s="103">
        <f t="shared" ref="D244:E244" si="39">E215</f>
        <v>2960958.333</v>
      </c>
      <c r="E244" s="103">
        <f t="shared" si="39"/>
        <v>35531500</v>
      </c>
    </row>
    <row r="245" ht="14.25" customHeight="1">
      <c r="A245" s="108" t="s">
        <v>85</v>
      </c>
      <c r="B245" s="40"/>
      <c r="C245" s="41"/>
      <c r="D245" s="175">
        <f t="shared" ref="D245:E245" si="40">SUM(D242:D244)</f>
        <v>10911401.87</v>
      </c>
      <c r="E245" s="175">
        <f t="shared" si="40"/>
        <v>130936822.4</v>
      </c>
    </row>
    <row r="246" ht="14.25" customHeight="1"/>
    <row r="247" ht="14.25" customHeight="1"/>
    <row r="248" ht="14.25" customHeight="1"/>
    <row r="249" ht="14.25" customHeight="1">
      <c r="A249" s="169" t="s">
        <v>110</v>
      </c>
      <c r="E249" s="146" t="s">
        <v>123</v>
      </c>
    </row>
    <row r="250" ht="14.25" customHeight="1"/>
    <row r="251" ht="14.25" customHeight="1"/>
    <row r="252" ht="14.25" customHeight="1">
      <c r="A252" s="127" t="s">
        <v>159</v>
      </c>
      <c r="B252" s="40"/>
      <c r="C252" s="41"/>
      <c r="D252" s="152" t="s">
        <v>160</v>
      </c>
      <c r="E252" s="152" t="s">
        <v>161</v>
      </c>
    </row>
    <row r="253" ht="15.0" customHeight="1">
      <c r="A253" s="135" t="s">
        <v>182</v>
      </c>
      <c r="B253" s="41"/>
      <c r="C253" s="166">
        <v>0.05</v>
      </c>
      <c r="D253" s="176">
        <f t="shared" ref="D253:D255" si="41">E253/12</f>
        <v>7916.666667</v>
      </c>
      <c r="E253" s="176">
        <f>C253*D181</f>
        <v>95000</v>
      </c>
    </row>
    <row r="254" ht="15.0" customHeight="1">
      <c r="A254" s="135" t="s">
        <v>183</v>
      </c>
      <c r="B254" s="41"/>
      <c r="C254" s="167"/>
      <c r="D254" s="176">
        <f t="shared" si="41"/>
        <v>0</v>
      </c>
      <c r="E254" s="176">
        <f>((D178*G229)+(D179*G230)+(D180*G231)+(D181*G232)+(D182*G233))*C254</f>
        <v>0</v>
      </c>
    </row>
    <row r="255" ht="15.0" customHeight="1">
      <c r="A255" s="135" t="s">
        <v>184</v>
      </c>
      <c r="B255" s="40"/>
      <c r="C255" s="41"/>
      <c r="D255" s="176">
        <f t="shared" si="41"/>
        <v>72083.33333</v>
      </c>
      <c r="E255" s="176">
        <f>I234</f>
        <v>865000</v>
      </c>
    </row>
    <row r="256" ht="15.0" customHeight="1">
      <c r="A256" s="135" t="s">
        <v>185</v>
      </c>
      <c r="B256" s="40"/>
      <c r="C256" s="41"/>
      <c r="D256" s="176">
        <f>SUM(I223:I226)</f>
        <v>0</v>
      </c>
      <c r="E256" s="176">
        <f t="shared" ref="E256:E261" si="42">D256*12</f>
        <v>0</v>
      </c>
    </row>
    <row r="257" ht="15.0" customHeight="1">
      <c r="A257" s="135" t="s">
        <v>170</v>
      </c>
      <c r="B257" s="40"/>
      <c r="C257" s="41"/>
      <c r="D257" s="176">
        <f>I227</f>
        <v>0</v>
      </c>
      <c r="E257" s="176">
        <f t="shared" si="42"/>
        <v>0</v>
      </c>
    </row>
    <row r="258" ht="15.0" customHeight="1">
      <c r="A258" s="135" t="s">
        <v>195</v>
      </c>
      <c r="B258" s="40"/>
      <c r="C258" s="41"/>
      <c r="D258" s="177">
        <v>50000.0</v>
      </c>
      <c r="E258" s="176">
        <f t="shared" si="42"/>
        <v>600000</v>
      </c>
    </row>
    <row r="259" ht="15.0" customHeight="1">
      <c r="A259" s="135" t="s">
        <v>196</v>
      </c>
      <c r="B259" s="40"/>
      <c r="C259" s="41"/>
      <c r="D259" s="178"/>
      <c r="E259" s="176">
        <f t="shared" si="42"/>
        <v>0</v>
      </c>
    </row>
    <row r="260" ht="15.0" customHeight="1">
      <c r="A260" s="135" t="s">
        <v>197</v>
      </c>
      <c r="B260" s="40"/>
      <c r="C260" s="41"/>
      <c r="D260" s="176" t="str">
        <f>'Estudio de Mercados'!S42</f>
        <v/>
      </c>
      <c r="E260" s="176">
        <f t="shared" si="42"/>
        <v>0</v>
      </c>
    </row>
    <row r="261" ht="15.0" customHeight="1">
      <c r="A261" s="135" t="s">
        <v>198</v>
      </c>
      <c r="B261" s="40"/>
      <c r="C261" s="41"/>
      <c r="D261" s="177">
        <v>30000.0</v>
      </c>
      <c r="E261" s="176">
        <f t="shared" si="42"/>
        <v>360000</v>
      </c>
    </row>
    <row r="262" ht="14.25" customHeight="1">
      <c r="A262" s="135" t="s">
        <v>199</v>
      </c>
      <c r="B262" s="40"/>
      <c r="C262" s="41"/>
      <c r="D262" s="176">
        <f>E262/12</f>
        <v>34166.66667</v>
      </c>
      <c r="E262" s="176">
        <f>D96</f>
        <v>410000</v>
      </c>
    </row>
    <row r="263" ht="14.25" customHeight="1">
      <c r="A263" s="135" t="s">
        <v>200</v>
      </c>
      <c r="B263" s="40"/>
      <c r="C263" s="41"/>
      <c r="D263" s="179">
        <f>606000+480000+952000+500000</f>
        <v>2538000</v>
      </c>
      <c r="E263" s="176">
        <f>D263*12</f>
        <v>30456000</v>
      </c>
    </row>
    <row r="264" ht="14.25" customHeight="1">
      <c r="A264" s="135" t="s">
        <v>163</v>
      </c>
      <c r="B264" s="40"/>
      <c r="C264" s="41"/>
      <c r="D264" s="136">
        <f t="shared" ref="D264:E264" si="43">D156</f>
        <v>0</v>
      </c>
      <c r="E264" s="136">
        <f t="shared" si="43"/>
        <v>0</v>
      </c>
    </row>
    <row r="265" ht="14.25" customHeight="1">
      <c r="A265" s="108" t="s">
        <v>85</v>
      </c>
      <c r="B265" s="40"/>
      <c r="C265" s="41"/>
      <c r="D265" s="175">
        <f t="shared" ref="D265:E265" si="44">SUM(D253:D264)</f>
        <v>2732166.667</v>
      </c>
      <c r="E265" s="175">
        <f t="shared" si="44"/>
        <v>32786000</v>
      </c>
    </row>
    <row r="266" ht="14.25" customHeight="1"/>
    <row r="267" ht="14.25" customHeight="1"/>
    <row r="268" ht="14.25" customHeight="1"/>
    <row r="269" ht="14.25" customHeight="1">
      <c r="A269" s="169" t="s">
        <v>112</v>
      </c>
      <c r="E269" s="146" t="s">
        <v>123</v>
      </c>
    </row>
    <row r="270" ht="14.25" customHeight="1"/>
    <row r="271" ht="14.25" customHeight="1"/>
    <row r="272" ht="14.25" customHeight="1">
      <c r="A272" s="147" t="s">
        <v>159</v>
      </c>
      <c r="B272" s="41"/>
      <c r="C272" s="175" t="s">
        <v>161</v>
      </c>
    </row>
    <row r="273" ht="14.25" customHeight="1">
      <c r="A273" s="135" t="s">
        <v>201</v>
      </c>
      <c r="B273" s="41"/>
      <c r="C273" s="130">
        <f t="shared" ref="C273:C277" si="45">C366</f>
        <v>0</v>
      </c>
    </row>
    <row r="274" ht="14.25" customHeight="1">
      <c r="A274" s="135" t="s">
        <v>202</v>
      </c>
      <c r="B274" s="41"/>
      <c r="C274" s="130">
        <f t="shared" si="45"/>
        <v>0</v>
      </c>
    </row>
    <row r="275" ht="14.25" customHeight="1">
      <c r="A275" s="135" t="s">
        <v>203</v>
      </c>
      <c r="B275" s="41"/>
      <c r="C275" s="130">
        <f t="shared" si="45"/>
        <v>0</v>
      </c>
    </row>
    <row r="276" ht="14.25" customHeight="1">
      <c r="A276" s="135" t="s">
        <v>204</v>
      </c>
      <c r="B276" s="41"/>
      <c r="C276" s="130">
        <f t="shared" si="45"/>
        <v>0</v>
      </c>
    </row>
    <row r="277" ht="14.25" customHeight="1">
      <c r="A277" s="135" t="s">
        <v>205</v>
      </c>
      <c r="B277" s="41"/>
      <c r="C277" s="130">
        <f t="shared" si="45"/>
        <v>0</v>
      </c>
    </row>
    <row r="278" ht="14.25" customHeight="1">
      <c r="A278" s="149" t="s">
        <v>85</v>
      </c>
      <c r="B278" s="41"/>
      <c r="C278" s="180">
        <f>SUM(C273:C277)</f>
        <v>0</v>
      </c>
    </row>
    <row r="279" ht="14.25" customHeight="1"/>
    <row r="280" ht="14.25" customHeight="1"/>
    <row r="281" ht="14.25" customHeight="1"/>
    <row r="282" ht="14.25" customHeight="1">
      <c r="A282" s="169" t="s">
        <v>113</v>
      </c>
      <c r="D282" s="181">
        <v>1.0</v>
      </c>
      <c r="E282" s="182" t="s">
        <v>206</v>
      </c>
    </row>
    <row r="283" ht="14.25" customHeight="1"/>
    <row r="284" ht="14.25" customHeight="1"/>
    <row r="285" ht="14.25" customHeight="1">
      <c r="A285" s="127" t="s">
        <v>159</v>
      </c>
      <c r="B285" s="40"/>
      <c r="C285" s="41"/>
      <c r="D285" s="152" t="s">
        <v>207</v>
      </c>
      <c r="E285" s="152" t="s">
        <v>208</v>
      </c>
    </row>
    <row r="286" ht="14.25" customHeight="1">
      <c r="A286" s="135" t="s">
        <v>209</v>
      </c>
      <c r="B286" s="40"/>
      <c r="C286" s="41"/>
      <c r="D286" s="176">
        <f>D245</f>
        <v>10911401.87</v>
      </c>
      <c r="E286" s="176">
        <f t="shared" ref="E286:E287" si="46">D286*$D$282</f>
        <v>10911401.87</v>
      </c>
    </row>
    <row r="287" ht="14.25" customHeight="1">
      <c r="A287" s="135" t="s">
        <v>210</v>
      </c>
      <c r="B287" s="40"/>
      <c r="C287" s="41"/>
      <c r="D287" s="176">
        <f>D265</f>
        <v>2732166.667</v>
      </c>
      <c r="E287" s="176">
        <f t="shared" si="46"/>
        <v>2732166.667</v>
      </c>
    </row>
    <row r="288" ht="14.25" customHeight="1">
      <c r="A288" s="135" t="s">
        <v>211</v>
      </c>
      <c r="B288" s="40"/>
      <c r="C288" s="41"/>
      <c r="D288" s="176">
        <f>C380</f>
        <v>0</v>
      </c>
      <c r="E288" s="176">
        <f>D288+C381</f>
        <v>0</v>
      </c>
    </row>
    <row r="289" ht="14.25" customHeight="1">
      <c r="A289" s="135" t="s">
        <v>212</v>
      </c>
      <c r="B289" s="40"/>
      <c r="C289" s="41"/>
      <c r="D289" s="176">
        <f>(D506*0.004)/12</f>
        <v>89246.66667</v>
      </c>
      <c r="E289" s="176">
        <f>D289*D282</f>
        <v>89246.66667</v>
      </c>
    </row>
    <row r="290" ht="14.25" customHeight="1">
      <c r="A290" s="135" t="s">
        <v>213</v>
      </c>
      <c r="B290" s="40"/>
      <c r="C290" s="41"/>
      <c r="D290" s="176">
        <f>D255+E211+D262</f>
        <v>1256250</v>
      </c>
      <c r="E290" s="176">
        <f>D290*D282</f>
        <v>1256250</v>
      </c>
    </row>
    <row r="291" ht="14.25" customHeight="1">
      <c r="A291" s="108" t="s">
        <v>85</v>
      </c>
      <c r="B291" s="40"/>
      <c r="C291" s="41"/>
      <c r="D291" s="175">
        <f>SUM(D286:D289)-D290</f>
        <v>12476565.2</v>
      </c>
      <c r="E291" s="175">
        <f>SUM(E286:E290)</f>
        <v>14989065.2</v>
      </c>
    </row>
    <row r="292" ht="14.25" customHeight="1"/>
    <row r="293" ht="14.25" customHeight="1"/>
    <row r="294" ht="14.25" customHeight="1"/>
    <row r="295" ht="14.25" customHeight="1">
      <c r="A295" s="169" t="s">
        <v>116</v>
      </c>
      <c r="E295" s="146" t="s">
        <v>123</v>
      </c>
    </row>
    <row r="296" ht="14.25" customHeight="1"/>
    <row r="297" ht="14.25" customHeight="1"/>
    <row r="298" ht="14.25" customHeight="1">
      <c r="A298" s="127" t="s">
        <v>159</v>
      </c>
      <c r="B298" s="40"/>
      <c r="C298" s="41"/>
      <c r="D298" s="152" t="s">
        <v>161</v>
      </c>
    </row>
    <row r="299" ht="14.25" customHeight="1">
      <c r="A299" s="135" t="s">
        <v>162</v>
      </c>
      <c r="B299" s="40"/>
      <c r="C299" s="41"/>
      <c r="D299" s="176">
        <f>E155</f>
        <v>61457822.4</v>
      </c>
    </row>
    <row r="300" ht="14.25" customHeight="1">
      <c r="A300" s="183" t="s">
        <v>214</v>
      </c>
      <c r="B300" s="184" t="s">
        <v>170</v>
      </c>
      <c r="C300" s="130">
        <f>F213</f>
        <v>15600000</v>
      </c>
      <c r="D300" s="185">
        <f>SUM(C300:C305)</f>
        <v>33097900</v>
      </c>
    </row>
    <row r="301" ht="14.25" customHeight="1">
      <c r="A301" s="28"/>
      <c r="B301" s="184" t="s">
        <v>215</v>
      </c>
      <c r="C301" s="130">
        <f>F212*0.2</f>
        <v>608400</v>
      </c>
      <c r="D301" s="93"/>
    </row>
    <row r="302" ht="14.25" customHeight="1">
      <c r="A302" s="28"/>
      <c r="B302" s="184" t="s">
        <v>216</v>
      </c>
      <c r="C302" s="130">
        <f>F211</f>
        <v>13800000</v>
      </c>
      <c r="D302" s="93"/>
    </row>
    <row r="303" ht="14.25" customHeight="1">
      <c r="A303" s="28"/>
      <c r="B303" s="184" t="s">
        <v>182</v>
      </c>
      <c r="C303" s="130">
        <f t="shared" ref="C303:C304" si="47">F209</f>
        <v>242500</v>
      </c>
      <c r="D303" s="93"/>
    </row>
    <row r="304" ht="14.25" customHeight="1">
      <c r="A304" s="28"/>
      <c r="B304" s="184" t="s">
        <v>183</v>
      </c>
      <c r="C304" s="130">
        <f t="shared" si="47"/>
        <v>2847000</v>
      </c>
      <c r="D304" s="93"/>
    </row>
    <row r="305" ht="14.25" customHeight="1">
      <c r="A305" s="31"/>
      <c r="B305" s="184" t="s">
        <v>186</v>
      </c>
      <c r="C305" s="130" t="str">
        <f>E214</f>
        <v/>
      </c>
      <c r="D305" s="107"/>
    </row>
    <row r="306" ht="14.25" customHeight="1">
      <c r="A306" s="135" t="s">
        <v>210</v>
      </c>
      <c r="B306" s="40"/>
      <c r="C306" s="41"/>
      <c r="D306" s="130">
        <f>E265</f>
        <v>32786000</v>
      </c>
    </row>
    <row r="307" ht="14.25" customHeight="1">
      <c r="A307" s="108" t="s">
        <v>85</v>
      </c>
      <c r="B307" s="40"/>
      <c r="C307" s="41"/>
      <c r="D307" s="175">
        <f>SUM(D299:D306)</f>
        <v>127341722.4</v>
      </c>
    </row>
    <row r="308" ht="14.25" customHeight="1"/>
    <row r="309" ht="14.25" customHeight="1"/>
    <row r="310" ht="14.25" customHeight="1"/>
    <row r="311" ht="14.25" customHeight="1">
      <c r="A311" s="169" t="s">
        <v>117</v>
      </c>
      <c r="D311" s="146" t="s">
        <v>123</v>
      </c>
    </row>
    <row r="312" ht="14.25" customHeight="1"/>
    <row r="313" ht="14.25" customHeight="1"/>
    <row r="314" ht="14.25" customHeight="1">
      <c r="A314" s="127" t="s">
        <v>159</v>
      </c>
      <c r="B314" s="40"/>
      <c r="C314" s="41"/>
      <c r="D314" s="152" t="s">
        <v>161</v>
      </c>
    </row>
    <row r="315" ht="14.25" customHeight="1">
      <c r="A315" s="135" t="s">
        <v>193</v>
      </c>
      <c r="B315" s="40"/>
      <c r="C315" s="41"/>
      <c r="D315" s="176">
        <f>I201</f>
        <v>33947500</v>
      </c>
    </row>
    <row r="316" ht="15.0" customHeight="1">
      <c r="A316" s="135" t="s">
        <v>217</v>
      </c>
      <c r="B316" s="40"/>
      <c r="C316" s="41"/>
      <c r="D316" s="130">
        <f>F212*0.8</f>
        <v>2433600</v>
      </c>
    </row>
    <row r="317" ht="14.25" customHeight="1">
      <c r="A317" s="108" t="s">
        <v>85</v>
      </c>
      <c r="B317" s="40"/>
      <c r="C317" s="41"/>
      <c r="D317" s="175">
        <f>SUM(D315:D316)</f>
        <v>36381100</v>
      </c>
    </row>
    <row r="318" ht="14.25" customHeight="1"/>
    <row r="319" ht="14.25" customHeight="1"/>
    <row r="320" ht="14.25" customHeight="1"/>
    <row r="321" ht="14.25" customHeight="1">
      <c r="A321" s="169" t="s">
        <v>119</v>
      </c>
      <c r="D321" s="146" t="s">
        <v>123</v>
      </c>
    </row>
    <row r="322" ht="14.25" customHeight="1"/>
    <row r="323" ht="14.25" customHeight="1"/>
    <row r="324" ht="14.25" customHeight="1">
      <c r="A324" s="127" t="s">
        <v>159</v>
      </c>
      <c r="B324" s="40"/>
      <c r="C324" s="41"/>
      <c r="D324" s="152" t="s">
        <v>161</v>
      </c>
      <c r="E324" s="152" t="s">
        <v>177</v>
      </c>
    </row>
    <row r="325" ht="14.25" customHeight="1">
      <c r="A325" s="135" t="s">
        <v>218</v>
      </c>
      <c r="B325" s="40"/>
      <c r="C325" s="41"/>
      <c r="D325" s="176">
        <f>D307</f>
        <v>127341722.4</v>
      </c>
      <c r="E325" s="130">
        <f t="shared" ref="E325:E326" si="48">D325/$D$481</f>
        <v>95123.42003</v>
      </c>
    </row>
    <row r="326" ht="14.25" customHeight="1">
      <c r="A326" s="135" t="s">
        <v>219</v>
      </c>
      <c r="B326" s="40"/>
      <c r="C326" s="41"/>
      <c r="D326" s="130">
        <f>D317</f>
        <v>36381100</v>
      </c>
      <c r="E326" s="130">
        <f t="shared" si="48"/>
        <v>27176.43983</v>
      </c>
    </row>
    <row r="327" ht="14.25" customHeight="1">
      <c r="A327" s="108" t="s">
        <v>85</v>
      </c>
      <c r="B327" s="40"/>
      <c r="C327" s="41"/>
      <c r="D327" s="175">
        <f t="shared" ref="D327:E327" si="49">SUM(D325:D326)</f>
        <v>163722822.4</v>
      </c>
      <c r="E327" s="175">
        <f t="shared" si="49"/>
        <v>122299.8599</v>
      </c>
    </row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>
      <c r="A353" s="79" t="s">
        <v>220</v>
      </c>
      <c r="E353" s="146" t="s">
        <v>123</v>
      </c>
    </row>
    <row r="354" ht="14.25" customHeight="1"/>
    <row r="355" ht="14.25" customHeight="1"/>
    <row r="356" ht="14.25" customHeight="1">
      <c r="A356" s="186" t="s">
        <v>221</v>
      </c>
      <c r="B356" s="40"/>
      <c r="C356" s="41"/>
      <c r="D356" s="187"/>
      <c r="E356" s="41"/>
    </row>
    <row r="357" ht="14.25" customHeight="1">
      <c r="A357" s="186" t="s">
        <v>222</v>
      </c>
      <c r="B357" s="40"/>
      <c r="C357" s="41"/>
      <c r="D357" s="188"/>
      <c r="E357" s="41"/>
    </row>
    <row r="358" ht="14.25" customHeight="1">
      <c r="A358" s="186" t="s">
        <v>223</v>
      </c>
      <c r="B358" s="40"/>
      <c r="C358" s="41"/>
      <c r="D358" s="189"/>
      <c r="E358" s="41"/>
    </row>
    <row r="359" ht="14.25" customHeight="1">
      <c r="A359" s="190" t="s">
        <v>224</v>
      </c>
      <c r="B359" s="40"/>
      <c r="C359" s="41"/>
      <c r="D359" s="191">
        <f>((1+D358)^12)-1</f>
        <v>0</v>
      </c>
      <c r="E359" s="41"/>
    </row>
    <row r="360" ht="14.25" customHeight="1">
      <c r="A360" s="186" t="s">
        <v>225</v>
      </c>
      <c r="B360" s="40"/>
      <c r="C360" s="41"/>
      <c r="D360" s="192" t="str">
        <f>-(PMT(D358,D357,D356))</f>
        <v>#NUM!</v>
      </c>
      <c r="E360" s="41"/>
    </row>
    <row r="361" ht="14.25" customHeight="1"/>
    <row r="362" ht="14.25" customHeight="1"/>
    <row r="363" ht="14.25" customHeight="1">
      <c r="A363" s="125" t="s">
        <v>226</v>
      </c>
    </row>
    <row r="364" ht="14.25" customHeight="1"/>
    <row r="365" ht="14.25" customHeight="1">
      <c r="A365" s="193" t="s">
        <v>227</v>
      </c>
      <c r="B365" s="194" t="s">
        <v>228</v>
      </c>
      <c r="C365" s="194" t="s">
        <v>229</v>
      </c>
      <c r="D365" s="194" t="s">
        <v>230</v>
      </c>
      <c r="E365" s="194" t="s">
        <v>231</v>
      </c>
    </row>
    <row r="366" ht="14.25" customHeight="1">
      <c r="A366" s="195">
        <v>1.0</v>
      </c>
      <c r="B366" s="196">
        <f t="shared" ref="B366:B370" si="50">IF(($D$357/12)&gt;=A366,B380*12,0)</f>
        <v>0</v>
      </c>
      <c r="C366" s="196">
        <f>IF(B366=0,0,SUM(C380:C391))</f>
        <v>0</v>
      </c>
      <c r="D366" s="196">
        <f t="shared" ref="D366:D370" si="51">B366-C366</f>
        <v>0</v>
      </c>
      <c r="E366" s="196">
        <f>IF(E391&lt;0,0,E391)</f>
        <v>0</v>
      </c>
    </row>
    <row r="367" ht="14.25" customHeight="1">
      <c r="A367" s="195">
        <v>2.0</v>
      </c>
      <c r="B367" s="196">
        <f t="shared" si="50"/>
        <v>0</v>
      </c>
      <c r="C367" s="196">
        <f>IF(B367=0,0,SUM(C392:C403))</f>
        <v>0</v>
      </c>
      <c r="D367" s="196">
        <f t="shared" si="51"/>
        <v>0</v>
      </c>
      <c r="E367" s="196">
        <f>IF(E403&lt;0,0,E403)</f>
        <v>0</v>
      </c>
    </row>
    <row r="368" ht="14.25" customHeight="1">
      <c r="A368" s="195">
        <v>3.0</v>
      </c>
      <c r="B368" s="196">
        <f t="shared" si="50"/>
        <v>0</v>
      </c>
      <c r="C368" s="196">
        <f>IF(B368=0,0,SUM(C404:C415))</f>
        <v>0</v>
      </c>
      <c r="D368" s="196">
        <f t="shared" si="51"/>
        <v>0</v>
      </c>
      <c r="E368" s="196">
        <f>IF(E415&lt;0,0,E415)</f>
        <v>0</v>
      </c>
    </row>
    <row r="369" ht="14.25" customHeight="1">
      <c r="A369" s="195">
        <v>4.0</v>
      </c>
      <c r="B369" s="196">
        <f t="shared" si="50"/>
        <v>0</v>
      </c>
      <c r="C369" s="196">
        <f>IF(B369=0,0,SUM(C416:C427))</f>
        <v>0</v>
      </c>
      <c r="D369" s="196">
        <f t="shared" si="51"/>
        <v>0</v>
      </c>
      <c r="E369" s="196">
        <f>IF(E427,0,E427)</f>
        <v>0</v>
      </c>
    </row>
    <row r="370" ht="14.25" customHeight="1">
      <c r="A370" s="195">
        <v>5.0</v>
      </c>
      <c r="B370" s="196">
        <f t="shared" si="50"/>
        <v>0</v>
      </c>
      <c r="C370" s="196">
        <f>IF(B370=0,0,SUM(C428:C439))</f>
        <v>0</v>
      </c>
      <c r="D370" s="196">
        <f t="shared" si="51"/>
        <v>0</v>
      </c>
      <c r="E370" s="196">
        <f>IF(E439&lt;0,0,E439)</f>
        <v>0</v>
      </c>
    </row>
    <row r="371" ht="14.25" customHeight="1">
      <c r="A371" s="194" t="s">
        <v>85</v>
      </c>
      <c r="B371" s="197">
        <f t="shared" ref="B371:C371" si="52">SUM(B366:B370)</f>
        <v>0</v>
      </c>
      <c r="C371" s="197">
        <f t="shared" si="52"/>
        <v>0</v>
      </c>
      <c r="D371" s="198">
        <f>SUM(D366:E370)</f>
        <v>0</v>
      </c>
    </row>
    <row r="372" ht="14.25" customHeight="1"/>
    <row r="373" ht="14.25" customHeight="1"/>
    <row r="374" ht="14.25" customHeight="1"/>
    <row r="375" ht="14.25" customHeight="1"/>
    <row r="376" ht="14.25" customHeight="1">
      <c r="A376" s="38" t="s">
        <v>351</v>
      </c>
    </row>
    <row r="377" ht="14.25" customHeight="1"/>
    <row r="378" ht="14.25" customHeight="1">
      <c r="A378" s="193" t="s">
        <v>233</v>
      </c>
      <c r="B378" s="193" t="s">
        <v>228</v>
      </c>
      <c r="C378" s="193" t="s">
        <v>229</v>
      </c>
      <c r="D378" s="193" t="s">
        <v>230</v>
      </c>
      <c r="E378" s="193" t="s">
        <v>231</v>
      </c>
    </row>
    <row r="379" ht="14.25" customHeight="1">
      <c r="A379" s="199">
        <v>0.0</v>
      </c>
      <c r="B379" s="200"/>
      <c r="C379" s="200"/>
      <c r="D379" s="200"/>
      <c r="E379" s="201" t="str">
        <f>D356</f>
        <v/>
      </c>
    </row>
    <row r="380" ht="14.25" customHeight="1">
      <c r="A380" s="199">
        <v>1.0</v>
      </c>
      <c r="B380" s="202">
        <f t="shared" ref="B380:B439" si="53">IF(A380&lt;=$D$357,$D$360,0)</f>
        <v>0</v>
      </c>
      <c r="C380" s="203">
        <f t="shared" ref="C380:C439" si="54">IF(E379=0,0,E379*$D$358)</f>
        <v>0</v>
      </c>
      <c r="D380" s="202">
        <f t="shared" ref="D380:D439" si="55">IF(C380=0,0,B380-C380)</f>
        <v>0</v>
      </c>
      <c r="E380" s="202">
        <f t="shared" ref="E380:E439" si="56">IF(E379-D380&lt;0,0,E379-D380)</f>
        <v>0</v>
      </c>
    </row>
    <row r="381" ht="14.25" customHeight="1">
      <c r="A381" s="199">
        <v>2.0</v>
      </c>
      <c r="B381" s="202">
        <f t="shared" si="53"/>
        <v>0</v>
      </c>
      <c r="C381" s="203">
        <f t="shared" si="54"/>
        <v>0</v>
      </c>
      <c r="D381" s="202">
        <f t="shared" si="55"/>
        <v>0</v>
      </c>
      <c r="E381" s="202">
        <f t="shared" si="56"/>
        <v>0</v>
      </c>
    </row>
    <row r="382" ht="14.25" customHeight="1">
      <c r="A382" s="199">
        <v>3.0</v>
      </c>
      <c r="B382" s="202">
        <f t="shared" si="53"/>
        <v>0</v>
      </c>
      <c r="C382" s="203">
        <f t="shared" si="54"/>
        <v>0</v>
      </c>
      <c r="D382" s="202">
        <f t="shared" si="55"/>
        <v>0</v>
      </c>
      <c r="E382" s="202">
        <f t="shared" si="56"/>
        <v>0</v>
      </c>
    </row>
    <row r="383" ht="14.25" customHeight="1">
      <c r="A383" s="199">
        <v>4.0</v>
      </c>
      <c r="B383" s="202">
        <f t="shared" si="53"/>
        <v>0</v>
      </c>
      <c r="C383" s="203">
        <f t="shared" si="54"/>
        <v>0</v>
      </c>
      <c r="D383" s="202">
        <f t="shared" si="55"/>
        <v>0</v>
      </c>
      <c r="E383" s="202">
        <f t="shared" si="56"/>
        <v>0</v>
      </c>
    </row>
    <row r="384" ht="14.25" customHeight="1">
      <c r="A384" s="199">
        <v>5.0</v>
      </c>
      <c r="B384" s="202">
        <f t="shared" si="53"/>
        <v>0</v>
      </c>
      <c r="C384" s="203">
        <f t="shared" si="54"/>
        <v>0</v>
      </c>
      <c r="D384" s="202">
        <f t="shared" si="55"/>
        <v>0</v>
      </c>
      <c r="E384" s="202">
        <f t="shared" si="56"/>
        <v>0</v>
      </c>
    </row>
    <row r="385" ht="14.25" customHeight="1">
      <c r="A385" s="199">
        <v>6.0</v>
      </c>
      <c r="B385" s="202">
        <f t="shared" si="53"/>
        <v>0</v>
      </c>
      <c r="C385" s="203">
        <f t="shared" si="54"/>
        <v>0</v>
      </c>
      <c r="D385" s="202">
        <f t="shared" si="55"/>
        <v>0</v>
      </c>
      <c r="E385" s="202">
        <f t="shared" si="56"/>
        <v>0</v>
      </c>
    </row>
    <row r="386" ht="14.25" customHeight="1">
      <c r="A386" s="199">
        <v>7.0</v>
      </c>
      <c r="B386" s="202">
        <f t="shared" si="53"/>
        <v>0</v>
      </c>
      <c r="C386" s="203">
        <f t="shared" si="54"/>
        <v>0</v>
      </c>
      <c r="D386" s="202">
        <f t="shared" si="55"/>
        <v>0</v>
      </c>
      <c r="E386" s="202">
        <f t="shared" si="56"/>
        <v>0</v>
      </c>
    </row>
    <row r="387" ht="14.25" customHeight="1">
      <c r="A387" s="199">
        <v>8.0</v>
      </c>
      <c r="B387" s="202">
        <f t="shared" si="53"/>
        <v>0</v>
      </c>
      <c r="C387" s="203">
        <f t="shared" si="54"/>
        <v>0</v>
      </c>
      <c r="D387" s="202">
        <f t="shared" si="55"/>
        <v>0</v>
      </c>
      <c r="E387" s="202">
        <f t="shared" si="56"/>
        <v>0</v>
      </c>
    </row>
    <row r="388" ht="14.25" customHeight="1">
      <c r="A388" s="199">
        <v>9.0</v>
      </c>
      <c r="B388" s="202">
        <f t="shared" si="53"/>
        <v>0</v>
      </c>
      <c r="C388" s="203">
        <f t="shared" si="54"/>
        <v>0</v>
      </c>
      <c r="D388" s="202">
        <f t="shared" si="55"/>
        <v>0</v>
      </c>
      <c r="E388" s="202">
        <f t="shared" si="56"/>
        <v>0</v>
      </c>
    </row>
    <row r="389" ht="14.25" customHeight="1">
      <c r="A389" s="199">
        <v>10.0</v>
      </c>
      <c r="B389" s="202">
        <f t="shared" si="53"/>
        <v>0</v>
      </c>
      <c r="C389" s="203">
        <f t="shared" si="54"/>
        <v>0</v>
      </c>
      <c r="D389" s="202">
        <f t="shared" si="55"/>
        <v>0</v>
      </c>
      <c r="E389" s="202">
        <f t="shared" si="56"/>
        <v>0</v>
      </c>
    </row>
    <row r="390" ht="14.25" customHeight="1">
      <c r="A390" s="199">
        <v>11.0</v>
      </c>
      <c r="B390" s="202">
        <f t="shared" si="53"/>
        <v>0</v>
      </c>
      <c r="C390" s="203">
        <f t="shared" si="54"/>
        <v>0</v>
      </c>
      <c r="D390" s="202">
        <f t="shared" si="55"/>
        <v>0</v>
      </c>
      <c r="E390" s="202">
        <f t="shared" si="56"/>
        <v>0</v>
      </c>
    </row>
    <row r="391" ht="14.25" customHeight="1">
      <c r="A391" s="204">
        <v>12.0</v>
      </c>
      <c r="B391" s="205">
        <f t="shared" si="53"/>
        <v>0</v>
      </c>
      <c r="C391" s="206">
        <f t="shared" si="54"/>
        <v>0</v>
      </c>
      <c r="D391" s="205">
        <f t="shared" si="55"/>
        <v>0</v>
      </c>
      <c r="E391" s="205">
        <f t="shared" si="56"/>
        <v>0</v>
      </c>
    </row>
    <row r="392" ht="14.25" customHeight="1">
      <c r="A392" s="207">
        <v>13.0</v>
      </c>
      <c r="B392" s="208">
        <f t="shared" si="53"/>
        <v>0</v>
      </c>
      <c r="C392" s="209">
        <f t="shared" si="54"/>
        <v>0</v>
      </c>
      <c r="D392" s="208">
        <f t="shared" si="55"/>
        <v>0</v>
      </c>
      <c r="E392" s="208">
        <f t="shared" si="56"/>
        <v>0</v>
      </c>
    </row>
    <row r="393" ht="14.25" customHeight="1">
      <c r="A393" s="199">
        <v>14.0</v>
      </c>
      <c r="B393" s="202">
        <f t="shared" si="53"/>
        <v>0</v>
      </c>
      <c r="C393" s="203">
        <f t="shared" si="54"/>
        <v>0</v>
      </c>
      <c r="D393" s="202">
        <f t="shared" si="55"/>
        <v>0</v>
      </c>
      <c r="E393" s="202">
        <f t="shared" si="56"/>
        <v>0</v>
      </c>
    </row>
    <row r="394" ht="14.25" customHeight="1">
      <c r="A394" s="199">
        <v>15.0</v>
      </c>
      <c r="B394" s="202">
        <f t="shared" si="53"/>
        <v>0</v>
      </c>
      <c r="C394" s="203">
        <f t="shared" si="54"/>
        <v>0</v>
      </c>
      <c r="D394" s="202">
        <f t="shared" si="55"/>
        <v>0</v>
      </c>
      <c r="E394" s="202">
        <f t="shared" si="56"/>
        <v>0</v>
      </c>
    </row>
    <row r="395" ht="14.25" customHeight="1">
      <c r="A395" s="199">
        <v>16.0</v>
      </c>
      <c r="B395" s="202">
        <f t="shared" si="53"/>
        <v>0</v>
      </c>
      <c r="C395" s="203">
        <f t="shared" si="54"/>
        <v>0</v>
      </c>
      <c r="D395" s="202">
        <f t="shared" si="55"/>
        <v>0</v>
      </c>
      <c r="E395" s="202">
        <f t="shared" si="56"/>
        <v>0</v>
      </c>
    </row>
    <row r="396" ht="14.25" customHeight="1">
      <c r="A396" s="199">
        <v>17.0</v>
      </c>
      <c r="B396" s="202">
        <f t="shared" si="53"/>
        <v>0</v>
      </c>
      <c r="C396" s="203">
        <f t="shared" si="54"/>
        <v>0</v>
      </c>
      <c r="D396" s="202">
        <f t="shared" si="55"/>
        <v>0</v>
      </c>
      <c r="E396" s="202">
        <f t="shared" si="56"/>
        <v>0</v>
      </c>
    </row>
    <row r="397" ht="14.25" customHeight="1">
      <c r="A397" s="199">
        <v>18.0</v>
      </c>
      <c r="B397" s="202">
        <f t="shared" si="53"/>
        <v>0</v>
      </c>
      <c r="C397" s="203">
        <f t="shared" si="54"/>
        <v>0</v>
      </c>
      <c r="D397" s="202">
        <f t="shared" si="55"/>
        <v>0</v>
      </c>
      <c r="E397" s="202">
        <f t="shared" si="56"/>
        <v>0</v>
      </c>
    </row>
    <row r="398" ht="14.25" customHeight="1">
      <c r="A398" s="199">
        <v>19.0</v>
      </c>
      <c r="B398" s="202">
        <f t="shared" si="53"/>
        <v>0</v>
      </c>
      <c r="C398" s="203">
        <f t="shared" si="54"/>
        <v>0</v>
      </c>
      <c r="D398" s="202">
        <f t="shared" si="55"/>
        <v>0</v>
      </c>
      <c r="E398" s="202">
        <f t="shared" si="56"/>
        <v>0</v>
      </c>
    </row>
    <row r="399" ht="14.25" customHeight="1">
      <c r="A399" s="199">
        <v>20.0</v>
      </c>
      <c r="B399" s="202">
        <f t="shared" si="53"/>
        <v>0</v>
      </c>
      <c r="C399" s="203">
        <f t="shared" si="54"/>
        <v>0</v>
      </c>
      <c r="D399" s="202">
        <f t="shared" si="55"/>
        <v>0</v>
      </c>
      <c r="E399" s="202">
        <f t="shared" si="56"/>
        <v>0</v>
      </c>
    </row>
    <row r="400" ht="14.25" customHeight="1">
      <c r="A400" s="199">
        <v>21.0</v>
      </c>
      <c r="B400" s="202">
        <f t="shared" si="53"/>
        <v>0</v>
      </c>
      <c r="C400" s="203">
        <f t="shared" si="54"/>
        <v>0</v>
      </c>
      <c r="D400" s="202">
        <f t="shared" si="55"/>
        <v>0</v>
      </c>
      <c r="E400" s="202">
        <f t="shared" si="56"/>
        <v>0</v>
      </c>
    </row>
    <row r="401" ht="14.25" customHeight="1">
      <c r="A401" s="199">
        <v>22.0</v>
      </c>
      <c r="B401" s="202">
        <f t="shared" si="53"/>
        <v>0</v>
      </c>
      <c r="C401" s="203">
        <f t="shared" si="54"/>
        <v>0</v>
      </c>
      <c r="D401" s="202">
        <f t="shared" si="55"/>
        <v>0</v>
      </c>
      <c r="E401" s="202">
        <f t="shared" si="56"/>
        <v>0</v>
      </c>
    </row>
    <row r="402" ht="14.25" customHeight="1">
      <c r="A402" s="199">
        <v>23.0</v>
      </c>
      <c r="B402" s="202">
        <f t="shared" si="53"/>
        <v>0</v>
      </c>
      <c r="C402" s="203">
        <f t="shared" si="54"/>
        <v>0</v>
      </c>
      <c r="D402" s="202">
        <f t="shared" si="55"/>
        <v>0</v>
      </c>
      <c r="E402" s="202">
        <f t="shared" si="56"/>
        <v>0</v>
      </c>
    </row>
    <row r="403" ht="14.25" customHeight="1">
      <c r="A403" s="204">
        <v>24.0</v>
      </c>
      <c r="B403" s="205">
        <f t="shared" si="53"/>
        <v>0</v>
      </c>
      <c r="C403" s="206">
        <f t="shared" si="54"/>
        <v>0</v>
      </c>
      <c r="D403" s="205">
        <f t="shared" si="55"/>
        <v>0</v>
      </c>
      <c r="E403" s="205">
        <f t="shared" si="56"/>
        <v>0</v>
      </c>
    </row>
    <row r="404" ht="14.25" customHeight="1">
      <c r="A404" s="207">
        <v>25.0</v>
      </c>
      <c r="B404" s="208">
        <f t="shared" si="53"/>
        <v>0</v>
      </c>
      <c r="C404" s="209">
        <f t="shared" si="54"/>
        <v>0</v>
      </c>
      <c r="D404" s="208">
        <f t="shared" si="55"/>
        <v>0</v>
      </c>
      <c r="E404" s="208">
        <f t="shared" si="56"/>
        <v>0</v>
      </c>
    </row>
    <row r="405" ht="14.25" customHeight="1">
      <c r="A405" s="199">
        <v>26.0</v>
      </c>
      <c r="B405" s="202">
        <f t="shared" si="53"/>
        <v>0</v>
      </c>
      <c r="C405" s="203">
        <f t="shared" si="54"/>
        <v>0</v>
      </c>
      <c r="D405" s="202">
        <f t="shared" si="55"/>
        <v>0</v>
      </c>
      <c r="E405" s="202">
        <f t="shared" si="56"/>
        <v>0</v>
      </c>
    </row>
    <row r="406" ht="14.25" customHeight="1">
      <c r="A406" s="199">
        <v>27.0</v>
      </c>
      <c r="B406" s="202">
        <f t="shared" si="53"/>
        <v>0</v>
      </c>
      <c r="C406" s="203">
        <f t="shared" si="54"/>
        <v>0</v>
      </c>
      <c r="D406" s="202">
        <f t="shared" si="55"/>
        <v>0</v>
      </c>
      <c r="E406" s="202">
        <f t="shared" si="56"/>
        <v>0</v>
      </c>
    </row>
    <row r="407" ht="14.25" customHeight="1">
      <c r="A407" s="199">
        <v>28.0</v>
      </c>
      <c r="B407" s="202">
        <f t="shared" si="53"/>
        <v>0</v>
      </c>
      <c r="C407" s="203">
        <f t="shared" si="54"/>
        <v>0</v>
      </c>
      <c r="D407" s="202">
        <f t="shared" si="55"/>
        <v>0</v>
      </c>
      <c r="E407" s="202">
        <f t="shared" si="56"/>
        <v>0</v>
      </c>
    </row>
    <row r="408" ht="14.25" customHeight="1">
      <c r="A408" s="199">
        <v>29.0</v>
      </c>
      <c r="B408" s="202">
        <f t="shared" si="53"/>
        <v>0</v>
      </c>
      <c r="C408" s="203">
        <f t="shared" si="54"/>
        <v>0</v>
      </c>
      <c r="D408" s="202">
        <f t="shared" si="55"/>
        <v>0</v>
      </c>
      <c r="E408" s="202">
        <f t="shared" si="56"/>
        <v>0</v>
      </c>
    </row>
    <row r="409" ht="14.25" customHeight="1">
      <c r="A409" s="199">
        <v>30.0</v>
      </c>
      <c r="B409" s="202">
        <f t="shared" si="53"/>
        <v>0</v>
      </c>
      <c r="C409" s="203">
        <f t="shared" si="54"/>
        <v>0</v>
      </c>
      <c r="D409" s="202">
        <f t="shared" si="55"/>
        <v>0</v>
      </c>
      <c r="E409" s="202">
        <f t="shared" si="56"/>
        <v>0</v>
      </c>
    </row>
    <row r="410" ht="14.25" customHeight="1">
      <c r="A410" s="199">
        <v>31.0</v>
      </c>
      <c r="B410" s="202">
        <f t="shared" si="53"/>
        <v>0</v>
      </c>
      <c r="C410" s="203">
        <f t="shared" si="54"/>
        <v>0</v>
      </c>
      <c r="D410" s="202">
        <f t="shared" si="55"/>
        <v>0</v>
      </c>
      <c r="E410" s="202">
        <f t="shared" si="56"/>
        <v>0</v>
      </c>
    </row>
    <row r="411" ht="14.25" customHeight="1">
      <c r="A411" s="199">
        <v>32.0</v>
      </c>
      <c r="B411" s="202">
        <f t="shared" si="53"/>
        <v>0</v>
      </c>
      <c r="C411" s="203">
        <f t="shared" si="54"/>
        <v>0</v>
      </c>
      <c r="D411" s="202">
        <f t="shared" si="55"/>
        <v>0</v>
      </c>
      <c r="E411" s="202">
        <f t="shared" si="56"/>
        <v>0</v>
      </c>
    </row>
    <row r="412" ht="14.25" customHeight="1">
      <c r="A412" s="199">
        <v>33.0</v>
      </c>
      <c r="B412" s="202">
        <f t="shared" si="53"/>
        <v>0</v>
      </c>
      <c r="C412" s="203">
        <f t="shared" si="54"/>
        <v>0</v>
      </c>
      <c r="D412" s="202">
        <f t="shared" si="55"/>
        <v>0</v>
      </c>
      <c r="E412" s="202">
        <f t="shared" si="56"/>
        <v>0</v>
      </c>
    </row>
    <row r="413" ht="14.25" customHeight="1">
      <c r="A413" s="199">
        <v>34.0</v>
      </c>
      <c r="B413" s="202">
        <f t="shared" si="53"/>
        <v>0</v>
      </c>
      <c r="C413" s="203">
        <f t="shared" si="54"/>
        <v>0</v>
      </c>
      <c r="D413" s="202">
        <f t="shared" si="55"/>
        <v>0</v>
      </c>
      <c r="E413" s="202">
        <f t="shared" si="56"/>
        <v>0</v>
      </c>
    </row>
    <row r="414" ht="14.25" customHeight="1">
      <c r="A414" s="199">
        <v>35.0</v>
      </c>
      <c r="B414" s="202">
        <f t="shared" si="53"/>
        <v>0</v>
      </c>
      <c r="C414" s="203">
        <f t="shared" si="54"/>
        <v>0</v>
      </c>
      <c r="D414" s="202">
        <f t="shared" si="55"/>
        <v>0</v>
      </c>
      <c r="E414" s="202">
        <f t="shared" si="56"/>
        <v>0</v>
      </c>
    </row>
    <row r="415" ht="14.25" customHeight="1">
      <c r="A415" s="204">
        <v>36.0</v>
      </c>
      <c r="B415" s="205">
        <f t="shared" si="53"/>
        <v>0</v>
      </c>
      <c r="C415" s="206">
        <f t="shared" si="54"/>
        <v>0</v>
      </c>
      <c r="D415" s="205">
        <f t="shared" si="55"/>
        <v>0</v>
      </c>
      <c r="E415" s="205">
        <f t="shared" si="56"/>
        <v>0</v>
      </c>
    </row>
    <row r="416" ht="14.25" customHeight="1">
      <c r="A416" s="207">
        <v>37.0</v>
      </c>
      <c r="B416" s="208">
        <f t="shared" si="53"/>
        <v>0</v>
      </c>
      <c r="C416" s="209">
        <f t="shared" si="54"/>
        <v>0</v>
      </c>
      <c r="D416" s="208">
        <f t="shared" si="55"/>
        <v>0</v>
      </c>
      <c r="E416" s="208">
        <f t="shared" si="56"/>
        <v>0</v>
      </c>
    </row>
    <row r="417" ht="14.25" customHeight="1">
      <c r="A417" s="199">
        <v>38.0</v>
      </c>
      <c r="B417" s="202">
        <f t="shared" si="53"/>
        <v>0</v>
      </c>
      <c r="C417" s="203">
        <f t="shared" si="54"/>
        <v>0</v>
      </c>
      <c r="D417" s="202">
        <f t="shared" si="55"/>
        <v>0</v>
      </c>
      <c r="E417" s="202">
        <f t="shared" si="56"/>
        <v>0</v>
      </c>
    </row>
    <row r="418" ht="14.25" customHeight="1">
      <c r="A418" s="199">
        <v>39.0</v>
      </c>
      <c r="B418" s="202">
        <f t="shared" si="53"/>
        <v>0</v>
      </c>
      <c r="C418" s="203">
        <f t="shared" si="54"/>
        <v>0</v>
      </c>
      <c r="D418" s="202">
        <f t="shared" si="55"/>
        <v>0</v>
      </c>
      <c r="E418" s="202">
        <f t="shared" si="56"/>
        <v>0</v>
      </c>
    </row>
    <row r="419" ht="14.25" customHeight="1">
      <c r="A419" s="199">
        <v>40.0</v>
      </c>
      <c r="B419" s="202">
        <f t="shared" si="53"/>
        <v>0</v>
      </c>
      <c r="C419" s="203">
        <f t="shared" si="54"/>
        <v>0</v>
      </c>
      <c r="D419" s="202">
        <f t="shared" si="55"/>
        <v>0</v>
      </c>
      <c r="E419" s="202">
        <f t="shared" si="56"/>
        <v>0</v>
      </c>
    </row>
    <row r="420" ht="14.25" customHeight="1">
      <c r="A420" s="199">
        <v>41.0</v>
      </c>
      <c r="B420" s="202">
        <f t="shared" si="53"/>
        <v>0</v>
      </c>
      <c r="C420" s="203">
        <f t="shared" si="54"/>
        <v>0</v>
      </c>
      <c r="D420" s="202">
        <f t="shared" si="55"/>
        <v>0</v>
      </c>
      <c r="E420" s="202">
        <f t="shared" si="56"/>
        <v>0</v>
      </c>
    </row>
    <row r="421" ht="14.25" customHeight="1">
      <c r="A421" s="199">
        <v>42.0</v>
      </c>
      <c r="B421" s="202">
        <f t="shared" si="53"/>
        <v>0</v>
      </c>
      <c r="C421" s="203">
        <f t="shared" si="54"/>
        <v>0</v>
      </c>
      <c r="D421" s="202">
        <f t="shared" si="55"/>
        <v>0</v>
      </c>
      <c r="E421" s="202">
        <f t="shared" si="56"/>
        <v>0</v>
      </c>
    </row>
    <row r="422" ht="14.25" customHeight="1">
      <c r="A422" s="199">
        <v>43.0</v>
      </c>
      <c r="B422" s="202">
        <f t="shared" si="53"/>
        <v>0</v>
      </c>
      <c r="C422" s="203">
        <f t="shared" si="54"/>
        <v>0</v>
      </c>
      <c r="D422" s="202">
        <f t="shared" si="55"/>
        <v>0</v>
      </c>
      <c r="E422" s="202">
        <f t="shared" si="56"/>
        <v>0</v>
      </c>
    </row>
    <row r="423" ht="14.25" customHeight="1">
      <c r="A423" s="199">
        <v>44.0</v>
      </c>
      <c r="B423" s="202">
        <f t="shared" si="53"/>
        <v>0</v>
      </c>
      <c r="C423" s="203">
        <f t="shared" si="54"/>
        <v>0</v>
      </c>
      <c r="D423" s="202">
        <f t="shared" si="55"/>
        <v>0</v>
      </c>
      <c r="E423" s="202">
        <f t="shared" si="56"/>
        <v>0</v>
      </c>
    </row>
    <row r="424" ht="14.25" customHeight="1">
      <c r="A424" s="199">
        <v>45.0</v>
      </c>
      <c r="B424" s="202">
        <f t="shared" si="53"/>
        <v>0</v>
      </c>
      <c r="C424" s="203">
        <f t="shared" si="54"/>
        <v>0</v>
      </c>
      <c r="D424" s="202">
        <f t="shared" si="55"/>
        <v>0</v>
      </c>
      <c r="E424" s="202">
        <f t="shared" si="56"/>
        <v>0</v>
      </c>
    </row>
    <row r="425" ht="14.25" customHeight="1">
      <c r="A425" s="199">
        <v>46.0</v>
      </c>
      <c r="B425" s="202">
        <f t="shared" si="53"/>
        <v>0</v>
      </c>
      <c r="C425" s="203">
        <f t="shared" si="54"/>
        <v>0</v>
      </c>
      <c r="D425" s="202">
        <f t="shared" si="55"/>
        <v>0</v>
      </c>
      <c r="E425" s="202">
        <f t="shared" si="56"/>
        <v>0</v>
      </c>
    </row>
    <row r="426" ht="14.25" customHeight="1">
      <c r="A426" s="199">
        <v>47.0</v>
      </c>
      <c r="B426" s="202">
        <f t="shared" si="53"/>
        <v>0</v>
      </c>
      <c r="C426" s="203">
        <f t="shared" si="54"/>
        <v>0</v>
      </c>
      <c r="D426" s="202">
        <f t="shared" si="55"/>
        <v>0</v>
      </c>
      <c r="E426" s="202">
        <f t="shared" si="56"/>
        <v>0</v>
      </c>
    </row>
    <row r="427" ht="14.25" customHeight="1">
      <c r="A427" s="204">
        <v>48.0</v>
      </c>
      <c r="B427" s="205">
        <f t="shared" si="53"/>
        <v>0</v>
      </c>
      <c r="C427" s="206">
        <f t="shared" si="54"/>
        <v>0</v>
      </c>
      <c r="D427" s="205">
        <f t="shared" si="55"/>
        <v>0</v>
      </c>
      <c r="E427" s="205">
        <f t="shared" si="56"/>
        <v>0</v>
      </c>
    </row>
    <row r="428" ht="14.25" customHeight="1">
      <c r="A428" s="207">
        <v>49.0</v>
      </c>
      <c r="B428" s="208">
        <f t="shared" si="53"/>
        <v>0</v>
      </c>
      <c r="C428" s="209">
        <f t="shared" si="54"/>
        <v>0</v>
      </c>
      <c r="D428" s="208">
        <f t="shared" si="55"/>
        <v>0</v>
      </c>
      <c r="E428" s="208">
        <f t="shared" si="56"/>
        <v>0</v>
      </c>
    </row>
    <row r="429" ht="14.25" customHeight="1">
      <c r="A429" s="199">
        <v>50.0</v>
      </c>
      <c r="B429" s="202">
        <f t="shared" si="53"/>
        <v>0</v>
      </c>
      <c r="C429" s="203">
        <f t="shared" si="54"/>
        <v>0</v>
      </c>
      <c r="D429" s="202">
        <f t="shared" si="55"/>
        <v>0</v>
      </c>
      <c r="E429" s="202">
        <f t="shared" si="56"/>
        <v>0</v>
      </c>
    </row>
    <row r="430" ht="14.25" customHeight="1">
      <c r="A430" s="199">
        <v>51.0</v>
      </c>
      <c r="B430" s="202">
        <f t="shared" si="53"/>
        <v>0</v>
      </c>
      <c r="C430" s="203">
        <f t="shared" si="54"/>
        <v>0</v>
      </c>
      <c r="D430" s="202">
        <f t="shared" si="55"/>
        <v>0</v>
      </c>
      <c r="E430" s="202">
        <f t="shared" si="56"/>
        <v>0</v>
      </c>
    </row>
    <row r="431" ht="14.25" customHeight="1">
      <c r="A431" s="199">
        <v>52.0</v>
      </c>
      <c r="B431" s="202">
        <f t="shared" si="53"/>
        <v>0</v>
      </c>
      <c r="C431" s="203">
        <f t="shared" si="54"/>
        <v>0</v>
      </c>
      <c r="D431" s="202">
        <f t="shared" si="55"/>
        <v>0</v>
      </c>
      <c r="E431" s="202">
        <f t="shared" si="56"/>
        <v>0</v>
      </c>
    </row>
    <row r="432" ht="14.25" customHeight="1">
      <c r="A432" s="199">
        <v>53.0</v>
      </c>
      <c r="B432" s="202">
        <f t="shared" si="53"/>
        <v>0</v>
      </c>
      <c r="C432" s="203">
        <f t="shared" si="54"/>
        <v>0</v>
      </c>
      <c r="D432" s="202">
        <f t="shared" si="55"/>
        <v>0</v>
      </c>
      <c r="E432" s="202">
        <f t="shared" si="56"/>
        <v>0</v>
      </c>
    </row>
    <row r="433" ht="14.25" customHeight="1">
      <c r="A433" s="199">
        <v>54.0</v>
      </c>
      <c r="B433" s="202">
        <f t="shared" si="53"/>
        <v>0</v>
      </c>
      <c r="C433" s="203">
        <f t="shared" si="54"/>
        <v>0</v>
      </c>
      <c r="D433" s="202">
        <f t="shared" si="55"/>
        <v>0</v>
      </c>
      <c r="E433" s="202">
        <f t="shared" si="56"/>
        <v>0</v>
      </c>
    </row>
    <row r="434" ht="14.25" customHeight="1">
      <c r="A434" s="199">
        <v>55.0</v>
      </c>
      <c r="B434" s="202">
        <f t="shared" si="53"/>
        <v>0</v>
      </c>
      <c r="C434" s="203">
        <f t="shared" si="54"/>
        <v>0</v>
      </c>
      <c r="D434" s="202">
        <f t="shared" si="55"/>
        <v>0</v>
      </c>
      <c r="E434" s="202">
        <f t="shared" si="56"/>
        <v>0</v>
      </c>
    </row>
    <row r="435" ht="14.25" customHeight="1">
      <c r="A435" s="199">
        <v>56.0</v>
      </c>
      <c r="B435" s="202">
        <f t="shared" si="53"/>
        <v>0</v>
      </c>
      <c r="C435" s="203">
        <f t="shared" si="54"/>
        <v>0</v>
      </c>
      <c r="D435" s="202">
        <f t="shared" si="55"/>
        <v>0</v>
      </c>
      <c r="E435" s="202">
        <f t="shared" si="56"/>
        <v>0</v>
      </c>
    </row>
    <row r="436" ht="14.25" customHeight="1">
      <c r="A436" s="199">
        <v>57.0</v>
      </c>
      <c r="B436" s="202">
        <f t="shared" si="53"/>
        <v>0</v>
      </c>
      <c r="C436" s="203">
        <f t="shared" si="54"/>
        <v>0</v>
      </c>
      <c r="D436" s="202">
        <f t="shared" si="55"/>
        <v>0</v>
      </c>
      <c r="E436" s="202">
        <f t="shared" si="56"/>
        <v>0</v>
      </c>
    </row>
    <row r="437" ht="14.25" customHeight="1">
      <c r="A437" s="199">
        <v>58.0</v>
      </c>
      <c r="B437" s="202">
        <f t="shared" si="53"/>
        <v>0</v>
      </c>
      <c r="C437" s="203">
        <f t="shared" si="54"/>
        <v>0</v>
      </c>
      <c r="D437" s="202">
        <f t="shared" si="55"/>
        <v>0</v>
      </c>
      <c r="E437" s="202">
        <f t="shared" si="56"/>
        <v>0</v>
      </c>
    </row>
    <row r="438" ht="14.25" customHeight="1">
      <c r="A438" s="199">
        <v>59.0</v>
      </c>
      <c r="B438" s="202">
        <f t="shared" si="53"/>
        <v>0</v>
      </c>
      <c r="C438" s="203">
        <f t="shared" si="54"/>
        <v>0</v>
      </c>
      <c r="D438" s="202">
        <f t="shared" si="55"/>
        <v>0</v>
      </c>
      <c r="E438" s="202">
        <f t="shared" si="56"/>
        <v>0</v>
      </c>
    </row>
    <row r="439" ht="14.25" customHeight="1">
      <c r="A439" s="204">
        <v>60.0</v>
      </c>
      <c r="B439" s="205">
        <f t="shared" si="53"/>
        <v>0</v>
      </c>
      <c r="C439" s="206">
        <f t="shared" si="54"/>
        <v>0</v>
      </c>
      <c r="D439" s="205">
        <f t="shared" si="55"/>
        <v>0</v>
      </c>
      <c r="E439" s="205">
        <f t="shared" si="56"/>
        <v>0</v>
      </c>
    </row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>
      <c r="A478" s="79" t="s">
        <v>234</v>
      </c>
    </row>
    <row r="479" ht="15.75" customHeight="1">
      <c r="A479" s="79"/>
      <c r="B479" s="79"/>
      <c r="C479" s="79"/>
    </row>
    <row r="480" ht="14.25" customHeight="1"/>
    <row r="481" ht="15.75" customHeight="1">
      <c r="A481" s="210" t="str">
        <f>UPPER("Unidades proyectadas a producir en el año")</f>
        <v>UNIDADES PROYECTADAS A PRODUCIR EN EL AÑO</v>
      </c>
      <c r="B481" s="56"/>
      <c r="C481" s="15"/>
      <c r="D481" s="286">
        <f>1217*1.1</f>
        <v>1338.7</v>
      </c>
    </row>
    <row r="482" ht="15.75" customHeight="1">
      <c r="A482" s="210" t="str">
        <f>UPPER("Unidades proyectadas a producir en el MES")</f>
        <v>UNIDADES PROYECTADAS A PRODUCIR EN EL MES</v>
      </c>
      <c r="B482" s="56"/>
      <c r="C482" s="15"/>
      <c r="D482" s="212">
        <f>D481/12</f>
        <v>111.5583333</v>
      </c>
    </row>
    <row r="483" ht="15.75" customHeight="1"/>
    <row r="484" ht="15.75" customHeight="1"/>
    <row r="485" ht="15.75" customHeight="1">
      <c r="A485" s="125" t="s">
        <v>235</v>
      </c>
    </row>
    <row r="486" ht="15.0" customHeight="1"/>
    <row r="487" ht="14.25" customHeight="1"/>
    <row r="488" ht="14.25" customHeight="1">
      <c r="A488" s="210" t="str">
        <f>UPPER("Costo de producción por unidad")</f>
        <v>COSTO DE PRODUCCIÓN POR UNIDAD</v>
      </c>
      <c r="B488" s="56"/>
      <c r="C488" s="15"/>
      <c r="D488" s="213">
        <f>E327</f>
        <v>122299.8599</v>
      </c>
    </row>
    <row r="489" ht="14.25" customHeight="1">
      <c r="A489" s="210" t="str">
        <f>UPPER("Margen de utilidad")</f>
        <v>MARGEN DE UTILIDAD</v>
      </c>
      <c r="B489" s="56"/>
      <c r="C489" s="15"/>
      <c r="D489" s="214">
        <f>1-(D488/D490)</f>
        <v>0.3885007007</v>
      </c>
    </row>
    <row r="490" ht="14.25" customHeight="1">
      <c r="A490" s="210" t="str">
        <f>UPPER("Precio estimado de venta")</f>
        <v>PRECIO ESTIMADO DE VENTA</v>
      </c>
      <c r="B490" s="56"/>
      <c r="C490" s="15"/>
      <c r="D490" s="215">
        <v>200000.0</v>
      </c>
    </row>
    <row r="491" ht="14.25" customHeight="1"/>
    <row r="492" ht="14.25" customHeight="1"/>
    <row r="493" ht="14.25" customHeight="1"/>
    <row r="494" ht="14.25" customHeight="1">
      <c r="A494" s="125" t="s">
        <v>101</v>
      </c>
      <c r="D494" s="146" t="s">
        <v>123</v>
      </c>
    </row>
    <row r="495" ht="14.25" customHeight="1">
      <c r="A495" s="125"/>
      <c r="B495" s="125"/>
      <c r="C495" s="125"/>
    </row>
    <row r="496" ht="14.25" customHeight="1"/>
    <row r="497" ht="14.25" customHeight="1">
      <c r="C497" s="216" t="s">
        <v>236</v>
      </c>
      <c r="D497" s="216" t="s">
        <v>237</v>
      </c>
      <c r="E497" s="216" t="s">
        <v>238</v>
      </c>
      <c r="F497" s="216" t="s">
        <v>239</v>
      </c>
      <c r="G497" s="216" t="s">
        <v>240</v>
      </c>
    </row>
    <row r="498" ht="14.25" customHeight="1">
      <c r="A498" s="217" t="s">
        <v>241</v>
      </c>
      <c r="B498" s="15"/>
      <c r="C498" s="218">
        <f>D481</f>
        <v>1338.7</v>
      </c>
      <c r="D498" s="218">
        <f>ROUNDUP(C498*(1+D499),0)</f>
        <v>1484</v>
      </c>
      <c r="E498" s="218">
        <f t="shared" ref="E498:G498" si="57">D498*(1+E499)</f>
        <v>1658.5184</v>
      </c>
      <c r="F498" s="218">
        <f t="shared" si="57"/>
        <v>1869.813644</v>
      </c>
      <c r="G498" s="218">
        <f t="shared" si="57"/>
        <v>2126.352076</v>
      </c>
    </row>
    <row r="499" ht="14.25" customHeight="1">
      <c r="A499" s="217" t="s">
        <v>242</v>
      </c>
      <c r="B499" s="15"/>
      <c r="C499" s="219" t="s">
        <v>243</v>
      </c>
      <c r="D499" s="220">
        <v>0.10779999999999745</v>
      </c>
      <c r="E499" s="220">
        <v>0.11759999999999948</v>
      </c>
      <c r="F499" s="220">
        <v>0.12739999999999796</v>
      </c>
      <c r="G499" s="220">
        <v>0.13719999999999644</v>
      </c>
    </row>
    <row r="500" ht="14.25" customHeight="1">
      <c r="D500" s="221"/>
      <c r="E500" s="221"/>
      <c r="F500" s="221"/>
      <c r="G500" s="221"/>
    </row>
    <row r="501" ht="14.25" customHeight="1"/>
    <row r="502" ht="14.25" customHeight="1">
      <c r="A502" s="125" t="s">
        <v>103</v>
      </c>
      <c r="H502" s="146" t="s">
        <v>123</v>
      </c>
    </row>
    <row r="503" ht="14.25" customHeight="1"/>
    <row r="504" ht="14.25" customHeight="1"/>
    <row r="505" ht="14.25" customHeight="1">
      <c r="D505" s="222" t="s">
        <v>236</v>
      </c>
      <c r="E505" s="222" t="s">
        <v>237</v>
      </c>
      <c r="F505" s="222" t="s">
        <v>238</v>
      </c>
      <c r="G505" s="222" t="s">
        <v>239</v>
      </c>
      <c r="H505" s="222" t="s">
        <v>240</v>
      </c>
    </row>
    <row r="506" ht="14.25" customHeight="1">
      <c r="A506" s="108" t="str">
        <f>UPPER("Ingresos operacionales por ventas")</f>
        <v>INGRESOS OPERACIONALES POR VENTAS</v>
      </c>
      <c r="B506" s="40"/>
      <c r="C506" s="41"/>
      <c r="D506" s="223">
        <f t="shared" ref="D506:H506" si="58">C498*$D$490</f>
        <v>267740000</v>
      </c>
      <c r="E506" s="223">
        <f t="shared" si="58"/>
        <v>296800000</v>
      </c>
      <c r="F506" s="223">
        <f t="shared" si="58"/>
        <v>331703680</v>
      </c>
      <c r="G506" s="223">
        <f t="shared" si="58"/>
        <v>373962728.8</v>
      </c>
      <c r="H506" s="223">
        <f t="shared" si="58"/>
        <v>425270415.2</v>
      </c>
    </row>
    <row r="507" ht="14.25" customHeight="1">
      <c r="A507" s="224" t="s">
        <v>244</v>
      </c>
      <c r="B507" s="40"/>
      <c r="C507" s="41"/>
      <c r="D507" s="225">
        <f t="shared" ref="D507:H507" si="59">SUM(D508:D511)</f>
        <v>130936822.4</v>
      </c>
      <c r="E507" s="225">
        <f t="shared" si="59"/>
        <v>145078666</v>
      </c>
      <c r="F507" s="225">
        <f t="shared" si="59"/>
        <v>162139917.1</v>
      </c>
      <c r="G507" s="225">
        <f t="shared" si="59"/>
        <v>182796542.5</v>
      </c>
      <c r="H507" s="225">
        <f t="shared" si="59"/>
        <v>207876228.2</v>
      </c>
    </row>
    <row r="508" ht="14.25" customHeight="1">
      <c r="A508" s="226" t="s">
        <v>162</v>
      </c>
      <c r="B508" s="40"/>
      <c r="C508" s="41"/>
      <c r="D508" s="130">
        <f>$E$155</f>
        <v>61457822.4</v>
      </c>
      <c r="E508" s="130">
        <f t="shared" ref="E508:H508" si="60">D508*(1+D499)</f>
        <v>68082975.65</v>
      </c>
      <c r="F508" s="130">
        <f t="shared" si="60"/>
        <v>76089533.59</v>
      </c>
      <c r="G508" s="130">
        <f t="shared" si="60"/>
        <v>85783340.17</v>
      </c>
      <c r="H508" s="130">
        <f t="shared" si="60"/>
        <v>97552814.44</v>
      </c>
    </row>
    <row r="509" ht="14.25" customHeight="1">
      <c r="A509" s="226" t="s">
        <v>193</v>
      </c>
      <c r="B509" s="40"/>
      <c r="C509" s="41"/>
      <c r="D509" s="130">
        <f t="shared" ref="D509:H509" si="61">C498*$G$201</f>
        <v>33947500</v>
      </c>
      <c r="E509" s="130">
        <f t="shared" si="61"/>
        <v>37632098.3</v>
      </c>
      <c r="F509" s="130">
        <f t="shared" si="61"/>
        <v>42057633.06</v>
      </c>
      <c r="G509" s="130">
        <f t="shared" si="61"/>
        <v>47415775.52</v>
      </c>
      <c r="H509" s="130">
        <f t="shared" si="61"/>
        <v>53921219.92</v>
      </c>
    </row>
    <row r="510" ht="14.25" customHeight="1">
      <c r="A510" s="226" t="s">
        <v>245</v>
      </c>
      <c r="B510" s="40"/>
      <c r="C510" s="41"/>
      <c r="D510" s="130">
        <f>$D$300</f>
        <v>33097900</v>
      </c>
      <c r="E510" s="130">
        <f t="shared" ref="E510:H510" si="62">D510*(1+D499)</f>
        <v>36665853.62</v>
      </c>
      <c r="F510" s="130">
        <f t="shared" si="62"/>
        <v>40977758.01</v>
      </c>
      <c r="G510" s="130">
        <f t="shared" si="62"/>
        <v>46198324.38</v>
      </c>
      <c r="H510" s="130">
        <f t="shared" si="62"/>
        <v>52536734.48</v>
      </c>
    </row>
    <row r="511" ht="14.25" customHeight="1">
      <c r="A511" s="226" t="s">
        <v>246</v>
      </c>
      <c r="B511" s="40"/>
      <c r="C511" s="41"/>
      <c r="D511" s="130">
        <f>D316</f>
        <v>2433600</v>
      </c>
      <c r="E511" s="130">
        <f t="shared" ref="E511:H511" si="63">(($D$511/$C$498)*D498)</f>
        <v>2697738.403</v>
      </c>
      <c r="F511" s="130">
        <f t="shared" si="63"/>
        <v>3014992.439</v>
      </c>
      <c r="G511" s="130">
        <f t="shared" si="63"/>
        <v>3399102.476</v>
      </c>
      <c r="H511" s="130">
        <f t="shared" si="63"/>
        <v>3865459.336</v>
      </c>
    </row>
    <row r="512" ht="14.25" customHeight="1">
      <c r="A512" s="108" t="s">
        <v>247</v>
      </c>
      <c r="B512" s="40"/>
      <c r="C512" s="41"/>
      <c r="D512" s="133">
        <f t="shared" ref="D512:H512" si="64">D506-D507</f>
        <v>136803177.6</v>
      </c>
      <c r="E512" s="133">
        <f t="shared" si="64"/>
        <v>151721334</v>
      </c>
      <c r="F512" s="133">
        <f t="shared" si="64"/>
        <v>169563762.9</v>
      </c>
      <c r="G512" s="133">
        <f t="shared" si="64"/>
        <v>191166186.3</v>
      </c>
      <c r="H512" s="133">
        <f t="shared" si="64"/>
        <v>217394187.1</v>
      </c>
    </row>
    <row r="513" ht="14.25" customHeight="1">
      <c r="A513" s="224" t="str">
        <f>UPPER("Gastos administrativos y de ventas")</f>
        <v>GASTOS ADMINISTRATIVOS Y DE VENTAS</v>
      </c>
      <c r="B513" s="40"/>
      <c r="C513" s="41"/>
      <c r="D513" s="225">
        <f>$E$265</f>
        <v>32786000</v>
      </c>
      <c r="E513" s="225">
        <f t="shared" ref="E513:H513" si="65">$E$265*(1+D499)</f>
        <v>36320330.8</v>
      </c>
      <c r="F513" s="225">
        <f t="shared" si="65"/>
        <v>36641633.6</v>
      </c>
      <c r="G513" s="225">
        <f t="shared" si="65"/>
        <v>36962936.4</v>
      </c>
      <c r="H513" s="225">
        <f t="shared" si="65"/>
        <v>37284239.2</v>
      </c>
    </row>
    <row r="514" ht="14.25" customHeight="1">
      <c r="A514" s="108" t="s">
        <v>248</v>
      </c>
      <c r="B514" s="40"/>
      <c r="C514" s="41"/>
      <c r="D514" s="133">
        <f t="shared" ref="D514:H514" si="66">D512-D513</f>
        <v>104017177.6</v>
      </c>
      <c r="E514" s="133">
        <f t="shared" si="66"/>
        <v>115401003.2</v>
      </c>
      <c r="F514" s="133">
        <f t="shared" si="66"/>
        <v>132922129.3</v>
      </c>
      <c r="G514" s="133">
        <f t="shared" si="66"/>
        <v>154203249.9</v>
      </c>
      <c r="H514" s="133">
        <f t="shared" si="66"/>
        <v>180109947.9</v>
      </c>
    </row>
    <row r="515" ht="14.25" customHeight="1">
      <c r="A515" s="226" t="s">
        <v>211</v>
      </c>
      <c r="B515" s="40"/>
      <c r="C515" s="41"/>
      <c r="D515" s="130">
        <f>C273</f>
        <v>0</v>
      </c>
      <c r="E515" s="130">
        <f>C274</f>
        <v>0</v>
      </c>
      <c r="F515" s="130">
        <f>C275</f>
        <v>0</v>
      </c>
      <c r="G515" s="130">
        <f>C276</f>
        <v>0</v>
      </c>
      <c r="H515" s="130">
        <f>C277</f>
        <v>0</v>
      </c>
    </row>
    <row r="516" ht="14.25" customHeight="1">
      <c r="A516" s="226" t="s">
        <v>212</v>
      </c>
      <c r="B516" s="40"/>
      <c r="C516" s="41"/>
      <c r="D516" s="130">
        <f t="shared" ref="D516:H516" si="67">D506*0.004</f>
        <v>1070960</v>
      </c>
      <c r="E516" s="130">
        <f t="shared" si="67"/>
        <v>1187200</v>
      </c>
      <c r="F516" s="130">
        <f t="shared" si="67"/>
        <v>1326814.72</v>
      </c>
      <c r="G516" s="130">
        <f t="shared" si="67"/>
        <v>1495850.915</v>
      </c>
      <c r="H516" s="130">
        <f t="shared" si="67"/>
        <v>1701081.661</v>
      </c>
    </row>
    <row r="517" ht="14.25" customHeight="1">
      <c r="A517" s="226" t="s">
        <v>249</v>
      </c>
      <c r="B517" s="40"/>
      <c r="C517" s="41"/>
      <c r="D517" s="136"/>
      <c r="E517" s="227"/>
      <c r="F517" s="227"/>
      <c r="G517" s="227"/>
      <c r="H517" s="136"/>
    </row>
    <row r="518" ht="14.25" customHeight="1">
      <c r="A518" s="108" t="s">
        <v>250</v>
      </c>
      <c r="B518" s="40"/>
      <c r="C518" s="41"/>
      <c r="D518" s="133">
        <f t="shared" ref="D518:H518" si="68">D514-SUM(D515:D517)</f>
        <v>102946217.6</v>
      </c>
      <c r="E518" s="133">
        <f t="shared" si="68"/>
        <v>114213803.2</v>
      </c>
      <c r="F518" s="133">
        <f t="shared" si="68"/>
        <v>131595314.6</v>
      </c>
      <c r="G518" s="133">
        <f t="shared" si="68"/>
        <v>152707399</v>
      </c>
      <c r="H518" s="133">
        <f t="shared" si="68"/>
        <v>178408866.2</v>
      </c>
    </row>
    <row r="519" ht="14.25" customHeight="1">
      <c r="A519" s="226" t="s">
        <v>251</v>
      </c>
      <c r="B519" s="41"/>
      <c r="C519" s="166">
        <v>0.33</v>
      </c>
      <c r="D519" s="136">
        <f t="shared" ref="D519:H519" si="69">IF(D518&gt;0,D518*$C$519,0)</f>
        <v>33972251.81</v>
      </c>
      <c r="E519" s="136">
        <f t="shared" si="69"/>
        <v>37690555.06</v>
      </c>
      <c r="F519" s="136">
        <f t="shared" si="69"/>
        <v>43426453.81</v>
      </c>
      <c r="G519" s="136">
        <f t="shared" si="69"/>
        <v>50393441.66</v>
      </c>
      <c r="H519" s="136">
        <f t="shared" si="69"/>
        <v>58874925.84</v>
      </c>
    </row>
    <row r="520" ht="14.25" customHeight="1">
      <c r="A520" s="108" t="s">
        <v>252</v>
      </c>
      <c r="B520" s="40"/>
      <c r="C520" s="41"/>
      <c r="D520" s="133">
        <f t="shared" ref="D520:H520" si="70">D518-D519</f>
        <v>68973965.79</v>
      </c>
      <c r="E520" s="133">
        <f t="shared" si="70"/>
        <v>76523248.16</v>
      </c>
      <c r="F520" s="133">
        <f t="shared" si="70"/>
        <v>88168860.77</v>
      </c>
      <c r="G520" s="133">
        <f t="shared" si="70"/>
        <v>102313957.3</v>
      </c>
      <c r="H520" s="133">
        <f t="shared" si="70"/>
        <v>119533940.3</v>
      </c>
    </row>
    <row r="521" ht="14.25" customHeight="1">
      <c r="A521" s="226" t="s">
        <v>253</v>
      </c>
      <c r="B521" s="41"/>
      <c r="C521" s="166">
        <v>0.1</v>
      </c>
      <c r="D521" s="136">
        <f t="shared" ref="D521:H521" si="71">IF(D520&lt;0,0,D520*$C$521)</f>
        <v>6897396.579</v>
      </c>
      <c r="E521" s="136">
        <f t="shared" si="71"/>
        <v>7652324.816</v>
      </c>
      <c r="F521" s="136">
        <f t="shared" si="71"/>
        <v>8816886.077</v>
      </c>
      <c r="G521" s="136">
        <f t="shared" si="71"/>
        <v>10231395.73</v>
      </c>
      <c r="H521" s="136">
        <f t="shared" si="71"/>
        <v>11953394.03</v>
      </c>
    </row>
    <row r="522" ht="14.25" customHeight="1">
      <c r="A522" s="108" t="s">
        <v>254</v>
      </c>
      <c r="B522" s="40"/>
      <c r="C522" s="41"/>
      <c r="D522" s="133">
        <f t="shared" ref="D522:H522" si="72">D520-D521</f>
        <v>62076569.21</v>
      </c>
      <c r="E522" s="133">
        <f t="shared" si="72"/>
        <v>68870923.34</v>
      </c>
      <c r="F522" s="133">
        <f t="shared" si="72"/>
        <v>79351974.69</v>
      </c>
      <c r="G522" s="133">
        <f t="shared" si="72"/>
        <v>92082561.58</v>
      </c>
      <c r="H522" s="133">
        <f t="shared" si="72"/>
        <v>107580546.3</v>
      </c>
    </row>
    <row r="523" ht="14.25" customHeight="1"/>
    <row r="524" ht="14.25" customHeight="1"/>
    <row r="525" ht="14.25" customHeight="1">
      <c r="A525" s="125" t="s">
        <v>105</v>
      </c>
      <c r="I525" s="146" t="s">
        <v>123</v>
      </c>
    </row>
    <row r="526" ht="14.25" customHeight="1"/>
    <row r="527" ht="14.25" customHeight="1">
      <c r="D527" s="194" t="s">
        <v>255</v>
      </c>
      <c r="E527" s="194" t="s">
        <v>256</v>
      </c>
      <c r="F527" s="194" t="s">
        <v>257</v>
      </c>
      <c r="G527" s="194" t="s">
        <v>258</v>
      </c>
      <c r="H527" s="194" t="s">
        <v>259</v>
      </c>
      <c r="I527" s="194" t="s">
        <v>260</v>
      </c>
    </row>
    <row r="528" ht="14.25" customHeight="1">
      <c r="A528" s="228" t="s">
        <v>261</v>
      </c>
      <c r="B528" s="40"/>
      <c r="C528" s="41"/>
      <c r="D528" s="229"/>
      <c r="E528" s="104">
        <f t="shared" ref="E528:I528" si="73">D506</f>
        <v>267740000</v>
      </c>
      <c r="F528" s="104">
        <f t="shared" si="73"/>
        <v>296800000</v>
      </c>
      <c r="G528" s="104">
        <f t="shared" si="73"/>
        <v>331703680</v>
      </c>
      <c r="H528" s="104">
        <f t="shared" si="73"/>
        <v>373962728.8</v>
      </c>
      <c r="I528" s="104">
        <f t="shared" si="73"/>
        <v>425270415.2</v>
      </c>
    </row>
    <row r="529" ht="14.25" customHeight="1">
      <c r="A529" s="226" t="s">
        <v>262</v>
      </c>
      <c r="B529" s="40"/>
      <c r="C529" s="41"/>
      <c r="D529" s="229"/>
      <c r="E529" s="230"/>
      <c r="F529" s="231"/>
      <c r="G529" s="231"/>
      <c r="H529" s="231"/>
      <c r="I529" s="231"/>
    </row>
    <row r="530" ht="14.25" customHeight="1">
      <c r="A530" s="108" t="s">
        <v>263</v>
      </c>
      <c r="B530" s="40"/>
      <c r="C530" s="41"/>
      <c r="D530" s="232"/>
      <c r="E530" s="223">
        <f t="shared" ref="E530:I530" si="74">SUM(E528:E529)</f>
        <v>267740000</v>
      </c>
      <c r="F530" s="223">
        <f t="shared" si="74"/>
        <v>296800000</v>
      </c>
      <c r="G530" s="223">
        <f t="shared" si="74"/>
        <v>331703680</v>
      </c>
      <c r="H530" s="223">
        <f t="shared" si="74"/>
        <v>373962728.8</v>
      </c>
      <c r="I530" s="223">
        <f t="shared" si="74"/>
        <v>425270415.2</v>
      </c>
    </row>
    <row r="531" ht="14.25" customHeight="1">
      <c r="A531" s="186" t="s">
        <v>264</v>
      </c>
      <c r="B531" s="40"/>
      <c r="C531" s="41"/>
      <c r="D531" s="232"/>
      <c r="E531" s="223">
        <f t="shared" ref="E531:I531" si="75">SUM(E532:E536)</f>
        <v>117136822.4</v>
      </c>
      <c r="F531" s="223">
        <f t="shared" si="75"/>
        <v>131278666</v>
      </c>
      <c r="G531" s="223">
        <f t="shared" si="75"/>
        <v>148339917.1</v>
      </c>
      <c r="H531" s="223">
        <f t="shared" si="75"/>
        <v>168996542.5</v>
      </c>
      <c r="I531" s="223">
        <f t="shared" si="75"/>
        <v>194076228.2</v>
      </c>
    </row>
    <row r="532" ht="14.25" customHeight="1">
      <c r="A532" s="226" t="s">
        <v>193</v>
      </c>
      <c r="B532" s="40"/>
      <c r="C532" s="41"/>
      <c r="D532" s="229"/>
      <c r="E532" s="104">
        <f>D315</f>
        <v>33947500</v>
      </c>
      <c r="F532" s="104">
        <f t="shared" ref="F532:I532" si="76">E509</f>
        <v>37632098.3</v>
      </c>
      <c r="G532" s="104">
        <f t="shared" si="76"/>
        <v>42057633.06</v>
      </c>
      <c r="H532" s="104">
        <f t="shared" si="76"/>
        <v>47415775.52</v>
      </c>
      <c r="I532" s="104">
        <f t="shared" si="76"/>
        <v>53921219.92</v>
      </c>
    </row>
    <row r="533" ht="14.25" customHeight="1">
      <c r="A533" s="226" t="s">
        <v>162</v>
      </c>
      <c r="B533" s="40"/>
      <c r="C533" s="41"/>
      <c r="D533" s="229"/>
      <c r="E533" s="104">
        <f t="shared" ref="E533:E534" si="78">D299</f>
        <v>61457822.4</v>
      </c>
      <c r="F533" s="104">
        <f t="shared" ref="F533:I533" si="77">E508</f>
        <v>68082975.65</v>
      </c>
      <c r="G533" s="104">
        <f t="shared" si="77"/>
        <v>76089533.59</v>
      </c>
      <c r="H533" s="104">
        <f t="shared" si="77"/>
        <v>85783340.17</v>
      </c>
      <c r="I533" s="104">
        <f t="shared" si="77"/>
        <v>97552814.44</v>
      </c>
    </row>
    <row r="534" ht="14.25" customHeight="1">
      <c r="A534" s="226" t="s">
        <v>214</v>
      </c>
      <c r="B534" s="40"/>
      <c r="C534" s="41"/>
      <c r="D534" s="229"/>
      <c r="E534" s="104">
        <f t="shared" si="78"/>
        <v>33097900</v>
      </c>
      <c r="F534" s="104">
        <f t="shared" ref="F534:I534" si="79">E534*(1+D499)</f>
        <v>36665853.62</v>
      </c>
      <c r="G534" s="104">
        <f t="shared" si="79"/>
        <v>40977758.01</v>
      </c>
      <c r="H534" s="104">
        <f t="shared" si="79"/>
        <v>46198324.38</v>
      </c>
      <c r="I534" s="104">
        <f t="shared" si="79"/>
        <v>52536734.48</v>
      </c>
    </row>
    <row r="535" ht="14.25" customHeight="1">
      <c r="A535" s="226" t="s">
        <v>265</v>
      </c>
      <c r="B535" s="40"/>
      <c r="C535" s="41"/>
      <c r="D535" s="229"/>
      <c r="E535" s="104">
        <f>D316</f>
        <v>2433600</v>
      </c>
      <c r="F535" s="104">
        <f t="shared" ref="F535:I535" si="80">E511</f>
        <v>2697738.403</v>
      </c>
      <c r="G535" s="104">
        <f t="shared" si="80"/>
        <v>3014992.439</v>
      </c>
      <c r="H535" s="104">
        <f t="shared" si="80"/>
        <v>3399102.476</v>
      </c>
      <c r="I535" s="104">
        <f t="shared" si="80"/>
        <v>3865459.336</v>
      </c>
    </row>
    <row r="536" ht="14.25" customHeight="1">
      <c r="A536" s="226" t="s">
        <v>266</v>
      </c>
      <c r="B536" s="40"/>
      <c r="C536" s="41"/>
      <c r="D536" s="229"/>
      <c r="E536" s="104">
        <f t="shared" ref="E536:I536" si="81">-$H$234</f>
        <v>-13800000</v>
      </c>
      <c r="F536" s="104">
        <f t="shared" si="81"/>
        <v>-13800000</v>
      </c>
      <c r="G536" s="104">
        <f t="shared" si="81"/>
        <v>-13800000</v>
      </c>
      <c r="H536" s="104">
        <f t="shared" si="81"/>
        <v>-13800000</v>
      </c>
      <c r="I536" s="104">
        <f t="shared" si="81"/>
        <v>-13800000</v>
      </c>
    </row>
    <row r="537" ht="14.25" customHeight="1">
      <c r="A537" s="108" t="str">
        <f>UPPER("flujo de caja operacional bruto")</f>
        <v>FLUJO DE CAJA OPERACIONAL BRUTO</v>
      </c>
      <c r="B537" s="40"/>
      <c r="C537" s="41"/>
      <c r="D537" s="232"/>
      <c r="E537" s="223">
        <f t="shared" ref="E537:I537" si="82">E530-E531</f>
        <v>150603177.6</v>
      </c>
      <c r="F537" s="223">
        <f t="shared" si="82"/>
        <v>165521334</v>
      </c>
      <c r="G537" s="223">
        <f t="shared" si="82"/>
        <v>183363762.9</v>
      </c>
      <c r="H537" s="223">
        <f t="shared" si="82"/>
        <v>204966186.3</v>
      </c>
      <c r="I537" s="223">
        <f t="shared" si="82"/>
        <v>231194187.1</v>
      </c>
    </row>
    <row r="538" ht="14.25" customHeight="1">
      <c r="A538" s="226" t="s">
        <v>210</v>
      </c>
      <c r="B538" s="40"/>
      <c r="C538" s="41"/>
      <c r="D538" s="229"/>
      <c r="E538" s="104">
        <f>E265</f>
        <v>32786000</v>
      </c>
      <c r="F538" s="104">
        <f t="shared" ref="F538:I538" si="83">E513</f>
        <v>36320330.8</v>
      </c>
      <c r="G538" s="104">
        <f t="shared" si="83"/>
        <v>36641633.6</v>
      </c>
      <c r="H538" s="104">
        <f t="shared" si="83"/>
        <v>36962936.4</v>
      </c>
      <c r="I538" s="104">
        <f t="shared" si="83"/>
        <v>37284239.2</v>
      </c>
    </row>
    <row r="539" ht="14.25" customHeight="1">
      <c r="A539" s="226" t="s">
        <v>267</v>
      </c>
      <c r="B539" s="40"/>
      <c r="C539" s="41"/>
      <c r="D539" s="229"/>
      <c r="E539" s="104">
        <f>-D96</f>
        <v>-410000</v>
      </c>
      <c r="F539" s="104">
        <f t="shared" ref="F539:I539" si="84">E539</f>
        <v>-410000</v>
      </c>
      <c r="G539" s="104">
        <f t="shared" si="84"/>
        <v>-410000</v>
      </c>
      <c r="H539" s="104">
        <f t="shared" si="84"/>
        <v>-410000</v>
      </c>
      <c r="I539" s="104">
        <f t="shared" si="84"/>
        <v>-410000</v>
      </c>
    </row>
    <row r="540" ht="14.25" customHeight="1">
      <c r="A540" s="226" t="s">
        <v>266</v>
      </c>
      <c r="B540" s="40"/>
      <c r="C540" s="41"/>
      <c r="D540" s="229"/>
      <c r="E540" s="104">
        <f>-I234</f>
        <v>-865000</v>
      </c>
      <c r="F540" s="104">
        <f t="shared" ref="F540:I540" si="85">E540</f>
        <v>-865000</v>
      </c>
      <c r="G540" s="104">
        <f t="shared" si="85"/>
        <v>-865000</v>
      </c>
      <c r="H540" s="104">
        <f t="shared" si="85"/>
        <v>-865000</v>
      </c>
      <c r="I540" s="104">
        <f t="shared" si="85"/>
        <v>-865000</v>
      </c>
    </row>
    <row r="541" ht="14.25" customHeight="1">
      <c r="A541" s="226" t="s">
        <v>268</v>
      </c>
      <c r="B541" s="40"/>
      <c r="C541" s="41"/>
      <c r="D541" s="229"/>
      <c r="E541" s="229"/>
      <c r="F541" s="104">
        <f t="shared" ref="F541:I541" si="86">D519</f>
        <v>33972251.81</v>
      </c>
      <c r="G541" s="104">
        <f t="shared" si="86"/>
        <v>37690555.06</v>
      </c>
      <c r="H541" s="104">
        <f t="shared" si="86"/>
        <v>43426453.81</v>
      </c>
      <c r="I541" s="104">
        <f t="shared" si="86"/>
        <v>50393441.66</v>
      </c>
    </row>
    <row r="542" ht="14.25" customHeight="1">
      <c r="A542" s="108" t="s">
        <v>269</v>
      </c>
      <c r="B542" s="40"/>
      <c r="C542" s="41"/>
      <c r="D542" s="232"/>
      <c r="E542" s="223">
        <f>E537-(SUM(E538:E541))</f>
        <v>119092177.6</v>
      </c>
      <c r="F542" s="223">
        <f t="shared" ref="F542:I542" si="87">F537-SUM(F538:F541)</f>
        <v>96503751.41</v>
      </c>
      <c r="G542" s="223">
        <f t="shared" si="87"/>
        <v>110306574.2</v>
      </c>
      <c r="H542" s="223">
        <f t="shared" si="87"/>
        <v>125851796.1</v>
      </c>
      <c r="I542" s="223">
        <f t="shared" si="87"/>
        <v>144791506.2</v>
      </c>
    </row>
    <row r="543" ht="14.25" customHeight="1">
      <c r="A543" s="135" t="s">
        <v>90</v>
      </c>
      <c r="B543" s="40"/>
      <c r="C543" s="41"/>
      <c r="D543" s="104">
        <f>D104</f>
        <v>242789065.2</v>
      </c>
      <c r="E543" s="231"/>
      <c r="F543" s="231"/>
      <c r="G543" s="231"/>
      <c r="H543" s="231"/>
      <c r="I543" s="231"/>
    </row>
    <row r="544" ht="14.25" customHeight="1">
      <c r="A544" s="108" t="s">
        <v>270</v>
      </c>
      <c r="B544" s="40"/>
      <c r="C544" s="41"/>
      <c r="D544" s="223">
        <f t="shared" ref="D544:I544" si="88">D542-D543</f>
        <v>-242789065.2</v>
      </c>
      <c r="E544" s="223">
        <f t="shared" si="88"/>
        <v>119092177.6</v>
      </c>
      <c r="F544" s="223">
        <f t="shared" si="88"/>
        <v>96503751.41</v>
      </c>
      <c r="G544" s="223">
        <f t="shared" si="88"/>
        <v>110306574.2</v>
      </c>
      <c r="H544" s="223">
        <f t="shared" si="88"/>
        <v>125851796.1</v>
      </c>
      <c r="I544" s="223">
        <f t="shared" si="88"/>
        <v>144791506.2</v>
      </c>
    </row>
    <row r="545" ht="14.25" customHeight="1">
      <c r="A545" s="186" t="s">
        <v>271</v>
      </c>
      <c r="B545" s="40"/>
      <c r="C545" s="41"/>
      <c r="D545" s="223">
        <f t="shared" ref="D545:I545" si="89">SUM(D546:D552)</f>
        <v>242789065.2</v>
      </c>
      <c r="E545" s="223">
        <f t="shared" si="89"/>
        <v>-1070960</v>
      </c>
      <c r="F545" s="223">
        <f t="shared" si="89"/>
        <v>-1187200</v>
      </c>
      <c r="G545" s="223">
        <f t="shared" si="89"/>
        <v>-1326814.72</v>
      </c>
      <c r="H545" s="223">
        <f t="shared" si="89"/>
        <v>-1495850.915</v>
      </c>
      <c r="I545" s="223">
        <f t="shared" si="89"/>
        <v>-1701081.661</v>
      </c>
    </row>
    <row r="546" ht="14.25" customHeight="1">
      <c r="A546" s="135" t="s">
        <v>272</v>
      </c>
      <c r="B546" s="40"/>
      <c r="C546" s="41"/>
      <c r="D546" s="104">
        <f t="shared" ref="D546:D548" si="90">D105</f>
        <v>242789065.2</v>
      </c>
      <c r="E546" s="229"/>
      <c r="F546" s="229"/>
      <c r="G546" s="229"/>
      <c r="H546" s="229"/>
      <c r="I546" s="229"/>
    </row>
    <row r="547" ht="14.25" customHeight="1">
      <c r="A547" s="135" t="s">
        <v>273</v>
      </c>
      <c r="B547" s="40"/>
      <c r="C547" s="41"/>
      <c r="D547" s="104" t="str">
        <f t="shared" si="90"/>
        <v/>
      </c>
      <c r="E547" s="229"/>
      <c r="F547" s="229"/>
      <c r="G547" s="229"/>
      <c r="H547" s="229"/>
      <c r="I547" s="229"/>
    </row>
    <row r="548" ht="14.25" customHeight="1">
      <c r="A548" s="135" t="s">
        <v>274</v>
      </c>
      <c r="B548" s="40"/>
      <c r="C548" s="41"/>
      <c r="D548" s="104" t="str">
        <f t="shared" si="90"/>
        <v/>
      </c>
      <c r="E548" s="229"/>
      <c r="F548" s="229"/>
      <c r="G548" s="229"/>
      <c r="H548" s="229"/>
      <c r="I548" s="229"/>
    </row>
    <row r="549" ht="14.25" customHeight="1">
      <c r="A549" s="135" t="s">
        <v>275</v>
      </c>
      <c r="B549" s="40"/>
      <c r="C549" s="41"/>
      <c r="D549" s="104"/>
      <c r="E549" s="104">
        <f>-D366</f>
        <v>0</v>
      </c>
      <c r="F549" s="104">
        <f>-D367</f>
        <v>0</v>
      </c>
      <c r="G549" s="104">
        <f>-D368</f>
        <v>0</v>
      </c>
      <c r="H549" s="104">
        <f>-D369</f>
        <v>0</v>
      </c>
      <c r="I549" s="104">
        <f>-D370</f>
        <v>0</v>
      </c>
    </row>
    <row r="550" ht="14.25" customHeight="1">
      <c r="A550" s="135" t="s">
        <v>276</v>
      </c>
      <c r="B550" s="40"/>
      <c r="C550" s="41"/>
      <c r="D550" s="104"/>
      <c r="E550" s="104">
        <f>-C366</f>
        <v>0</v>
      </c>
      <c r="F550" s="104">
        <f>-C367</f>
        <v>0</v>
      </c>
      <c r="G550" s="104">
        <f>-C368</f>
        <v>0</v>
      </c>
      <c r="H550" s="104">
        <f>-C369</f>
        <v>0</v>
      </c>
      <c r="I550" s="104">
        <f>-C370</f>
        <v>0</v>
      </c>
    </row>
    <row r="551" ht="14.25" customHeight="1">
      <c r="A551" s="135" t="s">
        <v>277</v>
      </c>
      <c r="B551" s="40"/>
      <c r="C551" s="41"/>
      <c r="D551" s="104"/>
      <c r="E551" s="104">
        <f t="shared" ref="E551:I551" si="91">-D516</f>
        <v>-1070960</v>
      </c>
      <c r="F551" s="104">
        <f t="shared" si="91"/>
        <v>-1187200</v>
      </c>
      <c r="G551" s="104">
        <f t="shared" si="91"/>
        <v>-1326814.72</v>
      </c>
      <c r="H551" s="104">
        <f t="shared" si="91"/>
        <v>-1495850.915</v>
      </c>
      <c r="I551" s="104">
        <f t="shared" si="91"/>
        <v>-1701081.661</v>
      </c>
    </row>
    <row r="552" ht="14.25" customHeight="1">
      <c r="A552" s="135" t="s">
        <v>278</v>
      </c>
      <c r="B552" s="40"/>
      <c r="C552" s="41"/>
      <c r="D552" s="104"/>
      <c r="E552" s="231"/>
      <c r="F552" s="231"/>
      <c r="G552" s="231"/>
      <c r="H552" s="231"/>
      <c r="I552" s="231"/>
    </row>
    <row r="553" ht="14.25" customHeight="1">
      <c r="A553" s="108" t="s">
        <v>279</v>
      </c>
      <c r="B553" s="40"/>
      <c r="C553" s="41"/>
      <c r="D553" s="223">
        <f t="shared" ref="D553:I553" si="92">D544+D545</f>
        <v>0</v>
      </c>
      <c r="E553" s="223">
        <f t="shared" si="92"/>
        <v>118021217.6</v>
      </c>
      <c r="F553" s="223">
        <f t="shared" si="92"/>
        <v>95316551.41</v>
      </c>
      <c r="G553" s="223">
        <f t="shared" si="92"/>
        <v>108979759.5</v>
      </c>
      <c r="H553" s="223">
        <f t="shared" si="92"/>
        <v>124355945.2</v>
      </c>
      <c r="I553" s="223">
        <f t="shared" si="92"/>
        <v>143090424.5</v>
      </c>
    </row>
    <row r="554" ht="14.25" customHeight="1">
      <c r="A554" s="135" t="s">
        <v>280</v>
      </c>
      <c r="B554" s="40"/>
      <c r="C554" s="41"/>
      <c r="D554" s="233"/>
      <c r="E554" s="130">
        <f>E291</f>
        <v>14989065.2</v>
      </c>
      <c r="F554" s="104">
        <f t="shared" ref="F554:I554" si="93">E555</f>
        <v>133010282.8</v>
      </c>
      <c r="G554" s="104">
        <f t="shared" si="93"/>
        <v>228326834.2</v>
      </c>
      <c r="H554" s="104">
        <f t="shared" si="93"/>
        <v>337306593.7</v>
      </c>
      <c r="I554" s="104">
        <f t="shared" si="93"/>
        <v>461662538.9</v>
      </c>
    </row>
    <row r="555" ht="14.25" customHeight="1">
      <c r="A555" s="108" t="s">
        <v>281</v>
      </c>
      <c r="B555" s="40"/>
      <c r="C555" s="41"/>
      <c r="D555" s="223">
        <f>D544+D554</f>
        <v>-242789065.2</v>
      </c>
      <c r="E555" s="223">
        <f t="shared" ref="E555:I555" si="94">E553+E554</f>
        <v>133010282.8</v>
      </c>
      <c r="F555" s="223">
        <f t="shared" si="94"/>
        <v>228326834.2</v>
      </c>
      <c r="G555" s="223">
        <f t="shared" si="94"/>
        <v>337306593.7</v>
      </c>
      <c r="H555" s="223">
        <f t="shared" si="94"/>
        <v>461662538.9</v>
      </c>
      <c r="I555" s="223">
        <f t="shared" si="94"/>
        <v>604752963.4</v>
      </c>
    </row>
    <row r="556" ht="14.25" customHeight="1"/>
    <row r="557" ht="14.25" customHeight="1"/>
    <row r="558" ht="14.25" customHeight="1"/>
    <row r="559" ht="14.25" customHeight="1">
      <c r="A559" s="125" t="s">
        <v>107</v>
      </c>
      <c r="I559" s="146" t="s">
        <v>123</v>
      </c>
    </row>
    <row r="560" ht="14.25" customHeight="1"/>
    <row r="561" ht="14.25" customHeight="1">
      <c r="D561" s="216" t="s">
        <v>255</v>
      </c>
      <c r="E561" s="216" t="s">
        <v>256</v>
      </c>
      <c r="F561" s="216" t="s">
        <v>257</v>
      </c>
      <c r="G561" s="216" t="s">
        <v>258</v>
      </c>
      <c r="H561" s="216" t="s">
        <v>259</v>
      </c>
      <c r="I561" s="216" t="s">
        <v>260</v>
      </c>
    </row>
    <row r="562" ht="14.25" customHeight="1">
      <c r="A562" s="234" t="s">
        <v>282</v>
      </c>
      <c r="B562" s="40"/>
      <c r="C562" s="41"/>
      <c r="D562" s="235">
        <f>E554</f>
        <v>14989065.2</v>
      </c>
      <c r="E562" s="235">
        <f t="shared" ref="E562:I562" si="95">E555</f>
        <v>133010282.8</v>
      </c>
      <c r="F562" s="235">
        <f t="shared" si="95"/>
        <v>228326834.2</v>
      </c>
      <c r="G562" s="235">
        <f t="shared" si="95"/>
        <v>337306593.7</v>
      </c>
      <c r="H562" s="235">
        <f t="shared" si="95"/>
        <v>461662538.9</v>
      </c>
      <c r="I562" s="235">
        <f t="shared" si="95"/>
        <v>604752963.4</v>
      </c>
    </row>
    <row r="563" ht="14.25" customHeight="1">
      <c r="A563" s="236" t="s">
        <v>283</v>
      </c>
      <c r="B563" s="237"/>
      <c r="C563" s="238"/>
      <c r="D563" s="239">
        <f t="shared" ref="D563:I563" si="96">D562</f>
        <v>14989065.2</v>
      </c>
      <c r="E563" s="239">
        <f t="shared" si="96"/>
        <v>133010282.8</v>
      </c>
      <c r="F563" s="239">
        <f t="shared" si="96"/>
        <v>228326834.2</v>
      </c>
      <c r="G563" s="239">
        <f t="shared" si="96"/>
        <v>337306593.7</v>
      </c>
      <c r="H563" s="239">
        <f t="shared" si="96"/>
        <v>461662538.9</v>
      </c>
      <c r="I563" s="239">
        <f t="shared" si="96"/>
        <v>604752963.4</v>
      </c>
    </row>
    <row r="564" ht="14.25" customHeight="1">
      <c r="A564" s="240" t="s">
        <v>284</v>
      </c>
      <c r="B564" s="56"/>
      <c r="C564" s="15"/>
      <c r="D564" s="241">
        <f t="shared" ref="D564:I564" si="97">$H$38</f>
        <v>0</v>
      </c>
      <c r="E564" s="241">
        <f t="shared" si="97"/>
        <v>0</v>
      </c>
      <c r="F564" s="241">
        <f t="shared" si="97"/>
        <v>0</v>
      </c>
      <c r="G564" s="241">
        <f t="shared" si="97"/>
        <v>0</v>
      </c>
      <c r="H564" s="241">
        <f t="shared" si="97"/>
        <v>0</v>
      </c>
      <c r="I564" s="241">
        <f t="shared" si="97"/>
        <v>0</v>
      </c>
    </row>
    <row r="565" ht="14.25" customHeight="1">
      <c r="A565" s="240" t="s">
        <v>130</v>
      </c>
      <c r="B565" s="56"/>
      <c r="C565" s="15"/>
      <c r="D565" s="241">
        <f t="shared" ref="D565:I565" si="98">$H$42</f>
        <v>200000000</v>
      </c>
      <c r="E565" s="241">
        <f t="shared" si="98"/>
        <v>200000000</v>
      </c>
      <c r="F565" s="241">
        <f t="shared" si="98"/>
        <v>200000000</v>
      </c>
      <c r="G565" s="241">
        <f t="shared" si="98"/>
        <v>200000000</v>
      </c>
      <c r="H565" s="241">
        <f t="shared" si="98"/>
        <v>200000000</v>
      </c>
      <c r="I565" s="241">
        <f t="shared" si="98"/>
        <v>200000000</v>
      </c>
    </row>
    <row r="566" ht="14.25" customHeight="1">
      <c r="A566" s="240" t="s">
        <v>285</v>
      </c>
      <c r="B566" s="56"/>
      <c r="C566" s="15"/>
      <c r="D566" s="241">
        <f t="shared" ref="D566:I566" si="99">$H$53</f>
        <v>4850000</v>
      </c>
      <c r="E566" s="241">
        <f t="shared" si="99"/>
        <v>4850000</v>
      </c>
      <c r="F566" s="241">
        <f t="shared" si="99"/>
        <v>4850000</v>
      </c>
      <c r="G566" s="241">
        <f t="shared" si="99"/>
        <v>4850000</v>
      </c>
      <c r="H566" s="241">
        <f t="shared" si="99"/>
        <v>4850000</v>
      </c>
      <c r="I566" s="241">
        <f t="shared" si="99"/>
        <v>4850000</v>
      </c>
    </row>
    <row r="567" ht="14.25" customHeight="1">
      <c r="A567" s="240" t="s">
        <v>136</v>
      </c>
      <c r="B567" s="56"/>
      <c r="C567" s="15"/>
      <c r="D567" s="241">
        <f t="shared" ref="D567:I567" si="100">$H$64</f>
        <v>19000000</v>
      </c>
      <c r="E567" s="241">
        <f t="shared" si="100"/>
        <v>19000000</v>
      </c>
      <c r="F567" s="241">
        <f t="shared" si="100"/>
        <v>19000000</v>
      </c>
      <c r="G567" s="241">
        <f t="shared" si="100"/>
        <v>19000000</v>
      </c>
      <c r="H567" s="241">
        <f t="shared" si="100"/>
        <v>19000000</v>
      </c>
      <c r="I567" s="241">
        <f t="shared" si="100"/>
        <v>19000000</v>
      </c>
    </row>
    <row r="568" ht="14.25" customHeight="1">
      <c r="A568" s="240" t="s">
        <v>140</v>
      </c>
      <c r="B568" s="56"/>
      <c r="C568" s="15"/>
      <c r="D568" s="241">
        <f t="shared" ref="D568:I568" si="101">$H$75</f>
        <v>1900000</v>
      </c>
      <c r="E568" s="241">
        <f t="shared" si="101"/>
        <v>1900000</v>
      </c>
      <c r="F568" s="241">
        <f t="shared" si="101"/>
        <v>1900000</v>
      </c>
      <c r="G568" s="241">
        <f t="shared" si="101"/>
        <v>1900000</v>
      </c>
      <c r="H568" s="241">
        <f t="shared" si="101"/>
        <v>1900000</v>
      </c>
      <c r="I568" s="241">
        <f t="shared" si="101"/>
        <v>1900000</v>
      </c>
    </row>
    <row r="569" ht="14.25" customHeight="1">
      <c r="A569" s="240" t="s">
        <v>143</v>
      </c>
      <c r="B569" s="56"/>
      <c r="C569" s="15"/>
      <c r="D569" s="241">
        <f t="shared" ref="D569:I569" si="102">$H$79</f>
        <v>0</v>
      </c>
      <c r="E569" s="241">
        <f t="shared" si="102"/>
        <v>0</v>
      </c>
      <c r="F569" s="241">
        <f t="shared" si="102"/>
        <v>0</v>
      </c>
      <c r="G569" s="241">
        <f t="shared" si="102"/>
        <v>0</v>
      </c>
      <c r="H569" s="241">
        <f t="shared" si="102"/>
        <v>0</v>
      </c>
      <c r="I569" s="241">
        <f t="shared" si="102"/>
        <v>0</v>
      </c>
    </row>
    <row r="570" ht="14.25" customHeight="1">
      <c r="A570" s="242" t="s">
        <v>286</v>
      </c>
      <c r="B570" s="56"/>
      <c r="C570" s="15"/>
      <c r="D570" s="241">
        <f t="shared" ref="D570:E570" si="103">D536+D540</f>
        <v>0</v>
      </c>
      <c r="E570" s="241">
        <f t="shared" si="103"/>
        <v>-14665000</v>
      </c>
      <c r="F570" s="241">
        <f t="shared" ref="F570:I570" si="104">F536+F540+E570</f>
        <v>-29330000</v>
      </c>
      <c r="G570" s="241">
        <f t="shared" si="104"/>
        <v>-43995000</v>
      </c>
      <c r="H570" s="241">
        <f t="shared" si="104"/>
        <v>-58660000</v>
      </c>
      <c r="I570" s="241">
        <f t="shared" si="104"/>
        <v>-73325000</v>
      </c>
    </row>
    <row r="571" ht="14.25" customHeight="1">
      <c r="A571" s="217" t="s">
        <v>287</v>
      </c>
      <c r="B571" s="56"/>
      <c r="C571" s="15"/>
      <c r="D571" s="243">
        <f t="shared" ref="D571:I571" si="105">SUM(D564:D570)</f>
        <v>225750000</v>
      </c>
      <c r="E571" s="243">
        <f t="shared" si="105"/>
        <v>211085000</v>
      </c>
      <c r="F571" s="243">
        <f t="shared" si="105"/>
        <v>196420000</v>
      </c>
      <c r="G571" s="243">
        <f t="shared" si="105"/>
        <v>181755000</v>
      </c>
      <c r="H571" s="243">
        <f t="shared" si="105"/>
        <v>167090000</v>
      </c>
      <c r="I571" s="243">
        <f t="shared" si="105"/>
        <v>152425000</v>
      </c>
    </row>
    <row r="572" ht="14.25" customHeight="1">
      <c r="A572" s="240" t="s">
        <v>288</v>
      </c>
      <c r="B572" s="56"/>
      <c r="C572" s="15"/>
      <c r="D572" s="244">
        <f t="shared" ref="D572:I572" si="106">$D$97</f>
        <v>2050000</v>
      </c>
      <c r="E572" s="244">
        <f t="shared" si="106"/>
        <v>2050000</v>
      </c>
      <c r="F572" s="244">
        <f t="shared" si="106"/>
        <v>2050000</v>
      </c>
      <c r="G572" s="244">
        <f t="shared" si="106"/>
        <v>2050000</v>
      </c>
      <c r="H572" s="244">
        <f t="shared" si="106"/>
        <v>2050000</v>
      </c>
      <c r="I572" s="244">
        <f t="shared" si="106"/>
        <v>2050000</v>
      </c>
    </row>
    <row r="573" ht="14.25" customHeight="1">
      <c r="A573" s="240" t="s">
        <v>289</v>
      </c>
      <c r="B573" s="56"/>
      <c r="C573" s="15"/>
      <c r="D573" s="244"/>
      <c r="E573" s="244">
        <f>E539</f>
        <v>-410000</v>
      </c>
      <c r="F573" s="244">
        <f t="shared" ref="F573:I573" si="107">E573+F539</f>
        <v>-820000</v>
      </c>
      <c r="G573" s="244">
        <f t="shared" si="107"/>
        <v>-1230000</v>
      </c>
      <c r="H573" s="244">
        <f t="shared" si="107"/>
        <v>-1640000</v>
      </c>
      <c r="I573" s="244">
        <f t="shared" si="107"/>
        <v>-2050000</v>
      </c>
    </row>
    <row r="574" ht="14.25" customHeight="1">
      <c r="A574" s="217" t="s">
        <v>290</v>
      </c>
      <c r="B574" s="56"/>
      <c r="C574" s="15"/>
      <c r="D574" s="243">
        <f t="shared" ref="D574:I574" si="108">D573+D572</f>
        <v>2050000</v>
      </c>
      <c r="E574" s="243">
        <f t="shared" si="108"/>
        <v>1640000</v>
      </c>
      <c r="F574" s="243">
        <f t="shared" si="108"/>
        <v>1230000</v>
      </c>
      <c r="G574" s="243">
        <f t="shared" si="108"/>
        <v>820000</v>
      </c>
      <c r="H574" s="243">
        <f t="shared" si="108"/>
        <v>410000</v>
      </c>
      <c r="I574" s="243">
        <f t="shared" si="108"/>
        <v>0</v>
      </c>
    </row>
    <row r="575" ht="14.25" customHeight="1">
      <c r="A575" s="245" t="s">
        <v>291</v>
      </c>
      <c r="B575" s="56"/>
      <c r="C575" s="15"/>
      <c r="D575" s="246">
        <f t="shared" ref="D575:I575" si="109">D574+D571+D563</f>
        <v>242789065.2</v>
      </c>
      <c r="E575" s="246">
        <f t="shared" si="109"/>
        <v>345735282.8</v>
      </c>
      <c r="F575" s="246">
        <f t="shared" si="109"/>
        <v>425976834.2</v>
      </c>
      <c r="G575" s="246">
        <f t="shared" si="109"/>
        <v>519881593.7</v>
      </c>
      <c r="H575" s="246">
        <f t="shared" si="109"/>
        <v>629162538.9</v>
      </c>
      <c r="I575" s="246">
        <f t="shared" si="109"/>
        <v>757177963.4</v>
      </c>
    </row>
    <row r="576" ht="14.25" customHeight="1">
      <c r="A576" s="240" t="s">
        <v>292</v>
      </c>
      <c r="B576" s="56"/>
      <c r="C576" s="15"/>
      <c r="D576" s="241">
        <f>D366</f>
        <v>0</v>
      </c>
      <c r="E576" s="241">
        <f t="shared" ref="E576:I576" si="110">D367</f>
        <v>0</v>
      </c>
      <c r="F576" s="241">
        <f t="shared" si="110"/>
        <v>0</v>
      </c>
      <c r="G576" s="241" t="str">
        <f t="shared" si="110"/>
        <v/>
      </c>
      <c r="H576" s="241" t="str">
        <f t="shared" si="110"/>
        <v/>
      </c>
      <c r="I576" s="241" t="str">
        <f t="shared" si="110"/>
        <v/>
      </c>
    </row>
    <row r="577" ht="14.25" customHeight="1">
      <c r="A577" s="240" t="s">
        <v>293</v>
      </c>
      <c r="B577" s="56"/>
      <c r="C577" s="15"/>
      <c r="D577" s="241"/>
      <c r="E577" s="241">
        <f t="shared" ref="E577:I577" si="111">D519</f>
        <v>33972251.81</v>
      </c>
      <c r="F577" s="241">
        <f t="shared" si="111"/>
        <v>37690555.06</v>
      </c>
      <c r="G577" s="241">
        <f t="shared" si="111"/>
        <v>43426453.81</v>
      </c>
      <c r="H577" s="241">
        <f t="shared" si="111"/>
        <v>50393441.66</v>
      </c>
      <c r="I577" s="241">
        <f t="shared" si="111"/>
        <v>58874925.84</v>
      </c>
    </row>
    <row r="578" ht="14.25" customHeight="1">
      <c r="A578" s="217" t="s">
        <v>294</v>
      </c>
      <c r="B578" s="56"/>
      <c r="C578" s="15"/>
      <c r="D578" s="243">
        <f>D576-D577</f>
        <v>0</v>
      </c>
      <c r="E578" s="243">
        <f t="shared" ref="E578:I578" si="112">E576+E577</f>
        <v>33972251.81</v>
      </c>
      <c r="F578" s="243">
        <f t="shared" si="112"/>
        <v>37690555.06</v>
      </c>
      <c r="G578" s="243">
        <f t="shared" si="112"/>
        <v>43426453.81</v>
      </c>
      <c r="H578" s="243">
        <f t="shared" si="112"/>
        <v>50393441.66</v>
      </c>
      <c r="I578" s="243">
        <f t="shared" si="112"/>
        <v>58874925.84</v>
      </c>
    </row>
    <row r="579" ht="14.25" customHeight="1">
      <c r="A579" s="142" t="s">
        <v>295</v>
      </c>
      <c r="B579" s="56"/>
      <c r="C579" s="15"/>
      <c r="D579" s="241">
        <f>E366</f>
        <v>0</v>
      </c>
      <c r="E579" s="241">
        <f t="shared" ref="E579:I579" si="113">E367</f>
        <v>0</v>
      </c>
      <c r="F579" s="241" t="str">
        <f t="shared" si="113"/>
        <v/>
      </c>
      <c r="G579" s="241" t="str">
        <f t="shared" si="113"/>
        <v/>
      </c>
      <c r="H579" s="241" t="str">
        <f t="shared" si="113"/>
        <v/>
      </c>
      <c r="I579" s="241" t="str">
        <f t="shared" si="113"/>
        <v/>
      </c>
    </row>
    <row r="580" ht="14.25" customHeight="1">
      <c r="A580" s="245" t="s">
        <v>296</v>
      </c>
      <c r="B580" s="56"/>
      <c r="C580" s="15"/>
      <c r="D580" s="243">
        <f t="shared" ref="D580:I580" si="114">D579+D578</f>
        <v>0</v>
      </c>
      <c r="E580" s="243">
        <f t="shared" si="114"/>
        <v>33972251.81</v>
      </c>
      <c r="F580" s="243">
        <f t="shared" si="114"/>
        <v>37690555.06</v>
      </c>
      <c r="G580" s="243">
        <f t="shared" si="114"/>
        <v>43426453.81</v>
      </c>
      <c r="H580" s="243">
        <f t="shared" si="114"/>
        <v>50393441.66</v>
      </c>
      <c r="I580" s="243">
        <f t="shared" si="114"/>
        <v>58874925.84</v>
      </c>
    </row>
    <row r="581" ht="14.25" customHeight="1">
      <c r="A581" s="142" t="s">
        <v>272</v>
      </c>
      <c r="B581" s="56"/>
      <c r="C581" s="15"/>
      <c r="D581" s="241">
        <f>D105</f>
        <v>242789065.2</v>
      </c>
      <c r="E581" s="241">
        <f t="shared" ref="E581:I581" si="115">D581</f>
        <v>242789065.2</v>
      </c>
      <c r="F581" s="241">
        <f t="shared" si="115"/>
        <v>242789065.2</v>
      </c>
      <c r="G581" s="241">
        <f t="shared" si="115"/>
        <v>242789065.2</v>
      </c>
      <c r="H581" s="241">
        <f t="shared" si="115"/>
        <v>242789065.2</v>
      </c>
      <c r="I581" s="241">
        <f t="shared" si="115"/>
        <v>242789065.2</v>
      </c>
    </row>
    <row r="582" ht="14.25" customHeight="1">
      <c r="A582" s="142" t="s">
        <v>297</v>
      </c>
      <c r="B582" s="56"/>
      <c r="C582" s="15"/>
      <c r="D582" s="241"/>
      <c r="E582" s="241">
        <f>D522</f>
        <v>62076569.21</v>
      </c>
      <c r="F582" s="241">
        <f t="shared" ref="F582:I582" si="116">E522+E582</f>
        <v>130947492.6</v>
      </c>
      <c r="G582" s="241">
        <f t="shared" si="116"/>
        <v>210299467.2</v>
      </c>
      <c r="H582" s="241">
        <f t="shared" si="116"/>
        <v>302382028.8</v>
      </c>
      <c r="I582" s="241">
        <f t="shared" si="116"/>
        <v>409962575.1</v>
      </c>
    </row>
    <row r="583" ht="14.25" customHeight="1">
      <c r="A583" s="142" t="s">
        <v>298</v>
      </c>
      <c r="B583" s="56"/>
      <c r="C583" s="15"/>
      <c r="D583" s="241"/>
      <c r="E583" s="241">
        <f>D521</f>
        <v>6897396.579</v>
      </c>
      <c r="F583" s="241">
        <f t="shared" ref="F583:I583" si="117">E583+E521</f>
        <v>14549721.39</v>
      </c>
      <c r="G583" s="241">
        <f t="shared" si="117"/>
        <v>23366607.47</v>
      </c>
      <c r="H583" s="241">
        <f t="shared" si="117"/>
        <v>33598003.2</v>
      </c>
      <c r="I583" s="241">
        <f t="shared" si="117"/>
        <v>45551397.24</v>
      </c>
    </row>
    <row r="584" ht="14.25" customHeight="1">
      <c r="A584" s="245" t="s">
        <v>299</v>
      </c>
      <c r="B584" s="56"/>
      <c r="C584" s="15"/>
      <c r="D584" s="243">
        <f t="shared" ref="D584:I584" si="118">SUM(D581:D583)</f>
        <v>242789065.2</v>
      </c>
      <c r="E584" s="243">
        <f t="shared" si="118"/>
        <v>311763031</v>
      </c>
      <c r="F584" s="243">
        <f t="shared" si="118"/>
        <v>388286279.1</v>
      </c>
      <c r="G584" s="243">
        <f t="shared" si="118"/>
        <v>476455139.9</v>
      </c>
      <c r="H584" s="243">
        <f t="shared" si="118"/>
        <v>578769097.2</v>
      </c>
      <c r="I584" s="243">
        <f t="shared" si="118"/>
        <v>698303037.6</v>
      </c>
    </row>
    <row r="585" ht="14.25" customHeight="1">
      <c r="A585" s="245" t="s">
        <v>300</v>
      </c>
      <c r="B585" s="56"/>
      <c r="C585" s="15"/>
      <c r="D585" s="243">
        <f t="shared" ref="D585:I585" si="119">D584+D580</f>
        <v>242789065.2</v>
      </c>
      <c r="E585" s="243">
        <f t="shared" si="119"/>
        <v>345735282.8</v>
      </c>
      <c r="F585" s="243">
        <f t="shared" si="119"/>
        <v>425976834.2</v>
      </c>
      <c r="G585" s="243">
        <f t="shared" si="119"/>
        <v>519881593.7</v>
      </c>
      <c r="H585" s="243">
        <f t="shared" si="119"/>
        <v>629162538.9</v>
      </c>
      <c r="I585" s="243">
        <f t="shared" si="119"/>
        <v>757177963.4</v>
      </c>
    </row>
    <row r="586" ht="14.25" customHeight="1"/>
    <row r="587" ht="14.25" customHeight="1"/>
    <row r="588" ht="14.25" customHeight="1">
      <c r="A588" s="125" t="s">
        <v>109</v>
      </c>
      <c r="I588" s="146" t="s">
        <v>123</v>
      </c>
    </row>
    <row r="589" ht="14.25" customHeight="1"/>
    <row r="590" ht="14.25" customHeight="1">
      <c r="A590" s="217" t="s">
        <v>300</v>
      </c>
      <c r="B590" s="56"/>
      <c r="C590" s="15"/>
      <c r="D590" s="247">
        <f t="shared" ref="D590:I590" si="120">D575-D585</f>
        <v>0</v>
      </c>
      <c r="E590" s="243">
        <f t="shared" si="120"/>
        <v>0.00000005960464478</v>
      </c>
      <c r="F590" s="247">
        <f t="shared" si="120"/>
        <v>0.00000005960464478</v>
      </c>
      <c r="G590" s="247">
        <f t="shared" si="120"/>
        <v>0.00000005960464478</v>
      </c>
      <c r="H590" s="247">
        <f t="shared" si="120"/>
        <v>-0.0000001192092896</v>
      </c>
      <c r="I590" s="247">
        <f t="shared" si="120"/>
        <v>0</v>
      </c>
    </row>
    <row r="591" ht="14.25" customHeight="1"/>
    <row r="592" ht="14.25" customHeight="1">
      <c r="A592" s="248" t="s">
        <v>301</v>
      </c>
    </row>
    <row r="593" ht="14.25" customHeight="1"/>
    <row r="594" ht="14.25" customHeight="1"/>
    <row r="595" ht="14.25" customHeight="1">
      <c r="A595" s="125" t="s">
        <v>111</v>
      </c>
      <c r="H595" s="146" t="s">
        <v>123</v>
      </c>
    </row>
    <row r="596" ht="14.25" customHeight="1">
      <c r="A596" s="125"/>
      <c r="B596" s="125"/>
      <c r="C596" s="125"/>
    </row>
    <row r="597" ht="14.25" customHeight="1">
      <c r="D597" s="222" t="s">
        <v>256</v>
      </c>
      <c r="E597" s="222" t="s">
        <v>257</v>
      </c>
      <c r="F597" s="222" t="s">
        <v>258</v>
      </c>
      <c r="G597" s="222" t="s">
        <v>259</v>
      </c>
      <c r="H597" s="222" t="s">
        <v>260</v>
      </c>
    </row>
    <row r="598" ht="14.25" customHeight="1">
      <c r="A598" s="249" t="s">
        <v>302</v>
      </c>
      <c r="B598" s="56"/>
      <c r="C598" s="15"/>
      <c r="D598" s="250">
        <f t="shared" ref="D598:H598" si="121">E563/E578</f>
        <v>3.915262478</v>
      </c>
      <c r="E598" s="250">
        <f t="shared" si="121"/>
        <v>6.057932387</v>
      </c>
      <c r="F598" s="250">
        <f t="shared" si="121"/>
        <v>7.767306886</v>
      </c>
      <c r="G598" s="250">
        <f t="shared" si="121"/>
        <v>9.161163113</v>
      </c>
      <c r="H598" s="250">
        <f t="shared" si="121"/>
        <v>10.27182548</v>
      </c>
    </row>
    <row r="599" ht="14.25" customHeight="1">
      <c r="A599" s="249" t="s">
        <v>303</v>
      </c>
      <c r="B599" s="56"/>
      <c r="C599" s="15"/>
      <c r="D599" s="251">
        <f t="shared" ref="D599:H599" si="122">E580/E575</f>
        <v>0.09826087616</v>
      </c>
      <c r="E599" s="251">
        <f t="shared" si="122"/>
        <v>0.08848029291</v>
      </c>
      <c r="F599" s="251">
        <f t="shared" si="122"/>
        <v>0.08353143165</v>
      </c>
      <c r="G599" s="251">
        <f t="shared" si="122"/>
        <v>0.0800960619</v>
      </c>
      <c r="H599" s="251">
        <f t="shared" si="122"/>
        <v>0.07775573074</v>
      </c>
    </row>
    <row r="600" ht="14.25" customHeight="1">
      <c r="A600" s="249" t="s">
        <v>304</v>
      </c>
      <c r="B600" s="56"/>
      <c r="C600" s="15"/>
      <c r="D600" s="250">
        <f t="shared" ref="D600:H600" si="123">D506/E575</f>
        <v>0.7744075115</v>
      </c>
      <c r="E600" s="250">
        <f t="shared" si="123"/>
        <v>0.6967515042</v>
      </c>
      <c r="F600" s="250">
        <f t="shared" si="123"/>
        <v>0.6380369761</v>
      </c>
      <c r="G600" s="250">
        <f t="shared" si="123"/>
        <v>0.5943817467</v>
      </c>
      <c r="H600" s="250">
        <f t="shared" si="123"/>
        <v>0.5616518649</v>
      </c>
    </row>
    <row r="601" ht="14.25" customHeight="1">
      <c r="A601" s="249" t="s">
        <v>305</v>
      </c>
      <c r="B601" s="56"/>
      <c r="C601" s="15"/>
      <c r="D601" s="251">
        <f t="shared" ref="D601:H601" si="124">D512/D506</f>
        <v>0.5109553208</v>
      </c>
      <c r="E601" s="251">
        <f t="shared" si="124"/>
        <v>0.5111904785</v>
      </c>
      <c r="F601" s="251">
        <f t="shared" si="124"/>
        <v>0.5111904785</v>
      </c>
      <c r="G601" s="251">
        <f t="shared" si="124"/>
        <v>0.5111904785</v>
      </c>
      <c r="H601" s="251">
        <f t="shared" si="124"/>
        <v>0.5111904785</v>
      </c>
    </row>
    <row r="602" ht="14.25" customHeight="1">
      <c r="A602" s="249" t="s">
        <v>306</v>
      </c>
      <c r="B602" s="56"/>
      <c r="C602" s="15"/>
      <c r="D602" s="251">
        <f t="shared" ref="D602:H602" si="125">D520/D506</f>
        <v>0.2576154695</v>
      </c>
      <c r="E602" s="251">
        <f t="shared" si="125"/>
        <v>0.2578276555</v>
      </c>
      <c r="F602" s="251">
        <f t="shared" si="125"/>
        <v>0.2658060977</v>
      </c>
      <c r="G602" s="251">
        <f t="shared" si="125"/>
        <v>0.2735939959</v>
      </c>
      <c r="H602" s="251">
        <f t="shared" si="125"/>
        <v>0.2810774887</v>
      </c>
    </row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>
      <c r="A636" s="79" t="s">
        <v>307</v>
      </c>
    </row>
    <row r="637" ht="14.25" customHeight="1">
      <c r="A637" s="79"/>
      <c r="B637" s="79"/>
      <c r="C637" s="79"/>
    </row>
    <row r="638" ht="14.25" customHeight="1"/>
    <row r="639" ht="14.25" customHeight="1">
      <c r="D639" s="222" t="s">
        <v>255</v>
      </c>
      <c r="E639" s="222" t="s">
        <v>256</v>
      </c>
      <c r="F639" s="222" t="s">
        <v>257</v>
      </c>
      <c r="G639" s="222" t="s">
        <v>258</v>
      </c>
      <c r="H639" s="222" t="s">
        <v>259</v>
      </c>
      <c r="I639" s="222" t="s">
        <v>260</v>
      </c>
    </row>
    <row r="640" ht="14.25" customHeight="1">
      <c r="A640" s="217" t="s">
        <v>270</v>
      </c>
      <c r="B640" s="56"/>
      <c r="C640" s="15"/>
      <c r="D640" s="247">
        <f t="shared" ref="D640:I640" si="126">D544</f>
        <v>-242789065.2</v>
      </c>
      <c r="E640" s="247">
        <f t="shared" si="126"/>
        <v>119092177.6</v>
      </c>
      <c r="F640" s="247">
        <f t="shared" si="126"/>
        <v>96503751.41</v>
      </c>
      <c r="G640" s="247">
        <f t="shared" si="126"/>
        <v>110306574.2</v>
      </c>
      <c r="H640" s="247">
        <f t="shared" si="126"/>
        <v>125851796.1</v>
      </c>
      <c r="I640" s="247">
        <f t="shared" si="126"/>
        <v>144791506.2</v>
      </c>
    </row>
    <row r="641" ht="14.25" customHeight="1"/>
    <row r="642" ht="14.25" customHeight="1"/>
    <row r="643" ht="14.25" customHeight="1"/>
    <row r="644" ht="14.25" customHeight="1">
      <c r="A644" s="125" t="s">
        <v>118</v>
      </c>
      <c r="D644" s="146" t="s">
        <v>123</v>
      </c>
    </row>
    <row r="645" ht="14.25" customHeight="1">
      <c r="A645" s="125"/>
      <c r="B645" s="125"/>
      <c r="C645" s="125"/>
    </row>
    <row r="646" ht="14.25" customHeight="1"/>
    <row r="647" ht="14.25" customHeight="1">
      <c r="C647" s="252" t="s">
        <v>308</v>
      </c>
    </row>
    <row r="648" ht="14.25" customHeight="1">
      <c r="A648" s="252" t="s">
        <v>309</v>
      </c>
      <c r="B648" s="253">
        <v>0.10855</v>
      </c>
      <c r="C648" s="254">
        <f>((1+B648)*(1+B649))-1</f>
        <v>0.219405</v>
      </c>
      <c r="D648" s="78" t="s">
        <v>310</v>
      </c>
    </row>
    <row r="649" ht="14.25" customHeight="1">
      <c r="A649" s="252" t="s">
        <v>311</v>
      </c>
      <c r="B649" s="255">
        <v>0.1</v>
      </c>
      <c r="C649" s="65"/>
    </row>
    <row r="650" ht="14.25" customHeight="1"/>
    <row r="651" ht="14.25" customHeight="1"/>
    <row r="652" ht="14.25" customHeight="1"/>
    <row r="653" ht="14.25" customHeight="1">
      <c r="A653" s="125" t="s">
        <v>120</v>
      </c>
      <c r="D653" s="146" t="s">
        <v>123</v>
      </c>
    </row>
    <row r="654" ht="14.25" customHeight="1">
      <c r="A654" s="125"/>
      <c r="B654" s="125"/>
      <c r="C654" s="125"/>
    </row>
    <row r="655" ht="14.25" customHeight="1"/>
    <row r="656" ht="14.25" customHeight="1">
      <c r="B656" s="256" t="s">
        <v>312</v>
      </c>
      <c r="C656" s="15"/>
      <c r="D656" s="257" t="s">
        <v>313</v>
      </c>
    </row>
    <row r="657" ht="14.25" customHeight="1">
      <c r="A657" s="257" t="s">
        <v>255</v>
      </c>
      <c r="B657" s="258">
        <f>D640</f>
        <v>-242789065.2</v>
      </c>
      <c r="C657" s="15"/>
      <c r="D657" s="259">
        <f t="array" ref="D657">NPV(C648,B658:C662)+D544</f>
        <v>91235117.7</v>
      </c>
    </row>
    <row r="658" ht="14.25" customHeight="1">
      <c r="A658" s="257" t="s">
        <v>256</v>
      </c>
      <c r="B658" s="258">
        <f>E640</f>
        <v>119092177.6</v>
      </c>
      <c r="C658" s="15"/>
      <c r="D658" s="64"/>
    </row>
    <row r="659" ht="14.25" customHeight="1">
      <c r="A659" s="257" t="s">
        <v>257</v>
      </c>
      <c r="B659" s="258">
        <f>F640</f>
        <v>96503751.41</v>
      </c>
      <c r="C659" s="15"/>
      <c r="D659" s="64"/>
    </row>
    <row r="660" ht="14.25" customHeight="1">
      <c r="A660" s="257" t="s">
        <v>258</v>
      </c>
      <c r="B660" s="258">
        <f>G640</f>
        <v>110306574.2</v>
      </c>
      <c r="C660" s="15"/>
      <c r="D660" s="64"/>
    </row>
    <row r="661" ht="14.25" customHeight="1">
      <c r="A661" s="257" t="s">
        <v>259</v>
      </c>
      <c r="B661" s="258">
        <f>H640</f>
        <v>125851796.1</v>
      </c>
      <c r="C661" s="15"/>
      <c r="D661" s="64"/>
    </row>
    <row r="662" ht="14.25" customHeight="1">
      <c r="A662" s="257" t="s">
        <v>260</v>
      </c>
      <c r="B662" s="258">
        <f>I640</f>
        <v>144791506.2</v>
      </c>
      <c r="C662" s="15"/>
      <c r="D662" s="65"/>
    </row>
    <row r="663" ht="14.25" customHeight="1"/>
    <row r="664" ht="14.25" customHeight="1"/>
    <row r="665" ht="14.25" customHeight="1"/>
    <row r="666" ht="14.25" customHeight="1">
      <c r="A666" s="125" t="s">
        <v>121</v>
      </c>
      <c r="D666" s="146" t="s">
        <v>123</v>
      </c>
    </row>
    <row r="667" ht="14.25" customHeight="1">
      <c r="A667" s="125"/>
      <c r="B667" s="125"/>
      <c r="C667" s="125"/>
    </row>
    <row r="668" ht="14.25" customHeight="1"/>
    <row r="669" ht="14.25" customHeight="1">
      <c r="B669" s="256" t="s">
        <v>312</v>
      </c>
      <c r="C669" s="15"/>
      <c r="D669" s="257" t="s">
        <v>314</v>
      </c>
    </row>
    <row r="670" ht="14.25" customHeight="1">
      <c r="A670" s="257" t="s">
        <v>255</v>
      </c>
      <c r="B670" s="258">
        <f t="shared" ref="B670:B675" si="127">B657</f>
        <v>-242789065.2</v>
      </c>
      <c r="C670" s="15"/>
      <c r="D670" s="254">
        <f>IRR(B670:C675)</f>
        <v>0.3795084392</v>
      </c>
    </row>
    <row r="671" ht="14.25" customHeight="1">
      <c r="A671" s="257" t="s">
        <v>256</v>
      </c>
      <c r="B671" s="258">
        <f t="shared" si="127"/>
        <v>119092177.6</v>
      </c>
      <c r="C671" s="15"/>
      <c r="D671" s="64"/>
    </row>
    <row r="672" ht="14.25" customHeight="1">
      <c r="A672" s="257" t="s">
        <v>257</v>
      </c>
      <c r="B672" s="258">
        <f t="shared" si="127"/>
        <v>96503751.41</v>
      </c>
      <c r="C672" s="15"/>
      <c r="D672" s="64"/>
    </row>
    <row r="673" ht="14.25" customHeight="1">
      <c r="A673" s="257" t="s">
        <v>258</v>
      </c>
      <c r="B673" s="258">
        <f t="shared" si="127"/>
        <v>110306574.2</v>
      </c>
      <c r="C673" s="15"/>
      <c r="D673" s="64"/>
    </row>
    <row r="674" ht="14.25" customHeight="1">
      <c r="A674" s="257" t="s">
        <v>259</v>
      </c>
      <c r="B674" s="258">
        <f t="shared" si="127"/>
        <v>125851796.1</v>
      </c>
      <c r="C674" s="15"/>
      <c r="D674" s="64"/>
    </row>
    <row r="675" ht="14.25" customHeight="1">
      <c r="A675" s="257" t="s">
        <v>260</v>
      </c>
      <c r="B675" s="258">
        <f t="shared" si="127"/>
        <v>144791506.2</v>
      </c>
      <c r="C675" s="15"/>
      <c r="D675" s="65"/>
      <c r="E675" s="260" t="s">
        <v>224</v>
      </c>
    </row>
    <row r="676" ht="14.25" customHeight="1"/>
    <row r="677" ht="14.25" customHeight="1"/>
    <row r="678" ht="14.25" customHeight="1">
      <c r="A678" s="125" t="s">
        <v>315</v>
      </c>
    </row>
    <row r="679" ht="14.25" customHeight="1">
      <c r="A679" s="125"/>
      <c r="B679" s="125"/>
      <c r="C679" s="125"/>
    </row>
    <row r="680" ht="14.25" customHeight="1">
      <c r="A680" s="261" t="s">
        <v>316</v>
      </c>
      <c r="B680" s="262"/>
      <c r="C680" s="263">
        <f>-B670</f>
        <v>242789065.2</v>
      </c>
    </row>
    <row r="681" ht="14.25" customHeight="1"/>
    <row r="682" ht="14.25" customHeight="1">
      <c r="A682" s="264"/>
      <c r="B682" s="265" t="s">
        <v>312</v>
      </c>
      <c r="C682" s="266"/>
      <c r="D682" s="267" t="s">
        <v>317</v>
      </c>
      <c r="E682" s="267" t="s">
        <v>318</v>
      </c>
    </row>
    <row r="683" ht="14.25" customHeight="1">
      <c r="A683" s="268" t="s">
        <v>256</v>
      </c>
      <c r="B683" s="269">
        <f t="shared" ref="B683:B687" si="128">+B671</f>
        <v>119092177.6</v>
      </c>
      <c r="C683" s="266"/>
      <c r="D683" s="270">
        <f>+B683</f>
        <v>119092177.6</v>
      </c>
      <c r="E683" s="270">
        <f t="shared" ref="E683:E687" si="129">-$C$680+D683</f>
        <v>-123696887.6</v>
      </c>
    </row>
    <row r="684" ht="14.25" customHeight="1">
      <c r="A684" s="268" t="s">
        <v>257</v>
      </c>
      <c r="B684" s="269">
        <f t="shared" si="128"/>
        <v>96503751.41</v>
      </c>
      <c r="C684" s="266"/>
      <c r="D684" s="270">
        <f t="shared" ref="D684:D687" si="130">+B684+D683</f>
        <v>215595929</v>
      </c>
      <c r="E684" s="270">
        <f t="shared" si="129"/>
        <v>-27193136.19</v>
      </c>
    </row>
    <row r="685" ht="14.25" customHeight="1">
      <c r="A685" s="268" t="s">
        <v>258</v>
      </c>
      <c r="B685" s="269">
        <f t="shared" si="128"/>
        <v>110306574.2</v>
      </c>
      <c r="C685" s="266"/>
      <c r="D685" s="270">
        <f t="shared" si="130"/>
        <v>325902503.2</v>
      </c>
      <c r="E685" s="270">
        <f t="shared" si="129"/>
        <v>83113438.05</v>
      </c>
      <c r="F685" s="38" t="s">
        <v>319</v>
      </c>
    </row>
    <row r="686" ht="14.25" customHeight="1">
      <c r="A686" s="268" t="s">
        <v>259</v>
      </c>
      <c r="B686" s="269">
        <f t="shared" si="128"/>
        <v>125851796.1</v>
      </c>
      <c r="C686" s="266"/>
      <c r="D686" s="270">
        <f t="shared" si="130"/>
        <v>451754299.3</v>
      </c>
      <c r="E686" s="270">
        <f t="shared" si="129"/>
        <v>208965234.1</v>
      </c>
    </row>
    <row r="687" ht="14.25" customHeight="1">
      <c r="A687" s="268" t="s">
        <v>260</v>
      </c>
      <c r="B687" s="269">
        <f t="shared" si="128"/>
        <v>144791506.2</v>
      </c>
      <c r="C687" s="266"/>
      <c r="D687" s="270">
        <f t="shared" si="130"/>
        <v>596545805.5</v>
      </c>
      <c r="E687" s="270">
        <f t="shared" si="129"/>
        <v>353756740.3</v>
      </c>
    </row>
    <row r="688" ht="14.25" customHeight="1">
      <c r="C688" s="271"/>
    </row>
    <row r="689" ht="14.25" customHeight="1">
      <c r="C689" s="273"/>
    </row>
    <row r="690" ht="14.25" customHeight="1">
      <c r="A690" s="265" t="s">
        <v>321</v>
      </c>
      <c r="B690" s="274"/>
      <c r="C690" s="266"/>
      <c r="D690" s="275">
        <f>+B685/365</f>
        <v>302209.7924</v>
      </c>
    </row>
    <row r="691" ht="14.25" customHeight="1">
      <c r="A691" s="265" t="s">
        <v>322</v>
      </c>
      <c r="B691" s="274"/>
      <c r="C691" s="266"/>
      <c r="D691" s="275">
        <f>-E684/D690</f>
        <v>89.9809896</v>
      </c>
    </row>
    <row r="692" ht="14.25" customHeight="1">
      <c r="A692" s="265" t="s">
        <v>323</v>
      </c>
      <c r="B692" s="274"/>
      <c r="C692" s="266"/>
      <c r="D692" s="264">
        <f>+D691/30</f>
        <v>2.99936632</v>
      </c>
    </row>
    <row r="693" ht="14.25" customHeight="1">
      <c r="A693" s="265" t="s">
        <v>324</v>
      </c>
      <c r="B693" s="274"/>
      <c r="C693" s="266"/>
      <c r="D693" s="264">
        <f>ROUNDUP(((D692-2)*30),0)</f>
        <v>30</v>
      </c>
    </row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>
      <c r="B699" s="277"/>
    </row>
    <row r="700" ht="14.25" customHeight="1">
      <c r="A700" s="287"/>
      <c r="B700" s="279"/>
    </row>
    <row r="701" ht="14.25" customHeight="1">
      <c r="A701" s="287"/>
      <c r="B701" s="281"/>
    </row>
    <row r="702" ht="14.25" customHeight="1">
      <c r="A702" s="287"/>
    </row>
    <row r="703" ht="14.25" customHeight="1">
      <c r="A703" s="287"/>
    </row>
    <row r="704" ht="14.25" customHeight="1">
      <c r="A704" s="287"/>
    </row>
    <row r="705" ht="14.25" customHeight="1">
      <c r="A705" s="287"/>
    </row>
    <row r="706" ht="14.25" customHeight="1">
      <c r="A706" s="287"/>
    </row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27">
    <mergeCell ref="A533:C533"/>
    <mergeCell ref="A534:C534"/>
    <mergeCell ref="A535:C535"/>
    <mergeCell ref="A536:C536"/>
    <mergeCell ref="A537:C537"/>
    <mergeCell ref="A538:C538"/>
    <mergeCell ref="A539:C539"/>
    <mergeCell ref="A540:C540"/>
    <mergeCell ref="A541:C541"/>
    <mergeCell ref="A542:C542"/>
    <mergeCell ref="A543:C543"/>
    <mergeCell ref="A544:C544"/>
    <mergeCell ref="A545:C545"/>
    <mergeCell ref="A546:C546"/>
    <mergeCell ref="A547:C547"/>
    <mergeCell ref="A548:C548"/>
    <mergeCell ref="A549:C549"/>
    <mergeCell ref="A550:C550"/>
    <mergeCell ref="A551:C551"/>
    <mergeCell ref="A552:C552"/>
    <mergeCell ref="A553:C553"/>
    <mergeCell ref="A554:C554"/>
    <mergeCell ref="A555:C555"/>
    <mergeCell ref="A559:C559"/>
    <mergeCell ref="A562:C562"/>
    <mergeCell ref="A563:C563"/>
    <mergeCell ref="A564:C564"/>
    <mergeCell ref="A565:C565"/>
    <mergeCell ref="A566:C566"/>
    <mergeCell ref="A567:C567"/>
    <mergeCell ref="A568:C568"/>
    <mergeCell ref="A569:C569"/>
    <mergeCell ref="A570:C570"/>
    <mergeCell ref="A571:C571"/>
    <mergeCell ref="A572:C572"/>
    <mergeCell ref="A590:C590"/>
    <mergeCell ref="A592:I592"/>
    <mergeCell ref="A595:C595"/>
    <mergeCell ref="A598:C598"/>
    <mergeCell ref="A599:C599"/>
    <mergeCell ref="A600:C600"/>
    <mergeCell ref="A601:C601"/>
    <mergeCell ref="A602:C602"/>
    <mergeCell ref="B685:C685"/>
    <mergeCell ref="B686:C686"/>
    <mergeCell ref="B687:C687"/>
    <mergeCell ref="A690:C690"/>
    <mergeCell ref="A691:C691"/>
    <mergeCell ref="A692:C692"/>
    <mergeCell ref="A693:C693"/>
    <mergeCell ref="A697:C697"/>
    <mergeCell ref="B674:C674"/>
    <mergeCell ref="B675:C675"/>
    <mergeCell ref="A678:C678"/>
    <mergeCell ref="A680:B680"/>
    <mergeCell ref="B682:C682"/>
    <mergeCell ref="B683:C683"/>
    <mergeCell ref="B684:C684"/>
    <mergeCell ref="A573:C573"/>
    <mergeCell ref="A574:C574"/>
    <mergeCell ref="A575:C575"/>
    <mergeCell ref="A576:C576"/>
    <mergeCell ref="A577:C577"/>
    <mergeCell ref="A578:C578"/>
    <mergeCell ref="A579:C579"/>
    <mergeCell ref="A580:C580"/>
    <mergeCell ref="A581:C581"/>
    <mergeCell ref="A582:C582"/>
    <mergeCell ref="A583:C583"/>
    <mergeCell ref="A584:C584"/>
    <mergeCell ref="A585:C585"/>
    <mergeCell ref="A588:C588"/>
    <mergeCell ref="B657:C657"/>
    <mergeCell ref="B658:C658"/>
    <mergeCell ref="B659:C659"/>
    <mergeCell ref="B660:C660"/>
    <mergeCell ref="A636:C636"/>
    <mergeCell ref="A640:C640"/>
    <mergeCell ref="A644:C644"/>
    <mergeCell ref="C648:C649"/>
    <mergeCell ref="A653:C653"/>
    <mergeCell ref="B656:C656"/>
    <mergeCell ref="D657:D662"/>
    <mergeCell ref="B672:C672"/>
    <mergeCell ref="B673:C673"/>
    <mergeCell ref="B661:C661"/>
    <mergeCell ref="B662:C662"/>
    <mergeCell ref="A666:C666"/>
    <mergeCell ref="B669:C669"/>
    <mergeCell ref="B670:C670"/>
    <mergeCell ref="D670:D675"/>
    <mergeCell ref="B671:C671"/>
    <mergeCell ref="C35:E35"/>
    <mergeCell ref="C36:E36"/>
    <mergeCell ref="A1:H4"/>
    <mergeCell ref="A6:M7"/>
    <mergeCell ref="A9:C9"/>
    <mergeCell ref="A30:C30"/>
    <mergeCell ref="A32:B32"/>
    <mergeCell ref="A35:B35"/>
    <mergeCell ref="A36:B38"/>
    <mergeCell ref="C42:G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G53"/>
    <mergeCell ref="C37:E37"/>
    <mergeCell ref="C38:G38"/>
    <mergeCell ref="A39:B42"/>
    <mergeCell ref="C39:E39"/>
    <mergeCell ref="C40:E40"/>
    <mergeCell ref="C41:E41"/>
    <mergeCell ref="A43:B53"/>
    <mergeCell ref="C60:E60"/>
    <mergeCell ref="C61:E61"/>
    <mergeCell ref="C62:E62"/>
    <mergeCell ref="C63:E63"/>
    <mergeCell ref="C64:G64"/>
    <mergeCell ref="C66:E66"/>
    <mergeCell ref="C67:E67"/>
    <mergeCell ref="C68:E68"/>
    <mergeCell ref="C69:E69"/>
    <mergeCell ref="C70:E70"/>
    <mergeCell ref="C71:E71"/>
    <mergeCell ref="C75:G75"/>
    <mergeCell ref="C79:G79"/>
    <mergeCell ref="A80:G80"/>
    <mergeCell ref="A155:C155"/>
    <mergeCell ref="A156:C156"/>
    <mergeCell ref="A157:C157"/>
    <mergeCell ref="A161:C161"/>
    <mergeCell ref="A164:C164"/>
    <mergeCell ref="A165:C165"/>
    <mergeCell ref="A166:C166"/>
    <mergeCell ref="A167:C167"/>
    <mergeCell ref="A168:C168"/>
    <mergeCell ref="A169:C169"/>
    <mergeCell ref="A170:C170"/>
    <mergeCell ref="A174:C174"/>
    <mergeCell ref="A177:B177"/>
    <mergeCell ref="A178:B178"/>
    <mergeCell ref="C59:E59"/>
    <mergeCell ref="C65:E65"/>
    <mergeCell ref="C72:E72"/>
    <mergeCell ref="C73:E73"/>
    <mergeCell ref="C76:E76"/>
    <mergeCell ref="C77:E77"/>
    <mergeCell ref="C78:E78"/>
    <mergeCell ref="A54:B64"/>
    <mergeCell ref="C54:E54"/>
    <mergeCell ref="C55:E55"/>
    <mergeCell ref="C56:E56"/>
    <mergeCell ref="C57:E57"/>
    <mergeCell ref="C58:E58"/>
    <mergeCell ref="C74:E74"/>
    <mergeCell ref="A65:B75"/>
    <mergeCell ref="A76:B79"/>
    <mergeCell ref="A84:B84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101:B101"/>
    <mergeCell ref="A104:C104"/>
    <mergeCell ref="A105:C105"/>
    <mergeCell ref="A106:C106"/>
    <mergeCell ref="A150:C150"/>
    <mergeCell ref="A152:B152"/>
    <mergeCell ref="A154:C154"/>
    <mergeCell ref="A182:B182"/>
    <mergeCell ref="A183:D183"/>
    <mergeCell ref="A187:C187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1:F201"/>
    <mergeCell ref="A200:C200"/>
    <mergeCell ref="A205:C205"/>
    <mergeCell ref="A208:D208"/>
    <mergeCell ref="A209:C209"/>
    <mergeCell ref="A210:C210"/>
    <mergeCell ref="A211:D211"/>
    <mergeCell ref="A212:D212"/>
    <mergeCell ref="A222:C222"/>
    <mergeCell ref="B223:C223"/>
    <mergeCell ref="B224:C224"/>
    <mergeCell ref="B225:C225"/>
    <mergeCell ref="B228:G228"/>
    <mergeCell ref="B229:D229"/>
    <mergeCell ref="B230:D230"/>
    <mergeCell ref="B231:D231"/>
    <mergeCell ref="B232:D232"/>
    <mergeCell ref="B233:D233"/>
    <mergeCell ref="B234:G234"/>
    <mergeCell ref="A213:D213"/>
    <mergeCell ref="A214:D214"/>
    <mergeCell ref="A215:D215"/>
    <mergeCell ref="A219:C219"/>
    <mergeCell ref="F221:G221"/>
    <mergeCell ref="H221:I221"/>
    <mergeCell ref="A223:A228"/>
    <mergeCell ref="B226:C226"/>
    <mergeCell ref="B227:C227"/>
    <mergeCell ref="A229:A234"/>
    <mergeCell ref="A238:C238"/>
    <mergeCell ref="A241:C241"/>
    <mergeCell ref="A242:C242"/>
    <mergeCell ref="A243:C243"/>
    <mergeCell ref="A244:C244"/>
    <mergeCell ref="A245:C245"/>
    <mergeCell ref="A249:C249"/>
    <mergeCell ref="A252:C252"/>
    <mergeCell ref="A253:B253"/>
    <mergeCell ref="A254:B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9:C269"/>
    <mergeCell ref="A272:B272"/>
    <mergeCell ref="A273:B273"/>
    <mergeCell ref="A274:B274"/>
    <mergeCell ref="A275:B275"/>
    <mergeCell ref="A276:B276"/>
    <mergeCell ref="A277:B277"/>
    <mergeCell ref="A278:B278"/>
    <mergeCell ref="A282:C282"/>
    <mergeCell ref="E282:F282"/>
    <mergeCell ref="A285:C285"/>
    <mergeCell ref="A286:C286"/>
    <mergeCell ref="A287:C287"/>
    <mergeCell ref="A288:C288"/>
    <mergeCell ref="A289:C289"/>
    <mergeCell ref="A290:C290"/>
    <mergeCell ref="A291:C291"/>
    <mergeCell ref="A295:C295"/>
    <mergeCell ref="A298:C298"/>
    <mergeCell ref="A299:C299"/>
    <mergeCell ref="A300:A305"/>
    <mergeCell ref="D300:D305"/>
    <mergeCell ref="A306:C306"/>
    <mergeCell ref="A307:C307"/>
    <mergeCell ref="A311:C311"/>
    <mergeCell ref="A314:C314"/>
    <mergeCell ref="A315:C315"/>
    <mergeCell ref="A316:C316"/>
    <mergeCell ref="A317:C317"/>
    <mergeCell ref="A321:C321"/>
    <mergeCell ref="A324:C324"/>
    <mergeCell ref="A325:C325"/>
    <mergeCell ref="A326:C326"/>
    <mergeCell ref="A327:C327"/>
    <mergeCell ref="A353:C353"/>
    <mergeCell ref="A356:C356"/>
    <mergeCell ref="D356:E356"/>
    <mergeCell ref="A357:C357"/>
    <mergeCell ref="D357:E357"/>
    <mergeCell ref="A358:C358"/>
    <mergeCell ref="D358:E358"/>
    <mergeCell ref="A359:C359"/>
    <mergeCell ref="D359:E359"/>
    <mergeCell ref="A360:C360"/>
    <mergeCell ref="D360:E360"/>
    <mergeCell ref="A376:E376"/>
    <mergeCell ref="A363:B363"/>
    <mergeCell ref="A478:C478"/>
    <mergeCell ref="A481:C481"/>
    <mergeCell ref="A482:C482"/>
    <mergeCell ref="A485:C485"/>
    <mergeCell ref="A488:C488"/>
    <mergeCell ref="A489:C489"/>
    <mergeCell ref="A490:C490"/>
    <mergeCell ref="A494:C494"/>
    <mergeCell ref="A498:B498"/>
    <mergeCell ref="A499:B499"/>
    <mergeCell ref="A502:C502"/>
    <mergeCell ref="A506:C506"/>
    <mergeCell ref="A507:C507"/>
    <mergeCell ref="A508:C508"/>
    <mergeCell ref="A509:C509"/>
    <mergeCell ref="A510:C510"/>
    <mergeCell ref="A511:C511"/>
    <mergeCell ref="A512:C512"/>
    <mergeCell ref="A513:C513"/>
    <mergeCell ref="A514:C514"/>
    <mergeCell ref="A515:C515"/>
    <mergeCell ref="A516:C516"/>
    <mergeCell ref="A517:C517"/>
    <mergeCell ref="A518:C518"/>
    <mergeCell ref="A519:B519"/>
    <mergeCell ref="A520:C520"/>
    <mergeCell ref="A521:B521"/>
    <mergeCell ref="A522:C522"/>
    <mergeCell ref="A525:C525"/>
    <mergeCell ref="A528:C528"/>
    <mergeCell ref="A529:C529"/>
    <mergeCell ref="A530:C530"/>
    <mergeCell ref="A531:C531"/>
    <mergeCell ref="A532:C532"/>
  </mergeCells>
  <dataValidations>
    <dataValidation type="decimal" operator="equal" allowBlank="1" showInputMessage="1" prompt="DEBE SER 0" sqref="D590:I590">
      <formula1>0.0</formula1>
    </dataValidation>
  </dataValidations>
  <hyperlinks>
    <hyperlink display="Inversiones" location="'Estudio Financiero'!A30" ref="B11"/>
    <hyperlink display="Costos y gastos" location="'Estudio Financiero'!A150" ref="D11"/>
    <hyperlink display="Crédito" location="'Estudio Financiero'!A353" ref="F11"/>
    <hyperlink display="INVERSIÓN FIJA" location="'Estudio Financiero'!A32" ref="B13"/>
    <hyperlink display="TALENTO HUMANO" location="'Estudio Financiero'!A152" ref="D13"/>
    <hyperlink display="Proyecciones" location="'Estudio Financiero'!A478" ref="F13"/>
    <hyperlink display="INVERSIÓN DIFERIDA" location="'Estudio Financiero'!A84" ref="B14"/>
    <hyperlink display="SERVICIOS PUBLICOS Y ARRENDAMIENTO" location="'Estudio Financiero'!A161" ref="D14"/>
    <hyperlink display="INVERSIÓN INICIAL" location="'Estudio Financiero'!A101" ref="B15"/>
    <hyperlink display="DEPRECIACIÓN" location="'Estudio Financiero'!A174" ref="D15"/>
    <hyperlink display="PROYECCIÓN DE UNIDADES A VENDER" location="'Estudio Financiero'!A494" ref="F15"/>
    <hyperlink display="MATERIA PRIMA Y/O INSUMOS" location="'Estudio Financiero'!A187" ref="D16"/>
    <hyperlink display="ESTADO DE RESULTADOS PROYECTADOS" location="'Estudio Financiero'!A502" ref="F16"/>
    <hyperlink display="COSTOS INDIRECTOS DE FABRICACIÓN" location="'Estudio Financiero'!A205" ref="D17"/>
    <hyperlink display="FLUJO DE CAJA PROYECTADO" location="'Estudio Financiero'!A525" ref="F17"/>
    <hyperlink display="PRORRATEO DE COSTOS Y GASTOS" location="'Estudio Financiero'!A219" ref="D18"/>
    <hyperlink display="BALANCE GENERAL PROYECTADO" location="'Estudio Financiero'!A559" ref="F18"/>
    <hyperlink display="COSTO DEL PRODUCTO O SERVICIO" location="'Estudio Financiero'!A238" ref="D19"/>
    <hyperlink display="VERIFICACIÓN DE SALDOS" location="'Estudio Financiero'!A588" ref="F19"/>
    <hyperlink display="GASTOS DE ADMINISTRACIÓN Y VENTAS" location="'Estudio Financiero'!A249" ref="D20"/>
    <hyperlink display="RAZONES FINANCIERAS" location="'Estudio Financiero'!A595" ref="F20"/>
    <hyperlink display="GASTOS FINANCIEROS" location="'Estudio Financiero'!A269" ref="D21"/>
    <hyperlink display="CAPITAL DE TRABAJO" location="'Estudio Financiero'!A282" ref="D22"/>
    <hyperlink display="Evaluación" location="'Estudio Financiero'!A636" ref="F22"/>
    <hyperlink display="COSTOS FIJOS" location="'Estudio Financiero'!A295" ref="D23"/>
    <hyperlink display="COSTOS VARIBLES" location="'Estudio Financiero'!A311" ref="D24"/>
    <hyperlink display="TASA DE OPORTUNIDAD" location="'Estudio Financiero'!A644" ref="F24"/>
    <hyperlink display="COSTOS TOTALES UNITARIOS" location="'Estudio Financiero'!A321" ref="D25"/>
    <hyperlink display="VALOR PRESENTE NETO" location="'Estudio Financiero'!A653" ref="F25"/>
    <hyperlink display="TASA INTERNA DE RETORNO" location="'Estudio Financiero'!A666" ref="F26"/>
    <hyperlink display="IR ESTUDIO FINANCIERO" location="'Estudio Financiero'!A1" ref="H32"/>
    <hyperlink display="IR ESTUDIO FINANCIERO" location="'Estudio Financiero'!A1" ref="H84"/>
    <hyperlink display="IR ESTUDIO FINANCIERO" location="'Estudio Financiero'!A1" ref="H101"/>
    <hyperlink display="IR ESTUDIO FINANCIERO" location="'Estudio Financiero'!A1" ref="E152"/>
    <hyperlink display="IR ESTUDIO FINANCIERO" location="'Estudio Financiero'!A1" ref="E161"/>
    <hyperlink display="IR ESTUDIO FINANCIERO" location="'Estudio Financiero'!A1" ref="F174"/>
    <hyperlink display="IR ESTUDIO FINANCIERO" location="'Estudio Financiero'!A1" ref="I187"/>
    <hyperlink display="IR ESTUDIO FINANCIERO" location="'Estudio Financiero'!A1" ref="F205"/>
    <hyperlink display="IR ESTUDIO FINANCIERO" location="'Estudio Financiero'!A1" ref="I219"/>
    <hyperlink display="IR ESTUDIO FINANCIERO" location="'Estudio Financiero'!A1" ref="E238"/>
    <hyperlink display="IR ESTUDIO FINANCIERO" location="'Estudio Financiero'!A1" ref="E249"/>
    <hyperlink display="IR ESTUDIO FINANCIERO" location="'Estudio Financiero'!A1" ref="E269"/>
    <hyperlink display="IR ESTUDIO FINANCIERO" location="'Estudio Financiero'!A1" ref="E295"/>
    <hyperlink display="IR ESTUDIO FINANCIERO" location="'Estudio Financiero'!A1" ref="D311"/>
    <hyperlink display="IR ESTUDIO FINANCIERO" location="'Estudio Financiero'!A1" ref="D321"/>
    <hyperlink display="IR ESTUDIO FINANCIERO" location="'Estudio Financiero'!A1" ref="E353"/>
    <hyperlink display="IR ESTUDIO FINANCIERO" location="'Estudio Financiero'!A1" ref="D494"/>
    <hyperlink display="IR ESTUDIO FINANCIERO" location="'Estudio Financiero'!A1" ref="H502"/>
    <hyperlink display="IR ESTUDIO FINANCIERO" location="'Estudio Financiero'!A1" ref="I525"/>
    <hyperlink display="IR ESTUDIO FINANCIERO" location="'Estudio Financiero'!A1" ref="I559"/>
    <hyperlink display="IR ESTUDIO FINANCIERO" location="'Estudio Financiero'!A1" ref="I588"/>
    <hyperlink display="IR ESTUDIO FINANCIERO" location="'Estudio Financiero'!A1" ref="H595"/>
    <hyperlink display="IR ESTUDIO FINANCIERO" location="'Estudio Financiero'!A1" ref="D644"/>
    <hyperlink display="IR ESTUDIO FINANCIERO" location="'Estudio Financiero'!A1" ref="D653"/>
    <hyperlink display="IR ESTUDIO FINANCIERO" location="'Estudio Financiero'!A1" ref="D666"/>
  </hyperlink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7.0"/>
    <col customWidth="1" min="2" max="2" width="19.0"/>
    <col customWidth="1" min="3" max="3" width="25.14"/>
    <col customWidth="1" min="4" max="4" width="26.57"/>
    <col customWidth="1" min="5" max="5" width="31.29"/>
    <col customWidth="1" min="6" max="6" width="27.86"/>
    <col customWidth="1" min="7" max="7" width="29.43"/>
    <col customWidth="1" min="8" max="8" width="31.29"/>
    <col customWidth="1" min="9" max="9" width="30.43"/>
    <col customWidth="1" min="10" max="10" width="26.0"/>
    <col customWidth="1" min="11" max="11" width="28.57"/>
    <col customWidth="1" min="12" max="12" width="17.29"/>
    <col customWidth="1" min="13" max="13" width="16.86"/>
    <col customWidth="1" min="14" max="14" width="19.14"/>
    <col customWidth="1" min="15" max="26" width="10.71"/>
  </cols>
  <sheetData>
    <row r="1" ht="15.0" customHeight="1">
      <c r="A1" s="1" t="s">
        <v>88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15.0" customHeight="1"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5.0" customHeight="1"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5.0" customHeight="1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15.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15.0" customHeight="1">
      <c r="A6" s="5" t="s">
        <v>89</v>
      </c>
      <c r="N6" s="6"/>
      <c r="O6" s="6"/>
      <c r="P6" s="6"/>
      <c r="Q6" s="6"/>
      <c r="R6" s="6"/>
      <c r="S6" s="6"/>
      <c r="T6" s="6"/>
      <c r="U6" s="6"/>
      <c r="V6" s="6"/>
    </row>
    <row r="7" ht="15.0" customHeight="1">
      <c r="N7" s="6"/>
      <c r="O7" s="6"/>
      <c r="P7" s="6"/>
      <c r="Q7" s="6"/>
      <c r="R7" s="6"/>
      <c r="S7" s="6"/>
      <c r="T7" s="6"/>
      <c r="U7" s="6"/>
      <c r="V7" s="6"/>
    </row>
    <row r="8" ht="14.25" customHeight="1"/>
    <row r="9" ht="14.25" customHeight="1">
      <c r="A9" s="5" t="s">
        <v>58</v>
      </c>
      <c r="D9" s="74"/>
    </row>
    <row r="10" ht="14.25" customHeight="1">
      <c r="A10" s="5"/>
      <c r="B10" s="5"/>
      <c r="C10" s="5"/>
      <c r="D10" s="121"/>
    </row>
    <row r="11" ht="14.25" customHeight="1">
      <c r="A11" s="18" t="s">
        <v>13</v>
      </c>
      <c r="B11" s="122" t="s">
        <v>90</v>
      </c>
      <c r="C11" s="18" t="s">
        <v>18</v>
      </c>
      <c r="D11" s="122" t="s">
        <v>91</v>
      </c>
      <c r="E11" s="18" t="s">
        <v>61</v>
      </c>
      <c r="F11" s="122" t="s">
        <v>92</v>
      </c>
    </row>
    <row r="12" ht="14.25" customHeight="1">
      <c r="A12" s="18"/>
      <c r="B12" s="123"/>
      <c r="C12" s="18"/>
      <c r="D12" s="123"/>
      <c r="E12" s="18"/>
      <c r="F12" s="123"/>
    </row>
    <row r="13" ht="14.25" customHeight="1">
      <c r="B13" s="122" t="s">
        <v>93</v>
      </c>
      <c r="D13" s="122" t="s">
        <v>94</v>
      </c>
      <c r="E13" s="18" t="s">
        <v>95</v>
      </c>
      <c r="F13" s="122" t="s">
        <v>96</v>
      </c>
    </row>
    <row r="14" ht="15.0" customHeight="1">
      <c r="B14" s="122" t="s">
        <v>97</v>
      </c>
      <c r="D14" s="122" t="s">
        <v>98</v>
      </c>
      <c r="E14" s="18"/>
      <c r="F14" s="123"/>
    </row>
    <row r="15" ht="15.0" customHeight="1">
      <c r="B15" s="122" t="s">
        <v>99</v>
      </c>
      <c r="D15" s="122" t="s">
        <v>100</v>
      </c>
      <c r="F15" s="122" t="s">
        <v>101</v>
      </c>
    </row>
    <row r="16" ht="14.25" customHeight="1">
      <c r="B16" s="123"/>
      <c r="D16" s="122" t="s">
        <v>102</v>
      </c>
      <c r="F16" s="122" t="s">
        <v>103</v>
      </c>
    </row>
    <row r="17" ht="14.25" customHeight="1">
      <c r="B17" s="124"/>
      <c r="D17" s="122" t="s">
        <v>104</v>
      </c>
      <c r="F17" s="122" t="s">
        <v>105</v>
      </c>
    </row>
    <row r="18" ht="14.25" customHeight="1">
      <c r="B18" s="124"/>
      <c r="D18" s="122" t="s">
        <v>106</v>
      </c>
      <c r="F18" s="122" t="s">
        <v>107</v>
      </c>
    </row>
    <row r="19" ht="14.25" customHeight="1">
      <c r="B19" s="124"/>
      <c r="D19" s="122" t="s">
        <v>108</v>
      </c>
      <c r="F19" s="122" t="s">
        <v>109</v>
      </c>
    </row>
    <row r="20" ht="14.25" customHeight="1">
      <c r="B20" s="124"/>
      <c r="D20" s="122" t="s">
        <v>110</v>
      </c>
      <c r="F20" s="122" t="s">
        <v>111</v>
      </c>
    </row>
    <row r="21" ht="14.25" customHeight="1">
      <c r="B21" s="124"/>
      <c r="D21" s="122" t="s">
        <v>112</v>
      </c>
      <c r="F21" s="123"/>
    </row>
    <row r="22" ht="18.75" customHeight="1">
      <c r="D22" s="122" t="s">
        <v>113</v>
      </c>
      <c r="E22" s="18" t="s">
        <v>114</v>
      </c>
      <c r="F22" s="122" t="s">
        <v>115</v>
      </c>
    </row>
    <row r="23" ht="14.25" customHeight="1">
      <c r="D23" s="122" t="s">
        <v>116</v>
      </c>
      <c r="E23" s="18"/>
      <c r="F23" s="123"/>
    </row>
    <row r="24" ht="14.25" customHeight="1">
      <c r="D24" s="122" t="s">
        <v>117</v>
      </c>
      <c r="F24" s="122" t="s">
        <v>118</v>
      </c>
    </row>
    <row r="25" ht="18.75" customHeight="1">
      <c r="D25" s="122" t="s">
        <v>119</v>
      </c>
      <c r="F25" s="122" t="s">
        <v>120</v>
      </c>
    </row>
    <row r="26" ht="14.25" customHeight="1">
      <c r="D26" s="123"/>
      <c r="F26" s="122" t="s">
        <v>121</v>
      </c>
    </row>
    <row r="27" ht="14.25" customHeight="1">
      <c r="D27" s="124"/>
      <c r="F27" s="123"/>
    </row>
    <row r="28" ht="14.25" customHeight="1">
      <c r="F28" s="124"/>
    </row>
    <row r="29" ht="14.25" customHeight="1">
      <c r="F29" s="124"/>
    </row>
    <row r="30" ht="14.25" customHeight="1">
      <c r="A30" s="79" t="s">
        <v>122</v>
      </c>
    </row>
    <row r="31" ht="14.25" customHeight="1">
      <c r="A31" s="79"/>
      <c r="B31" s="79"/>
      <c r="C31" s="79"/>
    </row>
    <row r="32" ht="14.25" customHeight="1">
      <c r="A32" s="125" t="s">
        <v>93</v>
      </c>
      <c r="H32" s="126" t="s">
        <v>123</v>
      </c>
    </row>
    <row r="33" ht="14.25" customHeight="1">
      <c r="A33" s="125"/>
      <c r="B33" s="125"/>
    </row>
    <row r="34" ht="14.25" customHeight="1"/>
    <row r="35" ht="14.25" customHeight="1">
      <c r="A35" s="127" t="s">
        <v>124</v>
      </c>
      <c r="B35" s="41"/>
      <c r="C35" s="127" t="s">
        <v>125</v>
      </c>
      <c r="D35" s="40"/>
      <c r="E35" s="41"/>
      <c r="F35" s="128" t="s">
        <v>69</v>
      </c>
      <c r="G35" s="128" t="s">
        <v>126</v>
      </c>
      <c r="H35" s="128" t="s">
        <v>127</v>
      </c>
    </row>
    <row r="36" ht="15.75" customHeight="1">
      <c r="A36" s="92" t="s">
        <v>128</v>
      </c>
      <c r="B36" s="26"/>
      <c r="C36" s="117"/>
      <c r="D36" s="40"/>
      <c r="E36" s="41"/>
      <c r="F36" s="101"/>
      <c r="G36" s="129"/>
      <c r="H36" s="130">
        <f t="shared" ref="H36:H37" si="1">G36*F36</f>
        <v>0</v>
      </c>
    </row>
    <row r="37" ht="15.75" customHeight="1">
      <c r="A37" s="27"/>
      <c r="B37" s="28"/>
      <c r="C37" s="117"/>
      <c r="D37" s="40"/>
      <c r="E37" s="41"/>
      <c r="F37" s="101"/>
      <c r="G37" s="129"/>
      <c r="H37" s="130">
        <f t="shared" si="1"/>
        <v>0</v>
      </c>
    </row>
    <row r="38" ht="14.25" customHeight="1">
      <c r="A38" s="29"/>
      <c r="B38" s="31"/>
      <c r="C38" s="108" t="s">
        <v>129</v>
      </c>
      <c r="D38" s="40"/>
      <c r="E38" s="40"/>
      <c r="F38" s="40"/>
      <c r="G38" s="41"/>
      <c r="H38" s="131">
        <f>SUM(H36:H37)</f>
        <v>0</v>
      </c>
    </row>
    <row r="39" ht="14.25" customHeight="1">
      <c r="A39" s="110" t="s">
        <v>130</v>
      </c>
      <c r="B39" s="26"/>
      <c r="C39" s="117" t="s">
        <v>131</v>
      </c>
      <c r="D39" s="40"/>
      <c r="E39" s="41"/>
      <c r="F39" s="101">
        <v>1.0</v>
      </c>
      <c r="G39" s="129">
        <v>5.0E7</v>
      </c>
      <c r="H39" s="130">
        <f t="shared" ref="H39:H41" si="2">G39*F39</f>
        <v>50000000</v>
      </c>
    </row>
    <row r="40" ht="14.25" customHeight="1">
      <c r="A40" s="27"/>
      <c r="B40" s="28"/>
      <c r="C40" s="117" t="s">
        <v>132</v>
      </c>
      <c r="D40" s="40"/>
      <c r="E40" s="41"/>
      <c r="F40" s="101">
        <v>2.0</v>
      </c>
      <c r="G40" s="129">
        <v>4.5E7</v>
      </c>
      <c r="H40" s="130">
        <f t="shared" si="2"/>
        <v>90000000</v>
      </c>
    </row>
    <row r="41" ht="14.25" customHeight="1">
      <c r="A41" s="27"/>
      <c r="B41" s="28"/>
      <c r="C41" s="117" t="s">
        <v>133</v>
      </c>
      <c r="D41" s="40"/>
      <c r="E41" s="41"/>
      <c r="F41" s="101">
        <v>2.0</v>
      </c>
      <c r="G41" s="129">
        <v>3.0E7</v>
      </c>
      <c r="H41" s="130">
        <f t="shared" si="2"/>
        <v>60000000</v>
      </c>
    </row>
    <row r="42" ht="14.25" customHeight="1">
      <c r="A42" s="29"/>
      <c r="B42" s="31"/>
      <c r="C42" s="108" t="s">
        <v>129</v>
      </c>
      <c r="D42" s="40"/>
      <c r="E42" s="40"/>
      <c r="F42" s="40"/>
      <c r="G42" s="41"/>
      <c r="H42" s="131">
        <f>SUM(H39:H41)</f>
        <v>200000000</v>
      </c>
    </row>
    <row r="43" ht="14.25" customHeight="1">
      <c r="A43" s="92" t="s">
        <v>134</v>
      </c>
      <c r="B43" s="26"/>
      <c r="C43" s="117" t="s">
        <v>135</v>
      </c>
      <c r="D43" s="40"/>
      <c r="E43" s="41"/>
      <c r="F43" s="101">
        <v>25.0</v>
      </c>
      <c r="G43" s="132">
        <v>194000.0</v>
      </c>
      <c r="H43" s="130">
        <f t="shared" ref="H43:H52" si="3">G43*F43</f>
        <v>4850000</v>
      </c>
    </row>
    <row r="44" ht="14.25" customHeight="1">
      <c r="A44" s="27"/>
      <c r="B44" s="28"/>
      <c r="C44" s="117"/>
      <c r="D44" s="40"/>
      <c r="E44" s="41"/>
      <c r="F44" s="101"/>
      <c r="G44" s="129"/>
      <c r="H44" s="130">
        <f t="shared" si="3"/>
        <v>0</v>
      </c>
    </row>
    <row r="45" ht="14.25" customHeight="1">
      <c r="A45" s="27"/>
      <c r="B45" s="28"/>
      <c r="C45" s="117"/>
      <c r="D45" s="40"/>
      <c r="E45" s="41"/>
      <c r="F45" s="101"/>
      <c r="G45" s="129"/>
      <c r="H45" s="130">
        <f t="shared" si="3"/>
        <v>0</v>
      </c>
    </row>
    <row r="46" ht="14.25" customHeight="1">
      <c r="A46" s="27"/>
      <c r="B46" s="28"/>
      <c r="C46" s="117"/>
      <c r="D46" s="40"/>
      <c r="E46" s="41"/>
      <c r="F46" s="101"/>
      <c r="G46" s="129"/>
      <c r="H46" s="130">
        <f t="shared" si="3"/>
        <v>0</v>
      </c>
    </row>
    <row r="47" ht="14.25" customHeight="1">
      <c r="A47" s="27"/>
      <c r="B47" s="28"/>
      <c r="C47" s="117"/>
      <c r="D47" s="40"/>
      <c r="E47" s="41"/>
      <c r="F47" s="101"/>
      <c r="G47" s="129"/>
      <c r="H47" s="130">
        <f t="shared" si="3"/>
        <v>0</v>
      </c>
    </row>
    <row r="48" ht="14.25" customHeight="1">
      <c r="A48" s="27"/>
      <c r="B48" s="28"/>
      <c r="C48" s="117"/>
      <c r="D48" s="40"/>
      <c r="E48" s="41"/>
      <c r="F48" s="101"/>
      <c r="G48" s="129"/>
      <c r="H48" s="130">
        <f t="shared" si="3"/>
        <v>0</v>
      </c>
    </row>
    <row r="49" ht="14.25" customHeight="1">
      <c r="A49" s="27"/>
      <c r="B49" s="28"/>
      <c r="C49" s="117"/>
      <c r="D49" s="40"/>
      <c r="E49" s="41"/>
      <c r="F49" s="101"/>
      <c r="G49" s="129"/>
      <c r="H49" s="130">
        <f t="shared" si="3"/>
        <v>0</v>
      </c>
    </row>
    <row r="50" ht="14.25" customHeight="1">
      <c r="A50" s="27"/>
      <c r="B50" s="28"/>
      <c r="C50" s="117"/>
      <c r="D50" s="40"/>
      <c r="E50" s="41"/>
      <c r="F50" s="101"/>
      <c r="G50" s="129"/>
      <c r="H50" s="130">
        <f t="shared" si="3"/>
        <v>0</v>
      </c>
    </row>
    <row r="51" ht="14.25" customHeight="1">
      <c r="A51" s="27"/>
      <c r="B51" s="28"/>
      <c r="C51" s="117"/>
      <c r="D51" s="40"/>
      <c r="E51" s="41"/>
      <c r="F51" s="101"/>
      <c r="G51" s="129"/>
      <c r="H51" s="130">
        <f t="shared" si="3"/>
        <v>0</v>
      </c>
    </row>
    <row r="52" ht="14.25" customHeight="1">
      <c r="A52" s="27"/>
      <c r="B52" s="28"/>
      <c r="C52" s="117"/>
      <c r="D52" s="40"/>
      <c r="E52" s="41"/>
      <c r="F52" s="101"/>
      <c r="G52" s="129"/>
      <c r="H52" s="130">
        <f t="shared" si="3"/>
        <v>0</v>
      </c>
    </row>
    <row r="53" ht="14.25" customHeight="1">
      <c r="A53" s="29"/>
      <c r="B53" s="31"/>
      <c r="C53" s="108" t="s">
        <v>129</v>
      </c>
      <c r="D53" s="40"/>
      <c r="E53" s="40"/>
      <c r="F53" s="40"/>
      <c r="G53" s="41"/>
      <c r="H53" s="133">
        <f>SUM(H43:H52)</f>
        <v>4850000</v>
      </c>
    </row>
    <row r="54" ht="14.25" customHeight="1">
      <c r="A54" s="92" t="s">
        <v>136</v>
      </c>
      <c r="B54" s="26"/>
      <c r="C54" s="117" t="s">
        <v>137</v>
      </c>
      <c r="D54" s="40"/>
      <c r="E54" s="41"/>
      <c r="F54" s="101">
        <v>2.0</v>
      </c>
      <c r="G54" s="132">
        <v>2800000.0</v>
      </c>
      <c r="H54" s="130">
        <f t="shared" ref="H54:H63" si="4">G54*F54</f>
        <v>5600000</v>
      </c>
    </row>
    <row r="55" ht="14.25" customHeight="1">
      <c r="A55" s="27"/>
      <c r="B55" s="28"/>
      <c r="C55" s="117" t="s">
        <v>138</v>
      </c>
      <c r="D55" s="40"/>
      <c r="E55" s="41"/>
      <c r="F55" s="101">
        <v>1.0</v>
      </c>
      <c r="G55" s="132">
        <v>5000000.0</v>
      </c>
      <c r="H55" s="130">
        <f t="shared" si="4"/>
        <v>5000000</v>
      </c>
      <c r="I55" s="134"/>
    </row>
    <row r="56" ht="14.25" customHeight="1">
      <c r="A56" s="27"/>
      <c r="B56" s="28"/>
      <c r="C56" s="117" t="s">
        <v>139</v>
      </c>
      <c r="D56" s="40"/>
      <c r="E56" s="41"/>
      <c r="F56" s="101">
        <v>2.0</v>
      </c>
      <c r="G56" s="132">
        <v>4200000.0</v>
      </c>
      <c r="H56" s="130">
        <f t="shared" si="4"/>
        <v>8400000</v>
      </c>
    </row>
    <row r="57" ht="14.25" customHeight="1">
      <c r="A57" s="27"/>
      <c r="B57" s="28"/>
      <c r="C57" s="117"/>
      <c r="D57" s="40"/>
      <c r="E57" s="41"/>
      <c r="F57" s="101"/>
      <c r="G57" s="129"/>
      <c r="H57" s="130">
        <f t="shared" si="4"/>
        <v>0</v>
      </c>
    </row>
    <row r="58" ht="14.25" customHeight="1">
      <c r="A58" s="27"/>
      <c r="B58" s="28"/>
      <c r="C58" s="117"/>
      <c r="D58" s="40"/>
      <c r="E58" s="41"/>
      <c r="F58" s="101"/>
      <c r="G58" s="129"/>
      <c r="H58" s="130">
        <f t="shared" si="4"/>
        <v>0</v>
      </c>
    </row>
    <row r="59" ht="14.25" customHeight="1">
      <c r="A59" s="27"/>
      <c r="B59" s="28"/>
      <c r="C59" s="117"/>
      <c r="D59" s="40"/>
      <c r="E59" s="41"/>
      <c r="F59" s="101"/>
      <c r="G59" s="129"/>
      <c r="H59" s="130">
        <f t="shared" si="4"/>
        <v>0</v>
      </c>
    </row>
    <row r="60" ht="14.25" customHeight="1">
      <c r="A60" s="27"/>
      <c r="B60" s="28"/>
      <c r="C60" s="117"/>
      <c r="D60" s="40"/>
      <c r="E60" s="41"/>
      <c r="F60" s="101"/>
      <c r="G60" s="129"/>
      <c r="H60" s="130">
        <f t="shared" si="4"/>
        <v>0</v>
      </c>
    </row>
    <row r="61" ht="14.25" customHeight="1">
      <c r="A61" s="27"/>
      <c r="B61" s="28"/>
      <c r="C61" s="117"/>
      <c r="D61" s="40"/>
      <c r="E61" s="41"/>
      <c r="F61" s="101"/>
      <c r="G61" s="129"/>
      <c r="H61" s="130">
        <f t="shared" si="4"/>
        <v>0</v>
      </c>
    </row>
    <row r="62" ht="14.25" customHeight="1">
      <c r="A62" s="27"/>
      <c r="B62" s="28"/>
      <c r="C62" s="117"/>
      <c r="D62" s="40"/>
      <c r="E62" s="41"/>
      <c r="F62" s="101"/>
      <c r="G62" s="129"/>
      <c r="H62" s="130">
        <f t="shared" si="4"/>
        <v>0</v>
      </c>
    </row>
    <row r="63" ht="14.25" customHeight="1">
      <c r="A63" s="27"/>
      <c r="B63" s="28"/>
      <c r="C63" s="117"/>
      <c r="D63" s="40"/>
      <c r="E63" s="41"/>
      <c r="F63" s="101"/>
      <c r="G63" s="129"/>
      <c r="H63" s="130">
        <f t="shared" si="4"/>
        <v>0</v>
      </c>
    </row>
    <row r="64" ht="14.25" customHeight="1">
      <c r="A64" s="29"/>
      <c r="B64" s="31"/>
      <c r="C64" s="108" t="s">
        <v>129</v>
      </c>
      <c r="D64" s="40"/>
      <c r="E64" s="40"/>
      <c r="F64" s="40"/>
      <c r="G64" s="41"/>
      <c r="H64" s="133">
        <f>SUM(H54:H63)</f>
        <v>19000000</v>
      </c>
    </row>
    <row r="65" ht="15.0" customHeight="1">
      <c r="A65" s="92" t="s">
        <v>140</v>
      </c>
      <c r="B65" s="26"/>
      <c r="C65" s="117" t="s">
        <v>141</v>
      </c>
      <c r="D65" s="40"/>
      <c r="E65" s="41"/>
      <c r="F65" s="101">
        <v>1.0</v>
      </c>
      <c r="G65" s="132">
        <v>1500000.0</v>
      </c>
      <c r="H65" s="130">
        <f t="shared" ref="H65:H74" si="5">F65*G65</f>
        <v>1500000</v>
      </c>
    </row>
    <row r="66" ht="14.25" customHeight="1">
      <c r="A66" s="27"/>
      <c r="B66" s="28"/>
      <c r="C66" s="117" t="s">
        <v>142</v>
      </c>
      <c r="D66" s="40"/>
      <c r="E66" s="41"/>
      <c r="F66" s="101">
        <v>1.0</v>
      </c>
      <c r="G66" s="129">
        <v>400000.0</v>
      </c>
      <c r="H66" s="130">
        <f t="shared" si="5"/>
        <v>400000</v>
      </c>
    </row>
    <row r="67" ht="14.25" customHeight="1">
      <c r="A67" s="27"/>
      <c r="B67" s="28"/>
      <c r="C67" s="117"/>
      <c r="D67" s="40"/>
      <c r="E67" s="41"/>
      <c r="F67" s="101"/>
      <c r="G67" s="129"/>
      <c r="H67" s="130">
        <f t="shared" si="5"/>
        <v>0</v>
      </c>
    </row>
    <row r="68" ht="14.25" customHeight="1">
      <c r="A68" s="27"/>
      <c r="B68" s="28"/>
      <c r="C68" s="117"/>
      <c r="D68" s="40"/>
      <c r="E68" s="41"/>
      <c r="F68" s="101"/>
      <c r="G68" s="129"/>
      <c r="H68" s="130">
        <f t="shared" si="5"/>
        <v>0</v>
      </c>
    </row>
    <row r="69" ht="14.25" customHeight="1">
      <c r="A69" s="27"/>
      <c r="B69" s="28"/>
      <c r="C69" s="117"/>
      <c r="D69" s="40"/>
      <c r="E69" s="41"/>
      <c r="F69" s="101"/>
      <c r="G69" s="129"/>
      <c r="H69" s="130">
        <f t="shared" si="5"/>
        <v>0</v>
      </c>
    </row>
    <row r="70" ht="14.25" customHeight="1">
      <c r="A70" s="27"/>
      <c r="B70" s="28"/>
      <c r="C70" s="117"/>
      <c r="D70" s="40"/>
      <c r="E70" s="41"/>
      <c r="F70" s="101"/>
      <c r="G70" s="129"/>
      <c r="H70" s="130">
        <f t="shared" si="5"/>
        <v>0</v>
      </c>
    </row>
    <row r="71" ht="14.25" customHeight="1">
      <c r="A71" s="27"/>
      <c r="B71" s="28"/>
      <c r="C71" s="117"/>
      <c r="D71" s="40"/>
      <c r="E71" s="41"/>
      <c r="F71" s="101"/>
      <c r="G71" s="129"/>
      <c r="H71" s="130">
        <f t="shared" si="5"/>
        <v>0</v>
      </c>
    </row>
    <row r="72" ht="14.25" customHeight="1">
      <c r="A72" s="27"/>
      <c r="B72" s="28"/>
      <c r="C72" s="117"/>
      <c r="D72" s="40"/>
      <c r="E72" s="41"/>
      <c r="F72" s="101"/>
      <c r="G72" s="129"/>
      <c r="H72" s="130">
        <f t="shared" si="5"/>
        <v>0</v>
      </c>
    </row>
    <row r="73" ht="14.25" customHeight="1">
      <c r="A73" s="27"/>
      <c r="B73" s="28"/>
      <c r="C73" s="117"/>
      <c r="D73" s="40"/>
      <c r="E73" s="41"/>
      <c r="F73" s="101"/>
      <c r="G73" s="129"/>
      <c r="H73" s="130">
        <f t="shared" si="5"/>
        <v>0</v>
      </c>
    </row>
    <row r="74" ht="14.25" customHeight="1">
      <c r="A74" s="27"/>
      <c r="B74" s="28"/>
      <c r="C74" s="117"/>
      <c r="D74" s="40"/>
      <c r="E74" s="41"/>
      <c r="F74" s="101"/>
      <c r="G74" s="129"/>
      <c r="H74" s="130">
        <f t="shared" si="5"/>
        <v>0</v>
      </c>
    </row>
    <row r="75" ht="14.25" customHeight="1">
      <c r="A75" s="29"/>
      <c r="B75" s="31"/>
      <c r="C75" s="108" t="s">
        <v>129</v>
      </c>
      <c r="D75" s="40"/>
      <c r="E75" s="40"/>
      <c r="F75" s="40"/>
      <c r="G75" s="41"/>
      <c r="H75" s="133">
        <f>SUM(H65:H74)</f>
        <v>1900000</v>
      </c>
    </row>
    <row r="76" ht="14.25" customHeight="1">
      <c r="A76" s="92" t="s">
        <v>143</v>
      </c>
      <c r="B76" s="26"/>
      <c r="C76" s="117"/>
      <c r="D76" s="40"/>
      <c r="E76" s="41"/>
      <c r="F76" s="101"/>
      <c r="G76" s="129"/>
      <c r="H76" s="130">
        <f t="shared" ref="H76:H78" si="6">F76*G76</f>
        <v>0</v>
      </c>
    </row>
    <row r="77" ht="14.25" customHeight="1">
      <c r="A77" s="27"/>
      <c r="B77" s="28"/>
      <c r="C77" s="117"/>
      <c r="D77" s="40"/>
      <c r="E77" s="41"/>
      <c r="F77" s="101"/>
      <c r="G77" s="129"/>
      <c r="H77" s="130">
        <f t="shared" si="6"/>
        <v>0</v>
      </c>
    </row>
    <row r="78" ht="14.25" customHeight="1">
      <c r="A78" s="27"/>
      <c r="B78" s="28"/>
      <c r="C78" s="117"/>
      <c r="D78" s="40"/>
      <c r="E78" s="41"/>
      <c r="F78" s="101"/>
      <c r="G78" s="129"/>
      <c r="H78" s="130">
        <f t="shared" si="6"/>
        <v>0</v>
      </c>
    </row>
    <row r="79" ht="14.25" customHeight="1">
      <c r="A79" s="29"/>
      <c r="B79" s="31"/>
      <c r="C79" s="108" t="s">
        <v>129</v>
      </c>
      <c r="D79" s="40"/>
      <c r="E79" s="40"/>
      <c r="F79" s="40"/>
      <c r="G79" s="41"/>
      <c r="H79" s="133">
        <f>SUM(H76:H78)</f>
        <v>0</v>
      </c>
    </row>
    <row r="80" ht="14.25" customHeight="1">
      <c r="A80" s="108" t="s">
        <v>144</v>
      </c>
      <c r="B80" s="40"/>
      <c r="C80" s="40"/>
      <c r="D80" s="40"/>
      <c r="E80" s="40"/>
      <c r="F80" s="40"/>
      <c r="G80" s="41"/>
      <c r="H80" s="133">
        <f>H79+H75+H64+H53+H42+H38</f>
        <v>225750000</v>
      </c>
    </row>
    <row r="81" ht="14.25" customHeight="1"/>
    <row r="82" ht="14.25" customHeight="1"/>
    <row r="83" ht="14.25" customHeight="1"/>
    <row r="84" ht="14.25" customHeight="1">
      <c r="A84" s="125" t="s">
        <v>97</v>
      </c>
      <c r="H84" s="126" t="s">
        <v>123</v>
      </c>
    </row>
    <row r="85" ht="14.25" customHeight="1">
      <c r="A85" s="125"/>
      <c r="B85" s="125"/>
    </row>
    <row r="86" ht="14.25" customHeight="1"/>
    <row r="87" ht="14.25" customHeight="1">
      <c r="A87" s="127" t="s">
        <v>125</v>
      </c>
      <c r="B87" s="40"/>
      <c r="C87" s="41"/>
      <c r="D87" s="128" t="s">
        <v>127</v>
      </c>
    </row>
    <row r="88" ht="14.25" customHeight="1">
      <c r="A88" s="135" t="s">
        <v>145</v>
      </c>
      <c r="B88" s="40"/>
      <c r="C88" s="41"/>
      <c r="D88" s="136">
        <v>1000000.0</v>
      </c>
    </row>
    <row r="89" ht="14.25" customHeight="1">
      <c r="A89" s="135" t="s">
        <v>146</v>
      </c>
      <c r="B89" s="40"/>
      <c r="C89" s="41"/>
      <c r="D89" s="136">
        <v>500000.0</v>
      </c>
    </row>
    <row r="90" ht="14.25" customHeight="1">
      <c r="A90" s="135" t="s">
        <v>147</v>
      </c>
      <c r="B90" s="40"/>
      <c r="C90" s="41"/>
      <c r="D90" s="136">
        <v>50000.0</v>
      </c>
    </row>
    <row r="91" ht="14.25" customHeight="1">
      <c r="A91" s="135" t="s">
        <v>148</v>
      </c>
      <c r="B91" s="40"/>
      <c r="C91" s="41"/>
      <c r="D91" s="136"/>
    </row>
    <row r="92" ht="14.25" customHeight="1">
      <c r="A92" s="135" t="s">
        <v>149</v>
      </c>
      <c r="B92" s="40"/>
      <c r="C92" s="41"/>
      <c r="D92" s="136"/>
    </row>
    <row r="93" ht="14.25" customHeight="1">
      <c r="A93" s="135" t="s">
        <v>150</v>
      </c>
      <c r="B93" s="40"/>
      <c r="C93" s="41"/>
      <c r="D93" s="136"/>
    </row>
    <row r="94" ht="14.25" customHeight="1">
      <c r="A94" s="135" t="s">
        <v>151</v>
      </c>
      <c r="B94" s="40"/>
      <c r="C94" s="41"/>
      <c r="D94" s="136"/>
    </row>
    <row r="95" ht="14.25" customHeight="1">
      <c r="A95" s="137" t="s">
        <v>152</v>
      </c>
      <c r="B95" s="40"/>
      <c r="C95" s="41"/>
      <c r="D95" s="130">
        <f>'Estudio de Mercados'!S40</f>
        <v>500000</v>
      </c>
    </row>
    <row r="96" ht="14.25" customHeight="1">
      <c r="A96" s="137" t="s">
        <v>153</v>
      </c>
      <c r="B96" s="40"/>
      <c r="C96" s="41"/>
      <c r="D96" s="130">
        <f>D97/5</f>
        <v>410000</v>
      </c>
    </row>
    <row r="97" ht="15.75" customHeight="1">
      <c r="A97" s="138" t="s">
        <v>154</v>
      </c>
      <c r="B97" s="40"/>
      <c r="C97" s="41"/>
      <c r="D97" s="139">
        <f>SUM(D88:D95)</f>
        <v>2050000</v>
      </c>
    </row>
    <row r="98" ht="15.75" customHeight="1"/>
    <row r="99" ht="14.25" customHeight="1"/>
    <row r="100" ht="14.25" customHeight="1"/>
    <row r="101" ht="14.25" customHeight="1">
      <c r="A101" s="125" t="s">
        <v>99</v>
      </c>
      <c r="H101" s="126" t="s">
        <v>123</v>
      </c>
    </row>
    <row r="102" ht="14.25" customHeight="1"/>
    <row r="103" ht="14.25" customHeight="1"/>
    <row r="104" ht="14.25" customHeight="1">
      <c r="A104" s="55" t="s">
        <v>99</v>
      </c>
      <c r="B104" s="56"/>
      <c r="C104" s="15"/>
      <c r="D104" s="140">
        <f>D97+H80+E291</f>
        <v>242396582.7</v>
      </c>
      <c r="E104" s="141" t="s">
        <v>155</v>
      </c>
    </row>
    <row r="105" ht="14.25" customHeight="1">
      <c r="A105" s="142" t="s">
        <v>156</v>
      </c>
      <c r="B105" s="56"/>
      <c r="C105" s="15"/>
      <c r="D105" s="143">
        <f>+D104</f>
        <v>242396582.7</v>
      </c>
      <c r="E105" s="144">
        <f t="shared" ref="E105:E106" si="7">D105/$D$104</f>
        <v>1</v>
      </c>
    </row>
    <row r="106" ht="14.25" customHeight="1">
      <c r="A106" s="142" t="s">
        <v>157</v>
      </c>
      <c r="B106" s="56"/>
      <c r="C106" s="15"/>
      <c r="D106" s="145" t="str">
        <f>D356</f>
        <v/>
      </c>
      <c r="E106" s="144">
        <f t="shared" si="7"/>
        <v>0</v>
      </c>
    </row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>
      <c r="A150" s="79" t="s">
        <v>158</v>
      </c>
    </row>
    <row r="151" ht="14.25" customHeight="1"/>
    <row r="152" ht="14.25" customHeight="1">
      <c r="A152" s="125" t="s">
        <v>94</v>
      </c>
      <c r="E152" s="146" t="s">
        <v>123</v>
      </c>
    </row>
    <row r="153" ht="14.25" customHeight="1">
      <c r="A153" s="125"/>
      <c r="B153" s="125"/>
    </row>
    <row r="154" ht="14.25" customHeight="1">
      <c r="A154" s="147" t="s">
        <v>159</v>
      </c>
      <c r="B154" s="40"/>
      <c r="C154" s="41"/>
      <c r="D154" s="148" t="s">
        <v>160</v>
      </c>
      <c r="E154" s="148" t="s">
        <v>161</v>
      </c>
    </row>
    <row r="155" ht="14.25" customHeight="1">
      <c r="A155" s="135" t="s">
        <v>162</v>
      </c>
      <c r="B155" s="40"/>
      <c r="C155" s="41"/>
      <c r="D155" s="130">
        <f>'Estudio Administrativo'!R35</f>
        <v>5121485.2</v>
      </c>
      <c r="E155" s="130">
        <f>'Estudio Administrativo'!T35</f>
        <v>61457822.4</v>
      </c>
    </row>
    <row r="156" ht="14.25" customHeight="1">
      <c r="A156" s="135" t="s">
        <v>163</v>
      </c>
      <c r="B156" s="40"/>
      <c r="C156" s="41"/>
      <c r="D156" s="130">
        <f>'Estudio Administrativo'!R49</f>
        <v>0</v>
      </c>
      <c r="E156" s="130">
        <f>'Estudio Administrativo'!T49</f>
        <v>0</v>
      </c>
    </row>
    <row r="157" ht="14.25" customHeight="1">
      <c r="A157" s="149" t="s">
        <v>85</v>
      </c>
      <c r="B157" s="40"/>
      <c r="C157" s="41"/>
      <c r="D157" s="150">
        <f t="shared" ref="D157:E157" si="8">SUM(D155:D156)</f>
        <v>5121485.2</v>
      </c>
      <c r="E157" s="150">
        <f t="shared" si="8"/>
        <v>61457822.4</v>
      </c>
    </row>
    <row r="158" ht="14.25" customHeight="1"/>
    <row r="159" ht="14.25" customHeight="1"/>
    <row r="160" ht="14.25" customHeight="1"/>
    <row r="161" ht="14.25" customHeight="1">
      <c r="A161" s="125" t="s">
        <v>98</v>
      </c>
      <c r="E161" s="146" t="s">
        <v>123</v>
      </c>
    </row>
    <row r="162" ht="14.25" customHeight="1"/>
    <row r="163" ht="14.25" customHeight="1"/>
    <row r="164" ht="14.25" customHeight="1">
      <c r="A164" s="147" t="s">
        <v>159</v>
      </c>
      <c r="B164" s="40"/>
      <c r="C164" s="41"/>
      <c r="D164" s="148" t="s">
        <v>164</v>
      </c>
      <c r="E164" s="148" t="s">
        <v>165</v>
      </c>
      <c r="O164" s="151"/>
      <c r="P164" s="151"/>
    </row>
    <row r="165" ht="14.25" customHeight="1">
      <c r="A165" s="135" t="s">
        <v>166</v>
      </c>
      <c r="B165" s="40"/>
      <c r="C165" s="41"/>
      <c r="D165" s="129">
        <v>80000.0</v>
      </c>
      <c r="E165" s="130">
        <f t="shared" ref="E165:E169" si="9">D165*12</f>
        <v>960000</v>
      </c>
    </row>
    <row r="166" ht="14.25" customHeight="1">
      <c r="A166" s="135" t="s">
        <v>167</v>
      </c>
      <c r="B166" s="40"/>
      <c r="C166" s="41"/>
      <c r="D166" s="132">
        <v>12000.0</v>
      </c>
      <c r="E166" s="130">
        <f t="shared" si="9"/>
        <v>144000</v>
      </c>
    </row>
    <row r="167" ht="14.25" customHeight="1">
      <c r="A167" s="135" t="s">
        <v>168</v>
      </c>
      <c r="B167" s="40"/>
      <c r="C167" s="41"/>
      <c r="D167" s="132">
        <v>80000.0</v>
      </c>
      <c r="E167" s="130">
        <f t="shared" si="9"/>
        <v>960000</v>
      </c>
    </row>
    <row r="168" ht="14.25" customHeight="1">
      <c r="A168" s="135" t="s">
        <v>169</v>
      </c>
      <c r="B168" s="40"/>
      <c r="C168" s="41"/>
      <c r="D168" s="132">
        <v>81500.0</v>
      </c>
      <c r="E168" s="130">
        <f t="shared" si="9"/>
        <v>978000</v>
      </c>
    </row>
    <row r="169" ht="14.25" customHeight="1">
      <c r="A169" s="135" t="s">
        <v>170</v>
      </c>
      <c r="B169" s="40"/>
      <c r="C169" s="41"/>
      <c r="D169" s="132">
        <v>1300000.0</v>
      </c>
      <c r="E169" s="130">
        <f t="shared" si="9"/>
        <v>15600000</v>
      </c>
    </row>
    <row r="170" ht="14.25" customHeight="1">
      <c r="A170" s="149" t="s">
        <v>85</v>
      </c>
      <c r="B170" s="40"/>
      <c r="C170" s="41"/>
      <c r="D170" s="150">
        <f t="shared" ref="D170:E170" si="10">SUM(D165:D169)</f>
        <v>1553500</v>
      </c>
      <c r="E170" s="150">
        <f t="shared" si="10"/>
        <v>18642000</v>
      </c>
    </row>
    <row r="171" ht="14.25" customHeight="1"/>
    <row r="172" ht="14.25" customHeight="1"/>
    <row r="173" ht="14.25" customHeight="1"/>
    <row r="174" ht="14.25" customHeight="1">
      <c r="A174" s="125" t="s">
        <v>100</v>
      </c>
      <c r="F174" s="146" t="s">
        <v>123</v>
      </c>
    </row>
    <row r="175" ht="14.25" customHeight="1"/>
    <row r="176" ht="14.25" customHeight="1"/>
    <row r="177" ht="14.25" customHeight="1">
      <c r="A177" s="127" t="s">
        <v>159</v>
      </c>
      <c r="B177" s="41"/>
      <c r="C177" s="152" t="s">
        <v>171</v>
      </c>
      <c r="D177" s="152" t="s">
        <v>172</v>
      </c>
      <c r="E177" s="152" t="s">
        <v>173</v>
      </c>
      <c r="F177" s="152" t="s">
        <v>174</v>
      </c>
    </row>
    <row r="178" ht="14.25" customHeight="1">
      <c r="A178" s="135" t="s">
        <v>130</v>
      </c>
      <c r="B178" s="41"/>
      <c r="C178" s="153">
        <v>20.0</v>
      </c>
      <c r="D178" s="130">
        <f>H42</f>
        <v>200000000</v>
      </c>
      <c r="E178" s="130">
        <f t="shared" ref="E178:E182" si="11">F178/12</f>
        <v>833333.3333</v>
      </c>
      <c r="F178" s="130">
        <f t="shared" ref="F178:F182" si="12">D178/C178</f>
        <v>10000000</v>
      </c>
    </row>
    <row r="179" ht="14.25" customHeight="1">
      <c r="A179" s="154" t="s">
        <v>134</v>
      </c>
      <c r="B179" s="154"/>
      <c r="C179" s="153">
        <v>10.0</v>
      </c>
      <c r="D179" s="130">
        <f>H53</f>
        <v>4850000</v>
      </c>
      <c r="E179" s="130">
        <f t="shared" si="11"/>
        <v>40416.66667</v>
      </c>
      <c r="F179" s="130">
        <f t="shared" si="12"/>
        <v>485000</v>
      </c>
    </row>
    <row r="180" ht="14.25" customHeight="1">
      <c r="A180" s="154" t="s">
        <v>136</v>
      </c>
      <c r="B180" s="154"/>
      <c r="C180" s="153">
        <v>5.0</v>
      </c>
      <c r="D180" s="130">
        <f>H64</f>
        <v>19000000</v>
      </c>
      <c r="E180" s="130">
        <f t="shared" si="11"/>
        <v>316666.6667</v>
      </c>
      <c r="F180" s="130">
        <f t="shared" si="12"/>
        <v>3800000</v>
      </c>
    </row>
    <row r="181" ht="14.25" customHeight="1">
      <c r="A181" s="154" t="s">
        <v>140</v>
      </c>
      <c r="B181" s="154"/>
      <c r="C181" s="153">
        <v>5.0</v>
      </c>
      <c r="D181" s="130">
        <f>H75</f>
        <v>1900000</v>
      </c>
      <c r="E181" s="130">
        <f t="shared" si="11"/>
        <v>31666.66667</v>
      </c>
      <c r="F181" s="130">
        <f t="shared" si="12"/>
        <v>380000</v>
      </c>
    </row>
    <row r="182" ht="14.25" customHeight="1">
      <c r="A182" s="135" t="s">
        <v>143</v>
      </c>
      <c r="B182" s="41"/>
      <c r="C182" s="153">
        <v>5.0</v>
      </c>
      <c r="D182" s="130">
        <f>H79</f>
        <v>0</v>
      </c>
      <c r="E182" s="130">
        <f t="shared" si="11"/>
        <v>0</v>
      </c>
      <c r="F182" s="130">
        <f t="shared" si="12"/>
        <v>0</v>
      </c>
    </row>
    <row r="183" ht="14.25" customHeight="1">
      <c r="A183" s="149" t="s">
        <v>85</v>
      </c>
      <c r="B183" s="40"/>
      <c r="C183" s="40"/>
      <c r="D183" s="41"/>
      <c r="E183" s="150">
        <f t="shared" ref="E183:F183" si="13">SUM(E178:E182)</f>
        <v>1222083.333</v>
      </c>
      <c r="F183" s="150">
        <f t="shared" si="13"/>
        <v>14665000</v>
      </c>
    </row>
    <row r="184" ht="14.25" customHeight="1"/>
    <row r="185" ht="14.25" customHeight="1"/>
    <row r="186" ht="14.25" customHeight="1"/>
    <row r="187" ht="14.25" customHeight="1">
      <c r="A187" s="125" t="s">
        <v>102</v>
      </c>
      <c r="I187" s="146" t="s">
        <v>123</v>
      </c>
    </row>
    <row r="188" ht="14.25" customHeight="1"/>
    <row r="189" ht="14.25" customHeight="1"/>
    <row r="190" ht="41.25" customHeight="1">
      <c r="A190" s="127" t="s">
        <v>159</v>
      </c>
      <c r="B190" s="40"/>
      <c r="C190" s="41"/>
      <c r="D190" s="152" t="s">
        <v>69</v>
      </c>
      <c r="E190" s="113" t="s">
        <v>175</v>
      </c>
      <c r="F190" s="152" t="s">
        <v>176</v>
      </c>
      <c r="G190" s="152" t="s">
        <v>177</v>
      </c>
      <c r="H190" s="152" t="s">
        <v>178</v>
      </c>
      <c r="I190" s="152" t="s">
        <v>179</v>
      </c>
    </row>
    <row r="191" ht="14.25" customHeight="1">
      <c r="A191" s="155" t="s">
        <v>180</v>
      </c>
      <c r="B191" s="40"/>
      <c r="C191" s="41"/>
      <c r="D191" s="156">
        <f>D482</f>
        <v>96.34583333</v>
      </c>
      <c r="E191" s="157">
        <v>25000.0</v>
      </c>
      <c r="F191" s="158">
        <f t="shared" ref="F191:F200" si="14">D191/$D$482</f>
        <v>1</v>
      </c>
      <c r="G191" s="159">
        <f t="shared" ref="G191:G200" si="15">E191*F191</f>
        <v>25000</v>
      </c>
      <c r="H191" s="130">
        <f t="shared" ref="H191:H200" si="16">D191*E191</f>
        <v>2408645.833</v>
      </c>
      <c r="I191" s="160">
        <f t="shared" ref="I191:I200" si="17">H191*12</f>
        <v>28903750</v>
      </c>
    </row>
    <row r="192" ht="14.25" customHeight="1">
      <c r="A192" s="155" t="s">
        <v>181</v>
      </c>
      <c r="B192" s="40"/>
      <c r="C192" s="41"/>
      <c r="D192" s="161">
        <v>1.0</v>
      </c>
      <c r="E192" s="157">
        <v>40000.0</v>
      </c>
      <c r="F192" s="158">
        <f t="shared" si="14"/>
        <v>0.01037927605</v>
      </c>
      <c r="G192" s="159">
        <f t="shared" si="15"/>
        <v>415.1710418</v>
      </c>
      <c r="H192" s="130">
        <f t="shared" si="16"/>
        <v>40000</v>
      </c>
      <c r="I192" s="160">
        <f t="shared" si="17"/>
        <v>480000</v>
      </c>
    </row>
    <row r="193" ht="14.25" customHeight="1">
      <c r="A193" s="162"/>
      <c r="B193" s="40"/>
      <c r="C193" s="41"/>
      <c r="D193" s="161"/>
      <c r="E193" s="163"/>
      <c r="F193" s="158">
        <f t="shared" si="14"/>
        <v>0</v>
      </c>
      <c r="G193" s="159">
        <f t="shared" si="15"/>
        <v>0</v>
      </c>
      <c r="H193" s="130">
        <f t="shared" si="16"/>
        <v>0</v>
      </c>
      <c r="I193" s="160">
        <f t="shared" si="17"/>
        <v>0</v>
      </c>
    </row>
    <row r="194" ht="14.25" customHeight="1">
      <c r="A194" s="155"/>
      <c r="B194" s="40"/>
      <c r="C194" s="41"/>
      <c r="D194" s="161"/>
      <c r="E194" s="157"/>
      <c r="F194" s="158">
        <f t="shared" si="14"/>
        <v>0</v>
      </c>
      <c r="G194" s="159">
        <f t="shared" si="15"/>
        <v>0</v>
      </c>
      <c r="H194" s="130">
        <f t="shared" si="16"/>
        <v>0</v>
      </c>
      <c r="I194" s="160">
        <f t="shared" si="17"/>
        <v>0</v>
      </c>
    </row>
    <row r="195" ht="14.25" customHeight="1">
      <c r="A195" s="155"/>
      <c r="B195" s="40"/>
      <c r="C195" s="41"/>
      <c r="D195" s="161"/>
      <c r="E195" s="157"/>
      <c r="F195" s="158">
        <f t="shared" si="14"/>
        <v>0</v>
      </c>
      <c r="G195" s="159">
        <f t="shared" si="15"/>
        <v>0</v>
      </c>
      <c r="H195" s="130">
        <f t="shared" si="16"/>
        <v>0</v>
      </c>
      <c r="I195" s="160">
        <f t="shared" si="17"/>
        <v>0</v>
      </c>
    </row>
    <row r="196" ht="14.25" customHeight="1">
      <c r="A196" s="155"/>
      <c r="B196" s="40"/>
      <c r="C196" s="41"/>
      <c r="D196" s="161"/>
      <c r="E196" s="157"/>
      <c r="F196" s="158">
        <f t="shared" si="14"/>
        <v>0</v>
      </c>
      <c r="G196" s="159">
        <f t="shared" si="15"/>
        <v>0</v>
      </c>
      <c r="H196" s="130">
        <f t="shared" si="16"/>
        <v>0</v>
      </c>
      <c r="I196" s="160">
        <f t="shared" si="17"/>
        <v>0</v>
      </c>
    </row>
    <row r="197" ht="14.25" customHeight="1">
      <c r="A197" s="155"/>
      <c r="B197" s="40"/>
      <c r="C197" s="41"/>
      <c r="D197" s="161"/>
      <c r="E197" s="157"/>
      <c r="F197" s="158">
        <f t="shared" si="14"/>
        <v>0</v>
      </c>
      <c r="G197" s="159">
        <f t="shared" si="15"/>
        <v>0</v>
      </c>
      <c r="H197" s="130">
        <f t="shared" si="16"/>
        <v>0</v>
      </c>
      <c r="I197" s="160">
        <f t="shared" si="17"/>
        <v>0</v>
      </c>
    </row>
    <row r="198" ht="14.25" customHeight="1">
      <c r="A198" s="155"/>
      <c r="B198" s="40"/>
      <c r="C198" s="41"/>
      <c r="D198" s="161"/>
      <c r="E198" s="157"/>
      <c r="F198" s="158">
        <f t="shared" si="14"/>
        <v>0</v>
      </c>
      <c r="G198" s="159">
        <f t="shared" si="15"/>
        <v>0</v>
      </c>
      <c r="H198" s="130">
        <f t="shared" si="16"/>
        <v>0</v>
      </c>
      <c r="I198" s="160">
        <f t="shared" si="17"/>
        <v>0</v>
      </c>
    </row>
    <row r="199" ht="14.25" customHeight="1">
      <c r="A199" s="155"/>
      <c r="B199" s="40"/>
      <c r="C199" s="41"/>
      <c r="D199" s="161"/>
      <c r="E199" s="157"/>
      <c r="F199" s="158">
        <f t="shared" si="14"/>
        <v>0</v>
      </c>
      <c r="G199" s="159">
        <f t="shared" si="15"/>
        <v>0</v>
      </c>
      <c r="H199" s="130">
        <f t="shared" si="16"/>
        <v>0</v>
      </c>
      <c r="I199" s="160">
        <f t="shared" si="17"/>
        <v>0</v>
      </c>
    </row>
    <row r="200" ht="14.25" customHeight="1">
      <c r="A200" s="155"/>
      <c r="B200" s="40"/>
      <c r="C200" s="41"/>
      <c r="D200" s="161"/>
      <c r="E200" s="157"/>
      <c r="F200" s="158">
        <f t="shared" si="14"/>
        <v>0</v>
      </c>
      <c r="G200" s="159">
        <f t="shared" si="15"/>
        <v>0</v>
      </c>
      <c r="H200" s="130">
        <f t="shared" si="16"/>
        <v>0</v>
      </c>
      <c r="I200" s="160">
        <f t="shared" si="17"/>
        <v>0</v>
      </c>
    </row>
    <row r="201" ht="14.25" customHeight="1">
      <c r="A201" s="108" t="s">
        <v>85</v>
      </c>
      <c r="B201" s="40"/>
      <c r="C201" s="40"/>
      <c r="D201" s="40"/>
      <c r="E201" s="40"/>
      <c r="F201" s="41"/>
      <c r="G201" s="164">
        <f t="shared" ref="G201:I201" si="18">SUM(G191:G200)</f>
        <v>25415.17104</v>
      </c>
      <c r="H201" s="165">
        <f t="shared" si="18"/>
        <v>2448645.833</v>
      </c>
      <c r="I201" s="150">
        <f t="shared" si="18"/>
        <v>29383750</v>
      </c>
    </row>
    <row r="202" ht="14.25" customHeight="1">
      <c r="A202" s="38"/>
      <c r="B202" s="38"/>
      <c r="C202" s="52"/>
      <c r="G202" s="120"/>
      <c r="H202" s="120"/>
      <c r="I202" s="120"/>
    </row>
    <row r="203" ht="14.25" customHeight="1">
      <c r="A203" s="38"/>
      <c r="B203" s="38"/>
      <c r="C203" s="52"/>
      <c r="D203" s="120"/>
      <c r="E203" s="120"/>
      <c r="F203" s="120"/>
    </row>
    <row r="204" ht="14.25" customHeight="1">
      <c r="A204" s="38"/>
      <c r="B204" s="38"/>
      <c r="C204" s="52"/>
      <c r="D204" s="120"/>
      <c r="E204" s="120"/>
      <c r="F204" s="120"/>
    </row>
    <row r="205" ht="14.25" customHeight="1">
      <c r="A205" s="125" t="s">
        <v>104</v>
      </c>
      <c r="D205" s="120"/>
      <c r="E205" s="120"/>
      <c r="F205" s="146" t="s">
        <v>123</v>
      </c>
    </row>
    <row r="206" ht="14.25" customHeight="1">
      <c r="A206" s="125"/>
      <c r="B206" s="125"/>
      <c r="C206" s="125"/>
      <c r="D206" s="120"/>
      <c r="E206" s="120"/>
      <c r="F206" s="120"/>
    </row>
    <row r="207" ht="14.25" customHeight="1">
      <c r="A207" s="125"/>
      <c r="B207" s="125"/>
      <c r="C207" s="125"/>
      <c r="D207" s="120"/>
      <c r="E207" s="120"/>
      <c r="F207" s="120"/>
    </row>
    <row r="208" ht="14.25" customHeight="1">
      <c r="A208" s="127" t="s">
        <v>159</v>
      </c>
      <c r="B208" s="40"/>
      <c r="C208" s="40"/>
      <c r="D208" s="41"/>
      <c r="E208" s="152" t="s">
        <v>160</v>
      </c>
      <c r="F208" s="152" t="s">
        <v>161</v>
      </c>
    </row>
    <row r="209" ht="14.25" customHeight="1">
      <c r="A209" s="135" t="s">
        <v>182</v>
      </c>
      <c r="B209" s="40"/>
      <c r="C209" s="40"/>
      <c r="D209" s="166">
        <v>0.05</v>
      </c>
      <c r="E209" s="130">
        <f t="shared" ref="E209:E211" si="19">F209/12</f>
        <v>20208.33333</v>
      </c>
      <c r="F209" s="130">
        <f>D209*D179</f>
        <v>242500</v>
      </c>
    </row>
    <row r="210" ht="14.25" customHeight="1">
      <c r="A210" s="135" t="s">
        <v>183</v>
      </c>
      <c r="B210" s="40"/>
      <c r="C210" s="40"/>
      <c r="D210" s="167">
        <v>0.013</v>
      </c>
      <c r="E210" s="130">
        <f t="shared" si="19"/>
        <v>237250</v>
      </c>
      <c r="F210" s="130">
        <f>((D178*F229)+(D179*F230)+(D180*F231)+(D181*F232)+(D182*F233))*D210</f>
        <v>2847000</v>
      </c>
    </row>
    <row r="211" ht="14.25" customHeight="1">
      <c r="A211" s="135" t="s">
        <v>184</v>
      </c>
      <c r="B211" s="40"/>
      <c r="C211" s="40"/>
      <c r="D211" s="41"/>
      <c r="E211" s="130">
        <f t="shared" si="19"/>
        <v>1150000</v>
      </c>
      <c r="F211" s="130">
        <f>H234</f>
        <v>13800000</v>
      </c>
    </row>
    <row r="212" ht="14.25" customHeight="1">
      <c r="A212" s="135" t="s">
        <v>185</v>
      </c>
      <c r="B212" s="40"/>
      <c r="C212" s="40"/>
      <c r="D212" s="41"/>
      <c r="E212" s="130">
        <f>H228-H227</f>
        <v>253500</v>
      </c>
      <c r="F212" s="130">
        <f t="shared" ref="F212:F213" si="20">E212*12</f>
        <v>3042000</v>
      </c>
    </row>
    <row r="213" ht="14.25" customHeight="1">
      <c r="A213" s="135" t="s">
        <v>170</v>
      </c>
      <c r="B213" s="40"/>
      <c r="C213" s="40"/>
      <c r="D213" s="41"/>
      <c r="E213" s="130">
        <f>H227</f>
        <v>1300000</v>
      </c>
      <c r="F213" s="130">
        <f t="shared" si="20"/>
        <v>15600000</v>
      </c>
    </row>
    <row r="214" ht="14.25" customHeight="1">
      <c r="A214" s="135" t="s">
        <v>186</v>
      </c>
      <c r="B214" s="40"/>
      <c r="C214" s="40"/>
      <c r="D214" s="41"/>
      <c r="E214" s="136"/>
      <c r="F214" s="136"/>
    </row>
    <row r="215" ht="14.25" customHeight="1">
      <c r="A215" s="108" t="s">
        <v>85</v>
      </c>
      <c r="B215" s="40"/>
      <c r="C215" s="40"/>
      <c r="D215" s="41"/>
      <c r="E215" s="165">
        <f t="shared" ref="E215:F215" si="21">SUM(E209:E214)</f>
        <v>2960958.333</v>
      </c>
      <c r="F215" s="168">
        <f t="shared" si="21"/>
        <v>35531500</v>
      </c>
    </row>
    <row r="216" ht="14.25" customHeight="1">
      <c r="A216" s="125"/>
      <c r="B216" s="125"/>
      <c r="C216" s="125"/>
      <c r="D216" s="120"/>
      <c r="E216" s="120"/>
      <c r="F216" s="120"/>
    </row>
    <row r="217" ht="14.25" customHeight="1">
      <c r="A217" s="125"/>
      <c r="B217" s="125"/>
      <c r="C217" s="125"/>
      <c r="D217" s="120"/>
      <c r="E217" s="120"/>
      <c r="F217" s="120"/>
    </row>
    <row r="218" ht="14.25" customHeight="1">
      <c r="A218" s="125"/>
      <c r="B218" s="125"/>
      <c r="C218" s="125"/>
      <c r="D218" s="120"/>
      <c r="E218" s="120"/>
      <c r="F218" s="120"/>
    </row>
    <row r="219" ht="14.25" customHeight="1">
      <c r="A219" s="169" t="str">
        <f>UPPER("Prorrateo de costos y gastos")</f>
        <v>PRORRATEO DE COSTOS Y GASTOS</v>
      </c>
      <c r="F219" s="151"/>
      <c r="G219" s="151"/>
      <c r="I219" s="146" t="s">
        <v>123</v>
      </c>
    </row>
    <row r="220" ht="14.25" customHeight="1">
      <c r="A220" s="151"/>
      <c r="B220" s="151"/>
      <c r="C220" s="151"/>
      <c r="F220" s="151"/>
      <c r="G220" s="151"/>
    </row>
    <row r="221" ht="18.75" customHeight="1">
      <c r="F221" s="170" t="s">
        <v>187</v>
      </c>
      <c r="G221" s="41"/>
      <c r="H221" s="127" t="s">
        <v>188</v>
      </c>
      <c r="I221" s="41"/>
    </row>
    <row r="222" ht="14.25" customHeight="1">
      <c r="A222" s="127" t="s">
        <v>159</v>
      </c>
      <c r="B222" s="40"/>
      <c r="C222" s="41"/>
      <c r="D222" s="152" t="s">
        <v>160</v>
      </c>
      <c r="E222" s="152" t="s">
        <v>161</v>
      </c>
      <c r="F222" s="152" t="s">
        <v>189</v>
      </c>
      <c r="G222" s="113" t="s">
        <v>190</v>
      </c>
      <c r="H222" s="152" t="s">
        <v>189</v>
      </c>
      <c r="I222" s="152" t="s">
        <v>190</v>
      </c>
    </row>
    <row r="223" ht="15.0" customHeight="1">
      <c r="A223" s="84" t="s">
        <v>191</v>
      </c>
      <c r="B223" s="135" t="s">
        <v>166</v>
      </c>
      <c r="C223" s="41"/>
      <c r="D223" s="130">
        <f t="shared" ref="D223:E223" si="22">D165</f>
        <v>80000</v>
      </c>
      <c r="E223" s="130">
        <f t="shared" si="22"/>
        <v>960000</v>
      </c>
      <c r="F223" s="171">
        <v>1.0</v>
      </c>
      <c r="G223" s="172">
        <f t="shared" ref="G223:G227" si="24">1-F223</f>
        <v>0</v>
      </c>
      <c r="H223" s="130">
        <f t="shared" ref="H223:H227" si="25">F223*D223</f>
        <v>80000</v>
      </c>
      <c r="I223" s="130">
        <f t="shared" ref="I223:I227" si="26">D223*G223</f>
        <v>0</v>
      </c>
    </row>
    <row r="224" ht="14.25" customHeight="1">
      <c r="A224" s="93"/>
      <c r="B224" s="135" t="s">
        <v>167</v>
      </c>
      <c r="C224" s="41"/>
      <c r="D224" s="130">
        <f t="shared" ref="D224:E224" si="23">D166</f>
        <v>12000</v>
      </c>
      <c r="E224" s="130">
        <f t="shared" si="23"/>
        <v>144000</v>
      </c>
      <c r="F224" s="171">
        <v>1.0</v>
      </c>
      <c r="G224" s="172">
        <f t="shared" si="24"/>
        <v>0</v>
      </c>
      <c r="H224" s="130">
        <f t="shared" si="25"/>
        <v>12000</v>
      </c>
      <c r="I224" s="130">
        <f t="shared" si="26"/>
        <v>0</v>
      </c>
    </row>
    <row r="225" ht="14.25" customHeight="1">
      <c r="A225" s="93"/>
      <c r="B225" s="135" t="s">
        <v>168</v>
      </c>
      <c r="C225" s="41"/>
      <c r="D225" s="130">
        <f t="shared" ref="D225:E225" si="27">D167</f>
        <v>80000</v>
      </c>
      <c r="E225" s="130">
        <f t="shared" si="27"/>
        <v>960000</v>
      </c>
      <c r="F225" s="171">
        <v>1.0</v>
      </c>
      <c r="G225" s="172">
        <f t="shared" si="24"/>
        <v>0</v>
      </c>
      <c r="H225" s="130">
        <f t="shared" si="25"/>
        <v>80000</v>
      </c>
      <c r="I225" s="130">
        <f t="shared" si="26"/>
        <v>0</v>
      </c>
    </row>
    <row r="226" ht="14.25" customHeight="1">
      <c r="A226" s="93"/>
      <c r="B226" s="135" t="s">
        <v>169</v>
      </c>
      <c r="C226" s="41"/>
      <c r="D226" s="130">
        <f t="shared" ref="D226:E226" si="28">D168</f>
        <v>81500</v>
      </c>
      <c r="E226" s="130">
        <f t="shared" si="28"/>
        <v>978000</v>
      </c>
      <c r="F226" s="171">
        <v>1.0</v>
      </c>
      <c r="G226" s="172">
        <f t="shared" si="24"/>
        <v>0</v>
      </c>
      <c r="H226" s="130">
        <f t="shared" si="25"/>
        <v>81500</v>
      </c>
      <c r="I226" s="130">
        <f t="shared" si="26"/>
        <v>0</v>
      </c>
    </row>
    <row r="227" ht="14.25" customHeight="1">
      <c r="A227" s="93"/>
      <c r="B227" s="135" t="s">
        <v>170</v>
      </c>
      <c r="C227" s="41"/>
      <c r="D227" s="130">
        <f t="shared" ref="D227:E227" si="29">D169</f>
        <v>1300000</v>
      </c>
      <c r="E227" s="130">
        <f t="shared" si="29"/>
        <v>15600000</v>
      </c>
      <c r="F227" s="171">
        <v>1.0</v>
      </c>
      <c r="G227" s="172">
        <f t="shared" si="24"/>
        <v>0</v>
      </c>
      <c r="H227" s="130">
        <f t="shared" si="25"/>
        <v>1300000</v>
      </c>
      <c r="I227" s="130">
        <f t="shared" si="26"/>
        <v>0</v>
      </c>
    </row>
    <row r="228" ht="14.25" customHeight="1">
      <c r="A228" s="107"/>
      <c r="B228" s="108" t="s">
        <v>85</v>
      </c>
      <c r="C228" s="40"/>
      <c r="D228" s="40"/>
      <c r="E228" s="40"/>
      <c r="F228" s="40"/>
      <c r="G228" s="41"/>
      <c r="H228" s="133">
        <f t="shared" ref="H228:I228" si="30">SUM(H223:H227)</f>
        <v>1553500</v>
      </c>
      <c r="I228" s="133">
        <f t="shared" si="30"/>
        <v>0</v>
      </c>
    </row>
    <row r="229" ht="14.25" customHeight="1">
      <c r="A229" s="84" t="s">
        <v>100</v>
      </c>
      <c r="B229" s="135" t="str">
        <f t="shared" ref="B229:B233" si="31">A178</f>
        <v>Construcciones</v>
      </c>
      <c r="C229" s="40"/>
      <c r="D229" s="41"/>
      <c r="E229" s="130">
        <f t="shared" ref="E229:E233" si="32">F178</f>
        <v>10000000</v>
      </c>
      <c r="F229" s="171">
        <v>1.0</v>
      </c>
      <c r="G229" s="172">
        <f t="shared" ref="G229:G233" si="33">1-F229</f>
        <v>0</v>
      </c>
      <c r="H229" s="130">
        <f t="shared" ref="H229:H233" si="34">F229*F178</f>
        <v>10000000</v>
      </c>
      <c r="I229" s="130">
        <f t="shared" ref="I229:I233" si="35">F178*G229</f>
        <v>0</v>
      </c>
    </row>
    <row r="230" ht="14.25" customHeight="1">
      <c r="A230" s="93"/>
      <c r="B230" s="135" t="str">
        <f t="shared" si="31"/>
        <v>Maquinaria y equipos</v>
      </c>
      <c r="C230" s="40"/>
      <c r="D230" s="41"/>
      <c r="E230" s="130">
        <f t="shared" si="32"/>
        <v>485000</v>
      </c>
      <c r="F230" s="171">
        <v>0.0</v>
      </c>
      <c r="G230" s="172">
        <f t="shared" si="33"/>
        <v>1</v>
      </c>
      <c r="H230" s="130">
        <f t="shared" si="34"/>
        <v>0</v>
      </c>
      <c r="I230" s="130">
        <f t="shared" si="35"/>
        <v>485000</v>
      </c>
    </row>
    <row r="231" ht="14.25" customHeight="1">
      <c r="A231" s="93"/>
      <c r="B231" s="135" t="str">
        <f t="shared" si="31"/>
        <v>Muebles y enseres</v>
      </c>
      <c r="C231" s="40"/>
      <c r="D231" s="41"/>
      <c r="E231" s="130">
        <f t="shared" si="32"/>
        <v>3800000</v>
      </c>
      <c r="F231" s="173">
        <v>1.0</v>
      </c>
      <c r="G231" s="172">
        <f t="shared" si="33"/>
        <v>0</v>
      </c>
      <c r="H231" s="130">
        <f t="shared" si="34"/>
        <v>3800000</v>
      </c>
      <c r="I231" s="130">
        <f t="shared" si="35"/>
        <v>0</v>
      </c>
    </row>
    <row r="232" ht="14.25" customHeight="1">
      <c r="A232" s="93"/>
      <c r="B232" s="135" t="str">
        <f t="shared" si="31"/>
        <v>Equipos de oficina</v>
      </c>
      <c r="C232" s="40"/>
      <c r="D232" s="41"/>
      <c r="E232" s="130">
        <f t="shared" si="32"/>
        <v>380000</v>
      </c>
      <c r="F232" s="171"/>
      <c r="G232" s="172">
        <f t="shared" si="33"/>
        <v>1</v>
      </c>
      <c r="H232" s="130">
        <f t="shared" si="34"/>
        <v>0</v>
      </c>
      <c r="I232" s="130">
        <f t="shared" si="35"/>
        <v>380000</v>
      </c>
    </row>
    <row r="233" ht="14.25" customHeight="1">
      <c r="A233" s="93"/>
      <c r="B233" s="135" t="str">
        <f t="shared" si="31"/>
        <v>Vehículos</v>
      </c>
      <c r="C233" s="40"/>
      <c r="D233" s="41"/>
      <c r="E233" s="130">
        <f t="shared" si="32"/>
        <v>0</v>
      </c>
      <c r="F233" s="171"/>
      <c r="G233" s="172">
        <f t="shared" si="33"/>
        <v>1</v>
      </c>
      <c r="H233" s="130">
        <f t="shared" si="34"/>
        <v>0</v>
      </c>
      <c r="I233" s="130">
        <f t="shared" si="35"/>
        <v>0</v>
      </c>
    </row>
    <row r="234" ht="14.25" customHeight="1">
      <c r="A234" s="107"/>
      <c r="B234" s="108" t="s">
        <v>85</v>
      </c>
      <c r="C234" s="40"/>
      <c r="D234" s="40"/>
      <c r="E234" s="40"/>
      <c r="F234" s="40"/>
      <c r="G234" s="41"/>
      <c r="H234" s="133">
        <f t="shared" ref="H234:I234" si="36">SUM(H229:H233)</f>
        <v>13800000</v>
      </c>
      <c r="I234" s="133">
        <f t="shared" si="36"/>
        <v>865000</v>
      </c>
    </row>
    <row r="235" ht="14.25" customHeight="1">
      <c r="A235" s="174"/>
      <c r="B235" s="38"/>
      <c r="C235" s="52"/>
      <c r="D235" s="120"/>
      <c r="E235" s="120"/>
      <c r="F235" s="120"/>
    </row>
    <row r="236" ht="14.25" customHeight="1">
      <c r="A236" s="174"/>
      <c r="B236" s="38"/>
      <c r="C236" s="52"/>
      <c r="D236" s="120"/>
      <c r="E236" s="120"/>
      <c r="F236" s="120"/>
    </row>
    <row r="237" ht="14.25" customHeight="1">
      <c r="A237" s="174"/>
      <c r="B237" s="38"/>
      <c r="C237" s="52"/>
      <c r="D237" s="120"/>
      <c r="E237" s="120"/>
      <c r="F237" s="120"/>
    </row>
    <row r="238" ht="14.25" customHeight="1">
      <c r="A238" s="169" t="s">
        <v>108</v>
      </c>
      <c r="D238" s="120"/>
      <c r="E238" s="146" t="s">
        <v>123</v>
      </c>
      <c r="F238" s="120"/>
    </row>
    <row r="239" ht="14.25" customHeight="1">
      <c r="A239" s="174"/>
      <c r="B239" s="38"/>
      <c r="C239" s="52"/>
      <c r="D239" s="120"/>
      <c r="E239" s="120"/>
      <c r="F239" s="120"/>
    </row>
    <row r="240" ht="14.25" customHeight="1"/>
    <row r="241" ht="14.25" customHeight="1">
      <c r="A241" s="127" t="s">
        <v>159</v>
      </c>
      <c r="B241" s="40"/>
      <c r="C241" s="41"/>
      <c r="D241" s="152" t="s">
        <v>160</v>
      </c>
      <c r="E241" s="152" t="s">
        <v>161</v>
      </c>
    </row>
    <row r="242" ht="14.25" customHeight="1">
      <c r="A242" s="135" t="s">
        <v>192</v>
      </c>
      <c r="B242" s="40"/>
      <c r="C242" s="41"/>
      <c r="D242" s="103">
        <f t="shared" ref="D242:E242" si="37">D155</f>
        <v>5121485.2</v>
      </c>
      <c r="E242" s="103">
        <f t="shared" si="37"/>
        <v>61457822.4</v>
      </c>
    </row>
    <row r="243" ht="14.25" customHeight="1">
      <c r="A243" s="135" t="s">
        <v>193</v>
      </c>
      <c r="B243" s="40"/>
      <c r="C243" s="41"/>
      <c r="D243" s="103">
        <f t="shared" ref="D243:E243" si="38">H201</f>
        <v>2448645.833</v>
      </c>
      <c r="E243" s="103">
        <f t="shared" si="38"/>
        <v>29383750</v>
      </c>
    </row>
    <row r="244" ht="14.25" customHeight="1">
      <c r="A244" s="135" t="s">
        <v>194</v>
      </c>
      <c r="B244" s="40"/>
      <c r="C244" s="41"/>
      <c r="D244" s="103">
        <f t="shared" ref="D244:E244" si="39">E215</f>
        <v>2960958.333</v>
      </c>
      <c r="E244" s="103">
        <f t="shared" si="39"/>
        <v>35531500</v>
      </c>
    </row>
    <row r="245" ht="14.25" customHeight="1">
      <c r="A245" s="108" t="s">
        <v>85</v>
      </c>
      <c r="B245" s="40"/>
      <c r="C245" s="41"/>
      <c r="D245" s="175">
        <f t="shared" ref="D245:E245" si="40">SUM(D242:D244)</f>
        <v>10531089.37</v>
      </c>
      <c r="E245" s="175">
        <f t="shared" si="40"/>
        <v>126373072.4</v>
      </c>
    </row>
    <row r="246" ht="14.25" customHeight="1"/>
    <row r="247" ht="14.25" customHeight="1"/>
    <row r="248" ht="14.25" customHeight="1"/>
    <row r="249" ht="14.25" customHeight="1">
      <c r="A249" s="169" t="s">
        <v>110</v>
      </c>
      <c r="E249" s="146" t="s">
        <v>123</v>
      </c>
    </row>
    <row r="250" ht="14.25" customHeight="1"/>
    <row r="251" ht="14.25" customHeight="1"/>
    <row r="252" ht="14.25" customHeight="1">
      <c r="A252" s="127" t="s">
        <v>159</v>
      </c>
      <c r="B252" s="40"/>
      <c r="C252" s="41"/>
      <c r="D252" s="152" t="s">
        <v>160</v>
      </c>
      <c r="E252" s="152" t="s">
        <v>161</v>
      </c>
    </row>
    <row r="253" ht="15.0" customHeight="1">
      <c r="A253" s="135" t="s">
        <v>182</v>
      </c>
      <c r="B253" s="41"/>
      <c r="C253" s="166">
        <v>0.05</v>
      </c>
      <c r="D253" s="176">
        <f t="shared" ref="D253:D255" si="41">E253/12</f>
        <v>7916.666667</v>
      </c>
      <c r="E253" s="176">
        <f>C253*D181</f>
        <v>95000</v>
      </c>
    </row>
    <row r="254" ht="15.0" customHeight="1">
      <c r="A254" s="135" t="s">
        <v>183</v>
      </c>
      <c r="B254" s="41"/>
      <c r="C254" s="167"/>
      <c r="D254" s="176">
        <f t="shared" si="41"/>
        <v>0</v>
      </c>
      <c r="E254" s="176">
        <f>((D178*G229)+(D179*G230)+(D180*G231)+(D181*G232)+(D182*G233))*C254</f>
        <v>0</v>
      </c>
    </row>
    <row r="255" ht="15.0" customHeight="1">
      <c r="A255" s="135" t="s">
        <v>184</v>
      </c>
      <c r="B255" s="40"/>
      <c r="C255" s="41"/>
      <c r="D255" s="176">
        <f t="shared" si="41"/>
        <v>72083.33333</v>
      </c>
      <c r="E255" s="176">
        <f>I234</f>
        <v>865000</v>
      </c>
    </row>
    <row r="256" ht="15.0" customHeight="1">
      <c r="A256" s="135" t="s">
        <v>185</v>
      </c>
      <c r="B256" s="40"/>
      <c r="C256" s="41"/>
      <c r="D256" s="176">
        <f>SUM(I223:I226)</f>
        <v>0</v>
      </c>
      <c r="E256" s="176">
        <f t="shared" ref="E256:E261" si="42">D256*12</f>
        <v>0</v>
      </c>
    </row>
    <row r="257" ht="15.0" customHeight="1">
      <c r="A257" s="135" t="s">
        <v>170</v>
      </c>
      <c r="B257" s="40"/>
      <c r="C257" s="41"/>
      <c r="D257" s="176">
        <f>I227</f>
        <v>0</v>
      </c>
      <c r="E257" s="176">
        <f t="shared" si="42"/>
        <v>0</v>
      </c>
    </row>
    <row r="258" ht="15.0" customHeight="1">
      <c r="A258" s="135" t="s">
        <v>195</v>
      </c>
      <c r="B258" s="40"/>
      <c r="C258" s="41"/>
      <c r="D258" s="177">
        <v>50000.0</v>
      </c>
      <c r="E258" s="176">
        <f t="shared" si="42"/>
        <v>600000</v>
      </c>
    </row>
    <row r="259" ht="15.0" customHeight="1">
      <c r="A259" s="135" t="s">
        <v>196</v>
      </c>
      <c r="B259" s="40"/>
      <c r="C259" s="41"/>
      <c r="D259" s="178"/>
      <c r="E259" s="176">
        <f t="shared" si="42"/>
        <v>0</v>
      </c>
    </row>
    <row r="260" ht="15.0" customHeight="1">
      <c r="A260" s="135" t="s">
        <v>197</v>
      </c>
      <c r="B260" s="40"/>
      <c r="C260" s="41"/>
      <c r="D260" s="176" t="str">
        <f>'Estudio de Mercados'!S42</f>
        <v/>
      </c>
      <c r="E260" s="176">
        <f t="shared" si="42"/>
        <v>0</v>
      </c>
    </row>
    <row r="261" ht="15.0" customHeight="1">
      <c r="A261" s="135" t="s">
        <v>198</v>
      </c>
      <c r="B261" s="40"/>
      <c r="C261" s="41"/>
      <c r="D261" s="177">
        <v>30000.0</v>
      </c>
      <c r="E261" s="176">
        <f t="shared" si="42"/>
        <v>360000</v>
      </c>
    </row>
    <row r="262" ht="14.25" customHeight="1">
      <c r="A262" s="135" t="s">
        <v>199</v>
      </c>
      <c r="B262" s="40"/>
      <c r="C262" s="41"/>
      <c r="D262" s="176">
        <f>E262/12</f>
        <v>34166.66667</v>
      </c>
      <c r="E262" s="176">
        <f>D96</f>
        <v>410000</v>
      </c>
    </row>
    <row r="263" ht="14.25" customHeight="1">
      <c r="A263" s="135" t="s">
        <v>200</v>
      </c>
      <c r="B263" s="40"/>
      <c r="C263" s="41"/>
      <c r="D263" s="179">
        <f>606000+480000+952000+500000</f>
        <v>2538000</v>
      </c>
      <c r="E263" s="176">
        <f>D263*12</f>
        <v>30456000</v>
      </c>
    </row>
    <row r="264" ht="14.25" customHeight="1">
      <c r="A264" s="135" t="s">
        <v>163</v>
      </c>
      <c r="B264" s="40"/>
      <c r="C264" s="41"/>
      <c r="D264" s="136">
        <f t="shared" ref="D264:E264" si="43">D156</f>
        <v>0</v>
      </c>
      <c r="E264" s="136">
        <f t="shared" si="43"/>
        <v>0</v>
      </c>
    </row>
    <row r="265" ht="14.25" customHeight="1">
      <c r="A265" s="108" t="s">
        <v>85</v>
      </c>
      <c r="B265" s="40"/>
      <c r="C265" s="41"/>
      <c r="D265" s="175">
        <f t="shared" ref="D265:E265" si="44">SUM(D253:D264)</f>
        <v>2732166.667</v>
      </c>
      <c r="E265" s="175">
        <f t="shared" si="44"/>
        <v>32786000</v>
      </c>
    </row>
    <row r="266" ht="14.25" customHeight="1"/>
    <row r="267" ht="14.25" customHeight="1"/>
    <row r="268" ht="14.25" customHeight="1"/>
    <row r="269" ht="14.25" customHeight="1">
      <c r="A269" s="169" t="s">
        <v>112</v>
      </c>
      <c r="E269" s="146" t="s">
        <v>123</v>
      </c>
    </row>
    <row r="270" ht="14.25" customHeight="1"/>
    <row r="271" ht="14.25" customHeight="1"/>
    <row r="272" ht="14.25" customHeight="1">
      <c r="A272" s="147" t="s">
        <v>159</v>
      </c>
      <c r="B272" s="41"/>
      <c r="C272" s="175" t="s">
        <v>161</v>
      </c>
    </row>
    <row r="273" ht="14.25" customHeight="1">
      <c r="A273" s="135" t="s">
        <v>201</v>
      </c>
      <c r="B273" s="41"/>
      <c r="C273" s="130">
        <f t="shared" ref="C273:C277" si="45">C366</f>
        <v>0</v>
      </c>
    </row>
    <row r="274" ht="14.25" customHeight="1">
      <c r="A274" s="135" t="s">
        <v>202</v>
      </c>
      <c r="B274" s="41"/>
      <c r="C274" s="130">
        <f t="shared" si="45"/>
        <v>0</v>
      </c>
    </row>
    <row r="275" ht="14.25" customHeight="1">
      <c r="A275" s="135" t="s">
        <v>203</v>
      </c>
      <c r="B275" s="41"/>
      <c r="C275" s="130">
        <f t="shared" si="45"/>
        <v>0</v>
      </c>
    </row>
    <row r="276" ht="14.25" customHeight="1">
      <c r="A276" s="135" t="s">
        <v>204</v>
      </c>
      <c r="B276" s="41"/>
      <c r="C276" s="130">
        <f t="shared" si="45"/>
        <v>0</v>
      </c>
    </row>
    <row r="277" ht="14.25" customHeight="1">
      <c r="A277" s="135" t="s">
        <v>205</v>
      </c>
      <c r="B277" s="41"/>
      <c r="C277" s="130">
        <f t="shared" si="45"/>
        <v>0</v>
      </c>
    </row>
    <row r="278" ht="14.25" customHeight="1">
      <c r="A278" s="149" t="s">
        <v>85</v>
      </c>
      <c r="B278" s="41"/>
      <c r="C278" s="180">
        <f>SUM(C273:C277)</f>
        <v>0</v>
      </c>
    </row>
    <row r="279" ht="14.25" customHeight="1"/>
    <row r="280" ht="14.25" customHeight="1"/>
    <row r="281" ht="14.25" customHeight="1"/>
    <row r="282" ht="14.25" customHeight="1">
      <c r="A282" s="169" t="s">
        <v>113</v>
      </c>
      <c r="D282" s="181">
        <v>1.0</v>
      </c>
      <c r="E282" s="182" t="s">
        <v>206</v>
      </c>
    </row>
    <row r="283" ht="14.25" customHeight="1"/>
    <row r="284" ht="14.25" customHeight="1"/>
    <row r="285" ht="14.25" customHeight="1">
      <c r="A285" s="127" t="s">
        <v>159</v>
      </c>
      <c r="B285" s="40"/>
      <c r="C285" s="41"/>
      <c r="D285" s="152" t="s">
        <v>207</v>
      </c>
      <c r="E285" s="152" t="s">
        <v>208</v>
      </c>
    </row>
    <row r="286" ht="14.25" customHeight="1">
      <c r="A286" s="135" t="s">
        <v>209</v>
      </c>
      <c r="B286" s="40"/>
      <c r="C286" s="41"/>
      <c r="D286" s="176">
        <f>D245</f>
        <v>10531089.37</v>
      </c>
      <c r="E286" s="176">
        <f t="shared" ref="E286:E287" si="46">D286*$D$282</f>
        <v>10531089.37</v>
      </c>
    </row>
    <row r="287" ht="14.25" customHeight="1">
      <c r="A287" s="135" t="s">
        <v>210</v>
      </c>
      <c r="B287" s="40"/>
      <c r="C287" s="41"/>
      <c r="D287" s="176">
        <f>D265</f>
        <v>2732166.667</v>
      </c>
      <c r="E287" s="176">
        <f t="shared" si="46"/>
        <v>2732166.667</v>
      </c>
    </row>
    <row r="288" ht="14.25" customHeight="1">
      <c r="A288" s="135" t="s">
        <v>211</v>
      </c>
      <c r="B288" s="40"/>
      <c r="C288" s="41"/>
      <c r="D288" s="176">
        <f>C380</f>
        <v>0</v>
      </c>
      <c r="E288" s="176">
        <f>D288+C381</f>
        <v>0</v>
      </c>
    </row>
    <row r="289" ht="14.25" customHeight="1">
      <c r="A289" s="135" t="s">
        <v>212</v>
      </c>
      <c r="B289" s="40"/>
      <c r="C289" s="41"/>
      <c r="D289" s="176">
        <f>(D506*0.004)/12</f>
        <v>77076.66667</v>
      </c>
      <c r="E289" s="176">
        <f>D289*D282</f>
        <v>77076.66667</v>
      </c>
    </row>
    <row r="290" ht="14.25" customHeight="1">
      <c r="A290" s="135" t="s">
        <v>213</v>
      </c>
      <c r="B290" s="40"/>
      <c r="C290" s="41"/>
      <c r="D290" s="176">
        <f>D255+E211+D262</f>
        <v>1256250</v>
      </c>
      <c r="E290" s="176">
        <f>D290*D282</f>
        <v>1256250</v>
      </c>
    </row>
    <row r="291" ht="14.25" customHeight="1">
      <c r="A291" s="108" t="s">
        <v>85</v>
      </c>
      <c r="B291" s="40"/>
      <c r="C291" s="41"/>
      <c r="D291" s="175">
        <f>SUM(D286:D289)-D290</f>
        <v>12084082.7</v>
      </c>
      <c r="E291" s="175">
        <f>SUM(E286:E290)</f>
        <v>14596582.7</v>
      </c>
    </row>
    <row r="292" ht="14.25" customHeight="1"/>
    <row r="293" ht="14.25" customHeight="1"/>
    <row r="294" ht="14.25" customHeight="1"/>
    <row r="295" ht="14.25" customHeight="1">
      <c r="A295" s="169" t="s">
        <v>116</v>
      </c>
      <c r="E295" s="146" t="s">
        <v>123</v>
      </c>
    </row>
    <row r="296" ht="14.25" customHeight="1"/>
    <row r="297" ht="14.25" customHeight="1"/>
    <row r="298" ht="14.25" customHeight="1">
      <c r="A298" s="127" t="s">
        <v>159</v>
      </c>
      <c r="B298" s="40"/>
      <c r="C298" s="41"/>
      <c r="D298" s="152" t="s">
        <v>161</v>
      </c>
    </row>
    <row r="299" ht="14.25" customHeight="1">
      <c r="A299" s="135" t="s">
        <v>162</v>
      </c>
      <c r="B299" s="40"/>
      <c r="C299" s="41"/>
      <c r="D299" s="176">
        <f>E155</f>
        <v>61457822.4</v>
      </c>
    </row>
    <row r="300" ht="14.25" customHeight="1">
      <c r="A300" s="183" t="s">
        <v>214</v>
      </c>
      <c r="B300" s="184" t="s">
        <v>170</v>
      </c>
      <c r="C300" s="130">
        <f>F213</f>
        <v>15600000</v>
      </c>
      <c r="D300" s="185">
        <f>SUM(C300:C305)</f>
        <v>33097900</v>
      </c>
    </row>
    <row r="301" ht="14.25" customHeight="1">
      <c r="A301" s="28"/>
      <c r="B301" s="184" t="s">
        <v>215</v>
      </c>
      <c r="C301" s="130">
        <f>F212*0.2</f>
        <v>608400</v>
      </c>
      <c r="D301" s="93"/>
    </row>
    <row r="302" ht="14.25" customHeight="1">
      <c r="A302" s="28"/>
      <c r="B302" s="184" t="s">
        <v>216</v>
      </c>
      <c r="C302" s="130">
        <f>F211</f>
        <v>13800000</v>
      </c>
      <c r="D302" s="93"/>
    </row>
    <row r="303" ht="14.25" customHeight="1">
      <c r="A303" s="28"/>
      <c r="B303" s="184" t="s">
        <v>182</v>
      </c>
      <c r="C303" s="130">
        <f t="shared" ref="C303:C304" si="47">F209</f>
        <v>242500</v>
      </c>
      <c r="D303" s="93"/>
    </row>
    <row r="304" ht="14.25" customHeight="1">
      <c r="A304" s="28"/>
      <c r="B304" s="184" t="s">
        <v>183</v>
      </c>
      <c r="C304" s="130">
        <f t="shared" si="47"/>
        <v>2847000</v>
      </c>
      <c r="D304" s="93"/>
    </row>
    <row r="305" ht="14.25" customHeight="1">
      <c r="A305" s="31"/>
      <c r="B305" s="184" t="s">
        <v>186</v>
      </c>
      <c r="C305" s="130" t="str">
        <f>E214</f>
        <v/>
      </c>
      <c r="D305" s="107"/>
    </row>
    <row r="306" ht="14.25" customHeight="1">
      <c r="A306" s="135" t="s">
        <v>210</v>
      </c>
      <c r="B306" s="40"/>
      <c r="C306" s="41"/>
      <c r="D306" s="130">
        <f>E265</f>
        <v>32786000</v>
      </c>
    </row>
    <row r="307" ht="14.25" customHeight="1">
      <c r="A307" s="108" t="s">
        <v>85</v>
      </c>
      <c r="B307" s="40"/>
      <c r="C307" s="41"/>
      <c r="D307" s="175">
        <f>SUM(D299:D306)</f>
        <v>127341722.4</v>
      </c>
    </row>
    <row r="308" ht="14.25" customHeight="1"/>
    <row r="309" ht="14.25" customHeight="1"/>
    <row r="310" ht="14.25" customHeight="1"/>
    <row r="311" ht="14.25" customHeight="1">
      <c r="A311" s="169" t="s">
        <v>117</v>
      </c>
      <c r="D311" s="146" t="s">
        <v>123</v>
      </c>
    </row>
    <row r="312" ht="14.25" customHeight="1"/>
    <row r="313" ht="14.25" customHeight="1"/>
    <row r="314" ht="14.25" customHeight="1">
      <c r="A314" s="127" t="s">
        <v>159</v>
      </c>
      <c r="B314" s="40"/>
      <c r="C314" s="41"/>
      <c r="D314" s="152" t="s">
        <v>161</v>
      </c>
    </row>
    <row r="315" ht="14.25" customHeight="1">
      <c r="A315" s="135" t="s">
        <v>193</v>
      </c>
      <c r="B315" s="40"/>
      <c r="C315" s="41"/>
      <c r="D315" s="176">
        <f>I201</f>
        <v>29383750</v>
      </c>
    </row>
    <row r="316" ht="15.0" customHeight="1">
      <c r="A316" s="135" t="s">
        <v>217</v>
      </c>
      <c r="B316" s="40"/>
      <c r="C316" s="41"/>
      <c r="D316" s="130">
        <f>F212*0.8</f>
        <v>2433600</v>
      </c>
    </row>
    <row r="317" ht="14.25" customHeight="1">
      <c r="A317" s="108" t="s">
        <v>85</v>
      </c>
      <c r="B317" s="40"/>
      <c r="C317" s="41"/>
      <c r="D317" s="175">
        <f>SUM(D315:D316)</f>
        <v>31817350</v>
      </c>
    </row>
    <row r="318" ht="14.25" customHeight="1"/>
    <row r="319" ht="14.25" customHeight="1"/>
    <row r="320" ht="14.25" customHeight="1"/>
    <row r="321" ht="14.25" customHeight="1">
      <c r="A321" s="169" t="s">
        <v>119</v>
      </c>
      <c r="D321" s="146" t="s">
        <v>123</v>
      </c>
    </row>
    <row r="322" ht="14.25" customHeight="1"/>
    <row r="323" ht="14.25" customHeight="1"/>
    <row r="324" ht="14.25" customHeight="1">
      <c r="A324" s="127" t="s">
        <v>159</v>
      </c>
      <c r="B324" s="40"/>
      <c r="C324" s="41"/>
      <c r="D324" s="152" t="s">
        <v>161</v>
      </c>
      <c r="E324" s="152" t="s">
        <v>177</v>
      </c>
    </row>
    <row r="325" ht="14.25" customHeight="1">
      <c r="A325" s="135" t="s">
        <v>218</v>
      </c>
      <c r="B325" s="40"/>
      <c r="C325" s="41"/>
      <c r="D325" s="176">
        <f>D307</f>
        <v>127341722.4</v>
      </c>
      <c r="E325" s="130">
        <f t="shared" ref="E325:E326" si="48">D325/$D$481</f>
        <v>110142.9074</v>
      </c>
    </row>
    <row r="326" ht="14.25" customHeight="1">
      <c r="A326" s="135" t="s">
        <v>219</v>
      </c>
      <c r="B326" s="40"/>
      <c r="C326" s="41"/>
      <c r="D326" s="130">
        <f>D317</f>
        <v>31817350</v>
      </c>
      <c r="E326" s="130">
        <f t="shared" si="48"/>
        <v>27520.08822</v>
      </c>
    </row>
    <row r="327" ht="14.25" customHeight="1">
      <c r="A327" s="108" t="s">
        <v>85</v>
      </c>
      <c r="B327" s="40"/>
      <c r="C327" s="41"/>
      <c r="D327" s="175">
        <f t="shared" ref="D327:E327" si="49">SUM(D325:D326)</f>
        <v>159159072.4</v>
      </c>
      <c r="E327" s="175">
        <f t="shared" si="49"/>
        <v>137662.9956</v>
      </c>
    </row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>
      <c r="A353" s="79" t="s">
        <v>220</v>
      </c>
      <c r="E353" s="146" t="s">
        <v>123</v>
      </c>
    </row>
    <row r="354" ht="14.25" customHeight="1"/>
    <row r="355" ht="14.25" customHeight="1"/>
    <row r="356" ht="14.25" customHeight="1">
      <c r="A356" s="186" t="s">
        <v>221</v>
      </c>
      <c r="B356" s="40"/>
      <c r="C356" s="41"/>
      <c r="D356" s="187"/>
      <c r="E356" s="41"/>
    </row>
    <row r="357" ht="14.25" customHeight="1">
      <c r="A357" s="186" t="s">
        <v>222</v>
      </c>
      <c r="B357" s="40"/>
      <c r="C357" s="41"/>
      <c r="D357" s="188"/>
      <c r="E357" s="41"/>
    </row>
    <row r="358" ht="14.25" customHeight="1">
      <c r="A358" s="186" t="s">
        <v>223</v>
      </c>
      <c r="B358" s="40"/>
      <c r="C358" s="41"/>
      <c r="D358" s="189"/>
      <c r="E358" s="41"/>
    </row>
    <row r="359" ht="14.25" customHeight="1">
      <c r="A359" s="190" t="s">
        <v>224</v>
      </c>
      <c r="B359" s="40"/>
      <c r="C359" s="41"/>
      <c r="D359" s="191">
        <f>((1+D358)^12)-1</f>
        <v>0</v>
      </c>
      <c r="E359" s="41"/>
    </row>
    <row r="360" ht="14.25" customHeight="1">
      <c r="A360" s="186" t="s">
        <v>225</v>
      </c>
      <c r="B360" s="40"/>
      <c r="C360" s="41"/>
      <c r="D360" s="192" t="str">
        <f>-(PMT(D358,D357,D356))</f>
        <v>#NUM!</v>
      </c>
      <c r="E360" s="41"/>
    </row>
    <row r="361" ht="14.25" customHeight="1"/>
    <row r="362" ht="14.25" customHeight="1"/>
    <row r="363" ht="14.25" customHeight="1">
      <c r="A363" s="125" t="s">
        <v>226</v>
      </c>
    </row>
    <row r="364" ht="14.25" customHeight="1"/>
    <row r="365" ht="14.25" customHeight="1">
      <c r="A365" s="193" t="s">
        <v>227</v>
      </c>
      <c r="B365" s="194" t="s">
        <v>228</v>
      </c>
      <c r="C365" s="194" t="s">
        <v>229</v>
      </c>
      <c r="D365" s="194" t="s">
        <v>230</v>
      </c>
      <c r="E365" s="194" t="s">
        <v>231</v>
      </c>
    </row>
    <row r="366" ht="14.25" customHeight="1">
      <c r="A366" s="195">
        <v>1.0</v>
      </c>
      <c r="B366" s="196">
        <f t="shared" ref="B366:B370" si="50">IF(($D$357/12)&gt;=A366,B380*12,0)</f>
        <v>0</v>
      </c>
      <c r="C366" s="196">
        <f>IF(B366=0,0,SUM(C380:C391))</f>
        <v>0</v>
      </c>
      <c r="D366" s="196">
        <f t="shared" ref="D366:D370" si="51">B366-C366</f>
        <v>0</v>
      </c>
      <c r="E366" s="196">
        <f>IF(E391&lt;0,0,E391)</f>
        <v>0</v>
      </c>
    </row>
    <row r="367" ht="14.25" customHeight="1">
      <c r="A367" s="195">
        <v>2.0</v>
      </c>
      <c r="B367" s="196">
        <f t="shared" si="50"/>
        <v>0</v>
      </c>
      <c r="C367" s="196">
        <f>IF(B367=0,0,SUM(C392:C403))</f>
        <v>0</v>
      </c>
      <c r="D367" s="196">
        <f t="shared" si="51"/>
        <v>0</v>
      </c>
      <c r="E367" s="196">
        <f>IF(E403&lt;0,0,E403)</f>
        <v>0</v>
      </c>
    </row>
    <row r="368" ht="14.25" customHeight="1">
      <c r="A368" s="195">
        <v>3.0</v>
      </c>
      <c r="B368" s="196">
        <f t="shared" si="50"/>
        <v>0</v>
      </c>
      <c r="C368" s="196">
        <f>IF(B368=0,0,SUM(C404:C415))</f>
        <v>0</v>
      </c>
      <c r="D368" s="196">
        <f t="shared" si="51"/>
        <v>0</v>
      </c>
      <c r="E368" s="196">
        <f>IF(E415&lt;0,0,E415)</f>
        <v>0</v>
      </c>
    </row>
    <row r="369" ht="14.25" customHeight="1">
      <c r="A369" s="195">
        <v>4.0</v>
      </c>
      <c r="B369" s="196">
        <f t="shared" si="50"/>
        <v>0</v>
      </c>
      <c r="C369" s="196">
        <f>IF(B369=0,0,SUM(C416:C427))</f>
        <v>0</v>
      </c>
      <c r="D369" s="196">
        <f t="shared" si="51"/>
        <v>0</v>
      </c>
      <c r="E369" s="196">
        <f>IF(E427,0,E427)</f>
        <v>0</v>
      </c>
    </row>
    <row r="370" ht="14.25" customHeight="1">
      <c r="A370" s="195">
        <v>5.0</v>
      </c>
      <c r="B370" s="196">
        <f t="shared" si="50"/>
        <v>0</v>
      </c>
      <c r="C370" s="196">
        <f>IF(B370=0,0,SUM(C428:C439))</f>
        <v>0</v>
      </c>
      <c r="D370" s="196">
        <f t="shared" si="51"/>
        <v>0</v>
      </c>
      <c r="E370" s="196">
        <f>IF(E439&lt;0,0,E439)</f>
        <v>0</v>
      </c>
    </row>
    <row r="371" ht="14.25" customHeight="1">
      <c r="A371" s="194" t="s">
        <v>85</v>
      </c>
      <c r="B371" s="197">
        <f t="shared" ref="B371:C371" si="52">SUM(B366:B370)</f>
        <v>0</v>
      </c>
      <c r="C371" s="197">
        <f t="shared" si="52"/>
        <v>0</v>
      </c>
      <c r="D371" s="198">
        <f>SUM(D366:E370)</f>
        <v>0</v>
      </c>
    </row>
    <row r="372" ht="14.25" customHeight="1"/>
    <row r="373" ht="14.25" customHeight="1"/>
    <row r="374" ht="14.25" customHeight="1"/>
    <row r="375" ht="14.25" customHeight="1"/>
    <row r="376" ht="14.25" customHeight="1">
      <c r="A376" s="38" t="s">
        <v>352</v>
      </c>
    </row>
    <row r="377" ht="14.25" customHeight="1"/>
    <row r="378" ht="14.25" customHeight="1">
      <c r="A378" s="193" t="s">
        <v>233</v>
      </c>
      <c r="B378" s="193" t="s">
        <v>228</v>
      </c>
      <c r="C378" s="193" t="s">
        <v>229</v>
      </c>
      <c r="D378" s="193" t="s">
        <v>230</v>
      </c>
      <c r="E378" s="193" t="s">
        <v>231</v>
      </c>
    </row>
    <row r="379" ht="14.25" customHeight="1">
      <c r="A379" s="199">
        <v>0.0</v>
      </c>
      <c r="B379" s="200"/>
      <c r="C379" s="200"/>
      <c r="D379" s="200"/>
      <c r="E379" s="201" t="str">
        <f>D356</f>
        <v/>
      </c>
    </row>
    <row r="380" ht="14.25" customHeight="1">
      <c r="A380" s="199">
        <v>1.0</v>
      </c>
      <c r="B380" s="202">
        <f t="shared" ref="B380:B439" si="53">IF(A380&lt;=$D$357,$D$360,0)</f>
        <v>0</v>
      </c>
      <c r="C380" s="203">
        <f t="shared" ref="C380:C439" si="54">IF(E379=0,0,E379*$D$358)</f>
        <v>0</v>
      </c>
      <c r="D380" s="202">
        <f t="shared" ref="D380:D439" si="55">IF(C380=0,0,B380-C380)</f>
        <v>0</v>
      </c>
      <c r="E380" s="202">
        <f t="shared" ref="E380:E439" si="56">IF(E379-D380&lt;0,0,E379-D380)</f>
        <v>0</v>
      </c>
    </row>
    <row r="381" ht="14.25" customHeight="1">
      <c r="A381" s="199">
        <v>2.0</v>
      </c>
      <c r="B381" s="202">
        <f t="shared" si="53"/>
        <v>0</v>
      </c>
      <c r="C381" s="203">
        <f t="shared" si="54"/>
        <v>0</v>
      </c>
      <c r="D381" s="202">
        <f t="shared" si="55"/>
        <v>0</v>
      </c>
      <c r="E381" s="202">
        <f t="shared" si="56"/>
        <v>0</v>
      </c>
    </row>
    <row r="382" ht="14.25" customHeight="1">
      <c r="A382" s="199">
        <v>3.0</v>
      </c>
      <c r="B382" s="202">
        <f t="shared" si="53"/>
        <v>0</v>
      </c>
      <c r="C382" s="203">
        <f t="shared" si="54"/>
        <v>0</v>
      </c>
      <c r="D382" s="202">
        <f t="shared" si="55"/>
        <v>0</v>
      </c>
      <c r="E382" s="202">
        <f t="shared" si="56"/>
        <v>0</v>
      </c>
    </row>
    <row r="383" ht="14.25" customHeight="1">
      <c r="A383" s="199">
        <v>4.0</v>
      </c>
      <c r="B383" s="202">
        <f t="shared" si="53"/>
        <v>0</v>
      </c>
      <c r="C383" s="203">
        <f t="shared" si="54"/>
        <v>0</v>
      </c>
      <c r="D383" s="202">
        <f t="shared" si="55"/>
        <v>0</v>
      </c>
      <c r="E383" s="202">
        <f t="shared" si="56"/>
        <v>0</v>
      </c>
    </row>
    <row r="384" ht="14.25" customHeight="1">
      <c r="A384" s="199">
        <v>5.0</v>
      </c>
      <c r="B384" s="202">
        <f t="shared" si="53"/>
        <v>0</v>
      </c>
      <c r="C384" s="203">
        <f t="shared" si="54"/>
        <v>0</v>
      </c>
      <c r="D384" s="202">
        <f t="shared" si="55"/>
        <v>0</v>
      </c>
      <c r="E384" s="202">
        <f t="shared" si="56"/>
        <v>0</v>
      </c>
    </row>
    <row r="385" ht="14.25" customHeight="1">
      <c r="A385" s="199">
        <v>6.0</v>
      </c>
      <c r="B385" s="202">
        <f t="shared" si="53"/>
        <v>0</v>
      </c>
      <c r="C385" s="203">
        <f t="shared" si="54"/>
        <v>0</v>
      </c>
      <c r="D385" s="202">
        <f t="shared" si="55"/>
        <v>0</v>
      </c>
      <c r="E385" s="202">
        <f t="shared" si="56"/>
        <v>0</v>
      </c>
    </row>
    <row r="386" ht="14.25" customHeight="1">
      <c r="A386" s="199">
        <v>7.0</v>
      </c>
      <c r="B386" s="202">
        <f t="shared" si="53"/>
        <v>0</v>
      </c>
      <c r="C386" s="203">
        <f t="shared" si="54"/>
        <v>0</v>
      </c>
      <c r="D386" s="202">
        <f t="shared" si="55"/>
        <v>0</v>
      </c>
      <c r="E386" s="202">
        <f t="shared" si="56"/>
        <v>0</v>
      </c>
    </row>
    <row r="387" ht="14.25" customHeight="1">
      <c r="A387" s="199">
        <v>8.0</v>
      </c>
      <c r="B387" s="202">
        <f t="shared" si="53"/>
        <v>0</v>
      </c>
      <c r="C387" s="203">
        <f t="shared" si="54"/>
        <v>0</v>
      </c>
      <c r="D387" s="202">
        <f t="shared" si="55"/>
        <v>0</v>
      </c>
      <c r="E387" s="202">
        <f t="shared" si="56"/>
        <v>0</v>
      </c>
    </row>
    <row r="388" ht="14.25" customHeight="1">
      <c r="A388" s="199">
        <v>9.0</v>
      </c>
      <c r="B388" s="202">
        <f t="shared" si="53"/>
        <v>0</v>
      </c>
      <c r="C388" s="203">
        <f t="shared" si="54"/>
        <v>0</v>
      </c>
      <c r="D388" s="202">
        <f t="shared" si="55"/>
        <v>0</v>
      </c>
      <c r="E388" s="202">
        <f t="shared" si="56"/>
        <v>0</v>
      </c>
    </row>
    <row r="389" ht="14.25" customHeight="1">
      <c r="A389" s="199">
        <v>10.0</v>
      </c>
      <c r="B389" s="202">
        <f t="shared" si="53"/>
        <v>0</v>
      </c>
      <c r="C389" s="203">
        <f t="shared" si="54"/>
        <v>0</v>
      </c>
      <c r="D389" s="202">
        <f t="shared" si="55"/>
        <v>0</v>
      </c>
      <c r="E389" s="202">
        <f t="shared" si="56"/>
        <v>0</v>
      </c>
    </row>
    <row r="390" ht="14.25" customHeight="1">
      <c r="A390" s="199">
        <v>11.0</v>
      </c>
      <c r="B390" s="202">
        <f t="shared" si="53"/>
        <v>0</v>
      </c>
      <c r="C390" s="203">
        <f t="shared" si="54"/>
        <v>0</v>
      </c>
      <c r="D390" s="202">
        <f t="shared" si="55"/>
        <v>0</v>
      </c>
      <c r="E390" s="202">
        <f t="shared" si="56"/>
        <v>0</v>
      </c>
    </row>
    <row r="391" ht="14.25" customHeight="1">
      <c r="A391" s="204">
        <v>12.0</v>
      </c>
      <c r="B391" s="205">
        <f t="shared" si="53"/>
        <v>0</v>
      </c>
      <c r="C391" s="206">
        <f t="shared" si="54"/>
        <v>0</v>
      </c>
      <c r="D391" s="205">
        <f t="shared" si="55"/>
        <v>0</v>
      </c>
      <c r="E391" s="205">
        <f t="shared" si="56"/>
        <v>0</v>
      </c>
    </row>
    <row r="392" ht="14.25" customHeight="1">
      <c r="A392" s="207">
        <v>13.0</v>
      </c>
      <c r="B392" s="208">
        <f t="shared" si="53"/>
        <v>0</v>
      </c>
      <c r="C392" s="209">
        <f t="shared" si="54"/>
        <v>0</v>
      </c>
      <c r="D392" s="208">
        <f t="shared" si="55"/>
        <v>0</v>
      </c>
      <c r="E392" s="208">
        <f t="shared" si="56"/>
        <v>0</v>
      </c>
    </row>
    <row r="393" ht="14.25" customHeight="1">
      <c r="A393" s="199">
        <v>14.0</v>
      </c>
      <c r="B393" s="202">
        <f t="shared" si="53"/>
        <v>0</v>
      </c>
      <c r="C393" s="203">
        <f t="shared" si="54"/>
        <v>0</v>
      </c>
      <c r="D393" s="202">
        <f t="shared" si="55"/>
        <v>0</v>
      </c>
      <c r="E393" s="202">
        <f t="shared" si="56"/>
        <v>0</v>
      </c>
    </row>
    <row r="394" ht="14.25" customHeight="1">
      <c r="A394" s="199">
        <v>15.0</v>
      </c>
      <c r="B394" s="202">
        <f t="shared" si="53"/>
        <v>0</v>
      </c>
      <c r="C394" s="203">
        <f t="shared" si="54"/>
        <v>0</v>
      </c>
      <c r="D394" s="202">
        <f t="shared" si="55"/>
        <v>0</v>
      </c>
      <c r="E394" s="202">
        <f t="shared" si="56"/>
        <v>0</v>
      </c>
    </row>
    <row r="395" ht="14.25" customHeight="1">
      <c r="A395" s="199">
        <v>16.0</v>
      </c>
      <c r="B395" s="202">
        <f t="shared" si="53"/>
        <v>0</v>
      </c>
      <c r="C395" s="203">
        <f t="shared" si="54"/>
        <v>0</v>
      </c>
      <c r="D395" s="202">
        <f t="shared" si="55"/>
        <v>0</v>
      </c>
      <c r="E395" s="202">
        <f t="shared" si="56"/>
        <v>0</v>
      </c>
    </row>
    <row r="396" ht="14.25" customHeight="1">
      <c r="A396" s="199">
        <v>17.0</v>
      </c>
      <c r="B396" s="202">
        <f t="shared" si="53"/>
        <v>0</v>
      </c>
      <c r="C396" s="203">
        <f t="shared" si="54"/>
        <v>0</v>
      </c>
      <c r="D396" s="202">
        <f t="shared" si="55"/>
        <v>0</v>
      </c>
      <c r="E396" s="202">
        <f t="shared" si="56"/>
        <v>0</v>
      </c>
    </row>
    <row r="397" ht="14.25" customHeight="1">
      <c r="A397" s="199">
        <v>18.0</v>
      </c>
      <c r="B397" s="202">
        <f t="shared" si="53"/>
        <v>0</v>
      </c>
      <c r="C397" s="203">
        <f t="shared" si="54"/>
        <v>0</v>
      </c>
      <c r="D397" s="202">
        <f t="shared" si="55"/>
        <v>0</v>
      </c>
      <c r="E397" s="202">
        <f t="shared" si="56"/>
        <v>0</v>
      </c>
    </row>
    <row r="398" ht="14.25" customHeight="1">
      <c r="A398" s="199">
        <v>19.0</v>
      </c>
      <c r="B398" s="202">
        <f t="shared" si="53"/>
        <v>0</v>
      </c>
      <c r="C398" s="203">
        <f t="shared" si="54"/>
        <v>0</v>
      </c>
      <c r="D398" s="202">
        <f t="shared" si="55"/>
        <v>0</v>
      </c>
      <c r="E398" s="202">
        <f t="shared" si="56"/>
        <v>0</v>
      </c>
    </row>
    <row r="399" ht="14.25" customHeight="1">
      <c r="A399" s="199">
        <v>20.0</v>
      </c>
      <c r="B399" s="202">
        <f t="shared" si="53"/>
        <v>0</v>
      </c>
      <c r="C399" s="203">
        <f t="shared" si="54"/>
        <v>0</v>
      </c>
      <c r="D399" s="202">
        <f t="shared" si="55"/>
        <v>0</v>
      </c>
      <c r="E399" s="202">
        <f t="shared" si="56"/>
        <v>0</v>
      </c>
    </row>
    <row r="400" ht="14.25" customHeight="1">
      <c r="A400" s="199">
        <v>21.0</v>
      </c>
      <c r="B400" s="202">
        <f t="shared" si="53"/>
        <v>0</v>
      </c>
      <c r="C400" s="203">
        <f t="shared" si="54"/>
        <v>0</v>
      </c>
      <c r="D400" s="202">
        <f t="shared" si="55"/>
        <v>0</v>
      </c>
      <c r="E400" s="202">
        <f t="shared" si="56"/>
        <v>0</v>
      </c>
    </row>
    <row r="401" ht="14.25" customHeight="1">
      <c r="A401" s="199">
        <v>22.0</v>
      </c>
      <c r="B401" s="202">
        <f t="shared" si="53"/>
        <v>0</v>
      </c>
      <c r="C401" s="203">
        <f t="shared" si="54"/>
        <v>0</v>
      </c>
      <c r="D401" s="202">
        <f t="shared" si="55"/>
        <v>0</v>
      </c>
      <c r="E401" s="202">
        <f t="shared" si="56"/>
        <v>0</v>
      </c>
    </row>
    <row r="402" ht="14.25" customHeight="1">
      <c r="A402" s="199">
        <v>23.0</v>
      </c>
      <c r="B402" s="202">
        <f t="shared" si="53"/>
        <v>0</v>
      </c>
      <c r="C402" s="203">
        <f t="shared" si="54"/>
        <v>0</v>
      </c>
      <c r="D402" s="202">
        <f t="shared" si="55"/>
        <v>0</v>
      </c>
      <c r="E402" s="202">
        <f t="shared" si="56"/>
        <v>0</v>
      </c>
    </row>
    <row r="403" ht="14.25" customHeight="1">
      <c r="A403" s="204">
        <v>24.0</v>
      </c>
      <c r="B403" s="205">
        <f t="shared" si="53"/>
        <v>0</v>
      </c>
      <c r="C403" s="206">
        <f t="shared" si="54"/>
        <v>0</v>
      </c>
      <c r="D403" s="205">
        <f t="shared" si="55"/>
        <v>0</v>
      </c>
      <c r="E403" s="205">
        <f t="shared" si="56"/>
        <v>0</v>
      </c>
    </row>
    <row r="404" ht="14.25" customHeight="1">
      <c r="A404" s="207">
        <v>25.0</v>
      </c>
      <c r="B404" s="208">
        <f t="shared" si="53"/>
        <v>0</v>
      </c>
      <c r="C404" s="209">
        <f t="shared" si="54"/>
        <v>0</v>
      </c>
      <c r="D404" s="208">
        <f t="shared" si="55"/>
        <v>0</v>
      </c>
      <c r="E404" s="208">
        <f t="shared" si="56"/>
        <v>0</v>
      </c>
    </row>
    <row r="405" ht="14.25" customHeight="1">
      <c r="A405" s="199">
        <v>26.0</v>
      </c>
      <c r="B405" s="202">
        <f t="shared" si="53"/>
        <v>0</v>
      </c>
      <c r="C405" s="203">
        <f t="shared" si="54"/>
        <v>0</v>
      </c>
      <c r="D405" s="202">
        <f t="shared" si="55"/>
        <v>0</v>
      </c>
      <c r="E405" s="202">
        <f t="shared" si="56"/>
        <v>0</v>
      </c>
    </row>
    <row r="406" ht="14.25" customHeight="1">
      <c r="A406" s="199">
        <v>27.0</v>
      </c>
      <c r="B406" s="202">
        <f t="shared" si="53"/>
        <v>0</v>
      </c>
      <c r="C406" s="203">
        <f t="shared" si="54"/>
        <v>0</v>
      </c>
      <c r="D406" s="202">
        <f t="shared" si="55"/>
        <v>0</v>
      </c>
      <c r="E406" s="202">
        <f t="shared" si="56"/>
        <v>0</v>
      </c>
    </row>
    <row r="407" ht="14.25" customHeight="1">
      <c r="A407" s="199">
        <v>28.0</v>
      </c>
      <c r="B407" s="202">
        <f t="shared" si="53"/>
        <v>0</v>
      </c>
      <c r="C407" s="203">
        <f t="shared" si="54"/>
        <v>0</v>
      </c>
      <c r="D407" s="202">
        <f t="shared" si="55"/>
        <v>0</v>
      </c>
      <c r="E407" s="202">
        <f t="shared" si="56"/>
        <v>0</v>
      </c>
    </row>
    <row r="408" ht="14.25" customHeight="1">
      <c r="A408" s="199">
        <v>29.0</v>
      </c>
      <c r="B408" s="202">
        <f t="shared" si="53"/>
        <v>0</v>
      </c>
      <c r="C408" s="203">
        <f t="shared" si="54"/>
        <v>0</v>
      </c>
      <c r="D408" s="202">
        <f t="shared" si="55"/>
        <v>0</v>
      </c>
      <c r="E408" s="202">
        <f t="shared" si="56"/>
        <v>0</v>
      </c>
    </row>
    <row r="409" ht="14.25" customHeight="1">
      <c r="A409" s="199">
        <v>30.0</v>
      </c>
      <c r="B409" s="202">
        <f t="shared" si="53"/>
        <v>0</v>
      </c>
      <c r="C409" s="203">
        <f t="shared" si="54"/>
        <v>0</v>
      </c>
      <c r="D409" s="202">
        <f t="shared" si="55"/>
        <v>0</v>
      </c>
      <c r="E409" s="202">
        <f t="shared" si="56"/>
        <v>0</v>
      </c>
    </row>
    <row r="410" ht="14.25" customHeight="1">
      <c r="A410" s="199">
        <v>31.0</v>
      </c>
      <c r="B410" s="202">
        <f t="shared" si="53"/>
        <v>0</v>
      </c>
      <c r="C410" s="203">
        <f t="shared" si="54"/>
        <v>0</v>
      </c>
      <c r="D410" s="202">
        <f t="shared" si="55"/>
        <v>0</v>
      </c>
      <c r="E410" s="202">
        <f t="shared" si="56"/>
        <v>0</v>
      </c>
    </row>
    <row r="411" ht="14.25" customHeight="1">
      <c r="A411" s="199">
        <v>32.0</v>
      </c>
      <c r="B411" s="202">
        <f t="shared" si="53"/>
        <v>0</v>
      </c>
      <c r="C411" s="203">
        <f t="shared" si="54"/>
        <v>0</v>
      </c>
      <c r="D411" s="202">
        <f t="shared" si="55"/>
        <v>0</v>
      </c>
      <c r="E411" s="202">
        <f t="shared" si="56"/>
        <v>0</v>
      </c>
    </row>
    <row r="412" ht="14.25" customHeight="1">
      <c r="A412" s="199">
        <v>33.0</v>
      </c>
      <c r="B412" s="202">
        <f t="shared" si="53"/>
        <v>0</v>
      </c>
      <c r="C412" s="203">
        <f t="shared" si="54"/>
        <v>0</v>
      </c>
      <c r="D412" s="202">
        <f t="shared" si="55"/>
        <v>0</v>
      </c>
      <c r="E412" s="202">
        <f t="shared" si="56"/>
        <v>0</v>
      </c>
    </row>
    <row r="413" ht="14.25" customHeight="1">
      <c r="A413" s="199">
        <v>34.0</v>
      </c>
      <c r="B413" s="202">
        <f t="shared" si="53"/>
        <v>0</v>
      </c>
      <c r="C413" s="203">
        <f t="shared" si="54"/>
        <v>0</v>
      </c>
      <c r="D413" s="202">
        <f t="shared" si="55"/>
        <v>0</v>
      </c>
      <c r="E413" s="202">
        <f t="shared" si="56"/>
        <v>0</v>
      </c>
    </row>
    <row r="414" ht="14.25" customHeight="1">
      <c r="A414" s="199">
        <v>35.0</v>
      </c>
      <c r="B414" s="202">
        <f t="shared" si="53"/>
        <v>0</v>
      </c>
      <c r="C414" s="203">
        <f t="shared" si="54"/>
        <v>0</v>
      </c>
      <c r="D414" s="202">
        <f t="shared" si="55"/>
        <v>0</v>
      </c>
      <c r="E414" s="202">
        <f t="shared" si="56"/>
        <v>0</v>
      </c>
    </row>
    <row r="415" ht="14.25" customHeight="1">
      <c r="A415" s="204">
        <v>36.0</v>
      </c>
      <c r="B415" s="205">
        <f t="shared" si="53"/>
        <v>0</v>
      </c>
      <c r="C415" s="206">
        <f t="shared" si="54"/>
        <v>0</v>
      </c>
      <c r="D415" s="205">
        <f t="shared" si="55"/>
        <v>0</v>
      </c>
      <c r="E415" s="205">
        <f t="shared" si="56"/>
        <v>0</v>
      </c>
    </row>
    <row r="416" ht="14.25" customHeight="1">
      <c r="A416" s="207">
        <v>37.0</v>
      </c>
      <c r="B416" s="208">
        <f t="shared" si="53"/>
        <v>0</v>
      </c>
      <c r="C416" s="209">
        <f t="shared" si="54"/>
        <v>0</v>
      </c>
      <c r="D416" s="208">
        <f t="shared" si="55"/>
        <v>0</v>
      </c>
      <c r="E416" s="208">
        <f t="shared" si="56"/>
        <v>0</v>
      </c>
    </row>
    <row r="417" ht="14.25" customHeight="1">
      <c r="A417" s="199">
        <v>38.0</v>
      </c>
      <c r="B417" s="202">
        <f t="shared" si="53"/>
        <v>0</v>
      </c>
      <c r="C417" s="203">
        <f t="shared" si="54"/>
        <v>0</v>
      </c>
      <c r="D417" s="202">
        <f t="shared" si="55"/>
        <v>0</v>
      </c>
      <c r="E417" s="202">
        <f t="shared" si="56"/>
        <v>0</v>
      </c>
    </row>
    <row r="418" ht="14.25" customHeight="1">
      <c r="A418" s="199">
        <v>39.0</v>
      </c>
      <c r="B418" s="202">
        <f t="shared" si="53"/>
        <v>0</v>
      </c>
      <c r="C418" s="203">
        <f t="shared" si="54"/>
        <v>0</v>
      </c>
      <c r="D418" s="202">
        <f t="shared" si="55"/>
        <v>0</v>
      </c>
      <c r="E418" s="202">
        <f t="shared" si="56"/>
        <v>0</v>
      </c>
    </row>
    <row r="419" ht="14.25" customHeight="1">
      <c r="A419" s="199">
        <v>40.0</v>
      </c>
      <c r="B419" s="202">
        <f t="shared" si="53"/>
        <v>0</v>
      </c>
      <c r="C419" s="203">
        <f t="shared" si="54"/>
        <v>0</v>
      </c>
      <c r="D419" s="202">
        <f t="shared" si="55"/>
        <v>0</v>
      </c>
      <c r="E419" s="202">
        <f t="shared" si="56"/>
        <v>0</v>
      </c>
    </row>
    <row r="420" ht="14.25" customHeight="1">
      <c r="A420" s="199">
        <v>41.0</v>
      </c>
      <c r="B420" s="202">
        <f t="shared" si="53"/>
        <v>0</v>
      </c>
      <c r="C420" s="203">
        <f t="shared" si="54"/>
        <v>0</v>
      </c>
      <c r="D420" s="202">
        <f t="shared" si="55"/>
        <v>0</v>
      </c>
      <c r="E420" s="202">
        <f t="shared" si="56"/>
        <v>0</v>
      </c>
    </row>
    <row r="421" ht="14.25" customHeight="1">
      <c r="A421" s="199">
        <v>42.0</v>
      </c>
      <c r="B421" s="202">
        <f t="shared" si="53"/>
        <v>0</v>
      </c>
      <c r="C421" s="203">
        <f t="shared" si="54"/>
        <v>0</v>
      </c>
      <c r="D421" s="202">
        <f t="shared" si="55"/>
        <v>0</v>
      </c>
      <c r="E421" s="202">
        <f t="shared" si="56"/>
        <v>0</v>
      </c>
    </row>
    <row r="422" ht="14.25" customHeight="1">
      <c r="A422" s="199">
        <v>43.0</v>
      </c>
      <c r="B422" s="202">
        <f t="shared" si="53"/>
        <v>0</v>
      </c>
      <c r="C422" s="203">
        <f t="shared" si="54"/>
        <v>0</v>
      </c>
      <c r="D422" s="202">
        <f t="shared" si="55"/>
        <v>0</v>
      </c>
      <c r="E422" s="202">
        <f t="shared" si="56"/>
        <v>0</v>
      </c>
    </row>
    <row r="423" ht="14.25" customHeight="1">
      <c r="A423" s="199">
        <v>44.0</v>
      </c>
      <c r="B423" s="202">
        <f t="shared" si="53"/>
        <v>0</v>
      </c>
      <c r="C423" s="203">
        <f t="shared" si="54"/>
        <v>0</v>
      </c>
      <c r="D423" s="202">
        <f t="shared" si="55"/>
        <v>0</v>
      </c>
      <c r="E423" s="202">
        <f t="shared" si="56"/>
        <v>0</v>
      </c>
    </row>
    <row r="424" ht="14.25" customHeight="1">
      <c r="A424" s="199">
        <v>45.0</v>
      </c>
      <c r="B424" s="202">
        <f t="shared" si="53"/>
        <v>0</v>
      </c>
      <c r="C424" s="203">
        <f t="shared" si="54"/>
        <v>0</v>
      </c>
      <c r="D424" s="202">
        <f t="shared" si="55"/>
        <v>0</v>
      </c>
      <c r="E424" s="202">
        <f t="shared" si="56"/>
        <v>0</v>
      </c>
    </row>
    <row r="425" ht="14.25" customHeight="1">
      <c r="A425" s="199">
        <v>46.0</v>
      </c>
      <c r="B425" s="202">
        <f t="shared" si="53"/>
        <v>0</v>
      </c>
      <c r="C425" s="203">
        <f t="shared" si="54"/>
        <v>0</v>
      </c>
      <c r="D425" s="202">
        <f t="shared" si="55"/>
        <v>0</v>
      </c>
      <c r="E425" s="202">
        <f t="shared" si="56"/>
        <v>0</v>
      </c>
    </row>
    <row r="426" ht="14.25" customHeight="1">
      <c r="A426" s="199">
        <v>47.0</v>
      </c>
      <c r="B426" s="202">
        <f t="shared" si="53"/>
        <v>0</v>
      </c>
      <c r="C426" s="203">
        <f t="shared" si="54"/>
        <v>0</v>
      </c>
      <c r="D426" s="202">
        <f t="shared" si="55"/>
        <v>0</v>
      </c>
      <c r="E426" s="202">
        <f t="shared" si="56"/>
        <v>0</v>
      </c>
    </row>
    <row r="427" ht="14.25" customHeight="1">
      <c r="A427" s="204">
        <v>48.0</v>
      </c>
      <c r="B427" s="205">
        <f t="shared" si="53"/>
        <v>0</v>
      </c>
      <c r="C427" s="206">
        <f t="shared" si="54"/>
        <v>0</v>
      </c>
      <c r="D427" s="205">
        <f t="shared" si="55"/>
        <v>0</v>
      </c>
      <c r="E427" s="205">
        <f t="shared" si="56"/>
        <v>0</v>
      </c>
    </row>
    <row r="428" ht="14.25" customHeight="1">
      <c r="A428" s="207">
        <v>49.0</v>
      </c>
      <c r="B428" s="208">
        <f t="shared" si="53"/>
        <v>0</v>
      </c>
      <c r="C428" s="209">
        <f t="shared" si="54"/>
        <v>0</v>
      </c>
      <c r="D428" s="208">
        <f t="shared" si="55"/>
        <v>0</v>
      </c>
      <c r="E428" s="208">
        <f t="shared" si="56"/>
        <v>0</v>
      </c>
    </row>
    <row r="429" ht="14.25" customHeight="1">
      <c r="A429" s="199">
        <v>50.0</v>
      </c>
      <c r="B429" s="202">
        <f t="shared" si="53"/>
        <v>0</v>
      </c>
      <c r="C429" s="203">
        <f t="shared" si="54"/>
        <v>0</v>
      </c>
      <c r="D429" s="202">
        <f t="shared" si="55"/>
        <v>0</v>
      </c>
      <c r="E429" s="202">
        <f t="shared" si="56"/>
        <v>0</v>
      </c>
    </row>
    <row r="430" ht="14.25" customHeight="1">
      <c r="A430" s="199">
        <v>51.0</v>
      </c>
      <c r="B430" s="202">
        <f t="shared" si="53"/>
        <v>0</v>
      </c>
      <c r="C430" s="203">
        <f t="shared" si="54"/>
        <v>0</v>
      </c>
      <c r="D430" s="202">
        <f t="shared" si="55"/>
        <v>0</v>
      </c>
      <c r="E430" s="202">
        <f t="shared" si="56"/>
        <v>0</v>
      </c>
    </row>
    <row r="431" ht="14.25" customHeight="1">
      <c r="A431" s="199">
        <v>52.0</v>
      </c>
      <c r="B431" s="202">
        <f t="shared" si="53"/>
        <v>0</v>
      </c>
      <c r="C431" s="203">
        <f t="shared" si="54"/>
        <v>0</v>
      </c>
      <c r="D431" s="202">
        <f t="shared" si="55"/>
        <v>0</v>
      </c>
      <c r="E431" s="202">
        <f t="shared" si="56"/>
        <v>0</v>
      </c>
    </row>
    <row r="432" ht="14.25" customHeight="1">
      <c r="A432" s="199">
        <v>53.0</v>
      </c>
      <c r="B432" s="202">
        <f t="shared" si="53"/>
        <v>0</v>
      </c>
      <c r="C432" s="203">
        <f t="shared" si="54"/>
        <v>0</v>
      </c>
      <c r="D432" s="202">
        <f t="shared" si="55"/>
        <v>0</v>
      </c>
      <c r="E432" s="202">
        <f t="shared" si="56"/>
        <v>0</v>
      </c>
    </row>
    <row r="433" ht="14.25" customHeight="1">
      <c r="A433" s="199">
        <v>54.0</v>
      </c>
      <c r="B433" s="202">
        <f t="shared" si="53"/>
        <v>0</v>
      </c>
      <c r="C433" s="203">
        <f t="shared" si="54"/>
        <v>0</v>
      </c>
      <c r="D433" s="202">
        <f t="shared" si="55"/>
        <v>0</v>
      </c>
      <c r="E433" s="202">
        <f t="shared" si="56"/>
        <v>0</v>
      </c>
    </row>
    <row r="434" ht="14.25" customHeight="1">
      <c r="A434" s="199">
        <v>55.0</v>
      </c>
      <c r="B434" s="202">
        <f t="shared" si="53"/>
        <v>0</v>
      </c>
      <c r="C434" s="203">
        <f t="shared" si="54"/>
        <v>0</v>
      </c>
      <c r="D434" s="202">
        <f t="shared" si="55"/>
        <v>0</v>
      </c>
      <c r="E434" s="202">
        <f t="shared" si="56"/>
        <v>0</v>
      </c>
    </row>
    <row r="435" ht="14.25" customHeight="1">
      <c r="A435" s="199">
        <v>56.0</v>
      </c>
      <c r="B435" s="202">
        <f t="shared" si="53"/>
        <v>0</v>
      </c>
      <c r="C435" s="203">
        <f t="shared" si="54"/>
        <v>0</v>
      </c>
      <c r="D435" s="202">
        <f t="shared" si="55"/>
        <v>0</v>
      </c>
      <c r="E435" s="202">
        <f t="shared" si="56"/>
        <v>0</v>
      </c>
    </row>
    <row r="436" ht="14.25" customHeight="1">
      <c r="A436" s="199">
        <v>57.0</v>
      </c>
      <c r="B436" s="202">
        <f t="shared" si="53"/>
        <v>0</v>
      </c>
      <c r="C436" s="203">
        <f t="shared" si="54"/>
        <v>0</v>
      </c>
      <c r="D436" s="202">
        <f t="shared" si="55"/>
        <v>0</v>
      </c>
      <c r="E436" s="202">
        <f t="shared" si="56"/>
        <v>0</v>
      </c>
    </row>
    <row r="437" ht="14.25" customHeight="1">
      <c r="A437" s="199">
        <v>58.0</v>
      </c>
      <c r="B437" s="202">
        <f t="shared" si="53"/>
        <v>0</v>
      </c>
      <c r="C437" s="203">
        <f t="shared" si="54"/>
        <v>0</v>
      </c>
      <c r="D437" s="202">
        <f t="shared" si="55"/>
        <v>0</v>
      </c>
      <c r="E437" s="202">
        <f t="shared" si="56"/>
        <v>0</v>
      </c>
    </row>
    <row r="438" ht="14.25" customHeight="1">
      <c r="A438" s="199">
        <v>59.0</v>
      </c>
      <c r="B438" s="202">
        <f t="shared" si="53"/>
        <v>0</v>
      </c>
      <c r="C438" s="203">
        <f t="shared" si="54"/>
        <v>0</v>
      </c>
      <c r="D438" s="202">
        <f t="shared" si="55"/>
        <v>0</v>
      </c>
      <c r="E438" s="202">
        <f t="shared" si="56"/>
        <v>0</v>
      </c>
    </row>
    <row r="439" ht="14.25" customHeight="1">
      <c r="A439" s="204">
        <v>60.0</v>
      </c>
      <c r="B439" s="205">
        <f t="shared" si="53"/>
        <v>0</v>
      </c>
      <c r="C439" s="206">
        <f t="shared" si="54"/>
        <v>0</v>
      </c>
      <c r="D439" s="205">
        <f t="shared" si="55"/>
        <v>0</v>
      </c>
      <c r="E439" s="205">
        <f t="shared" si="56"/>
        <v>0</v>
      </c>
    </row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>
      <c r="A478" s="79" t="s">
        <v>234</v>
      </c>
    </row>
    <row r="479" ht="15.75" customHeight="1">
      <c r="A479" s="79"/>
      <c r="B479" s="79"/>
      <c r="C479" s="79"/>
    </row>
    <row r="480" ht="14.25" customHeight="1"/>
    <row r="481" ht="15.75" customHeight="1">
      <c r="A481" s="210" t="str">
        <f>UPPER("Unidades proyectadas a producir en el año")</f>
        <v>UNIDADES PROYECTADAS A PRODUCIR EN EL AÑO</v>
      </c>
      <c r="B481" s="56"/>
      <c r="C481" s="15"/>
      <c r="D481" s="211">
        <f>1217*0.95</f>
        <v>1156.15</v>
      </c>
    </row>
    <row r="482" ht="15.75" customHeight="1">
      <c r="A482" s="210" t="str">
        <f>UPPER("Unidades proyectadas a producir en el MES")</f>
        <v>UNIDADES PROYECTADAS A PRODUCIR EN EL MES</v>
      </c>
      <c r="B482" s="56"/>
      <c r="C482" s="15"/>
      <c r="D482" s="212">
        <f>D481/12</f>
        <v>96.34583333</v>
      </c>
    </row>
    <row r="483" ht="15.75" customHeight="1"/>
    <row r="484" ht="15.75" customHeight="1"/>
    <row r="485" ht="15.75" customHeight="1">
      <c r="A485" s="125" t="s">
        <v>235</v>
      </c>
    </row>
    <row r="486" ht="15.0" customHeight="1"/>
    <row r="487" ht="14.25" customHeight="1"/>
    <row r="488" ht="14.25" customHeight="1">
      <c r="A488" s="210" t="str">
        <f>UPPER("Costo de producción por unidad")</f>
        <v>COSTO DE PRODUCCIÓN POR UNIDAD</v>
      </c>
      <c r="B488" s="56"/>
      <c r="C488" s="15"/>
      <c r="D488" s="213">
        <f>E327</f>
        <v>137662.9956</v>
      </c>
    </row>
    <row r="489" ht="14.25" customHeight="1">
      <c r="A489" s="210" t="str">
        <f>UPPER("Margen de utilidad")</f>
        <v>MARGEN DE UTILIDAD</v>
      </c>
      <c r="B489" s="56"/>
      <c r="C489" s="15"/>
      <c r="D489" s="214">
        <f>1-(D488/D490)</f>
        <v>0.3116850218</v>
      </c>
    </row>
    <row r="490" ht="14.25" customHeight="1">
      <c r="A490" s="210" t="str">
        <f>UPPER("Precio estimado de venta")</f>
        <v>PRECIO ESTIMADO DE VENTA</v>
      </c>
      <c r="B490" s="56"/>
      <c r="C490" s="15"/>
      <c r="D490" s="215">
        <v>200000.0</v>
      </c>
    </row>
    <row r="491" ht="14.25" customHeight="1"/>
    <row r="492" ht="14.25" customHeight="1"/>
    <row r="493" ht="14.25" customHeight="1"/>
    <row r="494" ht="14.25" customHeight="1">
      <c r="A494" s="125" t="s">
        <v>101</v>
      </c>
      <c r="D494" s="146" t="s">
        <v>123</v>
      </c>
    </row>
    <row r="495" ht="14.25" customHeight="1">
      <c r="A495" s="125"/>
      <c r="B495" s="125"/>
      <c r="C495" s="125"/>
    </row>
    <row r="496" ht="14.25" customHeight="1"/>
    <row r="497" ht="14.25" customHeight="1">
      <c r="C497" s="216" t="s">
        <v>236</v>
      </c>
      <c r="D497" s="216" t="s">
        <v>237</v>
      </c>
      <c r="E497" s="216" t="s">
        <v>238</v>
      </c>
      <c r="F497" s="216" t="s">
        <v>239</v>
      </c>
      <c r="G497" s="216" t="s">
        <v>240</v>
      </c>
    </row>
    <row r="498" ht="14.25" customHeight="1">
      <c r="A498" s="217" t="s">
        <v>241</v>
      </c>
      <c r="B498" s="15"/>
      <c r="C498" s="218">
        <f>D481</f>
        <v>1156.15</v>
      </c>
      <c r="D498" s="218">
        <f>ROUNDUP(C498*(1+D499),0)</f>
        <v>1281</v>
      </c>
      <c r="E498" s="218">
        <f t="shared" ref="E498:G498" si="57">D498*(1+E499)</f>
        <v>1431.6456</v>
      </c>
      <c r="F498" s="218">
        <f t="shared" si="57"/>
        <v>1614.037249</v>
      </c>
      <c r="G498" s="218">
        <f t="shared" si="57"/>
        <v>1835.48316</v>
      </c>
    </row>
    <row r="499" ht="14.25" customHeight="1">
      <c r="A499" s="217" t="s">
        <v>242</v>
      </c>
      <c r="B499" s="15"/>
      <c r="C499" s="219" t="s">
        <v>243</v>
      </c>
      <c r="D499" s="220">
        <v>0.10779999999999745</v>
      </c>
      <c r="E499" s="220">
        <v>0.11759999999999948</v>
      </c>
      <c r="F499" s="220">
        <v>0.12739999999999796</v>
      </c>
      <c r="G499" s="220">
        <v>0.13719999999999644</v>
      </c>
    </row>
    <row r="500" ht="14.25" customHeight="1">
      <c r="D500" s="221"/>
      <c r="E500" s="221"/>
      <c r="F500" s="221"/>
      <c r="G500" s="221"/>
    </row>
    <row r="501" ht="14.25" customHeight="1"/>
    <row r="502" ht="14.25" customHeight="1">
      <c r="A502" s="125" t="s">
        <v>103</v>
      </c>
      <c r="H502" s="146" t="s">
        <v>123</v>
      </c>
    </row>
    <row r="503" ht="14.25" customHeight="1"/>
    <row r="504" ht="14.25" customHeight="1"/>
    <row r="505" ht="14.25" customHeight="1">
      <c r="D505" s="222" t="s">
        <v>236</v>
      </c>
      <c r="E505" s="222" t="s">
        <v>237</v>
      </c>
      <c r="F505" s="222" t="s">
        <v>238</v>
      </c>
      <c r="G505" s="222" t="s">
        <v>239</v>
      </c>
      <c r="H505" s="222" t="s">
        <v>240</v>
      </c>
    </row>
    <row r="506" ht="14.25" customHeight="1">
      <c r="A506" s="108" t="str">
        <f>UPPER("Ingresos operacionales por ventas")</f>
        <v>INGRESOS OPERACIONALES POR VENTAS</v>
      </c>
      <c r="B506" s="40"/>
      <c r="C506" s="41"/>
      <c r="D506" s="223">
        <f t="shared" ref="D506:H506" si="58">C498*$D$490</f>
        <v>231230000</v>
      </c>
      <c r="E506" s="223">
        <f t="shared" si="58"/>
        <v>256200000</v>
      </c>
      <c r="F506" s="223">
        <f t="shared" si="58"/>
        <v>286329120</v>
      </c>
      <c r="G506" s="223">
        <f t="shared" si="58"/>
        <v>322807449.9</v>
      </c>
      <c r="H506" s="223">
        <f t="shared" si="58"/>
        <v>367096632</v>
      </c>
    </row>
    <row r="507" ht="14.25" customHeight="1">
      <c r="A507" s="224" t="s">
        <v>244</v>
      </c>
      <c r="B507" s="40"/>
      <c r="C507" s="41"/>
      <c r="D507" s="225">
        <f t="shared" ref="D507:H507" si="59">SUM(D508:D511)</f>
        <v>126373072.4</v>
      </c>
      <c r="E507" s="225">
        <f t="shared" si="59"/>
        <v>140002062.3</v>
      </c>
      <c r="F507" s="225">
        <f t="shared" si="59"/>
        <v>156466304.8</v>
      </c>
      <c r="G507" s="225">
        <f t="shared" si="59"/>
        <v>176400112</v>
      </c>
      <c r="H507" s="225">
        <f t="shared" si="59"/>
        <v>200602207.4</v>
      </c>
    </row>
    <row r="508" ht="14.25" customHeight="1">
      <c r="A508" s="226" t="s">
        <v>162</v>
      </c>
      <c r="B508" s="40"/>
      <c r="C508" s="41"/>
      <c r="D508" s="130">
        <f>$E$155</f>
        <v>61457822.4</v>
      </c>
      <c r="E508" s="130">
        <f t="shared" ref="E508:H508" si="60">D508*(1+D499)</f>
        <v>68082975.65</v>
      </c>
      <c r="F508" s="130">
        <f t="shared" si="60"/>
        <v>76089533.59</v>
      </c>
      <c r="G508" s="130">
        <f t="shared" si="60"/>
        <v>85783340.17</v>
      </c>
      <c r="H508" s="130">
        <f t="shared" si="60"/>
        <v>97552814.44</v>
      </c>
    </row>
    <row r="509" ht="14.25" customHeight="1">
      <c r="A509" s="226" t="s">
        <v>193</v>
      </c>
      <c r="B509" s="40"/>
      <c r="C509" s="41"/>
      <c r="D509" s="130">
        <f t="shared" ref="D509:H509" si="61">C498*$G$201</f>
        <v>29383750</v>
      </c>
      <c r="E509" s="130">
        <f t="shared" si="61"/>
        <v>32556834.1</v>
      </c>
      <c r="F509" s="130">
        <f t="shared" si="61"/>
        <v>36385517.8</v>
      </c>
      <c r="G509" s="130">
        <f t="shared" si="61"/>
        <v>41021032.76</v>
      </c>
      <c r="H509" s="130">
        <f t="shared" si="61"/>
        <v>46649118.46</v>
      </c>
    </row>
    <row r="510" ht="14.25" customHeight="1">
      <c r="A510" s="226" t="s">
        <v>245</v>
      </c>
      <c r="B510" s="40"/>
      <c r="C510" s="41"/>
      <c r="D510" s="130">
        <f>$D$300</f>
        <v>33097900</v>
      </c>
      <c r="E510" s="130">
        <f t="shared" ref="E510:H510" si="62">D510*(1+D499)</f>
        <v>36665853.62</v>
      </c>
      <c r="F510" s="130">
        <f t="shared" si="62"/>
        <v>40977758.01</v>
      </c>
      <c r="G510" s="130">
        <f t="shared" si="62"/>
        <v>46198324.38</v>
      </c>
      <c r="H510" s="130">
        <f t="shared" si="62"/>
        <v>52536734.48</v>
      </c>
    </row>
    <row r="511" ht="14.25" customHeight="1">
      <c r="A511" s="226" t="s">
        <v>246</v>
      </c>
      <c r="B511" s="40"/>
      <c r="C511" s="41"/>
      <c r="D511" s="130">
        <f>D316</f>
        <v>2433600</v>
      </c>
      <c r="E511" s="130">
        <f t="shared" ref="E511:H511" si="63">(($D$511/$C$498)*D498)</f>
        <v>2696398.91</v>
      </c>
      <c r="F511" s="130">
        <f t="shared" si="63"/>
        <v>3013495.422</v>
      </c>
      <c r="G511" s="130">
        <f t="shared" si="63"/>
        <v>3397414.739</v>
      </c>
      <c r="H511" s="130">
        <f t="shared" si="63"/>
        <v>3863540.041</v>
      </c>
    </row>
    <row r="512" ht="14.25" customHeight="1">
      <c r="A512" s="108" t="s">
        <v>247</v>
      </c>
      <c r="B512" s="40"/>
      <c r="C512" s="41"/>
      <c r="D512" s="133">
        <f t="shared" ref="D512:H512" si="64">D506-D507</f>
        <v>104856927.6</v>
      </c>
      <c r="E512" s="133">
        <f t="shared" si="64"/>
        <v>116197937.7</v>
      </c>
      <c r="F512" s="133">
        <f t="shared" si="64"/>
        <v>129862815.2</v>
      </c>
      <c r="G512" s="133">
        <f t="shared" si="64"/>
        <v>146407337.8</v>
      </c>
      <c r="H512" s="133">
        <f t="shared" si="64"/>
        <v>166494424.6</v>
      </c>
    </row>
    <row r="513" ht="14.25" customHeight="1">
      <c r="A513" s="224" t="str">
        <f>UPPER("Gastos administrativos y de ventas")</f>
        <v>GASTOS ADMINISTRATIVOS Y DE VENTAS</v>
      </c>
      <c r="B513" s="40"/>
      <c r="C513" s="41"/>
      <c r="D513" s="225">
        <f>$E$265</f>
        <v>32786000</v>
      </c>
      <c r="E513" s="225">
        <f t="shared" ref="E513:H513" si="65">$E$265*(1+D499)</f>
        <v>36320330.8</v>
      </c>
      <c r="F513" s="225">
        <f t="shared" si="65"/>
        <v>36641633.6</v>
      </c>
      <c r="G513" s="225">
        <f t="shared" si="65"/>
        <v>36962936.4</v>
      </c>
      <c r="H513" s="225">
        <f t="shared" si="65"/>
        <v>37284239.2</v>
      </c>
    </row>
    <row r="514" ht="14.25" customHeight="1">
      <c r="A514" s="108" t="s">
        <v>248</v>
      </c>
      <c r="B514" s="40"/>
      <c r="C514" s="41"/>
      <c r="D514" s="133">
        <f t="shared" ref="D514:H514" si="66">D512-D513</f>
        <v>72070927.6</v>
      </c>
      <c r="E514" s="133">
        <f t="shared" si="66"/>
        <v>79877606.91</v>
      </c>
      <c r="F514" s="133">
        <f t="shared" si="66"/>
        <v>93221181.59</v>
      </c>
      <c r="G514" s="133">
        <f t="shared" si="66"/>
        <v>109444401.4</v>
      </c>
      <c r="H514" s="133">
        <f t="shared" si="66"/>
        <v>129210185.4</v>
      </c>
    </row>
    <row r="515" ht="14.25" customHeight="1">
      <c r="A515" s="226" t="s">
        <v>211</v>
      </c>
      <c r="B515" s="40"/>
      <c r="C515" s="41"/>
      <c r="D515" s="130">
        <f>C273</f>
        <v>0</v>
      </c>
      <c r="E515" s="130">
        <f>C274</f>
        <v>0</v>
      </c>
      <c r="F515" s="130">
        <f>C275</f>
        <v>0</v>
      </c>
      <c r="G515" s="130">
        <f>C276</f>
        <v>0</v>
      </c>
      <c r="H515" s="130">
        <f>C277</f>
        <v>0</v>
      </c>
    </row>
    <row r="516" ht="14.25" customHeight="1">
      <c r="A516" s="226" t="s">
        <v>212</v>
      </c>
      <c r="B516" s="40"/>
      <c r="C516" s="41"/>
      <c r="D516" s="130">
        <f t="shared" ref="D516:H516" si="67">D506*0.004</f>
        <v>924920</v>
      </c>
      <c r="E516" s="130">
        <f t="shared" si="67"/>
        <v>1024800</v>
      </c>
      <c r="F516" s="130">
        <f t="shared" si="67"/>
        <v>1145316.48</v>
      </c>
      <c r="G516" s="130">
        <f t="shared" si="67"/>
        <v>1291229.8</v>
      </c>
      <c r="H516" s="130">
        <f t="shared" si="67"/>
        <v>1468386.528</v>
      </c>
    </row>
    <row r="517" ht="14.25" customHeight="1">
      <c r="A517" s="226" t="s">
        <v>249</v>
      </c>
      <c r="B517" s="40"/>
      <c r="C517" s="41"/>
      <c r="D517" s="136"/>
      <c r="E517" s="227"/>
      <c r="F517" s="227"/>
      <c r="G517" s="227"/>
      <c r="H517" s="136"/>
    </row>
    <row r="518" ht="14.25" customHeight="1">
      <c r="A518" s="108" t="s">
        <v>250</v>
      </c>
      <c r="B518" s="40"/>
      <c r="C518" s="41"/>
      <c r="D518" s="133">
        <f t="shared" ref="D518:H518" si="68">D514-SUM(D515:D517)</f>
        <v>71146007.6</v>
      </c>
      <c r="E518" s="133">
        <f t="shared" si="68"/>
        <v>78852806.91</v>
      </c>
      <c r="F518" s="133">
        <f t="shared" si="68"/>
        <v>92075865.11</v>
      </c>
      <c r="G518" s="133">
        <f t="shared" si="68"/>
        <v>108153171.6</v>
      </c>
      <c r="H518" s="133">
        <f t="shared" si="68"/>
        <v>127741798.9</v>
      </c>
    </row>
    <row r="519" ht="14.25" customHeight="1">
      <c r="A519" s="226" t="s">
        <v>251</v>
      </c>
      <c r="B519" s="41"/>
      <c r="C519" s="166">
        <v>0.33</v>
      </c>
      <c r="D519" s="136">
        <f t="shared" ref="D519:H519" si="69">IF(D518&gt;0,D518*$C$519,0)</f>
        <v>23478182.51</v>
      </c>
      <c r="E519" s="136">
        <f t="shared" si="69"/>
        <v>26021426.28</v>
      </c>
      <c r="F519" s="136">
        <f t="shared" si="69"/>
        <v>30385035.48</v>
      </c>
      <c r="G519" s="136">
        <f t="shared" si="69"/>
        <v>35690546.64</v>
      </c>
      <c r="H519" s="136">
        <f t="shared" si="69"/>
        <v>42154793.62</v>
      </c>
    </row>
    <row r="520" ht="14.25" customHeight="1">
      <c r="A520" s="108" t="s">
        <v>252</v>
      </c>
      <c r="B520" s="40"/>
      <c r="C520" s="41"/>
      <c r="D520" s="133">
        <f t="shared" ref="D520:H520" si="70">D518-D519</f>
        <v>47667825.09</v>
      </c>
      <c r="E520" s="133">
        <f t="shared" si="70"/>
        <v>52831380.63</v>
      </c>
      <c r="F520" s="133">
        <f t="shared" si="70"/>
        <v>61690829.62</v>
      </c>
      <c r="G520" s="133">
        <f t="shared" si="70"/>
        <v>72462625</v>
      </c>
      <c r="H520" s="133">
        <f t="shared" si="70"/>
        <v>85587005.24</v>
      </c>
    </row>
    <row r="521" ht="14.25" customHeight="1">
      <c r="A521" s="226" t="s">
        <v>253</v>
      </c>
      <c r="B521" s="41"/>
      <c r="C521" s="166">
        <v>0.1</v>
      </c>
      <c r="D521" s="136">
        <f t="shared" ref="D521:H521" si="71">IF(D520&lt;0,0,D520*$C$521)</f>
        <v>4766782.509</v>
      </c>
      <c r="E521" s="136">
        <f t="shared" si="71"/>
        <v>5283138.063</v>
      </c>
      <c r="F521" s="136">
        <f t="shared" si="71"/>
        <v>6169082.962</v>
      </c>
      <c r="G521" s="136">
        <f t="shared" si="71"/>
        <v>7246262.5</v>
      </c>
      <c r="H521" s="136">
        <f t="shared" si="71"/>
        <v>8558700.524</v>
      </c>
    </row>
    <row r="522" ht="14.25" customHeight="1">
      <c r="A522" s="108" t="s">
        <v>254</v>
      </c>
      <c r="B522" s="40"/>
      <c r="C522" s="41"/>
      <c r="D522" s="133">
        <f t="shared" ref="D522:H522" si="72">D520-D521</f>
        <v>42901042.58</v>
      </c>
      <c r="E522" s="133">
        <f t="shared" si="72"/>
        <v>47548242.57</v>
      </c>
      <c r="F522" s="133">
        <f t="shared" si="72"/>
        <v>55521746.66</v>
      </c>
      <c r="G522" s="133">
        <f t="shared" si="72"/>
        <v>65216362.5</v>
      </c>
      <c r="H522" s="133">
        <f t="shared" si="72"/>
        <v>77028304.71</v>
      </c>
    </row>
    <row r="523" ht="14.25" customHeight="1"/>
    <row r="524" ht="14.25" customHeight="1"/>
    <row r="525" ht="14.25" customHeight="1">
      <c r="A525" s="125" t="s">
        <v>105</v>
      </c>
      <c r="I525" s="146" t="s">
        <v>123</v>
      </c>
    </row>
    <row r="526" ht="14.25" customHeight="1"/>
    <row r="527" ht="14.25" customHeight="1">
      <c r="D527" s="194" t="s">
        <v>255</v>
      </c>
      <c r="E527" s="194" t="s">
        <v>256</v>
      </c>
      <c r="F527" s="194" t="s">
        <v>257</v>
      </c>
      <c r="G527" s="194" t="s">
        <v>258</v>
      </c>
      <c r="H527" s="194" t="s">
        <v>259</v>
      </c>
      <c r="I527" s="194" t="s">
        <v>260</v>
      </c>
    </row>
    <row r="528" ht="14.25" customHeight="1">
      <c r="A528" s="228" t="s">
        <v>261</v>
      </c>
      <c r="B528" s="40"/>
      <c r="C528" s="41"/>
      <c r="D528" s="229"/>
      <c r="E528" s="104">
        <f t="shared" ref="E528:I528" si="73">D506</f>
        <v>231230000</v>
      </c>
      <c r="F528" s="104">
        <f t="shared" si="73"/>
        <v>256200000</v>
      </c>
      <c r="G528" s="104">
        <f t="shared" si="73"/>
        <v>286329120</v>
      </c>
      <c r="H528" s="104">
        <f t="shared" si="73"/>
        <v>322807449.9</v>
      </c>
      <c r="I528" s="104">
        <f t="shared" si="73"/>
        <v>367096632</v>
      </c>
    </row>
    <row r="529" ht="14.25" customHeight="1">
      <c r="A529" s="226" t="s">
        <v>262</v>
      </c>
      <c r="B529" s="40"/>
      <c r="C529" s="41"/>
      <c r="D529" s="229"/>
      <c r="E529" s="230"/>
      <c r="F529" s="231"/>
      <c r="G529" s="231"/>
      <c r="H529" s="231"/>
      <c r="I529" s="231"/>
    </row>
    <row r="530" ht="14.25" customHeight="1">
      <c r="A530" s="108" t="s">
        <v>263</v>
      </c>
      <c r="B530" s="40"/>
      <c r="C530" s="41"/>
      <c r="D530" s="232"/>
      <c r="E530" s="223">
        <f t="shared" ref="E530:I530" si="74">SUM(E528:E529)</f>
        <v>231230000</v>
      </c>
      <c r="F530" s="223">
        <f t="shared" si="74"/>
        <v>256200000</v>
      </c>
      <c r="G530" s="223">
        <f t="shared" si="74"/>
        <v>286329120</v>
      </c>
      <c r="H530" s="223">
        <f t="shared" si="74"/>
        <v>322807449.9</v>
      </c>
      <c r="I530" s="223">
        <f t="shared" si="74"/>
        <v>367096632</v>
      </c>
    </row>
    <row r="531" ht="14.25" customHeight="1">
      <c r="A531" s="186" t="s">
        <v>264</v>
      </c>
      <c r="B531" s="40"/>
      <c r="C531" s="41"/>
      <c r="D531" s="232"/>
      <c r="E531" s="223">
        <f t="shared" ref="E531:I531" si="75">SUM(E532:E536)</f>
        <v>112573072.4</v>
      </c>
      <c r="F531" s="223">
        <f t="shared" si="75"/>
        <v>126202062.3</v>
      </c>
      <c r="G531" s="223">
        <f t="shared" si="75"/>
        <v>142666304.8</v>
      </c>
      <c r="H531" s="223">
        <f t="shared" si="75"/>
        <v>162600112</v>
      </c>
      <c r="I531" s="223">
        <f t="shared" si="75"/>
        <v>186802207.4</v>
      </c>
    </row>
    <row r="532" ht="14.25" customHeight="1">
      <c r="A532" s="226" t="s">
        <v>193</v>
      </c>
      <c r="B532" s="40"/>
      <c r="C532" s="41"/>
      <c r="D532" s="229"/>
      <c r="E532" s="104">
        <f>D315</f>
        <v>29383750</v>
      </c>
      <c r="F532" s="104">
        <f t="shared" ref="F532:I532" si="76">E509</f>
        <v>32556834.1</v>
      </c>
      <c r="G532" s="104">
        <f t="shared" si="76"/>
        <v>36385517.8</v>
      </c>
      <c r="H532" s="104">
        <f t="shared" si="76"/>
        <v>41021032.76</v>
      </c>
      <c r="I532" s="104">
        <f t="shared" si="76"/>
        <v>46649118.46</v>
      </c>
    </row>
    <row r="533" ht="14.25" customHeight="1">
      <c r="A533" s="226" t="s">
        <v>162</v>
      </c>
      <c r="B533" s="40"/>
      <c r="C533" s="41"/>
      <c r="D533" s="229"/>
      <c r="E533" s="104">
        <f t="shared" ref="E533:E534" si="78">D299</f>
        <v>61457822.4</v>
      </c>
      <c r="F533" s="104">
        <f t="shared" ref="F533:I533" si="77">E508</f>
        <v>68082975.65</v>
      </c>
      <c r="G533" s="104">
        <f t="shared" si="77"/>
        <v>76089533.59</v>
      </c>
      <c r="H533" s="104">
        <f t="shared" si="77"/>
        <v>85783340.17</v>
      </c>
      <c r="I533" s="104">
        <f t="shared" si="77"/>
        <v>97552814.44</v>
      </c>
    </row>
    <row r="534" ht="14.25" customHeight="1">
      <c r="A534" s="226" t="s">
        <v>214</v>
      </c>
      <c r="B534" s="40"/>
      <c r="C534" s="41"/>
      <c r="D534" s="229"/>
      <c r="E534" s="104">
        <f t="shared" si="78"/>
        <v>33097900</v>
      </c>
      <c r="F534" s="104">
        <f t="shared" ref="F534:I534" si="79">E534*(1+D499)</f>
        <v>36665853.62</v>
      </c>
      <c r="G534" s="104">
        <f t="shared" si="79"/>
        <v>40977758.01</v>
      </c>
      <c r="H534" s="104">
        <f t="shared" si="79"/>
        <v>46198324.38</v>
      </c>
      <c r="I534" s="104">
        <f t="shared" si="79"/>
        <v>52536734.48</v>
      </c>
    </row>
    <row r="535" ht="14.25" customHeight="1">
      <c r="A535" s="226" t="s">
        <v>265</v>
      </c>
      <c r="B535" s="40"/>
      <c r="C535" s="41"/>
      <c r="D535" s="229"/>
      <c r="E535" s="104">
        <f>D316</f>
        <v>2433600</v>
      </c>
      <c r="F535" s="104">
        <f t="shared" ref="F535:I535" si="80">E511</f>
        <v>2696398.91</v>
      </c>
      <c r="G535" s="104">
        <f t="shared" si="80"/>
        <v>3013495.422</v>
      </c>
      <c r="H535" s="104">
        <f t="shared" si="80"/>
        <v>3397414.739</v>
      </c>
      <c r="I535" s="104">
        <f t="shared" si="80"/>
        <v>3863540.041</v>
      </c>
    </row>
    <row r="536" ht="14.25" customHeight="1">
      <c r="A536" s="226" t="s">
        <v>266</v>
      </c>
      <c r="B536" s="40"/>
      <c r="C536" s="41"/>
      <c r="D536" s="229"/>
      <c r="E536" s="104">
        <f t="shared" ref="E536:I536" si="81">-$H$234</f>
        <v>-13800000</v>
      </c>
      <c r="F536" s="104">
        <f t="shared" si="81"/>
        <v>-13800000</v>
      </c>
      <c r="G536" s="104">
        <f t="shared" si="81"/>
        <v>-13800000</v>
      </c>
      <c r="H536" s="104">
        <f t="shared" si="81"/>
        <v>-13800000</v>
      </c>
      <c r="I536" s="104">
        <f t="shared" si="81"/>
        <v>-13800000</v>
      </c>
    </row>
    <row r="537" ht="14.25" customHeight="1">
      <c r="A537" s="108" t="str">
        <f>UPPER("flujo de caja operacional bruto")</f>
        <v>FLUJO DE CAJA OPERACIONAL BRUTO</v>
      </c>
      <c r="B537" s="40"/>
      <c r="C537" s="41"/>
      <c r="D537" s="232"/>
      <c r="E537" s="223">
        <f t="shared" ref="E537:I537" si="82">E530-E531</f>
        <v>118656927.6</v>
      </c>
      <c r="F537" s="223">
        <f t="shared" si="82"/>
        <v>129997937.7</v>
      </c>
      <c r="G537" s="223">
        <f t="shared" si="82"/>
        <v>143662815.2</v>
      </c>
      <c r="H537" s="223">
        <f t="shared" si="82"/>
        <v>160207337.8</v>
      </c>
      <c r="I537" s="223">
        <f t="shared" si="82"/>
        <v>180294424.6</v>
      </c>
    </row>
    <row r="538" ht="14.25" customHeight="1">
      <c r="A538" s="226" t="s">
        <v>210</v>
      </c>
      <c r="B538" s="40"/>
      <c r="C538" s="41"/>
      <c r="D538" s="229"/>
      <c r="E538" s="104">
        <f>E265</f>
        <v>32786000</v>
      </c>
      <c r="F538" s="104">
        <f t="shared" ref="F538:I538" si="83">E513</f>
        <v>36320330.8</v>
      </c>
      <c r="G538" s="104">
        <f t="shared" si="83"/>
        <v>36641633.6</v>
      </c>
      <c r="H538" s="104">
        <f t="shared" si="83"/>
        <v>36962936.4</v>
      </c>
      <c r="I538" s="104">
        <f t="shared" si="83"/>
        <v>37284239.2</v>
      </c>
    </row>
    <row r="539" ht="14.25" customHeight="1">
      <c r="A539" s="226" t="s">
        <v>267</v>
      </c>
      <c r="B539" s="40"/>
      <c r="C539" s="41"/>
      <c r="D539" s="229"/>
      <c r="E539" s="104">
        <f>-D96</f>
        <v>-410000</v>
      </c>
      <c r="F539" s="104">
        <f t="shared" ref="F539:I539" si="84">E539</f>
        <v>-410000</v>
      </c>
      <c r="G539" s="104">
        <f t="shared" si="84"/>
        <v>-410000</v>
      </c>
      <c r="H539" s="104">
        <f t="shared" si="84"/>
        <v>-410000</v>
      </c>
      <c r="I539" s="104">
        <f t="shared" si="84"/>
        <v>-410000</v>
      </c>
    </row>
    <row r="540" ht="14.25" customHeight="1">
      <c r="A540" s="226" t="s">
        <v>266</v>
      </c>
      <c r="B540" s="40"/>
      <c r="C540" s="41"/>
      <c r="D540" s="229"/>
      <c r="E540" s="104">
        <f>-I234</f>
        <v>-865000</v>
      </c>
      <c r="F540" s="104">
        <f t="shared" ref="F540:I540" si="85">E540</f>
        <v>-865000</v>
      </c>
      <c r="G540" s="104">
        <f t="shared" si="85"/>
        <v>-865000</v>
      </c>
      <c r="H540" s="104">
        <f t="shared" si="85"/>
        <v>-865000</v>
      </c>
      <c r="I540" s="104">
        <f t="shared" si="85"/>
        <v>-865000</v>
      </c>
    </row>
    <row r="541" ht="14.25" customHeight="1">
      <c r="A541" s="226" t="s">
        <v>268</v>
      </c>
      <c r="B541" s="40"/>
      <c r="C541" s="41"/>
      <c r="D541" s="229"/>
      <c r="E541" s="229"/>
      <c r="F541" s="104">
        <f t="shared" ref="F541:I541" si="86">D519</f>
        <v>23478182.51</v>
      </c>
      <c r="G541" s="104">
        <f t="shared" si="86"/>
        <v>26021426.28</v>
      </c>
      <c r="H541" s="104">
        <f t="shared" si="86"/>
        <v>30385035.48</v>
      </c>
      <c r="I541" s="104">
        <f t="shared" si="86"/>
        <v>35690546.64</v>
      </c>
    </row>
    <row r="542" ht="14.25" customHeight="1">
      <c r="A542" s="108" t="s">
        <v>269</v>
      </c>
      <c r="B542" s="40"/>
      <c r="C542" s="41"/>
      <c r="D542" s="232"/>
      <c r="E542" s="223">
        <f>E537-(SUM(E538:E541))</f>
        <v>87145927.6</v>
      </c>
      <c r="F542" s="223">
        <f t="shared" ref="F542:I542" si="87">F537-SUM(F538:F541)</f>
        <v>71474424.4</v>
      </c>
      <c r="G542" s="223">
        <f t="shared" si="87"/>
        <v>82274755.3</v>
      </c>
      <c r="H542" s="223">
        <f t="shared" si="87"/>
        <v>94134365.96</v>
      </c>
      <c r="I542" s="223">
        <f t="shared" si="87"/>
        <v>108594638.8</v>
      </c>
    </row>
    <row r="543" ht="14.25" customHeight="1">
      <c r="A543" s="135" t="s">
        <v>90</v>
      </c>
      <c r="B543" s="40"/>
      <c r="C543" s="41"/>
      <c r="D543" s="104">
        <f>D104</f>
        <v>242396582.7</v>
      </c>
      <c r="E543" s="231"/>
      <c r="F543" s="231"/>
      <c r="G543" s="231"/>
      <c r="H543" s="231"/>
      <c r="I543" s="231"/>
    </row>
    <row r="544" ht="14.25" customHeight="1">
      <c r="A544" s="108" t="s">
        <v>270</v>
      </c>
      <c r="B544" s="40"/>
      <c r="C544" s="41"/>
      <c r="D544" s="223">
        <f t="shared" ref="D544:I544" si="88">D542-D543</f>
        <v>-242396582.7</v>
      </c>
      <c r="E544" s="223">
        <f t="shared" si="88"/>
        <v>87145927.6</v>
      </c>
      <c r="F544" s="223">
        <f t="shared" si="88"/>
        <v>71474424.4</v>
      </c>
      <c r="G544" s="223">
        <f t="shared" si="88"/>
        <v>82274755.3</v>
      </c>
      <c r="H544" s="223">
        <f t="shared" si="88"/>
        <v>94134365.96</v>
      </c>
      <c r="I544" s="223">
        <f t="shared" si="88"/>
        <v>108594638.8</v>
      </c>
    </row>
    <row r="545" ht="14.25" customHeight="1">
      <c r="A545" s="186" t="s">
        <v>271</v>
      </c>
      <c r="B545" s="40"/>
      <c r="C545" s="41"/>
      <c r="D545" s="223">
        <f t="shared" ref="D545:I545" si="89">SUM(D546:D552)</f>
        <v>242396582.7</v>
      </c>
      <c r="E545" s="223">
        <f t="shared" si="89"/>
        <v>-924920</v>
      </c>
      <c r="F545" s="223">
        <f t="shared" si="89"/>
        <v>-1024800</v>
      </c>
      <c r="G545" s="223">
        <f t="shared" si="89"/>
        <v>-1145316.48</v>
      </c>
      <c r="H545" s="223">
        <f t="shared" si="89"/>
        <v>-1291229.8</v>
      </c>
      <c r="I545" s="223">
        <f t="shared" si="89"/>
        <v>-1468386.528</v>
      </c>
    </row>
    <row r="546" ht="14.25" customHeight="1">
      <c r="A546" s="135" t="s">
        <v>272</v>
      </c>
      <c r="B546" s="40"/>
      <c r="C546" s="41"/>
      <c r="D546" s="104">
        <f t="shared" ref="D546:D548" si="90">D105</f>
        <v>242396582.7</v>
      </c>
      <c r="E546" s="229"/>
      <c r="F546" s="229"/>
      <c r="G546" s="229"/>
      <c r="H546" s="229"/>
      <c r="I546" s="229"/>
    </row>
    <row r="547" ht="14.25" customHeight="1">
      <c r="A547" s="135" t="s">
        <v>273</v>
      </c>
      <c r="B547" s="40"/>
      <c r="C547" s="41"/>
      <c r="D547" s="104" t="str">
        <f t="shared" si="90"/>
        <v/>
      </c>
      <c r="E547" s="229"/>
      <c r="F547" s="229"/>
      <c r="G547" s="229"/>
      <c r="H547" s="229"/>
      <c r="I547" s="229"/>
    </row>
    <row r="548" ht="14.25" customHeight="1">
      <c r="A548" s="135" t="s">
        <v>274</v>
      </c>
      <c r="B548" s="40"/>
      <c r="C548" s="41"/>
      <c r="D548" s="104" t="str">
        <f t="shared" si="90"/>
        <v/>
      </c>
      <c r="E548" s="229"/>
      <c r="F548" s="229"/>
      <c r="G548" s="229"/>
      <c r="H548" s="229"/>
      <c r="I548" s="229"/>
    </row>
    <row r="549" ht="14.25" customHeight="1">
      <c r="A549" s="135" t="s">
        <v>275</v>
      </c>
      <c r="B549" s="40"/>
      <c r="C549" s="41"/>
      <c r="D549" s="104"/>
      <c r="E549" s="104">
        <f>-D366</f>
        <v>0</v>
      </c>
      <c r="F549" s="104">
        <f>-D367</f>
        <v>0</v>
      </c>
      <c r="G549" s="104">
        <f>-D368</f>
        <v>0</v>
      </c>
      <c r="H549" s="104">
        <f>-D369</f>
        <v>0</v>
      </c>
      <c r="I549" s="104">
        <f>-D370</f>
        <v>0</v>
      </c>
    </row>
    <row r="550" ht="14.25" customHeight="1">
      <c r="A550" s="135" t="s">
        <v>276</v>
      </c>
      <c r="B550" s="40"/>
      <c r="C550" s="41"/>
      <c r="D550" s="104"/>
      <c r="E550" s="104">
        <f>-C366</f>
        <v>0</v>
      </c>
      <c r="F550" s="104">
        <f>-C367</f>
        <v>0</v>
      </c>
      <c r="G550" s="104">
        <f>-C368</f>
        <v>0</v>
      </c>
      <c r="H550" s="104">
        <f>-C369</f>
        <v>0</v>
      </c>
      <c r="I550" s="104">
        <f>-C370</f>
        <v>0</v>
      </c>
    </row>
    <row r="551" ht="14.25" customHeight="1">
      <c r="A551" s="135" t="s">
        <v>277</v>
      </c>
      <c r="B551" s="40"/>
      <c r="C551" s="41"/>
      <c r="D551" s="104"/>
      <c r="E551" s="104">
        <f t="shared" ref="E551:I551" si="91">-D516</f>
        <v>-924920</v>
      </c>
      <c r="F551" s="104">
        <f t="shared" si="91"/>
        <v>-1024800</v>
      </c>
      <c r="G551" s="104">
        <f t="shared" si="91"/>
        <v>-1145316.48</v>
      </c>
      <c r="H551" s="104">
        <f t="shared" si="91"/>
        <v>-1291229.8</v>
      </c>
      <c r="I551" s="104">
        <f t="shared" si="91"/>
        <v>-1468386.528</v>
      </c>
    </row>
    <row r="552" ht="14.25" customHeight="1">
      <c r="A552" s="135" t="s">
        <v>278</v>
      </c>
      <c r="B552" s="40"/>
      <c r="C552" s="41"/>
      <c r="D552" s="104"/>
      <c r="E552" s="231"/>
      <c r="F552" s="231"/>
      <c r="G552" s="231"/>
      <c r="H552" s="231"/>
      <c r="I552" s="231"/>
    </row>
    <row r="553" ht="14.25" customHeight="1">
      <c r="A553" s="108" t="s">
        <v>279</v>
      </c>
      <c r="B553" s="40"/>
      <c r="C553" s="41"/>
      <c r="D553" s="223">
        <f t="shared" ref="D553:I553" si="92">D544+D545</f>
        <v>0</v>
      </c>
      <c r="E553" s="223">
        <f t="shared" si="92"/>
        <v>86221007.6</v>
      </c>
      <c r="F553" s="223">
        <f t="shared" si="92"/>
        <v>70449624.4</v>
      </c>
      <c r="G553" s="223">
        <f t="shared" si="92"/>
        <v>81129438.82</v>
      </c>
      <c r="H553" s="223">
        <f t="shared" si="92"/>
        <v>92843136.16</v>
      </c>
      <c r="I553" s="223">
        <f t="shared" si="92"/>
        <v>107126252.2</v>
      </c>
    </row>
    <row r="554" ht="14.25" customHeight="1">
      <c r="A554" s="135" t="s">
        <v>280</v>
      </c>
      <c r="B554" s="40"/>
      <c r="C554" s="41"/>
      <c r="D554" s="233"/>
      <c r="E554" s="130">
        <f>E291</f>
        <v>14596582.7</v>
      </c>
      <c r="F554" s="104">
        <f t="shared" ref="F554:I554" si="93">E555</f>
        <v>100817590.3</v>
      </c>
      <c r="G554" s="104">
        <f t="shared" si="93"/>
        <v>171267214.7</v>
      </c>
      <c r="H554" s="104">
        <f t="shared" si="93"/>
        <v>252396653.5</v>
      </c>
      <c r="I554" s="104">
        <f t="shared" si="93"/>
        <v>345239789.7</v>
      </c>
    </row>
    <row r="555" ht="14.25" customHeight="1">
      <c r="A555" s="108" t="s">
        <v>281</v>
      </c>
      <c r="B555" s="40"/>
      <c r="C555" s="41"/>
      <c r="D555" s="223">
        <f>D544+D554</f>
        <v>-242396582.7</v>
      </c>
      <c r="E555" s="223">
        <f t="shared" ref="E555:I555" si="94">E553+E554</f>
        <v>100817590.3</v>
      </c>
      <c r="F555" s="223">
        <f t="shared" si="94"/>
        <v>171267214.7</v>
      </c>
      <c r="G555" s="223">
        <f t="shared" si="94"/>
        <v>252396653.5</v>
      </c>
      <c r="H555" s="223">
        <f t="shared" si="94"/>
        <v>345239789.7</v>
      </c>
      <c r="I555" s="223">
        <f t="shared" si="94"/>
        <v>452366041.9</v>
      </c>
    </row>
    <row r="556" ht="14.25" customHeight="1"/>
    <row r="557" ht="14.25" customHeight="1"/>
    <row r="558" ht="14.25" customHeight="1"/>
    <row r="559" ht="14.25" customHeight="1">
      <c r="A559" s="125" t="s">
        <v>107</v>
      </c>
      <c r="I559" s="146" t="s">
        <v>123</v>
      </c>
    </row>
    <row r="560" ht="14.25" customHeight="1"/>
    <row r="561" ht="14.25" customHeight="1">
      <c r="D561" s="216" t="s">
        <v>255</v>
      </c>
      <c r="E561" s="216" t="s">
        <v>256</v>
      </c>
      <c r="F561" s="216" t="s">
        <v>257</v>
      </c>
      <c r="G561" s="216" t="s">
        <v>258</v>
      </c>
      <c r="H561" s="216" t="s">
        <v>259</v>
      </c>
      <c r="I561" s="216" t="s">
        <v>260</v>
      </c>
    </row>
    <row r="562" ht="14.25" customHeight="1">
      <c r="A562" s="234" t="s">
        <v>282</v>
      </c>
      <c r="B562" s="40"/>
      <c r="C562" s="41"/>
      <c r="D562" s="235">
        <f>E554</f>
        <v>14596582.7</v>
      </c>
      <c r="E562" s="235">
        <f t="shared" ref="E562:I562" si="95">E555</f>
        <v>100817590.3</v>
      </c>
      <c r="F562" s="235">
        <f t="shared" si="95"/>
        <v>171267214.7</v>
      </c>
      <c r="G562" s="235">
        <f t="shared" si="95"/>
        <v>252396653.5</v>
      </c>
      <c r="H562" s="235">
        <f t="shared" si="95"/>
        <v>345239789.7</v>
      </c>
      <c r="I562" s="235">
        <f t="shared" si="95"/>
        <v>452366041.9</v>
      </c>
    </row>
    <row r="563" ht="14.25" customHeight="1">
      <c r="A563" s="236" t="s">
        <v>283</v>
      </c>
      <c r="B563" s="237"/>
      <c r="C563" s="238"/>
      <c r="D563" s="239">
        <f t="shared" ref="D563:I563" si="96">D562</f>
        <v>14596582.7</v>
      </c>
      <c r="E563" s="239">
        <f t="shared" si="96"/>
        <v>100817590.3</v>
      </c>
      <c r="F563" s="239">
        <f t="shared" si="96"/>
        <v>171267214.7</v>
      </c>
      <c r="G563" s="239">
        <f t="shared" si="96"/>
        <v>252396653.5</v>
      </c>
      <c r="H563" s="239">
        <f t="shared" si="96"/>
        <v>345239789.7</v>
      </c>
      <c r="I563" s="239">
        <f t="shared" si="96"/>
        <v>452366041.9</v>
      </c>
    </row>
    <row r="564" ht="14.25" customHeight="1">
      <c r="A564" s="240" t="s">
        <v>284</v>
      </c>
      <c r="B564" s="56"/>
      <c r="C564" s="15"/>
      <c r="D564" s="241">
        <f t="shared" ref="D564:I564" si="97">$H$38</f>
        <v>0</v>
      </c>
      <c r="E564" s="241">
        <f t="shared" si="97"/>
        <v>0</v>
      </c>
      <c r="F564" s="241">
        <f t="shared" si="97"/>
        <v>0</v>
      </c>
      <c r="G564" s="241">
        <f t="shared" si="97"/>
        <v>0</v>
      </c>
      <c r="H564" s="241">
        <f t="shared" si="97"/>
        <v>0</v>
      </c>
      <c r="I564" s="241">
        <f t="shared" si="97"/>
        <v>0</v>
      </c>
    </row>
    <row r="565" ht="14.25" customHeight="1">
      <c r="A565" s="240" t="s">
        <v>130</v>
      </c>
      <c r="B565" s="56"/>
      <c r="C565" s="15"/>
      <c r="D565" s="241">
        <f t="shared" ref="D565:I565" si="98">$H$42</f>
        <v>200000000</v>
      </c>
      <c r="E565" s="241">
        <f t="shared" si="98"/>
        <v>200000000</v>
      </c>
      <c r="F565" s="241">
        <f t="shared" si="98"/>
        <v>200000000</v>
      </c>
      <c r="G565" s="241">
        <f t="shared" si="98"/>
        <v>200000000</v>
      </c>
      <c r="H565" s="241">
        <f t="shared" si="98"/>
        <v>200000000</v>
      </c>
      <c r="I565" s="241">
        <f t="shared" si="98"/>
        <v>200000000</v>
      </c>
    </row>
    <row r="566" ht="14.25" customHeight="1">
      <c r="A566" s="240" t="s">
        <v>285</v>
      </c>
      <c r="B566" s="56"/>
      <c r="C566" s="15"/>
      <c r="D566" s="241">
        <f t="shared" ref="D566:I566" si="99">$H$53</f>
        <v>4850000</v>
      </c>
      <c r="E566" s="241">
        <f t="shared" si="99"/>
        <v>4850000</v>
      </c>
      <c r="F566" s="241">
        <f t="shared" si="99"/>
        <v>4850000</v>
      </c>
      <c r="G566" s="241">
        <f t="shared" si="99"/>
        <v>4850000</v>
      </c>
      <c r="H566" s="241">
        <f t="shared" si="99"/>
        <v>4850000</v>
      </c>
      <c r="I566" s="241">
        <f t="shared" si="99"/>
        <v>4850000</v>
      </c>
    </row>
    <row r="567" ht="14.25" customHeight="1">
      <c r="A567" s="240" t="s">
        <v>136</v>
      </c>
      <c r="B567" s="56"/>
      <c r="C567" s="15"/>
      <c r="D567" s="241">
        <f t="shared" ref="D567:I567" si="100">$H$64</f>
        <v>19000000</v>
      </c>
      <c r="E567" s="241">
        <f t="shared" si="100"/>
        <v>19000000</v>
      </c>
      <c r="F567" s="241">
        <f t="shared" si="100"/>
        <v>19000000</v>
      </c>
      <c r="G567" s="241">
        <f t="shared" si="100"/>
        <v>19000000</v>
      </c>
      <c r="H567" s="241">
        <f t="shared" si="100"/>
        <v>19000000</v>
      </c>
      <c r="I567" s="241">
        <f t="shared" si="100"/>
        <v>19000000</v>
      </c>
    </row>
    <row r="568" ht="14.25" customHeight="1">
      <c r="A568" s="240" t="s">
        <v>140</v>
      </c>
      <c r="B568" s="56"/>
      <c r="C568" s="15"/>
      <c r="D568" s="241">
        <f t="shared" ref="D568:I568" si="101">$H$75</f>
        <v>1900000</v>
      </c>
      <c r="E568" s="241">
        <f t="shared" si="101"/>
        <v>1900000</v>
      </c>
      <c r="F568" s="241">
        <f t="shared" si="101"/>
        <v>1900000</v>
      </c>
      <c r="G568" s="241">
        <f t="shared" si="101"/>
        <v>1900000</v>
      </c>
      <c r="H568" s="241">
        <f t="shared" si="101"/>
        <v>1900000</v>
      </c>
      <c r="I568" s="241">
        <f t="shared" si="101"/>
        <v>1900000</v>
      </c>
    </row>
    <row r="569" ht="14.25" customHeight="1">
      <c r="A569" s="240" t="s">
        <v>143</v>
      </c>
      <c r="B569" s="56"/>
      <c r="C569" s="15"/>
      <c r="D569" s="241">
        <f t="shared" ref="D569:I569" si="102">$H$79</f>
        <v>0</v>
      </c>
      <c r="E569" s="241">
        <f t="shared" si="102"/>
        <v>0</v>
      </c>
      <c r="F569" s="241">
        <f t="shared" si="102"/>
        <v>0</v>
      </c>
      <c r="G569" s="241">
        <f t="shared" si="102"/>
        <v>0</v>
      </c>
      <c r="H569" s="241">
        <f t="shared" si="102"/>
        <v>0</v>
      </c>
      <c r="I569" s="241">
        <f t="shared" si="102"/>
        <v>0</v>
      </c>
    </row>
    <row r="570" ht="14.25" customHeight="1">
      <c r="A570" s="242" t="s">
        <v>286</v>
      </c>
      <c r="B570" s="56"/>
      <c r="C570" s="15"/>
      <c r="D570" s="241">
        <f t="shared" ref="D570:E570" si="103">D536+D540</f>
        <v>0</v>
      </c>
      <c r="E570" s="241">
        <f t="shared" si="103"/>
        <v>-14665000</v>
      </c>
      <c r="F570" s="241">
        <f t="shared" ref="F570:I570" si="104">F536+F540+E570</f>
        <v>-29330000</v>
      </c>
      <c r="G570" s="241">
        <f t="shared" si="104"/>
        <v>-43995000</v>
      </c>
      <c r="H570" s="241">
        <f t="shared" si="104"/>
        <v>-58660000</v>
      </c>
      <c r="I570" s="241">
        <f t="shared" si="104"/>
        <v>-73325000</v>
      </c>
    </row>
    <row r="571" ht="14.25" customHeight="1">
      <c r="A571" s="217" t="s">
        <v>287</v>
      </c>
      <c r="B571" s="56"/>
      <c r="C571" s="15"/>
      <c r="D571" s="243">
        <f t="shared" ref="D571:I571" si="105">SUM(D564:D570)</f>
        <v>225750000</v>
      </c>
      <c r="E571" s="243">
        <f t="shared" si="105"/>
        <v>211085000</v>
      </c>
      <c r="F571" s="243">
        <f t="shared" si="105"/>
        <v>196420000</v>
      </c>
      <c r="G571" s="243">
        <f t="shared" si="105"/>
        <v>181755000</v>
      </c>
      <c r="H571" s="243">
        <f t="shared" si="105"/>
        <v>167090000</v>
      </c>
      <c r="I571" s="243">
        <f t="shared" si="105"/>
        <v>152425000</v>
      </c>
    </row>
    <row r="572" ht="14.25" customHeight="1">
      <c r="A572" s="240" t="s">
        <v>288</v>
      </c>
      <c r="B572" s="56"/>
      <c r="C572" s="15"/>
      <c r="D572" s="244">
        <f t="shared" ref="D572:I572" si="106">$D$97</f>
        <v>2050000</v>
      </c>
      <c r="E572" s="244">
        <f t="shared" si="106"/>
        <v>2050000</v>
      </c>
      <c r="F572" s="244">
        <f t="shared" si="106"/>
        <v>2050000</v>
      </c>
      <c r="G572" s="244">
        <f t="shared" si="106"/>
        <v>2050000</v>
      </c>
      <c r="H572" s="244">
        <f t="shared" si="106"/>
        <v>2050000</v>
      </c>
      <c r="I572" s="244">
        <f t="shared" si="106"/>
        <v>2050000</v>
      </c>
    </row>
    <row r="573" ht="14.25" customHeight="1">
      <c r="A573" s="240" t="s">
        <v>289</v>
      </c>
      <c r="B573" s="56"/>
      <c r="C573" s="15"/>
      <c r="D573" s="244"/>
      <c r="E573" s="244">
        <f>E539</f>
        <v>-410000</v>
      </c>
      <c r="F573" s="244">
        <f t="shared" ref="F573:I573" si="107">E573+F539</f>
        <v>-820000</v>
      </c>
      <c r="G573" s="244">
        <f t="shared" si="107"/>
        <v>-1230000</v>
      </c>
      <c r="H573" s="244">
        <f t="shared" si="107"/>
        <v>-1640000</v>
      </c>
      <c r="I573" s="244">
        <f t="shared" si="107"/>
        <v>-2050000</v>
      </c>
    </row>
    <row r="574" ht="14.25" customHeight="1">
      <c r="A574" s="217" t="s">
        <v>290</v>
      </c>
      <c r="B574" s="56"/>
      <c r="C574" s="15"/>
      <c r="D574" s="243">
        <f t="shared" ref="D574:I574" si="108">D573+D572</f>
        <v>2050000</v>
      </c>
      <c r="E574" s="243">
        <f t="shared" si="108"/>
        <v>1640000</v>
      </c>
      <c r="F574" s="243">
        <f t="shared" si="108"/>
        <v>1230000</v>
      </c>
      <c r="G574" s="243">
        <f t="shared" si="108"/>
        <v>820000</v>
      </c>
      <c r="H574" s="243">
        <f t="shared" si="108"/>
        <v>410000</v>
      </c>
      <c r="I574" s="243">
        <f t="shared" si="108"/>
        <v>0</v>
      </c>
    </row>
    <row r="575" ht="14.25" customHeight="1">
      <c r="A575" s="245" t="s">
        <v>291</v>
      </c>
      <c r="B575" s="56"/>
      <c r="C575" s="15"/>
      <c r="D575" s="246">
        <f t="shared" ref="D575:I575" si="109">D574+D571+D563</f>
        <v>242396582.7</v>
      </c>
      <c r="E575" s="246">
        <f t="shared" si="109"/>
        <v>313542590.3</v>
      </c>
      <c r="F575" s="246">
        <f t="shared" si="109"/>
        <v>368917214.7</v>
      </c>
      <c r="G575" s="246">
        <f t="shared" si="109"/>
        <v>434971653.5</v>
      </c>
      <c r="H575" s="246">
        <f t="shared" si="109"/>
        <v>512739789.7</v>
      </c>
      <c r="I575" s="246">
        <f t="shared" si="109"/>
        <v>604791041.9</v>
      </c>
    </row>
    <row r="576" ht="14.25" customHeight="1">
      <c r="A576" s="240" t="s">
        <v>292</v>
      </c>
      <c r="B576" s="56"/>
      <c r="C576" s="15"/>
      <c r="D576" s="241">
        <f>D366</f>
        <v>0</v>
      </c>
      <c r="E576" s="241">
        <f t="shared" ref="E576:I576" si="110">D367</f>
        <v>0</v>
      </c>
      <c r="F576" s="241">
        <f t="shared" si="110"/>
        <v>0</v>
      </c>
      <c r="G576" s="241" t="str">
        <f t="shared" si="110"/>
        <v/>
      </c>
      <c r="H576" s="241" t="str">
        <f t="shared" si="110"/>
        <v/>
      </c>
      <c r="I576" s="241" t="str">
        <f t="shared" si="110"/>
        <v/>
      </c>
    </row>
    <row r="577" ht="14.25" customHeight="1">
      <c r="A577" s="240" t="s">
        <v>293</v>
      </c>
      <c r="B577" s="56"/>
      <c r="C577" s="15"/>
      <c r="D577" s="241"/>
      <c r="E577" s="241">
        <f t="shared" ref="E577:I577" si="111">D519</f>
        <v>23478182.51</v>
      </c>
      <c r="F577" s="241">
        <f t="shared" si="111"/>
        <v>26021426.28</v>
      </c>
      <c r="G577" s="241">
        <f t="shared" si="111"/>
        <v>30385035.48</v>
      </c>
      <c r="H577" s="241">
        <f t="shared" si="111"/>
        <v>35690546.64</v>
      </c>
      <c r="I577" s="241">
        <f t="shared" si="111"/>
        <v>42154793.62</v>
      </c>
    </row>
    <row r="578" ht="14.25" customHeight="1">
      <c r="A578" s="217" t="s">
        <v>294</v>
      </c>
      <c r="B578" s="56"/>
      <c r="C578" s="15"/>
      <c r="D578" s="243">
        <f>D576-D577</f>
        <v>0</v>
      </c>
      <c r="E578" s="243">
        <f t="shared" ref="E578:I578" si="112">E576+E577</f>
        <v>23478182.51</v>
      </c>
      <c r="F578" s="243">
        <f t="shared" si="112"/>
        <v>26021426.28</v>
      </c>
      <c r="G578" s="243">
        <f t="shared" si="112"/>
        <v>30385035.48</v>
      </c>
      <c r="H578" s="243">
        <f t="shared" si="112"/>
        <v>35690546.64</v>
      </c>
      <c r="I578" s="243">
        <f t="shared" si="112"/>
        <v>42154793.62</v>
      </c>
    </row>
    <row r="579" ht="14.25" customHeight="1">
      <c r="A579" s="142" t="s">
        <v>295</v>
      </c>
      <c r="B579" s="56"/>
      <c r="C579" s="15"/>
      <c r="D579" s="241">
        <f>E366</f>
        <v>0</v>
      </c>
      <c r="E579" s="241">
        <f t="shared" ref="E579:I579" si="113">E367</f>
        <v>0</v>
      </c>
      <c r="F579" s="241" t="str">
        <f t="shared" si="113"/>
        <v/>
      </c>
      <c r="G579" s="241" t="str">
        <f t="shared" si="113"/>
        <v/>
      </c>
      <c r="H579" s="241" t="str">
        <f t="shared" si="113"/>
        <v/>
      </c>
      <c r="I579" s="241" t="str">
        <f t="shared" si="113"/>
        <v/>
      </c>
    </row>
    <row r="580" ht="14.25" customHeight="1">
      <c r="A580" s="245" t="s">
        <v>296</v>
      </c>
      <c r="B580" s="56"/>
      <c r="C580" s="15"/>
      <c r="D580" s="243">
        <f t="shared" ref="D580:I580" si="114">D579+D578</f>
        <v>0</v>
      </c>
      <c r="E580" s="243">
        <f t="shared" si="114"/>
        <v>23478182.51</v>
      </c>
      <c r="F580" s="243">
        <f t="shared" si="114"/>
        <v>26021426.28</v>
      </c>
      <c r="G580" s="243">
        <f t="shared" si="114"/>
        <v>30385035.48</v>
      </c>
      <c r="H580" s="243">
        <f t="shared" si="114"/>
        <v>35690546.64</v>
      </c>
      <c r="I580" s="243">
        <f t="shared" si="114"/>
        <v>42154793.62</v>
      </c>
    </row>
    <row r="581" ht="14.25" customHeight="1">
      <c r="A581" s="142" t="s">
        <v>272</v>
      </c>
      <c r="B581" s="56"/>
      <c r="C581" s="15"/>
      <c r="D581" s="241">
        <f>D105</f>
        <v>242396582.7</v>
      </c>
      <c r="E581" s="241">
        <f t="shared" ref="E581:I581" si="115">D581</f>
        <v>242396582.7</v>
      </c>
      <c r="F581" s="241">
        <f t="shared" si="115"/>
        <v>242396582.7</v>
      </c>
      <c r="G581" s="241">
        <f t="shared" si="115"/>
        <v>242396582.7</v>
      </c>
      <c r="H581" s="241">
        <f t="shared" si="115"/>
        <v>242396582.7</v>
      </c>
      <c r="I581" s="241">
        <f t="shared" si="115"/>
        <v>242396582.7</v>
      </c>
    </row>
    <row r="582" ht="14.25" customHeight="1">
      <c r="A582" s="142" t="s">
        <v>297</v>
      </c>
      <c r="B582" s="56"/>
      <c r="C582" s="15"/>
      <c r="D582" s="241"/>
      <c r="E582" s="241">
        <f>D522</f>
        <v>42901042.58</v>
      </c>
      <c r="F582" s="241">
        <f t="shared" ref="F582:I582" si="116">E522+E582</f>
        <v>90449285.15</v>
      </c>
      <c r="G582" s="241">
        <f t="shared" si="116"/>
        <v>145971031.8</v>
      </c>
      <c r="H582" s="241">
        <f t="shared" si="116"/>
        <v>211187394.3</v>
      </c>
      <c r="I582" s="241">
        <f t="shared" si="116"/>
        <v>288215699</v>
      </c>
    </row>
    <row r="583" ht="14.25" customHeight="1">
      <c r="A583" s="142" t="s">
        <v>298</v>
      </c>
      <c r="B583" s="56"/>
      <c r="C583" s="15"/>
      <c r="D583" s="241"/>
      <c r="E583" s="241">
        <f>D521</f>
        <v>4766782.509</v>
      </c>
      <c r="F583" s="241">
        <f t="shared" ref="F583:I583" si="117">E583+E521</f>
        <v>10049920.57</v>
      </c>
      <c r="G583" s="241">
        <f t="shared" si="117"/>
        <v>16219003.53</v>
      </c>
      <c r="H583" s="241">
        <f t="shared" si="117"/>
        <v>23465266.03</v>
      </c>
      <c r="I583" s="241">
        <f t="shared" si="117"/>
        <v>32023966.56</v>
      </c>
    </row>
    <row r="584" ht="14.25" customHeight="1">
      <c r="A584" s="245" t="s">
        <v>299</v>
      </c>
      <c r="B584" s="56"/>
      <c r="C584" s="15"/>
      <c r="D584" s="243">
        <f t="shared" ref="D584:I584" si="118">SUM(D581:D583)</f>
        <v>242396582.7</v>
      </c>
      <c r="E584" s="243">
        <f t="shared" si="118"/>
        <v>290064407.8</v>
      </c>
      <c r="F584" s="243">
        <f t="shared" si="118"/>
        <v>342895788.4</v>
      </c>
      <c r="G584" s="243">
        <f t="shared" si="118"/>
        <v>404586618</v>
      </c>
      <c r="H584" s="243">
        <f t="shared" si="118"/>
        <v>477049243</v>
      </c>
      <c r="I584" s="243">
        <f t="shared" si="118"/>
        <v>562636248.3</v>
      </c>
    </row>
    <row r="585" ht="14.25" customHeight="1">
      <c r="A585" s="245" t="s">
        <v>300</v>
      </c>
      <c r="B585" s="56"/>
      <c r="C585" s="15"/>
      <c r="D585" s="243">
        <f t="shared" ref="D585:I585" si="119">D584+D580</f>
        <v>242396582.7</v>
      </c>
      <c r="E585" s="243">
        <f t="shared" si="119"/>
        <v>313542590.3</v>
      </c>
      <c r="F585" s="243">
        <f t="shared" si="119"/>
        <v>368917214.7</v>
      </c>
      <c r="G585" s="243">
        <f t="shared" si="119"/>
        <v>434971653.5</v>
      </c>
      <c r="H585" s="243">
        <f t="shared" si="119"/>
        <v>512739789.7</v>
      </c>
      <c r="I585" s="243">
        <f t="shared" si="119"/>
        <v>604791041.9</v>
      </c>
    </row>
    <row r="586" ht="14.25" customHeight="1"/>
    <row r="587" ht="14.25" customHeight="1"/>
    <row r="588" ht="14.25" customHeight="1">
      <c r="A588" s="125" t="s">
        <v>109</v>
      </c>
      <c r="I588" s="146" t="s">
        <v>123</v>
      </c>
    </row>
    <row r="589" ht="14.25" customHeight="1"/>
    <row r="590" ht="14.25" customHeight="1">
      <c r="A590" s="217" t="s">
        <v>300</v>
      </c>
      <c r="B590" s="56"/>
      <c r="C590" s="15"/>
      <c r="D590" s="247">
        <f t="shared" ref="D590:I590" si="120">D575-D585</f>
        <v>0</v>
      </c>
      <c r="E590" s="243">
        <f t="shared" si="120"/>
        <v>0</v>
      </c>
      <c r="F590" s="247">
        <f t="shared" si="120"/>
        <v>0.00000005960464478</v>
      </c>
      <c r="G590" s="247">
        <f t="shared" si="120"/>
        <v>0.00000005960464478</v>
      </c>
      <c r="H590" s="247">
        <f t="shared" si="120"/>
        <v>0</v>
      </c>
      <c r="I590" s="247">
        <f t="shared" si="120"/>
        <v>0</v>
      </c>
    </row>
    <row r="591" ht="14.25" customHeight="1"/>
    <row r="592" ht="14.25" customHeight="1">
      <c r="A592" s="248" t="s">
        <v>301</v>
      </c>
    </row>
    <row r="593" ht="14.25" customHeight="1"/>
    <row r="594" ht="14.25" customHeight="1"/>
    <row r="595" ht="14.25" customHeight="1">
      <c r="A595" s="125" t="s">
        <v>111</v>
      </c>
      <c r="H595" s="146" t="s">
        <v>123</v>
      </c>
    </row>
    <row r="596" ht="14.25" customHeight="1">
      <c r="A596" s="125"/>
      <c r="B596" s="125"/>
      <c r="C596" s="125"/>
    </row>
    <row r="597" ht="14.25" customHeight="1">
      <c r="D597" s="222" t="s">
        <v>256</v>
      </c>
      <c r="E597" s="222" t="s">
        <v>257</v>
      </c>
      <c r="F597" s="222" t="s">
        <v>258</v>
      </c>
      <c r="G597" s="222" t="s">
        <v>259</v>
      </c>
      <c r="H597" s="222" t="s">
        <v>260</v>
      </c>
    </row>
    <row r="598" ht="14.25" customHeight="1">
      <c r="A598" s="249" t="s">
        <v>302</v>
      </c>
      <c r="B598" s="56"/>
      <c r="C598" s="15"/>
      <c r="D598" s="250">
        <f t="shared" ref="D598:H598" si="121">E563/E578</f>
        <v>4.294096882</v>
      </c>
      <c r="E598" s="250">
        <f t="shared" si="121"/>
        <v>6.581776604</v>
      </c>
      <c r="F598" s="250">
        <f t="shared" si="121"/>
        <v>8.306610458</v>
      </c>
      <c r="G598" s="250">
        <f t="shared" si="121"/>
        <v>9.673143792</v>
      </c>
      <c r="H598" s="250">
        <f t="shared" si="121"/>
        <v>10.73107002</v>
      </c>
    </row>
    <row r="599" ht="14.25" customHeight="1">
      <c r="A599" s="249" t="s">
        <v>303</v>
      </c>
      <c r="B599" s="56"/>
      <c r="C599" s="15"/>
      <c r="D599" s="251">
        <f t="shared" ref="D599:H599" si="122">E580/E575</f>
        <v>0.0748803615</v>
      </c>
      <c r="E599" s="251">
        <f t="shared" si="122"/>
        <v>0.07053459487</v>
      </c>
      <c r="F599" s="251">
        <f t="shared" si="122"/>
        <v>0.06985520835</v>
      </c>
      <c r="G599" s="251">
        <f t="shared" si="122"/>
        <v>0.06960752288</v>
      </c>
      <c r="H599" s="251">
        <f t="shared" si="122"/>
        <v>0.06970141868</v>
      </c>
    </row>
    <row r="600" ht="14.25" customHeight="1">
      <c r="A600" s="249" t="s">
        <v>304</v>
      </c>
      <c r="B600" s="56"/>
      <c r="C600" s="15"/>
      <c r="D600" s="250">
        <f t="shared" ref="D600:H600" si="123">D506/E575</f>
        <v>0.7374755684</v>
      </c>
      <c r="E600" s="250">
        <f t="shared" si="123"/>
        <v>0.6944647465</v>
      </c>
      <c r="F600" s="250">
        <f t="shared" si="123"/>
        <v>0.6582707578</v>
      </c>
      <c r="G600" s="250">
        <f t="shared" si="123"/>
        <v>0.6295736285</v>
      </c>
      <c r="H600" s="250">
        <f t="shared" si="123"/>
        <v>0.6069809349</v>
      </c>
    </row>
    <row r="601" ht="14.25" customHeight="1">
      <c r="A601" s="249" t="s">
        <v>305</v>
      </c>
      <c r="B601" s="56"/>
      <c r="C601" s="15"/>
      <c r="D601" s="251">
        <f t="shared" ref="D601:H601" si="124">D512/D506</f>
        <v>0.453474582</v>
      </c>
      <c r="E601" s="251">
        <f t="shared" si="124"/>
        <v>0.453543863</v>
      </c>
      <c r="F601" s="251">
        <f t="shared" si="124"/>
        <v>0.453543863</v>
      </c>
      <c r="G601" s="251">
        <f t="shared" si="124"/>
        <v>0.453543863</v>
      </c>
      <c r="H601" s="251">
        <f t="shared" si="124"/>
        <v>0.453543863</v>
      </c>
    </row>
    <row r="602" ht="14.25" customHeight="1">
      <c r="A602" s="249" t="s">
        <v>306</v>
      </c>
      <c r="B602" s="56"/>
      <c r="C602" s="15"/>
      <c r="D602" s="251">
        <f t="shared" ref="D602:H602" si="125">D520/D506</f>
        <v>0.2061489646</v>
      </c>
      <c r="E602" s="251">
        <f t="shared" si="125"/>
        <v>0.2062114779</v>
      </c>
      <c r="F602" s="251">
        <f t="shared" si="125"/>
        <v>0.2154542633</v>
      </c>
      <c r="G602" s="251">
        <f t="shared" si="125"/>
        <v>0.2244763094</v>
      </c>
      <c r="H602" s="251">
        <f t="shared" si="125"/>
        <v>0.2331457109</v>
      </c>
    </row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>
      <c r="A636" s="79" t="s">
        <v>307</v>
      </c>
    </row>
    <row r="637" ht="14.25" customHeight="1">
      <c r="A637" s="79"/>
      <c r="B637" s="79"/>
      <c r="C637" s="79"/>
    </row>
    <row r="638" ht="14.25" customHeight="1"/>
    <row r="639" ht="14.25" customHeight="1">
      <c r="D639" s="222" t="s">
        <v>255</v>
      </c>
      <c r="E639" s="222" t="s">
        <v>256</v>
      </c>
      <c r="F639" s="222" t="s">
        <v>257</v>
      </c>
      <c r="G639" s="222" t="s">
        <v>258</v>
      </c>
      <c r="H639" s="222" t="s">
        <v>259</v>
      </c>
      <c r="I639" s="222" t="s">
        <v>260</v>
      </c>
    </row>
    <row r="640" ht="14.25" customHeight="1">
      <c r="A640" s="217" t="s">
        <v>270</v>
      </c>
      <c r="B640" s="56"/>
      <c r="C640" s="15"/>
      <c r="D640" s="247">
        <f t="shared" ref="D640:I640" si="126">D544</f>
        <v>-242396582.7</v>
      </c>
      <c r="E640" s="247">
        <f t="shared" si="126"/>
        <v>87145927.6</v>
      </c>
      <c r="F640" s="247">
        <f t="shared" si="126"/>
        <v>71474424.4</v>
      </c>
      <c r="G640" s="247">
        <f t="shared" si="126"/>
        <v>82274755.3</v>
      </c>
      <c r="H640" s="247">
        <f t="shared" si="126"/>
        <v>94134365.96</v>
      </c>
      <c r="I640" s="247">
        <f t="shared" si="126"/>
        <v>108594638.8</v>
      </c>
    </row>
    <row r="641" ht="14.25" customHeight="1"/>
    <row r="642" ht="14.25" customHeight="1"/>
    <row r="643" ht="14.25" customHeight="1"/>
    <row r="644" ht="14.25" customHeight="1">
      <c r="A644" s="125" t="s">
        <v>118</v>
      </c>
      <c r="D644" s="146" t="s">
        <v>123</v>
      </c>
    </row>
    <row r="645" ht="14.25" customHeight="1">
      <c r="A645" s="125"/>
      <c r="B645" s="125"/>
      <c r="C645" s="125"/>
    </row>
    <row r="646" ht="14.25" customHeight="1"/>
    <row r="647" ht="14.25" customHeight="1">
      <c r="C647" s="252" t="s">
        <v>308</v>
      </c>
    </row>
    <row r="648" ht="14.25" customHeight="1">
      <c r="A648" s="252" t="s">
        <v>309</v>
      </c>
      <c r="B648" s="253">
        <v>0.10855</v>
      </c>
      <c r="C648" s="254">
        <f>((1+B648)*(1+B649))-1</f>
        <v>0.219405</v>
      </c>
      <c r="D648" s="78" t="s">
        <v>310</v>
      </c>
    </row>
    <row r="649" ht="14.25" customHeight="1">
      <c r="A649" s="252" t="s">
        <v>311</v>
      </c>
      <c r="B649" s="255">
        <v>0.1</v>
      </c>
      <c r="C649" s="65"/>
    </row>
    <row r="650" ht="14.25" customHeight="1"/>
    <row r="651" ht="14.25" customHeight="1"/>
    <row r="652" ht="14.25" customHeight="1"/>
    <row r="653" ht="14.25" customHeight="1">
      <c r="A653" s="125" t="s">
        <v>120</v>
      </c>
      <c r="D653" s="146" t="s">
        <v>123</v>
      </c>
    </row>
    <row r="654" ht="14.25" customHeight="1">
      <c r="A654" s="125"/>
      <c r="B654" s="125"/>
      <c r="C654" s="125"/>
    </row>
    <row r="655" ht="14.25" customHeight="1"/>
    <row r="656" ht="14.25" customHeight="1">
      <c r="B656" s="256" t="s">
        <v>312</v>
      </c>
      <c r="C656" s="15"/>
      <c r="D656" s="257" t="s">
        <v>313</v>
      </c>
    </row>
    <row r="657" ht="14.25" customHeight="1">
      <c r="A657" s="257" t="s">
        <v>255</v>
      </c>
      <c r="B657" s="258">
        <f>D640</f>
        <v>-242396582.7</v>
      </c>
      <c r="C657" s="15"/>
      <c r="D657" s="259">
        <f t="array" ref="D657">NPV(C648,B658:C662)+D544</f>
        <v>5366065.602</v>
      </c>
    </row>
    <row r="658" ht="14.25" customHeight="1">
      <c r="A658" s="257" t="s">
        <v>256</v>
      </c>
      <c r="B658" s="258">
        <f>E640</f>
        <v>87145927.6</v>
      </c>
      <c r="C658" s="15"/>
      <c r="D658" s="64"/>
    </row>
    <row r="659" ht="14.25" customHeight="1">
      <c r="A659" s="257" t="s">
        <v>257</v>
      </c>
      <c r="B659" s="258">
        <f>F640</f>
        <v>71474424.4</v>
      </c>
      <c r="C659" s="15"/>
      <c r="D659" s="64"/>
    </row>
    <row r="660" ht="14.25" customHeight="1">
      <c r="A660" s="257" t="s">
        <v>258</v>
      </c>
      <c r="B660" s="258">
        <f>G640</f>
        <v>82274755.3</v>
      </c>
      <c r="C660" s="15"/>
      <c r="D660" s="64"/>
    </row>
    <row r="661" ht="14.25" customHeight="1">
      <c r="A661" s="257" t="s">
        <v>259</v>
      </c>
      <c r="B661" s="258">
        <f>H640</f>
        <v>94134365.96</v>
      </c>
      <c r="C661" s="15"/>
      <c r="D661" s="64"/>
    </row>
    <row r="662" ht="14.25" customHeight="1">
      <c r="A662" s="257" t="s">
        <v>260</v>
      </c>
      <c r="B662" s="258">
        <f>I640</f>
        <v>108594638.8</v>
      </c>
      <c r="C662" s="15"/>
      <c r="D662" s="65"/>
    </row>
    <row r="663" ht="14.25" customHeight="1"/>
    <row r="664" ht="14.25" customHeight="1"/>
    <row r="665" ht="14.25" customHeight="1"/>
    <row r="666" ht="14.25" customHeight="1">
      <c r="A666" s="125" t="s">
        <v>121</v>
      </c>
      <c r="D666" s="146" t="s">
        <v>123</v>
      </c>
    </row>
    <row r="667" ht="14.25" customHeight="1">
      <c r="A667" s="125"/>
      <c r="B667" s="125"/>
      <c r="C667" s="125"/>
    </row>
    <row r="668" ht="14.25" customHeight="1"/>
    <row r="669" ht="14.25" customHeight="1">
      <c r="B669" s="256" t="s">
        <v>312</v>
      </c>
      <c r="C669" s="15"/>
      <c r="D669" s="257" t="s">
        <v>314</v>
      </c>
    </row>
    <row r="670" ht="14.25" customHeight="1">
      <c r="A670" s="257" t="s">
        <v>255</v>
      </c>
      <c r="B670" s="258">
        <f t="shared" ref="B670:B675" si="127">B657</f>
        <v>-242396582.7</v>
      </c>
      <c r="C670" s="15"/>
      <c r="D670" s="254">
        <f>IRR(B670:C675)</f>
        <v>0.2292694386</v>
      </c>
    </row>
    <row r="671" ht="14.25" customHeight="1">
      <c r="A671" s="257" t="s">
        <v>256</v>
      </c>
      <c r="B671" s="258">
        <f t="shared" si="127"/>
        <v>87145927.6</v>
      </c>
      <c r="C671" s="15"/>
      <c r="D671" s="64"/>
    </row>
    <row r="672" ht="14.25" customHeight="1">
      <c r="A672" s="257" t="s">
        <v>257</v>
      </c>
      <c r="B672" s="258">
        <f t="shared" si="127"/>
        <v>71474424.4</v>
      </c>
      <c r="C672" s="15"/>
      <c r="D672" s="64"/>
    </row>
    <row r="673" ht="14.25" customHeight="1">
      <c r="A673" s="257" t="s">
        <v>258</v>
      </c>
      <c r="B673" s="258">
        <f t="shared" si="127"/>
        <v>82274755.3</v>
      </c>
      <c r="C673" s="15"/>
      <c r="D673" s="64"/>
    </row>
    <row r="674" ht="14.25" customHeight="1">
      <c r="A674" s="257" t="s">
        <v>259</v>
      </c>
      <c r="B674" s="258">
        <f t="shared" si="127"/>
        <v>94134365.96</v>
      </c>
      <c r="C674" s="15"/>
      <c r="D674" s="64"/>
    </row>
    <row r="675" ht="14.25" customHeight="1">
      <c r="A675" s="257" t="s">
        <v>260</v>
      </c>
      <c r="B675" s="258">
        <f t="shared" si="127"/>
        <v>108594638.8</v>
      </c>
      <c r="C675" s="15"/>
      <c r="D675" s="65"/>
      <c r="E675" s="260" t="s">
        <v>224</v>
      </c>
    </row>
    <row r="676" ht="14.25" customHeight="1"/>
    <row r="677" ht="14.25" customHeight="1"/>
    <row r="678" ht="14.25" customHeight="1">
      <c r="A678" s="125" t="s">
        <v>315</v>
      </c>
    </row>
    <row r="679" ht="14.25" customHeight="1">
      <c r="A679" s="125"/>
      <c r="B679" s="125"/>
      <c r="C679" s="125"/>
    </row>
    <row r="680" ht="14.25" customHeight="1">
      <c r="A680" s="261" t="s">
        <v>316</v>
      </c>
      <c r="B680" s="262"/>
      <c r="C680" s="263">
        <f>-B670</f>
        <v>242396582.7</v>
      </c>
    </row>
    <row r="681" ht="14.25" customHeight="1"/>
    <row r="682" ht="14.25" customHeight="1">
      <c r="A682" s="264"/>
      <c r="B682" s="265" t="s">
        <v>312</v>
      </c>
      <c r="C682" s="266"/>
      <c r="D682" s="267" t="s">
        <v>317</v>
      </c>
      <c r="E682" s="267" t="s">
        <v>318</v>
      </c>
    </row>
    <row r="683" ht="14.25" customHeight="1">
      <c r="A683" s="268" t="s">
        <v>256</v>
      </c>
      <c r="B683" s="269">
        <f t="shared" ref="B683:B687" si="128">+B671</f>
        <v>87145927.6</v>
      </c>
      <c r="C683" s="266"/>
      <c r="D683" s="270">
        <f>+B683</f>
        <v>87145927.6</v>
      </c>
      <c r="E683" s="270">
        <f t="shared" ref="E683:E687" si="129">-$C$680+D683</f>
        <v>-155250655.1</v>
      </c>
    </row>
    <row r="684" ht="14.25" customHeight="1">
      <c r="A684" s="268" t="s">
        <v>257</v>
      </c>
      <c r="B684" s="269">
        <f t="shared" si="128"/>
        <v>71474424.4</v>
      </c>
      <c r="C684" s="266"/>
      <c r="D684" s="270">
        <f t="shared" ref="D684:D687" si="130">+B684+D683</f>
        <v>158620352</v>
      </c>
      <c r="E684" s="270">
        <f t="shared" si="129"/>
        <v>-83776230.7</v>
      </c>
    </row>
    <row r="685" ht="14.25" customHeight="1">
      <c r="A685" s="268" t="s">
        <v>258</v>
      </c>
      <c r="B685" s="269">
        <f t="shared" si="128"/>
        <v>82274755.3</v>
      </c>
      <c r="C685" s="266"/>
      <c r="D685" s="270">
        <f t="shared" si="130"/>
        <v>240895107.3</v>
      </c>
      <c r="E685" s="270">
        <f t="shared" si="129"/>
        <v>-1501475.393</v>
      </c>
      <c r="F685" s="38" t="s">
        <v>319</v>
      </c>
    </row>
    <row r="686" ht="14.25" customHeight="1">
      <c r="A686" s="268" t="s">
        <v>259</v>
      </c>
      <c r="B686" s="269">
        <f t="shared" si="128"/>
        <v>94134365.96</v>
      </c>
      <c r="C686" s="266"/>
      <c r="D686" s="270">
        <f t="shared" si="130"/>
        <v>335029473.3</v>
      </c>
      <c r="E686" s="270">
        <f t="shared" si="129"/>
        <v>92632890.56</v>
      </c>
    </row>
    <row r="687" ht="14.25" customHeight="1">
      <c r="A687" s="268" t="s">
        <v>260</v>
      </c>
      <c r="B687" s="269">
        <f t="shared" si="128"/>
        <v>108594638.8</v>
      </c>
      <c r="C687" s="266"/>
      <c r="D687" s="270">
        <f t="shared" si="130"/>
        <v>443624112</v>
      </c>
      <c r="E687" s="270">
        <f t="shared" si="129"/>
        <v>201227529.3</v>
      </c>
    </row>
    <row r="688" ht="14.25" customHeight="1">
      <c r="C688" s="271"/>
    </row>
    <row r="689" ht="14.25" customHeight="1">
      <c r="C689" s="273"/>
    </row>
    <row r="690" ht="14.25" customHeight="1">
      <c r="A690" s="265" t="s">
        <v>321</v>
      </c>
      <c r="B690" s="274"/>
      <c r="C690" s="266"/>
      <c r="D690" s="275">
        <f>B686</f>
        <v>94134365.96</v>
      </c>
    </row>
    <row r="691" ht="14.25" customHeight="1">
      <c r="A691" s="265" t="s">
        <v>322</v>
      </c>
      <c r="B691" s="274"/>
      <c r="C691" s="266"/>
      <c r="D691" s="275">
        <f>-E685/D690</f>
        <v>0.01595034266</v>
      </c>
      <c r="E691" s="78">
        <f>D691/365</f>
        <v>0.00004369956892</v>
      </c>
    </row>
    <row r="692" ht="14.25" customHeight="1">
      <c r="A692" s="265" t="s">
        <v>323</v>
      </c>
      <c r="B692" s="274"/>
      <c r="C692" s="266"/>
      <c r="D692" s="264">
        <f>+D691/30</f>
        <v>0.0005316780885</v>
      </c>
    </row>
    <row r="693" ht="14.25" customHeight="1">
      <c r="A693" s="265" t="s">
        <v>324</v>
      </c>
      <c r="B693" s="274"/>
      <c r="C693" s="266"/>
      <c r="D693" s="264">
        <f>ROUNDUP(((D692)*30),0)</f>
        <v>1</v>
      </c>
    </row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>
      <c r="B699" s="277"/>
    </row>
    <row r="700" ht="14.25" customHeight="1">
      <c r="A700" s="287"/>
      <c r="B700" s="279"/>
    </row>
    <row r="701" ht="14.25" customHeight="1">
      <c r="A701" s="287"/>
      <c r="B701" s="281"/>
    </row>
    <row r="702" ht="14.25" customHeight="1">
      <c r="A702" s="287"/>
    </row>
    <row r="703" ht="14.25" customHeight="1">
      <c r="A703" s="287"/>
    </row>
    <row r="704" ht="14.25" customHeight="1">
      <c r="A704" s="287"/>
    </row>
    <row r="705" ht="14.25" customHeight="1">
      <c r="A705" s="287"/>
    </row>
    <row r="706" ht="14.25" customHeight="1">
      <c r="A706" s="287"/>
    </row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27">
    <mergeCell ref="A533:C533"/>
    <mergeCell ref="A534:C534"/>
    <mergeCell ref="A535:C535"/>
    <mergeCell ref="A536:C536"/>
    <mergeCell ref="A537:C537"/>
    <mergeCell ref="A538:C538"/>
    <mergeCell ref="A539:C539"/>
    <mergeCell ref="A540:C540"/>
    <mergeCell ref="A541:C541"/>
    <mergeCell ref="A542:C542"/>
    <mergeCell ref="A543:C543"/>
    <mergeCell ref="A544:C544"/>
    <mergeCell ref="A545:C545"/>
    <mergeCell ref="A546:C546"/>
    <mergeCell ref="A547:C547"/>
    <mergeCell ref="A548:C548"/>
    <mergeCell ref="A549:C549"/>
    <mergeCell ref="A550:C550"/>
    <mergeCell ref="A551:C551"/>
    <mergeCell ref="A552:C552"/>
    <mergeCell ref="A553:C553"/>
    <mergeCell ref="A554:C554"/>
    <mergeCell ref="A555:C555"/>
    <mergeCell ref="A559:C559"/>
    <mergeCell ref="A562:C562"/>
    <mergeCell ref="A563:C563"/>
    <mergeCell ref="A564:C564"/>
    <mergeCell ref="A565:C565"/>
    <mergeCell ref="A566:C566"/>
    <mergeCell ref="A567:C567"/>
    <mergeCell ref="A568:C568"/>
    <mergeCell ref="A569:C569"/>
    <mergeCell ref="A570:C570"/>
    <mergeCell ref="A571:C571"/>
    <mergeCell ref="A572:C572"/>
    <mergeCell ref="A590:C590"/>
    <mergeCell ref="A592:I592"/>
    <mergeCell ref="A595:C595"/>
    <mergeCell ref="A598:C598"/>
    <mergeCell ref="A599:C599"/>
    <mergeCell ref="A600:C600"/>
    <mergeCell ref="A601:C601"/>
    <mergeCell ref="A602:C602"/>
    <mergeCell ref="B685:C685"/>
    <mergeCell ref="B686:C686"/>
    <mergeCell ref="B687:C687"/>
    <mergeCell ref="A690:C690"/>
    <mergeCell ref="A691:C691"/>
    <mergeCell ref="A692:C692"/>
    <mergeCell ref="A693:C693"/>
    <mergeCell ref="A697:C697"/>
    <mergeCell ref="B674:C674"/>
    <mergeCell ref="B675:C675"/>
    <mergeCell ref="A678:C678"/>
    <mergeCell ref="A680:B680"/>
    <mergeCell ref="B682:C682"/>
    <mergeCell ref="B683:C683"/>
    <mergeCell ref="B684:C684"/>
    <mergeCell ref="A573:C573"/>
    <mergeCell ref="A574:C574"/>
    <mergeCell ref="A575:C575"/>
    <mergeCell ref="A576:C576"/>
    <mergeCell ref="A577:C577"/>
    <mergeCell ref="A578:C578"/>
    <mergeCell ref="A579:C579"/>
    <mergeCell ref="A580:C580"/>
    <mergeCell ref="A581:C581"/>
    <mergeCell ref="A582:C582"/>
    <mergeCell ref="A583:C583"/>
    <mergeCell ref="A584:C584"/>
    <mergeCell ref="A585:C585"/>
    <mergeCell ref="A588:C588"/>
    <mergeCell ref="B657:C657"/>
    <mergeCell ref="B658:C658"/>
    <mergeCell ref="B659:C659"/>
    <mergeCell ref="B660:C660"/>
    <mergeCell ref="A636:C636"/>
    <mergeCell ref="A640:C640"/>
    <mergeCell ref="A644:C644"/>
    <mergeCell ref="C648:C649"/>
    <mergeCell ref="A653:C653"/>
    <mergeCell ref="B656:C656"/>
    <mergeCell ref="D657:D662"/>
    <mergeCell ref="B672:C672"/>
    <mergeCell ref="B673:C673"/>
    <mergeCell ref="B661:C661"/>
    <mergeCell ref="B662:C662"/>
    <mergeCell ref="A666:C666"/>
    <mergeCell ref="B669:C669"/>
    <mergeCell ref="B670:C670"/>
    <mergeCell ref="D670:D675"/>
    <mergeCell ref="B671:C671"/>
    <mergeCell ref="C35:E35"/>
    <mergeCell ref="C36:E36"/>
    <mergeCell ref="A1:H4"/>
    <mergeCell ref="A6:M7"/>
    <mergeCell ref="A9:C9"/>
    <mergeCell ref="A30:C30"/>
    <mergeCell ref="A32:B32"/>
    <mergeCell ref="A35:B35"/>
    <mergeCell ref="A36:B38"/>
    <mergeCell ref="C42:G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G53"/>
    <mergeCell ref="C37:E37"/>
    <mergeCell ref="C38:G38"/>
    <mergeCell ref="A39:B42"/>
    <mergeCell ref="C39:E39"/>
    <mergeCell ref="C40:E40"/>
    <mergeCell ref="C41:E41"/>
    <mergeCell ref="A43:B53"/>
    <mergeCell ref="C60:E60"/>
    <mergeCell ref="C61:E61"/>
    <mergeCell ref="C62:E62"/>
    <mergeCell ref="C63:E63"/>
    <mergeCell ref="C64:G64"/>
    <mergeCell ref="C66:E66"/>
    <mergeCell ref="C67:E67"/>
    <mergeCell ref="C68:E68"/>
    <mergeCell ref="C69:E69"/>
    <mergeCell ref="C70:E70"/>
    <mergeCell ref="C71:E71"/>
    <mergeCell ref="C75:G75"/>
    <mergeCell ref="C79:G79"/>
    <mergeCell ref="A80:G80"/>
    <mergeCell ref="A155:C155"/>
    <mergeCell ref="A156:C156"/>
    <mergeCell ref="A157:C157"/>
    <mergeCell ref="A161:C161"/>
    <mergeCell ref="A164:C164"/>
    <mergeCell ref="A165:C165"/>
    <mergeCell ref="A166:C166"/>
    <mergeCell ref="A167:C167"/>
    <mergeCell ref="A168:C168"/>
    <mergeCell ref="A169:C169"/>
    <mergeCell ref="A170:C170"/>
    <mergeCell ref="A174:C174"/>
    <mergeCell ref="A177:B177"/>
    <mergeCell ref="A178:B178"/>
    <mergeCell ref="C59:E59"/>
    <mergeCell ref="C65:E65"/>
    <mergeCell ref="C72:E72"/>
    <mergeCell ref="C73:E73"/>
    <mergeCell ref="C76:E76"/>
    <mergeCell ref="C77:E77"/>
    <mergeCell ref="C78:E78"/>
    <mergeCell ref="A54:B64"/>
    <mergeCell ref="C54:E54"/>
    <mergeCell ref="C55:E55"/>
    <mergeCell ref="C56:E56"/>
    <mergeCell ref="C57:E57"/>
    <mergeCell ref="C58:E58"/>
    <mergeCell ref="C74:E74"/>
    <mergeCell ref="A65:B75"/>
    <mergeCell ref="A76:B79"/>
    <mergeCell ref="A84:B84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101:B101"/>
    <mergeCell ref="A104:C104"/>
    <mergeCell ref="A105:C105"/>
    <mergeCell ref="A106:C106"/>
    <mergeCell ref="A150:C150"/>
    <mergeCell ref="A152:B152"/>
    <mergeCell ref="A154:C154"/>
    <mergeCell ref="A182:B182"/>
    <mergeCell ref="A183:D183"/>
    <mergeCell ref="A187:C187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1:F201"/>
    <mergeCell ref="A200:C200"/>
    <mergeCell ref="A205:C205"/>
    <mergeCell ref="A208:D208"/>
    <mergeCell ref="A209:C209"/>
    <mergeCell ref="A210:C210"/>
    <mergeCell ref="A211:D211"/>
    <mergeCell ref="A212:D212"/>
    <mergeCell ref="A222:C222"/>
    <mergeCell ref="B223:C223"/>
    <mergeCell ref="B224:C224"/>
    <mergeCell ref="B225:C225"/>
    <mergeCell ref="B228:G228"/>
    <mergeCell ref="B229:D229"/>
    <mergeCell ref="B230:D230"/>
    <mergeCell ref="B231:D231"/>
    <mergeCell ref="B232:D232"/>
    <mergeCell ref="B233:D233"/>
    <mergeCell ref="B234:G234"/>
    <mergeCell ref="A213:D213"/>
    <mergeCell ref="A214:D214"/>
    <mergeCell ref="A215:D215"/>
    <mergeCell ref="A219:C219"/>
    <mergeCell ref="F221:G221"/>
    <mergeCell ref="H221:I221"/>
    <mergeCell ref="A223:A228"/>
    <mergeCell ref="B226:C226"/>
    <mergeCell ref="B227:C227"/>
    <mergeCell ref="A229:A234"/>
    <mergeCell ref="A238:C238"/>
    <mergeCell ref="A241:C241"/>
    <mergeCell ref="A242:C242"/>
    <mergeCell ref="A243:C243"/>
    <mergeCell ref="A244:C244"/>
    <mergeCell ref="A245:C245"/>
    <mergeCell ref="A249:C249"/>
    <mergeCell ref="A252:C252"/>
    <mergeCell ref="A253:B253"/>
    <mergeCell ref="A254:B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9:C269"/>
    <mergeCell ref="A272:B272"/>
    <mergeCell ref="A273:B273"/>
    <mergeCell ref="A274:B274"/>
    <mergeCell ref="A275:B275"/>
    <mergeCell ref="A276:B276"/>
    <mergeCell ref="A277:B277"/>
    <mergeCell ref="A278:B278"/>
    <mergeCell ref="A282:C282"/>
    <mergeCell ref="E282:F282"/>
    <mergeCell ref="A285:C285"/>
    <mergeCell ref="A286:C286"/>
    <mergeCell ref="A287:C287"/>
    <mergeCell ref="A288:C288"/>
    <mergeCell ref="A289:C289"/>
    <mergeCell ref="A290:C290"/>
    <mergeCell ref="A291:C291"/>
    <mergeCell ref="A295:C295"/>
    <mergeCell ref="A298:C298"/>
    <mergeCell ref="A299:C299"/>
    <mergeCell ref="A300:A305"/>
    <mergeCell ref="D300:D305"/>
    <mergeCell ref="A306:C306"/>
    <mergeCell ref="A307:C307"/>
    <mergeCell ref="A311:C311"/>
    <mergeCell ref="A314:C314"/>
    <mergeCell ref="A315:C315"/>
    <mergeCell ref="A316:C316"/>
    <mergeCell ref="A317:C317"/>
    <mergeCell ref="A321:C321"/>
    <mergeCell ref="A324:C324"/>
    <mergeCell ref="A325:C325"/>
    <mergeCell ref="A326:C326"/>
    <mergeCell ref="A327:C327"/>
    <mergeCell ref="A353:C353"/>
    <mergeCell ref="A356:C356"/>
    <mergeCell ref="D356:E356"/>
    <mergeCell ref="A357:C357"/>
    <mergeCell ref="D357:E357"/>
    <mergeCell ref="A358:C358"/>
    <mergeCell ref="D358:E358"/>
    <mergeCell ref="A359:C359"/>
    <mergeCell ref="D359:E359"/>
    <mergeCell ref="A360:C360"/>
    <mergeCell ref="D360:E360"/>
    <mergeCell ref="A376:E376"/>
    <mergeCell ref="A363:B363"/>
    <mergeCell ref="A478:C478"/>
    <mergeCell ref="A481:C481"/>
    <mergeCell ref="A482:C482"/>
    <mergeCell ref="A485:C485"/>
    <mergeCell ref="A488:C488"/>
    <mergeCell ref="A489:C489"/>
    <mergeCell ref="A490:C490"/>
    <mergeCell ref="A494:C494"/>
    <mergeCell ref="A498:B498"/>
    <mergeCell ref="A499:B499"/>
    <mergeCell ref="A502:C502"/>
    <mergeCell ref="A506:C506"/>
    <mergeCell ref="A507:C507"/>
    <mergeCell ref="A508:C508"/>
    <mergeCell ref="A509:C509"/>
    <mergeCell ref="A510:C510"/>
    <mergeCell ref="A511:C511"/>
    <mergeCell ref="A512:C512"/>
    <mergeCell ref="A513:C513"/>
    <mergeCell ref="A514:C514"/>
    <mergeCell ref="A515:C515"/>
    <mergeCell ref="A516:C516"/>
    <mergeCell ref="A517:C517"/>
    <mergeCell ref="A518:C518"/>
    <mergeCell ref="A519:B519"/>
    <mergeCell ref="A520:C520"/>
    <mergeCell ref="A521:B521"/>
    <mergeCell ref="A522:C522"/>
    <mergeCell ref="A525:C525"/>
    <mergeCell ref="A528:C528"/>
    <mergeCell ref="A529:C529"/>
    <mergeCell ref="A530:C530"/>
    <mergeCell ref="A531:C531"/>
    <mergeCell ref="A532:C532"/>
  </mergeCells>
  <dataValidations>
    <dataValidation type="decimal" operator="equal" allowBlank="1" showInputMessage="1" prompt="DEBE SER 0" sqref="D590:I590">
      <formula1>0.0</formula1>
    </dataValidation>
  </dataValidations>
  <hyperlinks>
    <hyperlink display="Inversiones" location="'Estudio Financiero'!A30" ref="B11"/>
    <hyperlink display="Costos y gastos" location="'Estudio Financiero'!A150" ref="D11"/>
    <hyperlink display="Crédito" location="'Estudio Financiero'!A353" ref="F11"/>
    <hyperlink display="INVERSIÓN FIJA" location="'Estudio Financiero'!A32" ref="B13"/>
    <hyperlink display="TALENTO HUMANO" location="'Estudio Financiero'!A152" ref="D13"/>
    <hyperlink display="Proyecciones" location="'Estudio Financiero'!A478" ref="F13"/>
    <hyperlink display="INVERSIÓN DIFERIDA" location="'Estudio Financiero'!A84" ref="B14"/>
    <hyperlink display="SERVICIOS PUBLICOS Y ARRENDAMIENTO" location="'Estudio Financiero'!A161" ref="D14"/>
    <hyperlink display="INVERSIÓN INICIAL" location="'Estudio Financiero'!A101" ref="B15"/>
    <hyperlink display="DEPRECIACIÓN" location="'Estudio Financiero'!A174" ref="D15"/>
    <hyperlink display="PROYECCIÓN DE UNIDADES A VENDER" location="'Estudio Financiero'!A494" ref="F15"/>
    <hyperlink display="MATERIA PRIMA Y/O INSUMOS" location="'Estudio Financiero'!A187" ref="D16"/>
    <hyperlink display="ESTADO DE RESULTADOS PROYECTADOS" location="'Estudio Financiero'!A502" ref="F16"/>
    <hyperlink display="COSTOS INDIRECTOS DE FABRICACIÓN" location="'Estudio Financiero'!A205" ref="D17"/>
    <hyperlink display="FLUJO DE CAJA PROYECTADO" location="'Estudio Financiero'!A525" ref="F17"/>
    <hyperlink display="PRORRATEO DE COSTOS Y GASTOS" location="'Estudio Financiero'!A219" ref="D18"/>
    <hyperlink display="BALANCE GENERAL PROYECTADO" location="'Estudio Financiero'!A559" ref="F18"/>
    <hyperlink display="COSTO DEL PRODUCTO O SERVICIO" location="'Estudio Financiero'!A238" ref="D19"/>
    <hyperlink display="VERIFICACIÓN DE SALDOS" location="'Estudio Financiero'!A588" ref="F19"/>
    <hyperlink display="GASTOS DE ADMINISTRACIÓN Y VENTAS" location="'Estudio Financiero'!A249" ref="D20"/>
    <hyperlink display="RAZONES FINANCIERAS" location="'Estudio Financiero'!A595" ref="F20"/>
    <hyperlink display="GASTOS FINANCIEROS" location="'Estudio Financiero'!A269" ref="D21"/>
    <hyperlink display="CAPITAL DE TRABAJO" location="'Estudio Financiero'!A282" ref="D22"/>
    <hyperlink display="Evaluación" location="'Estudio Financiero'!A636" ref="F22"/>
    <hyperlink display="COSTOS FIJOS" location="'Estudio Financiero'!A295" ref="D23"/>
    <hyperlink display="COSTOS VARIBLES" location="'Estudio Financiero'!A311" ref="D24"/>
    <hyperlink display="TASA DE OPORTUNIDAD" location="'Estudio Financiero'!A644" ref="F24"/>
    <hyperlink display="COSTOS TOTALES UNITARIOS" location="'Estudio Financiero'!A321" ref="D25"/>
    <hyperlink display="VALOR PRESENTE NETO" location="'Estudio Financiero'!A653" ref="F25"/>
    <hyperlink display="TASA INTERNA DE RETORNO" location="'Estudio Financiero'!A666" ref="F26"/>
    <hyperlink display="IR ESTUDIO FINANCIERO" location="'Estudio Financiero'!A1" ref="H32"/>
    <hyperlink display="IR ESTUDIO FINANCIERO" location="'Estudio Financiero'!A1" ref="H84"/>
    <hyperlink display="IR ESTUDIO FINANCIERO" location="'Estudio Financiero'!A1" ref="H101"/>
    <hyperlink display="IR ESTUDIO FINANCIERO" location="'Estudio Financiero'!A1" ref="E152"/>
    <hyperlink display="IR ESTUDIO FINANCIERO" location="'Estudio Financiero'!A1" ref="E161"/>
    <hyperlink display="IR ESTUDIO FINANCIERO" location="'Estudio Financiero'!A1" ref="F174"/>
    <hyperlink display="IR ESTUDIO FINANCIERO" location="'Estudio Financiero'!A1" ref="I187"/>
    <hyperlink display="IR ESTUDIO FINANCIERO" location="'Estudio Financiero'!A1" ref="F205"/>
    <hyperlink display="IR ESTUDIO FINANCIERO" location="'Estudio Financiero'!A1" ref="I219"/>
    <hyperlink display="IR ESTUDIO FINANCIERO" location="'Estudio Financiero'!A1" ref="E238"/>
    <hyperlink display="IR ESTUDIO FINANCIERO" location="'Estudio Financiero'!A1" ref="E249"/>
    <hyperlink display="IR ESTUDIO FINANCIERO" location="'Estudio Financiero'!A1" ref="E269"/>
    <hyperlink display="IR ESTUDIO FINANCIERO" location="'Estudio Financiero'!A1" ref="E295"/>
    <hyperlink display="IR ESTUDIO FINANCIERO" location="'Estudio Financiero'!A1" ref="D311"/>
    <hyperlink display="IR ESTUDIO FINANCIERO" location="'Estudio Financiero'!A1" ref="D321"/>
    <hyperlink display="IR ESTUDIO FINANCIERO" location="'Estudio Financiero'!A1" ref="E353"/>
    <hyperlink display="IR ESTUDIO FINANCIERO" location="'Estudio Financiero'!A1" ref="D494"/>
    <hyperlink display="IR ESTUDIO FINANCIERO" location="'Estudio Financiero'!A1" ref="H502"/>
    <hyperlink display="IR ESTUDIO FINANCIERO" location="'Estudio Financiero'!A1" ref="I525"/>
    <hyperlink display="IR ESTUDIO FINANCIERO" location="'Estudio Financiero'!A1" ref="I559"/>
    <hyperlink display="IR ESTUDIO FINANCIERO" location="'Estudio Financiero'!A1" ref="I588"/>
    <hyperlink display="IR ESTUDIO FINANCIERO" location="'Estudio Financiero'!A1" ref="H595"/>
    <hyperlink display="IR ESTUDIO FINANCIERO" location="'Estudio Financiero'!A1" ref="D644"/>
    <hyperlink display="IR ESTUDIO FINANCIERO" location="'Estudio Financiero'!A1" ref="D653"/>
    <hyperlink display="IR ESTUDIO FINANCIERO" location="'Estudio Financiero'!A1" ref="D666"/>
  </hyperlink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 ht="14.25" customHeight="1">
      <c r="A1" s="78" t="s">
        <v>353</v>
      </c>
      <c r="C1" s="78" t="s">
        <v>354</v>
      </c>
    </row>
    <row r="2" ht="14.25" customHeight="1">
      <c r="A2" s="78" t="s">
        <v>355</v>
      </c>
    </row>
    <row r="3" ht="14.25" customHeight="1"/>
    <row r="4" ht="14.25" customHeight="1">
      <c r="D4" s="264" t="s">
        <v>356</v>
      </c>
      <c r="E4" s="264" t="s">
        <v>357</v>
      </c>
      <c r="F4" s="264" t="s">
        <v>358</v>
      </c>
    </row>
    <row r="5" ht="14.25" customHeight="1">
      <c r="D5" s="288">
        <v>45467.0</v>
      </c>
      <c r="E5" s="264" t="s">
        <v>359</v>
      </c>
      <c r="F5" s="264">
        <v>10.13</v>
      </c>
    </row>
    <row r="6" ht="14.25" customHeight="1">
      <c r="D6" s="288">
        <v>45460.0</v>
      </c>
      <c r="E6" s="264" t="s">
        <v>360</v>
      </c>
      <c r="F6" s="264">
        <v>10.16</v>
      </c>
    </row>
    <row r="7" ht="14.25" customHeight="1">
      <c r="D7" s="288">
        <v>45453.0</v>
      </c>
      <c r="E7" s="264" t="s">
        <v>361</v>
      </c>
      <c r="F7" s="264">
        <v>10.09</v>
      </c>
    </row>
    <row r="8" ht="14.25" customHeight="1">
      <c r="D8" s="288">
        <v>45446.0</v>
      </c>
      <c r="E8" s="264" t="s">
        <v>362</v>
      </c>
      <c r="F8" s="264">
        <v>10.23</v>
      </c>
    </row>
    <row r="9" ht="14.25" customHeight="1">
      <c r="D9" s="288">
        <v>45439.0</v>
      </c>
      <c r="E9" s="264" t="s">
        <v>363</v>
      </c>
      <c r="F9" s="264">
        <v>10.24</v>
      </c>
    </row>
    <row r="10" ht="14.25" customHeight="1">
      <c r="D10" s="288">
        <v>45432.0</v>
      </c>
      <c r="E10" s="264" t="s">
        <v>364</v>
      </c>
      <c r="F10" s="264">
        <v>10.23</v>
      </c>
    </row>
    <row r="11" ht="14.25" customHeight="1">
      <c r="D11" s="288">
        <v>45425.0</v>
      </c>
      <c r="E11" s="264" t="s">
        <v>365</v>
      </c>
      <c r="F11" s="264">
        <v>10.26</v>
      </c>
    </row>
    <row r="12" ht="14.25" customHeight="1">
      <c r="D12" s="288">
        <v>45418.0</v>
      </c>
      <c r="E12" s="264" t="s">
        <v>366</v>
      </c>
      <c r="F12" s="264">
        <v>10.42</v>
      </c>
    </row>
    <row r="13" ht="14.25" customHeight="1">
      <c r="D13" s="288">
        <v>45411.0</v>
      </c>
      <c r="E13" s="264" t="s">
        <v>367</v>
      </c>
      <c r="F13" s="264">
        <v>10.6</v>
      </c>
    </row>
    <row r="14" ht="14.25" customHeight="1">
      <c r="D14" s="288">
        <v>45404.0</v>
      </c>
      <c r="E14" s="264" t="s">
        <v>368</v>
      </c>
      <c r="F14" s="264">
        <v>10.49</v>
      </c>
    </row>
    <row r="15" ht="14.25" customHeight="1">
      <c r="D15" s="288">
        <v>45397.0</v>
      </c>
      <c r="E15" s="264" t="s">
        <v>369</v>
      </c>
      <c r="F15" s="264">
        <v>10.55</v>
      </c>
    </row>
    <row r="16" ht="14.25" customHeight="1">
      <c r="D16" s="288">
        <v>45390.0</v>
      </c>
      <c r="E16" s="264" t="s">
        <v>370</v>
      </c>
      <c r="F16" s="264">
        <v>10.66</v>
      </c>
    </row>
    <row r="17" ht="14.25" customHeight="1">
      <c r="D17" s="288">
        <v>45383.0</v>
      </c>
      <c r="E17" s="264" t="s">
        <v>371</v>
      </c>
      <c r="F17" s="264">
        <v>10.6</v>
      </c>
    </row>
    <row r="18" ht="14.25" customHeight="1">
      <c r="D18" s="288">
        <v>45376.0</v>
      </c>
      <c r="E18" s="264" t="s">
        <v>372</v>
      </c>
      <c r="F18" s="264">
        <v>10.94</v>
      </c>
    </row>
    <row r="19" ht="14.25" customHeight="1">
      <c r="D19" s="288">
        <v>45369.0</v>
      </c>
      <c r="E19" s="264" t="s">
        <v>373</v>
      </c>
      <c r="F19" s="264">
        <v>10.88</v>
      </c>
    </row>
    <row r="20" ht="14.25" customHeight="1">
      <c r="D20" s="288">
        <v>45362.0</v>
      </c>
      <c r="E20" s="264" t="s">
        <v>374</v>
      </c>
      <c r="F20" s="264">
        <v>10.88</v>
      </c>
    </row>
    <row r="21" ht="14.25" customHeight="1">
      <c r="D21" s="288">
        <v>45355.0</v>
      </c>
      <c r="E21" s="264" t="s">
        <v>375</v>
      </c>
      <c r="F21" s="264">
        <v>11.08</v>
      </c>
    </row>
    <row r="22" ht="14.25" customHeight="1">
      <c r="D22" s="288">
        <v>45348.0</v>
      </c>
      <c r="E22" s="264" t="s">
        <v>376</v>
      </c>
      <c r="F22" s="264">
        <v>11.03</v>
      </c>
    </row>
    <row r="23" ht="14.25" customHeight="1">
      <c r="D23" s="288">
        <v>45341.0</v>
      </c>
      <c r="E23" s="264" t="s">
        <v>377</v>
      </c>
      <c r="F23" s="264">
        <v>11.12</v>
      </c>
    </row>
    <row r="24" ht="14.25" customHeight="1">
      <c r="D24" s="288">
        <v>45334.0</v>
      </c>
      <c r="E24" s="264" t="s">
        <v>378</v>
      </c>
      <c r="F24" s="264">
        <v>11.09</v>
      </c>
    </row>
    <row r="25" ht="14.25" customHeight="1">
      <c r="D25" s="288">
        <v>45327.0</v>
      </c>
      <c r="E25" s="264" t="s">
        <v>379</v>
      </c>
      <c r="F25" s="264">
        <v>11.3</v>
      </c>
    </row>
    <row r="26" ht="14.25" customHeight="1">
      <c r="D26" s="288">
        <v>45320.0</v>
      </c>
      <c r="E26" s="264" t="s">
        <v>380</v>
      </c>
      <c r="F26" s="264">
        <v>11.44</v>
      </c>
    </row>
    <row r="27" ht="14.25" customHeight="1">
      <c r="D27" s="288">
        <v>45313.0</v>
      </c>
      <c r="E27" s="264" t="s">
        <v>381</v>
      </c>
      <c r="F27" s="264">
        <v>11.59</v>
      </c>
    </row>
    <row r="28" ht="14.25" customHeight="1">
      <c r="D28" s="288">
        <v>45306.0</v>
      </c>
      <c r="E28" s="264" t="s">
        <v>382</v>
      </c>
      <c r="F28" s="264">
        <v>11.86</v>
      </c>
    </row>
    <row r="29" ht="14.25" customHeight="1">
      <c r="D29" s="288">
        <v>45299.0</v>
      </c>
      <c r="E29" s="264" t="s">
        <v>383</v>
      </c>
      <c r="F29" s="264">
        <v>12.01</v>
      </c>
    </row>
    <row r="30" ht="14.25" customHeight="1">
      <c r="D30" s="288">
        <v>45292.0</v>
      </c>
      <c r="E30" s="264" t="s">
        <v>384</v>
      </c>
      <c r="F30" s="264">
        <v>12.35</v>
      </c>
    </row>
    <row r="31" ht="14.25" customHeight="1"/>
    <row r="32" ht="14.25" customHeight="1">
      <c r="D32" s="52" t="s">
        <v>385</v>
      </c>
      <c r="F32" s="78">
        <f>AVERAGE(F5:F30)</f>
        <v>10.855</v>
      </c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D32:E32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 ht="14.25" customHeight="1"/>
    <row r="2" ht="14.25" customHeight="1">
      <c r="A2" s="52" t="s">
        <v>386</v>
      </c>
    </row>
    <row r="3" ht="14.25" customHeight="1"/>
    <row r="4" ht="14.25" customHeight="1">
      <c r="A4" s="289" t="s">
        <v>387</v>
      </c>
    </row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>
      <c r="A11" s="22" t="s">
        <v>388</v>
      </c>
      <c r="B11" s="289"/>
      <c r="C11" s="289"/>
      <c r="D11" s="289"/>
      <c r="E11" s="289"/>
      <c r="F11" s="289"/>
      <c r="G11" s="289"/>
      <c r="H11" s="289"/>
    </row>
    <row r="12" ht="14.25" customHeight="1"/>
    <row r="13" ht="14.25" customHeight="1">
      <c r="A13" s="78" t="s">
        <v>389</v>
      </c>
      <c r="B13" s="78" t="s">
        <v>390</v>
      </c>
    </row>
    <row r="14" ht="14.25" customHeight="1">
      <c r="A14" s="78">
        <v>2020.0</v>
      </c>
      <c r="B14" s="290">
        <v>0.039</v>
      </c>
    </row>
    <row r="15" ht="14.25" customHeight="1">
      <c r="A15" s="78">
        <v>2021.0</v>
      </c>
      <c r="B15" s="290">
        <v>0.1</v>
      </c>
    </row>
    <row r="16" ht="14.25" customHeight="1">
      <c r="A16" s="78">
        <v>2022.0</v>
      </c>
      <c r="B16" s="290">
        <v>0.075</v>
      </c>
    </row>
    <row r="17" ht="14.25" customHeight="1">
      <c r="A17" s="78">
        <v>2023.0</v>
      </c>
      <c r="B17" s="290">
        <v>0.08</v>
      </c>
    </row>
    <row r="18" ht="14.25" customHeight="1">
      <c r="A18" s="78">
        <v>2024.0</v>
      </c>
      <c r="B18" s="290">
        <f t="shared" ref="B18:B23" si="1">_xlfn.FORECAST.LINEAR(A18,$B$14:$B$17,$A$14:$A$17)</f>
        <v>0.098</v>
      </c>
    </row>
    <row r="19" ht="14.25" customHeight="1">
      <c r="A19" s="78">
        <v>2025.0</v>
      </c>
      <c r="B19" s="290">
        <f t="shared" si="1"/>
        <v>0.1078</v>
      </c>
    </row>
    <row r="20" ht="14.25" customHeight="1">
      <c r="A20" s="78">
        <v>2026.0</v>
      </c>
      <c r="B20" s="290">
        <f t="shared" si="1"/>
        <v>0.1176</v>
      </c>
    </row>
    <row r="21" ht="14.25" customHeight="1">
      <c r="A21" s="78">
        <v>2027.0</v>
      </c>
      <c r="B21" s="290">
        <f t="shared" si="1"/>
        <v>0.1274</v>
      </c>
    </row>
    <row r="22" ht="14.25" customHeight="1">
      <c r="A22" s="78">
        <v>2028.0</v>
      </c>
      <c r="B22" s="290">
        <f t="shared" si="1"/>
        <v>0.1372</v>
      </c>
      <c r="C22" s="260"/>
    </row>
    <row r="23" ht="14.25" customHeight="1">
      <c r="A23" s="78">
        <v>2029.0</v>
      </c>
      <c r="B23" s="290">
        <f t="shared" si="1"/>
        <v>0.147</v>
      </c>
    </row>
    <row r="24" ht="14.25" customHeight="1"/>
    <row r="25" ht="14.25" customHeight="1">
      <c r="A25" s="22" t="s">
        <v>391</v>
      </c>
      <c r="B25" s="289"/>
    </row>
    <row r="26" ht="14.25" customHeight="1">
      <c r="A26" s="291"/>
    </row>
    <row r="27" ht="14.25" customHeight="1"/>
    <row r="28" ht="14.25" customHeight="1"/>
    <row r="29" ht="14.25" customHeight="1"/>
    <row r="30" ht="409.5" customHeight="1">
      <c r="C30" s="289"/>
      <c r="D30" s="289"/>
      <c r="E30" s="289"/>
      <c r="F30" s="289"/>
      <c r="G30" s="289"/>
      <c r="H30" s="289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2:H2"/>
    <mergeCell ref="A4:H1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