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Users\Valeria Sofia\Documents\PROYECTO DE GRADO ABRIL\Apéndices\"/>
    </mc:Choice>
  </mc:AlternateContent>
  <xr:revisionPtr revIDLastSave="0" documentId="13_ncr:1_{A5E5C710-BF93-402C-86AF-3DA0EA8EB1C6}" xr6:coauthVersionLast="47" xr6:coauthVersionMax="47" xr10:uidLastSave="{00000000-0000-0000-0000-000000000000}"/>
  <bookViews>
    <workbookView xWindow="-120" yWindow="-120" windowWidth="20730" windowHeight="11160" activeTab="10" xr2:uid="{00000000-000D-0000-FFFF-FFFF00000000}"/>
  </bookViews>
  <sheets>
    <sheet name="Nomina" sheetId="11" r:id="rId1"/>
    <sheet name="Inver-cost-gast-precio" sheetId="30" r:id="rId2"/>
    <sheet name="datos" sheetId="3" r:id="rId3"/>
    <sheet name="pronostico" sheetId="2" r:id="rId4"/>
    <sheet name="credito" sheetId="5" r:id="rId5"/>
    <sheet name="activos" sheetId="6" r:id="rId6"/>
    <sheet name="eresult" sheetId="4" r:id="rId7"/>
    <sheet name="flujocaja" sheetId="7" r:id="rId8"/>
    <sheet name="balance" sheetId="8" r:id="rId9"/>
    <sheet name="factible" sheetId="9" r:id="rId10"/>
    <sheet name="Resumen del escenarios" sheetId="47" r:id="rId11"/>
  </sheets>
  <externalReferences>
    <externalReference r:id="rId12"/>
  </externalReferences>
  <definedNames>
    <definedName name="solver_eng" localSheetId="2" hidden="1">1</definedName>
    <definedName name="solver_neg" localSheetId="2" hidden="1">1</definedName>
    <definedName name="solver_num" localSheetId="2" hidden="1">0</definedName>
    <definedName name="solver_opt" localSheetId="2" hidden="1">datos!$E$10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8" l="1"/>
  <c r="F32" i="30"/>
  <c r="E32" i="30"/>
  <c r="C47" i="30" s="1"/>
  <c r="D47" i="30" s="1"/>
  <c r="D25" i="11"/>
  <c r="D24" i="11"/>
  <c r="D26" i="11"/>
  <c r="D23" i="11"/>
  <c r="C22" i="11"/>
  <c r="C19" i="8"/>
  <c r="D50" i="30"/>
  <c r="D49" i="30"/>
  <c r="D46" i="30"/>
  <c r="D45" i="30"/>
  <c r="C50" i="30"/>
  <c r="C49" i="30"/>
  <c r="C46" i="30"/>
  <c r="C45" i="30"/>
  <c r="E31" i="30" l="1"/>
  <c r="D21" i="30"/>
  <c r="E21" i="30" s="1"/>
  <c r="E22" i="30" s="1"/>
  <c r="C39" i="30"/>
  <c r="D38" i="30"/>
  <c r="D37" i="30"/>
  <c r="E30" i="30"/>
  <c r="E5" i="30"/>
  <c r="E19" i="30"/>
  <c r="E9" i="30"/>
  <c r="E10" i="30" s="1"/>
  <c r="B5" i="3" s="1"/>
  <c r="C11" i="6" s="1"/>
  <c r="E6" i="30"/>
  <c r="F30" i="30" l="1"/>
  <c r="F31" i="30"/>
  <c r="B7" i="3"/>
  <c r="H18" i="6" s="1"/>
  <c r="E7" i="30"/>
  <c r="B4" i="3" s="1"/>
  <c r="C4" i="6" s="1"/>
  <c r="B17" i="3"/>
  <c r="D18" i="6"/>
  <c r="F18" i="6"/>
  <c r="I18" i="6"/>
  <c r="E18" i="6"/>
  <c r="D39" i="30"/>
  <c r="B20" i="3" s="1"/>
  <c r="E25" i="30"/>
  <c r="G18" i="6" l="1"/>
  <c r="E6" i="4"/>
  <c r="E27" i="4" s="1"/>
  <c r="I8" i="7" l="1"/>
  <c r="C11" i="4"/>
  <c r="I11" i="4" l="1"/>
  <c r="C32" i="4"/>
  <c r="H11" i="4"/>
  <c r="F11" i="4"/>
  <c r="E11" i="4"/>
  <c r="G11" i="4"/>
  <c r="G8" i="7" l="1"/>
  <c r="H32" i="4"/>
  <c r="F8" i="7"/>
  <c r="G32" i="4"/>
  <c r="D8" i="7"/>
  <c r="E32" i="4"/>
  <c r="E8" i="7"/>
  <c r="F32" i="4"/>
  <c r="H8" i="7"/>
  <c r="I32" i="4"/>
  <c r="C15" i="7"/>
  <c r="C14" i="7"/>
  <c r="C12" i="6" l="1"/>
  <c r="C5" i="6"/>
  <c r="D10" i="6"/>
  <c r="G22" i="11"/>
  <c r="B8" i="3"/>
  <c r="B11" i="3" s="1"/>
  <c r="C7" i="6" l="1"/>
  <c r="G8" i="6" s="1"/>
  <c r="C14" i="6"/>
  <c r="H15" i="6" s="1"/>
  <c r="D17" i="6"/>
  <c r="E22" i="11"/>
  <c r="E24" i="11" s="1"/>
  <c r="F22" i="11"/>
  <c r="H22" i="11"/>
  <c r="F24" i="11" l="1"/>
  <c r="G24" i="11" s="1"/>
  <c r="H24" i="11" s="1"/>
  <c r="E25" i="11"/>
  <c r="E23" i="11"/>
  <c r="F8" i="6"/>
  <c r="I8" i="6"/>
  <c r="E8" i="6"/>
  <c r="E10" i="6" s="1"/>
  <c r="H8" i="6"/>
  <c r="H12" i="4" s="1"/>
  <c r="H33" i="4" s="1"/>
  <c r="F15" i="6"/>
  <c r="E15" i="6"/>
  <c r="E16" i="6" s="1"/>
  <c r="G15" i="6"/>
  <c r="G12" i="4" s="1"/>
  <c r="G33" i="4" s="1"/>
  <c r="I15" i="6"/>
  <c r="D19" i="6"/>
  <c r="C4" i="8" s="1"/>
  <c r="F25" i="11" l="1"/>
  <c r="E26" i="11"/>
  <c r="F6" i="4" s="1"/>
  <c r="F27" i="4" s="1"/>
  <c r="F23" i="11"/>
  <c r="F12" i="4"/>
  <c r="F33" i="4" s="1"/>
  <c r="F16" i="6"/>
  <c r="G16" i="6" s="1"/>
  <c r="H16" i="6" s="1"/>
  <c r="I16" i="6" s="1"/>
  <c r="E9" i="6"/>
  <c r="F9" i="6" s="1"/>
  <c r="G9" i="6" s="1"/>
  <c r="H9" i="6" s="1"/>
  <c r="I9" i="6" s="1"/>
  <c r="I12" i="4"/>
  <c r="I33" i="4" s="1"/>
  <c r="E12" i="4"/>
  <c r="E33" i="4" s="1"/>
  <c r="E17" i="6"/>
  <c r="F17" i="6" s="1"/>
  <c r="G17" i="6" s="1"/>
  <c r="H17" i="6" s="1"/>
  <c r="I17" i="6" s="1"/>
  <c r="F10" i="6"/>
  <c r="G25" i="11" l="1"/>
  <c r="H25" i="11" s="1"/>
  <c r="F26" i="11"/>
  <c r="G6" i="4" s="1"/>
  <c r="G27" i="4" s="1"/>
  <c r="G23" i="11"/>
  <c r="E19" i="6"/>
  <c r="D4" i="8" s="1"/>
  <c r="G10" i="6"/>
  <c r="F19" i="6"/>
  <c r="E4" i="8" s="1"/>
  <c r="H23" i="11" l="1"/>
  <c r="H26" i="11" s="1"/>
  <c r="G26" i="11"/>
  <c r="H6" i="4" s="1"/>
  <c r="H27" i="4" s="1"/>
  <c r="H10" i="6"/>
  <c r="G19" i="6"/>
  <c r="F4" i="8" s="1"/>
  <c r="I6" i="4" l="1"/>
  <c r="I27" i="4" s="1"/>
  <c r="H19" i="6"/>
  <c r="G4" i="8" s="1"/>
  <c r="I10" i="6"/>
  <c r="I19" i="6" s="1"/>
  <c r="H4" i="8" s="1"/>
  <c r="C15" i="4" l="1"/>
  <c r="C5" i="9" l="1"/>
  <c r="C1" i="9"/>
  <c r="C8" i="4" l="1"/>
  <c r="C29" i="4" s="1"/>
  <c r="C7" i="4"/>
  <c r="C4" i="4"/>
  <c r="C3" i="5"/>
  <c r="C4" i="9" s="1"/>
  <c r="C2" i="5"/>
  <c r="C17" i="7" s="1"/>
  <c r="C3" i="2"/>
  <c r="G21" i="4" l="1"/>
  <c r="H21" i="4"/>
  <c r="F21" i="4"/>
  <c r="C21" i="4"/>
  <c r="I21" i="4"/>
  <c r="E21" i="4"/>
  <c r="E7" i="4"/>
  <c r="E28" i="4" s="1"/>
  <c r="C28" i="4"/>
  <c r="F8" i="4"/>
  <c r="F29" i="4" s="1"/>
  <c r="E8" i="4"/>
  <c r="E29" i="4" s="1"/>
  <c r="H7" i="4"/>
  <c r="H28" i="4" s="1"/>
  <c r="F7" i="4"/>
  <c r="F28" i="4" s="1"/>
  <c r="I7" i="4"/>
  <c r="I28" i="4" s="1"/>
  <c r="G7" i="4"/>
  <c r="G28" i="4" s="1"/>
  <c r="E3" i="2"/>
  <c r="E3" i="4" s="1"/>
  <c r="E20" i="4" s="1"/>
  <c r="C2" i="9"/>
  <c r="I7" i="5"/>
  <c r="H9" i="7" s="1"/>
  <c r="G6" i="5"/>
  <c r="E6" i="5"/>
  <c r="E10" i="4" s="1"/>
  <c r="E31" i="4" s="1"/>
  <c r="J6" i="5"/>
  <c r="F7" i="5"/>
  <c r="E9" i="7" s="1"/>
  <c r="J7" i="5"/>
  <c r="I9" i="7" s="1"/>
  <c r="H6" i="5"/>
  <c r="H7" i="5"/>
  <c r="G9" i="7" s="1"/>
  <c r="F6" i="5"/>
  <c r="D9" i="5"/>
  <c r="G7" i="5"/>
  <c r="F9" i="7" s="1"/>
  <c r="E7" i="5"/>
  <c r="I6" i="5"/>
  <c r="I4" i="4"/>
  <c r="F4" i="4"/>
  <c r="G8" i="4"/>
  <c r="G29" i="4" s="1"/>
  <c r="I8" i="4"/>
  <c r="I29" i="4" s="1"/>
  <c r="C13" i="7"/>
  <c r="C16" i="7" s="1"/>
  <c r="E4" i="4"/>
  <c r="H8" i="4"/>
  <c r="H29" i="4" s="1"/>
  <c r="G4" i="4"/>
  <c r="H4" i="4"/>
  <c r="E22" i="4" l="1"/>
  <c r="F3" i="4"/>
  <c r="F20" i="4" s="1"/>
  <c r="F22" i="4" s="1"/>
  <c r="F9" i="4"/>
  <c r="F30" i="4" s="1"/>
  <c r="I9" i="4"/>
  <c r="I30" i="4" s="1"/>
  <c r="G9" i="4"/>
  <c r="G30" i="4" s="1"/>
  <c r="H9" i="4"/>
  <c r="H30" i="4" s="1"/>
  <c r="E5" i="4"/>
  <c r="E9" i="4"/>
  <c r="C5" i="8"/>
  <c r="H10" i="4"/>
  <c r="H31" i="4" s="1"/>
  <c r="G7" i="7"/>
  <c r="H8" i="5"/>
  <c r="E8" i="5"/>
  <c r="D7" i="7"/>
  <c r="E9" i="5"/>
  <c r="C6" i="8"/>
  <c r="C8" i="8" s="1"/>
  <c r="F7" i="7"/>
  <c r="G8" i="5"/>
  <c r="G10" i="4"/>
  <c r="G31" i="4" s="1"/>
  <c r="I10" i="4"/>
  <c r="I31" i="4" s="1"/>
  <c r="H7" i="7"/>
  <c r="I8" i="5"/>
  <c r="E7" i="7"/>
  <c r="F10" i="4"/>
  <c r="F31" i="4" s="1"/>
  <c r="F8" i="5"/>
  <c r="J8" i="5"/>
  <c r="I7" i="7"/>
  <c r="D9" i="7"/>
  <c r="C18" i="7"/>
  <c r="C11" i="8" s="1"/>
  <c r="E13" i="4" l="1"/>
  <c r="E34" i="4" s="1"/>
  <c r="E30" i="4"/>
  <c r="F5" i="4"/>
  <c r="E4" i="7" s="1"/>
  <c r="E5" i="7" s="1"/>
  <c r="G13" i="4"/>
  <c r="G34" i="4" s="1"/>
  <c r="I13" i="4"/>
  <c r="I34" i="4" s="1"/>
  <c r="F13" i="4"/>
  <c r="F34" i="4" s="1"/>
  <c r="H13" i="4"/>
  <c r="H34" i="4" s="1"/>
  <c r="D6" i="7"/>
  <c r="D11" i="7" s="1"/>
  <c r="G3" i="2"/>
  <c r="G3" i="4" s="1"/>
  <c r="D4" i="7"/>
  <c r="D5" i="7" s="1"/>
  <c r="C12" i="8"/>
  <c r="C13" i="8" s="1"/>
  <c r="C20" i="7"/>
  <c r="D11" i="8"/>
  <c r="F9" i="5"/>
  <c r="D6" i="8"/>
  <c r="H11" i="8"/>
  <c r="G11" i="8"/>
  <c r="C3" i="9"/>
  <c r="D7" i="9"/>
  <c r="E11" i="8"/>
  <c r="F11" i="8"/>
  <c r="E6" i="7"/>
  <c r="F6" i="7"/>
  <c r="G20" i="4" l="1"/>
  <c r="G22" i="4" s="1"/>
  <c r="E14" i="4"/>
  <c r="E15" i="4" s="1"/>
  <c r="E10" i="7" s="1"/>
  <c r="E11" i="7" s="1"/>
  <c r="G5" i="4"/>
  <c r="F4" i="7" s="1"/>
  <c r="F5" i="7" s="1"/>
  <c r="H3" i="2"/>
  <c r="I3" i="2" s="1"/>
  <c r="I3" i="4" s="1"/>
  <c r="I20" i="4" s="1"/>
  <c r="I22" i="4" s="1"/>
  <c r="G9" i="5"/>
  <c r="E6" i="8"/>
  <c r="C14" i="8"/>
  <c r="D12" i="7"/>
  <c r="D18" i="7" s="1"/>
  <c r="F14" i="4"/>
  <c r="G14" i="4" l="1"/>
  <c r="G15" i="4" s="1"/>
  <c r="I5" i="4"/>
  <c r="H4" i="7" s="1"/>
  <c r="H5" i="7" s="1"/>
  <c r="H3" i="4"/>
  <c r="H20" i="4" s="1"/>
  <c r="H22" i="4" s="1"/>
  <c r="I5" i="7"/>
  <c r="H9" i="5"/>
  <c r="F6" i="8"/>
  <c r="F15" i="4"/>
  <c r="E12" i="7"/>
  <c r="E18" i="7" s="1"/>
  <c r="D7" i="8"/>
  <c r="D8" i="8" s="1"/>
  <c r="E16" i="4"/>
  <c r="D9" i="8" s="1"/>
  <c r="D10" i="8" s="1"/>
  <c r="D12" i="8" s="1"/>
  <c r="D19" i="7"/>
  <c r="D3" i="8" s="1"/>
  <c r="D5" i="8" s="1"/>
  <c r="D20" i="7"/>
  <c r="E7" i="9"/>
  <c r="H6" i="7"/>
  <c r="I14" i="4" l="1"/>
  <c r="I15" i="4" s="1"/>
  <c r="H5" i="4"/>
  <c r="G4" i="7" s="1"/>
  <c r="G5" i="7" s="1"/>
  <c r="E20" i="7"/>
  <c r="G16" i="4"/>
  <c r="G10" i="7"/>
  <c r="F16" i="4"/>
  <c r="F10" i="7"/>
  <c r="D13" i="8"/>
  <c r="D14" i="8" s="1"/>
  <c r="I9" i="5"/>
  <c r="G6" i="8"/>
  <c r="F7" i="8"/>
  <c r="E7" i="8"/>
  <c r="F7" i="9"/>
  <c r="G6" i="7"/>
  <c r="E19" i="7"/>
  <c r="H14" i="4" l="1"/>
  <c r="H15" i="4" s="1"/>
  <c r="F11" i="7"/>
  <c r="F12" i="7" s="1"/>
  <c r="F18" i="7" s="1"/>
  <c r="G11" i="7"/>
  <c r="G12" i="7" s="1"/>
  <c r="G18" i="7" s="1"/>
  <c r="H7" i="9" s="1"/>
  <c r="I16" i="4"/>
  <c r="H9" i="8" s="1"/>
  <c r="I10" i="7"/>
  <c r="H6" i="8"/>
  <c r="J9" i="5"/>
  <c r="H7" i="8"/>
  <c r="E3" i="8"/>
  <c r="E5" i="8" s="1"/>
  <c r="F8" i="8"/>
  <c r="E8" i="8"/>
  <c r="F9" i="8"/>
  <c r="G7" i="9" l="1"/>
  <c r="F19" i="7"/>
  <c r="F3" i="8" s="1"/>
  <c r="F5" i="8" s="1"/>
  <c r="I11" i="7"/>
  <c r="I12" i="7" s="1"/>
  <c r="I18" i="7" s="1"/>
  <c r="J7" i="9" s="1"/>
  <c r="H8" i="8"/>
  <c r="H16" i="4"/>
  <c r="G9" i="8" s="1"/>
  <c r="H10" i="7"/>
  <c r="G7" i="8"/>
  <c r="G8" i="8" s="1"/>
  <c r="E9" i="8"/>
  <c r="E10" i="8" s="1"/>
  <c r="G19" i="7" l="1"/>
  <c r="H11" i="7"/>
  <c r="H12" i="7" s="1"/>
  <c r="H18" i="7" s="1"/>
  <c r="F10" i="8"/>
  <c r="G10" i="8" s="1"/>
  <c r="E12" i="8"/>
  <c r="E13" i="8" s="1"/>
  <c r="E14" i="8" s="1"/>
  <c r="H19" i="7" l="1"/>
  <c r="I19" i="7" s="1"/>
  <c r="I7" i="9"/>
  <c r="C9" i="9" s="1"/>
  <c r="F11" i="3" s="1"/>
  <c r="G12" i="8"/>
  <c r="G13" i="8" s="1"/>
  <c r="H10" i="8"/>
  <c r="F12" i="8"/>
  <c r="F13" i="8" s="1"/>
  <c r="F14" i="8" s="1"/>
  <c r="G3" i="8"/>
  <c r="G5" i="8" s="1"/>
  <c r="G14" i="8" l="1"/>
  <c r="C10" i="9"/>
  <c r="F12" i="3" s="1"/>
  <c r="H12" i="8"/>
  <c r="H13" i="8" s="1"/>
  <c r="H3" i="8"/>
  <c r="H5" i="8" s="1"/>
  <c r="H14" i="8" l="1"/>
  <c r="F20" i="7" l="1"/>
  <c r="G20" i="7" s="1"/>
  <c r="H20" i="7" s="1"/>
  <c r="I20" i="7" s="1"/>
  <c r="F33" i="30" l="1"/>
  <c r="C51" i="30" l="1"/>
  <c r="D51" i="30"/>
  <c r="D52" i="30" l="1"/>
  <c r="D53" i="30" s="1"/>
</calcChain>
</file>

<file path=xl/sharedStrings.xml><?xml version="1.0" encoding="utf-8"?>
<sst xmlns="http://schemas.openxmlformats.org/spreadsheetml/2006/main" count="249" uniqueCount="179">
  <si>
    <t>TIR</t>
  </si>
  <si>
    <t>VPN</t>
  </si>
  <si>
    <t>n periodos</t>
  </si>
  <si>
    <t>subtotal egresos operativos</t>
  </si>
  <si>
    <t>FLUJO DE CAJA NETO</t>
  </si>
  <si>
    <t>FLUJO DE CAJA ACUMULADO BALANCE</t>
  </si>
  <si>
    <t>FLUJO DE CAJA ACUMULADO PRI</t>
  </si>
  <si>
    <t>NOMINA</t>
  </si>
  <si>
    <t>Año 1</t>
  </si>
  <si>
    <t>Año 2</t>
  </si>
  <si>
    <t>Año 3</t>
  </si>
  <si>
    <t>Año 4</t>
  </si>
  <si>
    <t>Año 5</t>
  </si>
  <si>
    <t>ACTIVOS DE LA EMPRESA</t>
  </si>
  <si>
    <t>Valor final de muebles</t>
  </si>
  <si>
    <t>Otras inversiones</t>
  </si>
  <si>
    <t>Total activos</t>
  </si>
  <si>
    <t>Inversion equipo computo</t>
  </si>
  <si>
    <t>Tasa Inversion</t>
  </si>
  <si>
    <t>Optimista</t>
  </si>
  <si>
    <t>Pesimista</t>
  </si>
  <si>
    <t>Periodos</t>
  </si>
  <si>
    <t>Inversion muebles</t>
  </si>
  <si>
    <t>Tiempo depreciacion muebles</t>
  </si>
  <si>
    <t>Valor depreciacion año</t>
  </si>
  <si>
    <t xml:space="preserve">Costo depreciacion anual </t>
  </si>
  <si>
    <t>Depreciacion acumulada</t>
  </si>
  <si>
    <t>Valor neto activo muebles</t>
  </si>
  <si>
    <t xml:space="preserve">Inversion equipos de computo </t>
  </si>
  <si>
    <t>Tiempo depreciacion eq computo</t>
  </si>
  <si>
    <t xml:space="preserve">Pronostico de venta </t>
  </si>
  <si>
    <t xml:space="preserve">Precio </t>
  </si>
  <si>
    <t xml:space="preserve">Ingresos </t>
  </si>
  <si>
    <t>Costo mano obra</t>
  </si>
  <si>
    <t>Costo servicios publicos</t>
  </si>
  <si>
    <t>Gastos financieros</t>
  </si>
  <si>
    <t>Costo depreciacion anual</t>
  </si>
  <si>
    <t>Total egresos</t>
  </si>
  <si>
    <t>Utilidad antes impuesto</t>
  </si>
  <si>
    <t>Impuesto renta</t>
  </si>
  <si>
    <t>Utilidad neta del periodo</t>
  </si>
  <si>
    <t>Caja</t>
  </si>
  <si>
    <t>Valor neto activos</t>
  </si>
  <si>
    <t>Credito por pagar</t>
  </si>
  <si>
    <t>Impuesto por pagar</t>
  </si>
  <si>
    <t>Subtotal pasivo</t>
  </si>
  <si>
    <t>Utilidad periodo</t>
  </si>
  <si>
    <t>Utilidad acumulada</t>
  </si>
  <si>
    <t>Capital invertido</t>
  </si>
  <si>
    <t>Subtotal patrimonio</t>
  </si>
  <si>
    <t>Total pasivo patrimonio</t>
  </si>
  <si>
    <t>Diferencia</t>
  </si>
  <si>
    <t>Total inversión (D+P)</t>
  </si>
  <si>
    <t>Credito (D)</t>
  </si>
  <si>
    <t>Inversion (P)</t>
  </si>
  <si>
    <t>Costo deuda (Kd)</t>
  </si>
  <si>
    <t>Tasa impuesto (tx)</t>
  </si>
  <si>
    <t>Flujo de caja neto</t>
  </si>
  <si>
    <t>Precio del servicio</t>
  </si>
  <si>
    <t>Costo Lucid Chart</t>
  </si>
  <si>
    <t>Pronostico de venta servicio</t>
  </si>
  <si>
    <t>Incremento venta servicio</t>
  </si>
  <si>
    <t>Valor prestamo</t>
  </si>
  <si>
    <t>Tasa credito</t>
  </si>
  <si>
    <t>Costo financiero</t>
  </si>
  <si>
    <t>Pago capital</t>
  </si>
  <si>
    <t>Cuota a pagar</t>
  </si>
  <si>
    <t>Saldo a pagar</t>
  </si>
  <si>
    <t>Ingresos</t>
  </si>
  <si>
    <t>Total entradas</t>
  </si>
  <si>
    <t>Subtotal egresos operativos</t>
  </si>
  <si>
    <t>Abono a capital credito</t>
  </si>
  <si>
    <t>Total salidas</t>
  </si>
  <si>
    <t>Flujo caja operativo</t>
  </si>
  <si>
    <t xml:space="preserve">Inversion muebles </t>
  </si>
  <si>
    <t>Total inversiones</t>
  </si>
  <si>
    <t>Credito recibido</t>
  </si>
  <si>
    <t>Activo corriente</t>
  </si>
  <si>
    <t>Pasivo corriente</t>
  </si>
  <si>
    <t>Capital de trabajo</t>
  </si>
  <si>
    <t xml:space="preserve">Inversion en capital de trabajo </t>
  </si>
  <si>
    <t>Gastos administrativos</t>
  </si>
  <si>
    <t>Periodo</t>
  </si>
  <si>
    <t>Lucid Chart y otras inversiones</t>
  </si>
  <si>
    <t>Incrementos costos personal</t>
  </si>
  <si>
    <t>Total inversion</t>
  </si>
  <si>
    <t>Inversion Tangible</t>
  </si>
  <si>
    <t>Inversion Intangible</t>
  </si>
  <si>
    <t>INVERSION INICIAL DEL PROYECTO</t>
  </si>
  <si>
    <t>Activos Tangibles</t>
  </si>
  <si>
    <t>Cantidad</t>
  </si>
  <si>
    <t>Costo unitario</t>
  </si>
  <si>
    <t>Costo total</t>
  </si>
  <si>
    <t>Muebles y enseres</t>
  </si>
  <si>
    <t xml:space="preserve">Escritorio </t>
  </si>
  <si>
    <t>Silla ergonomica</t>
  </si>
  <si>
    <t xml:space="preserve">Total inversion muebles y enseres </t>
  </si>
  <si>
    <t xml:space="preserve">Equipos de computo </t>
  </si>
  <si>
    <t>Computador portatil</t>
  </si>
  <si>
    <t xml:space="preserve">Total inversion en equipos de computo </t>
  </si>
  <si>
    <t>Activos Intagibles</t>
  </si>
  <si>
    <t>Legalización de la empresa</t>
  </si>
  <si>
    <t>Acta de constitución</t>
  </si>
  <si>
    <t>Formulario RUES</t>
  </si>
  <si>
    <t>Registro Mercantil</t>
  </si>
  <si>
    <t>Libros de actas (cada uno)</t>
  </si>
  <si>
    <t>Certificado de matrícula mercantil</t>
  </si>
  <si>
    <t>Certificado de existencia y representación legal</t>
  </si>
  <si>
    <t>Total inversion legalizacion de la empresa</t>
  </si>
  <si>
    <t>Licencias y permisos</t>
  </si>
  <si>
    <t>LucidChart Anual</t>
  </si>
  <si>
    <t>Total Licencias y permisos</t>
  </si>
  <si>
    <t xml:space="preserve">Inversion inicial total </t>
  </si>
  <si>
    <t>Inversion muebles y enseres</t>
  </si>
  <si>
    <t>Inversion equipos de computo</t>
  </si>
  <si>
    <t>Costo renovacion anual Lucid Chart</t>
  </si>
  <si>
    <t>Precio servicio</t>
  </si>
  <si>
    <t>Tiempo depreciacion equipos computo</t>
  </si>
  <si>
    <t>Inversion activos intangibles</t>
  </si>
  <si>
    <t>Porcentaje de credito</t>
  </si>
  <si>
    <t>Mensual por trabajador</t>
  </si>
  <si>
    <t>Empleados Operativos</t>
  </si>
  <si>
    <t>Costo mensual</t>
  </si>
  <si>
    <t>Anual</t>
  </si>
  <si>
    <t xml:space="preserve">Internet de los trabajadores </t>
  </si>
  <si>
    <t>Total</t>
  </si>
  <si>
    <t>Gastos de administración</t>
  </si>
  <si>
    <t xml:space="preserve">Mensual </t>
  </si>
  <si>
    <t>Presupuesto para mercadeo</t>
  </si>
  <si>
    <t xml:space="preserve">Gastos en papeleria de oficina </t>
  </si>
  <si>
    <t>Costo de prestar el servicio</t>
  </si>
  <si>
    <t>Costo internet trabajadores</t>
  </si>
  <si>
    <t>Credito</t>
  </si>
  <si>
    <t>COSTOS PRIMER AÑO</t>
  </si>
  <si>
    <t>Mano de obra</t>
  </si>
  <si>
    <t>Costos 1 año</t>
  </si>
  <si>
    <t>Gastos administrativos 1 año</t>
  </si>
  <si>
    <t>Tiempos de depreciación</t>
  </si>
  <si>
    <t>GASTOS PRIMER AÑO</t>
  </si>
  <si>
    <t>Especialista de procesos</t>
  </si>
  <si>
    <t>Asesor de ventas</t>
  </si>
  <si>
    <t>Venta servicio primer año</t>
  </si>
  <si>
    <t>Costos directos</t>
  </si>
  <si>
    <t>Costos indirectos</t>
  </si>
  <si>
    <t xml:space="preserve">Renovación LucidChart </t>
  </si>
  <si>
    <t xml:space="preserve">Precio del servicio basado en los costos </t>
  </si>
  <si>
    <t>Mensual</t>
  </si>
  <si>
    <t>Por servicio prestado(unitario)</t>
  </si>
  <si>
    <t>Ganancia 30%</t>
  </si>
  <si>
    <t>Demanda</t>
  </si>
  <si>
    <r>
      <rPr>
        <b/>
        <sz val="11"/>
        <color theme="1"/>
        <rFont val="Calibri"/>
        <family val="2"/>
        <scheme val="minor"/>
      </rPr>
      <t>Ingresos</t>
    </r>
    <r>
      <rPr>
        <sz val="11"/>
        <color theme="1"/>
        <rFont val="Calibri"/>
        <family val="2"/>
        <scheme val="minor"/>
      </rPr>
      <t xml:space="preserve"> </t>
    </r>
  </si>
  <si>
    <t>Egresos</t>
  </si>
  <si>
    <t>Concepto</t>
  </si>
  <si>
    <t>Salario Mensual</t>
  </si>
  <si>
    <t>Prima de servicios</t>
  </si>
  <si>
    <t>Auxilio de cesantías</t>
  </si>
  <si>
    <t>Intereses de cesantías</t>
  </si>
  <si>
    <t>Provisión de vacaciones</t>
  </si>
  <si>
    <t>Total prestaciones sociales</t>
  </si>
  <si>
    <t>Cajas de compensación</t>
  </si>
  <si>
    <t>Total parafiscales</t>
  </si>
  <si>
    <t>Aportes Arl</t>
  </si>
  <si>
    <t>Total seguridad social empleador</t>
  </si>
  <si>
    <t>Total seguridad social trabajador</t>
  </si>
  <si>
    <t>Valor total a cargo del empleador</t>
  </si>
  <si>
    <t>Valor neto a pagar al trabajador</t>
  </si>
  <si>
    <t>Gerente</t>
  </si>
  <si>
    <t xml:space="preserve">Total sueldos </t>
  </si>
  <si>
    <t>Costo anual asesores de ventas (5)</t>
  </si>
  <si>
    <t>Costo anual especialistas de procesos (5)</t>
  </si>
  <si>
    <t>Costo anual gerente (1)</t>
  </si>
  <si>
    <t>Aportes a pensión</t>
  </si>
  <si>
    <t>Aportes a salud</t>
  </si>
  <si>
    <t>Creado por Valeria Sofia el 22/11/2023
Modificado por Valeria Sofia el 22/11/2023
Modificado por Valeria Sofia el 25/11/2023
Modificado por Valeria Sofia el 26/06/2024
Modificado por Valeria Sofia el 28/06/2024
Modificado por Valeria Sofia el 6/08/202</t>
  </si>
  <si>
    <t>Resumen del escenario</t>
  </si>
  <si>
    <t>Celdas cambiantes:</t>
  </si>
  <si>
    <t>Valores actuales:</t>
  </si>
  <si>
    <t>Celdas de resultado:</t>
  </si>
  <si>
    <t>Costos mano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</si>
</sst>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$&quot;#,##0;\-&quot;$&quot;#,##0"/>
    <numFmt numFmtId="165" formatCode="&quot;$&quot;#,##0;[Red]\-&quot;$&quot;#,##0"/>
    <numFmt numFmtId="166" formatCode="_-&quot;$&quot;* #,##0.00_-;\-&quot;$&quot;* #,##0.00_-;_-&quot;$&quot;* &quot;-&quot;??_-;_-@_-"/>
    <numFmt numFmtId="167" formatCode="0.0%"/>
    <numFmt numFmtId="168" formatCode="_-* #,##0.0_-;\-* #,##0.0_-;_-* &quot;-&quot;??_-;_-@_-"/>
    <numFmt numFmtId="169" formatCode="_-* #,##0_-;\-* #,##0_-;_-* &quot;-&quot;??_-;_-@_-"/>
    <numFmt numFmtId="170" formatCode="_-&quot;$&quot;* #,##0_-;\-&quot;$&quot;* #,##0_-;_-&quot;$&quot;* &quot;-&quot;??_-;_-@_-"/>
    <numFmt numFmtId="171" formatCode="_-&quot;$&quot;\ * #,##0_-;\-&quot;$&quot;\ * #,##0_-;_-&quot;$&quot;\ * &quot;-&quot;??_-;_-@_-"/>
    <numFmt numFmtId="172" formatCode="&quot;$&quot;\ #,##0.00"/>
    <numFmt numFmtId="173" formatCode="&quot;$&quot;\ #,##0"/>
    <numFmt numFmtId="174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0"/>
      <color indexed="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0" borderId="0" xfId="0" applyFont="1"/>
    <xf numFmtId="0" fontId="3" fillId="0" borderId="1" xfId="0" applyFont="1" applyBorder="1"/>
    <xf numFmtId="170" fontId="3" fillId="0" borderId="1" xfId="0" applyNumberFormat="1" applyFont="1" applyBorder="1"/>
    <xf numFmtId="170" fontId="3" fillId="0" borderId="1" xfId="2" applyNumberFormat="1" applyFont="1" applyFill="1" applyBorder="1"/>
    <xf numFmtId="0" fontId="5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1" xfId="3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0" xfId="0" applyFill="1" applyAlignment="1">
      <alignment horizontal="left"/>
    </xf>
    <xf numFmtId="165" fontId="3" fillId="0" borderId="1" xfId="0" applyNumberFormat="1" applyFont="1" applyBorder="1"/>
    <xf numFmtId="0" fontId="6" fillId="0" borderId="1" xfId="0" applyFont="1" applyBorder="1" applyAlignment="1">
      <alignment horizontal="center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70" fontId="3" fillId="0" borderId="1" xfId="2" applyNumberFormat="1" applyFont="1" applyFill="1" applyBorder="1" applyAlignment="1">
      <alignment horizontal="center"/>
    </xf>
    <xf numFmtId="164" fontId="3" fillId="0" borderId="1" xfId="2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2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3" fillId="0" borderId="1" xfId="3" applyNumberFormat="1" applyFont="1" applyFill="1" applyBorder="1" applyAlignment="1">
      <alignment horizontal="center"/>
    </xf>
    <xf numFmtId="167" fontId="3" fillId="0" borderId="1" xfId="3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9" fontId="3" fillId="0" borderId="1" xfId="1" applyNumberFormat="1" applyFont="1" applyFill="1" applyBorder="1"/>
    <xf numFmtId="168" fontId="3" fillId="0" borderId="1" xfId="1" applyNumberFormat="1" applyFont="1" applyFill="1" applyBorder="1"/>
    <xf numFmtId="0" fontId="2" fillId="0" borderId="1" xfId="0" applyFont="1" applyBorder="1" applyAlignment="1">
      <alignment horizontal="left"/>
    </xf>
    <xf numFmtId="164" fontId="0" fillId="0" borderId="0" xfId="0" applyNumberFormat="1"/>
    <xf numFmtId="1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70" fontId="0" fillId="2" borderId="0" xfId="0" applyNumberFormat="1" applyFill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0" fillId="2" borderId="1" xfId="0" applyFill="1" applyBorder="1"/>
    <xf numFmtId="10" fontId="0" fillId="2" borderId="1" xfId="0" applyNumberFormat="1" applyFill="1" applyBorder="1"/>
    <xf numFmtId="170" fontId="0" fillId="2" borderId="1" xfId="2" applyNumberFormat="1" applyFont="1" applyFill="1" applyBorder="1"/>
    <xf numFmtId="10" fontId="6" fillId="0" borderId="0" xfId="0" applyNumberFormat="1" applyFont="1" applyAlignment="1">
      <alignment horizontal="center"/>
    </xf>
    <xf numFmtId="171" fontId="3" fillId="0" borderId="1" xfId="2" applyNumberFormat="1" applyFont="1" applyBorder="1"/>
    <xf numFmtId="171" fontId="3" fillId="0" borderId="1" xfId="0" applyNumberFormat="1" applyFont="1" applyBorder="1"/>
    <xf numFmtId="0" fontId="3" fillId="3" borderId="1" xfId="0" applyFont="1" applyFill="1" applyBorder="1"/>
    <xf numFmtId="0" fontId="3" fillId="3" borderId="5" xfId="0" applyFont="1" applyFill="1" applyBorder="1"/>
    <xf numFmtId="0" fontId="3" fillId="3" borderId="4" xfId="0" applyFont="1" applyFill="1" applyBorder="1"/>
    <xf numFmtId="0" fontId="3" fillId="0" borderId="4" xfId="0" applyFont="1" applyBorder="1" applyAlignment="1">
      <alignment horizontal="center"/>
    </xf>
    <xf numFmtId="171" fontId="3" fillId="0" borderId="2" xfId="0" applyNumberFormat="1" applyFont="1" applyBorder="1"/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/>
    </xf>
    <xf numFmtId="171" fontId="3" fillId="3" borderId="1" xfId="0" applyNumberFormat="1" applyFont="1" applyFill="1" applyBorder="1"/>
    <xf numFmtId="0" fontId="6" fillId="3" borderId="1" xfId="0" applyFont="1" applyFill="1" applyBorder="1"/>
    <xf numFmtId="171" fontId="6" fillId="3" borderId="5" xfId="0" applyNumberFormat="1" applyFont="1" applyFill="1" applyBorder="1"/>
    <xf numFmtId="0" fontId="6" fillId="3" borderId="4" xfId="0" applyFont="1" applyFill="1" applyBorder="1"/>
    <xf numFmtId="171" fontId="6" fillId="3" borderId="2" xfId="0" applyNumberFormat="1" applyFont="1" applyFill="1" applyBorder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3" fillId="5" borderId="1" xfId="0" applyFont="1" applyFill="1" applyBorder="1"/>
    <xf numFmtId="0" fontId="3" fillId="0" borderId="1" xfId="0" applyFont="1" applyBorder="1" applyAlignment="1">
      <alignment horizontal="center" wrapText="1"/>
    </xf>
    <xf numFmtId="171" fontId="3" fillId="0" borderId="1" xfId="2" applyNumberFormat="1" applyFont="1" applyBorder="1" applyAlignment="1">
      <alignment horizontal="center"/>
    </xf>
    <xf numFmtId="0" fontId="3" fillId="0" borderId="1" xfId="2" applyNumberFormat="1" applyFont="1" applyBorder="1" applyAlignment="1">
      <alignment horizontal="center"/>
    </xf>
    <xf numFmtId="171" fontId="3" fillId="0" borderId="1" xfId="0" applyNumberFormat="1" applyFont="1" applyBorder="1" applyAlignment="1">
      <alignment horizontal="center"/>
    </xf>
    <xf numFmtId="171" fontId="3" fillId="0" borderId="0" xfId="0" applyNumberFormat="1" applyFont="1" applyAlignment="1">
      <alignment horizontal="center"/>
    </xf>
    <xf numFmtId="170" fontId="3" fillId="0" borderId="1" xfId="2" applyNumberFormat="1" applyFont="1" applyBorder="1" applyAlignment="1">
      <alignment horizontal="center"/>
    </xf>
    <xf numFmtId="0" fontId="4" fillId="6" borderId="1" xfId="0" applyFont="1" applyFill="1" applyBorder="1"/>
    <xf numFmtId="164" fontId="3" fillId="6" borderId="1" xfId="2" applyNumberFormat="1" applyFont="1" applyFill="1" applyBorder="1"/>
    <xf numFmtId="0" fontId="3" fillId="6" borderId="1" xfId="0" applyFont="1" applyFill="1" applyBorder="1"/>
    <xf numFmtId="170" fontId="3" fillId="6" borderId="1" xfId="0" applyNumberFormat="1" applyFont="1" applyFill="1" applyBorder="1"/>
    <xf numFmtId="0" fontId="3" fillId="7" borderId="1" xfId="0" applyFont="1" applyFill="1" applyBorder="1"/>
    <xf numFmtId="9" fontId="3" fillId="7" borderId="1" xfId="0" applyNumberFormat="1" applyFont="1" applyFill="1" applyBorder="1"/>
    <xf numFmtId="170" fontId="3" fillId="7" borderId="1" xfId="0" applyNumberFormat="1" applyFont="1" applyFill="1" applyBorder="1"/>
    <xf numFmtId="169" fontId="3" fillId="7" borderId="1" xfId="1" applyNumberFormat="1" applyFont="1" applyFill="1" applyBorder="1"/>
    <xf numFmtId="0" fontId="3" fillId="4" borderId="1" xfId="0" applyFont="1" applyFill="1" applyBorder="1"/>
    <xf numFmtId="170" fontId="3" fillId="4" borderId="1" xfId="2" applyNumberFormat="1" applyFont="1" applyFill="1" applyBorder="1"/>
    <xf numFmtId="170" fontId="3" fillId="5" borderId="1" xfId="2" applyNumberFormat="1" applyFont="1" applyFill="1" applyBorder="1"/>
    <xf numFmtId="0" fontId="3" fillId="8" borderId="1" xfId="0" applyFont="1" applyFill="1" applyBorder="1"/>
    <xf numFmtId="9" fontId="3" fillId="8" borderId="1" xfId="0" applyNumberFormat="1" applyFont="1" applyFill="1" applyBorder="1"/>
    <xf numFmtId="0" fontId="3" fillId="9" borderId="1" xfId="0" applyFont="1" applyFill="1" applyBorder="1"/>
    <xf numFmtId="169" fontId="3" fillId="9" borderId="1" xfId="1" applyNumberFormat="1" applyFont="1" applyFill="1" applyBorder="1"/>
    <xf numFmtId="0" fontId="6" fillId="10" borderId="1" xfId="0" applyFont="1" applyFill="1" applyBorder="1"/>
    <xf numFmtId="170" fontId="3" fillId="10" borderId="1" xfId="2" applyNumberFormat="1" applyFont="1" applyFill="1" applyBorder="1"/>
    <xf numFmtId="0" fontId="3" fillId="10" borderId="1" xfId="0" applyFont="1" applyFill="1" applyBorder="1"/>
    <xf numFmtId="170" fontId="0" fillId="0" borderId="1" xfId="2" applyNumberFormat="1" applyFont="1" applyBorder="1"/>
    <xf numFmtId="170" fontId="0" fillId="0" borderId="1" xfId="0" applyNumberFormat="1" applyBorder="1"/>
    <xf numFmtId="170" fontId="8" fillId="0" borderId="1" xfId="0" applyNumberFormat="1" applyFont="1" applyBorder="1"/>
    <xf numFmtId="170" fontId="0" fillId="9" borderId="1" xfId="0" applyNumberFormat="1" applyFill="1" applyBorder="1"/>
    <xf numFmtId="0" fontId="8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left"/>
    </xf>
    <xf numFmtId="9" fontId="4" fillId="0" borderId="6" xfId="0" applyNumberFormat="1" applyFont="1" applyBorder="1" applyAlignment="1">
      <alignment horizontal="center"/>
    </xf>
    <xf numFmtId="9" fontId="4" fillId="0" borderId="6" xfId="3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9" fontId="4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8" fillId="0" borderId="1" xfId="0" applyFont="1" applyBorder="1"/>
    <xf numFmtId="173" fontId="4" fillId="0" borderId="1" xfId="3" applyNumberFormat="1" applyFont="1" applyFill="1" applyBorder="1" applyAlignment="1">
      <alignment horizontal="center"/>
    </xf>
    <xf numFmtId="170" fontId="0" fillId="0" borderId="0" xfId="0" applyNumberFormat="1"/>
    <xf numFmtId="172" fontId="0" fillId="0" borderId="0" xfId="0" applyNumberFormat="1"/>
    <xf numFmtId="0" fontId="9" fillId="11" borderId="7" xfId="0" applyFont="1" applyFill="1" applyBorder="1" applyAlignment="1">
      <alignment horizontal="center"/>
    </xf>
    <xf numFmtId="0" fontId="11" fillId="0" borderId="7" xfId="0" applyFont="1" applyBorder="1"/>
    <xf numFmtId="0" fontId="10" fillId="11" borderId="7" xfId="0" applyFont="1" applyFill="1" applyBorder="1"/>
    <xf numFmtId="0" fontId="10" fillId="0" borderId="7" xfId="0" applyFont="1" applyBorder="1"/>
    <xf numFmtId="0" fontId="10" fillId="11" borderId="7" xfId="0" applyFont="1" applyFill="1" applyBorder="1" applyAlignment="1">
      <alignment horizontal="center"/>
    </xf>
    <xf numFmtId="170" fontId="11" fillId="0" borderId="7" xfId="2" applyNumberFormat="1" applyFont="1" applyBorder="1" applyAlignment="1">
      <alignment horizontal="center"/>
    </xf>
    <xf numFmtId="170" fontId="10" fillId="11" borderId="7" xfId="2" applyNumberFormat="1" applyFont="1" applyFill="1" applyBorder="1" applyAlignment="1">
      <alignment horizontal="center"/>
    </xf>
    <xf numFmtId="170" fontId="10" fillId="0" borderId="7" xfId="2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9" fontId="5" fillId="5" borderId="1" xfId="3" applyFont="1" applyFill="1" applyBorder="1" applyAlignment="1">
      <alignment horizontal="center"/>
    </xf>
    <xf numFmtId="173" fontId="5" fillId="5" borderId="1" xfId="2" applyNumberFormat="1" applyFont="1" applyFill="1" applyBorder="1" applyAlignment="1">
      <alignment horizontal="center"/>
    </xf>
    <xf numFmtId="0" fontId="10" fillId="11" borderId="9" xfId="0" applyFont="1" applyFill="1" applyBorder="1" applyAlignment="1">
      <alignment horizontal="center"/>
    </xf>
    <xf numFmtId="174" fontId="13" fillId="0" borderId="1" xfId="0" applyNumberFormat="1" applyFont="1" applyBorder="1" applyAlignment="1">
      <alignment horizontal="center"/>
    </xf>
    <xf numFmtId="170" fontId="11" fillId="0" borderId="8" xfId="0" applyNumberFormat="1" applyFont="1" applyBorder="1" applyAlignment="1">
      <alignment horizontal="left" wrapText="1"/>
    </xf>
    <xf numFmtId="170" fontId="10" fillId="11" borderId="8" xfId="0" applyNumberFormat="1" applyFont="1" applyFill="1" applyBorder="1" applyAlignment="1">
      <alignment horizontal="left" wrapText="1"/>
    </xf>
    <xf numFmtId="174" fontId="9" fillId="5" borderId="1" xfId="0" applyNumberFormat="1" applyFont="1" applyFill="1" applyBorder="1" applyAlignment="1">
      <alignment horizontal="center"/>
    </xf>
    <xf numFmtId="10" fontId="0" fillId="0" borderId="0" xfId="0" applyNumberFormat="1"/>
    <xf numFmtId="170" fontId="0" fillId="0" borderId="11" xfId="0" applyNumberFormat="1" applyBorder="1"/>
    <xf numFmtId="0" fontId="14" fillId="12" borderId="12" xfId="0" applyFont="1" applyFill="1" applyBorder="1" applyAlignment="1">
      <alignment horizontal="left"/>
    </xf>
    <xf numFmtId="0" fontId="14" fillId="12" borderId="10" xfId="0" applyFont="1" applyFill="1" applyBorder="1" applyAlignment="1">
      <alignment horizontal="left"/>
    </xf>
    <xf numFmtId="0" fontId="0" fillId="0" borderId="4" xfId="0" applyBorder="1"/>
    <xf numFmtId="0" fontId="15" fillId="13" borderId="0" xfId="0" applyFont="1" applyFill="1" applyAlignment="1">
      <alignment horizontal="left"/>
    </xf>
    <xf numFmtId="0" fontId="16" fillId="13" borderId="4" xfId="0" applyFont="1" applyFill="1" applyBorder="1" applyAlignment="1">
      <alignment horizontal="left"/>
    </xf>
    <xf numFmtId="0" fontId="17" fillId="12" borderId="10" xfId="0" applyFont="1" applyFill="1" applyBorder="1" applyAlignment="1">
      <alignment horizontal="right"/>
    </xf>
    <xf numFmtId="0" fontId="17" fillId="12" borderId="12" xfId="0" applyFont="1" applyFill="1" applyBorder="1" applyAlignment="1">
      <alignment horizontal="right"/>
    </xf>
    <xf numFmtId="0" fontId="0" fillId="14" borderId="0" xfId="0" applyFill="1"/>
    <xf numFmtId="170" fontId="0" fillId="14" borderId="0" xfId="0" applyNumberFormat="1" applyFill="1"/>
    <xf numFmtId="0" fontId="7" fillId="0" borderId="0" xfId="0" applyFont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5" fillId="13" borderId="13" xfId="0" applyFont="1" applyFill="1" applyBorder="1" applyAlignment="1">
      <alignment horizontal="center"/>
    </xf>
    <xf numFmtId="0" fontId="15" fillId="13" borderId="0" xfId="0" applyFont="1" applyFill="1" applyAlignment="1">
      <alignment horizontal="center"/>
    </xf>
    <xf numFmtId="0" fontId="15" fillId="13" borderId="12" xfId="0" applyFont="1" applyFill="1" applyBorder="1" applyAlignment="1">
      <alignment horizontal="center"/>
    </xf>
    <xf numFmtId="0" fontId="15" fillId="13" borderId="11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Valeria%20Sofia\Desktop\Proyecto%20de%20grado\Analisis%20financiero%202.xlsx" TargetMode="External"/><Relationship Id="rId1" Type="http://schemas.openxmlformats.org/officeDocument/2006/relationships/externalLinkPath" Target="/Users/Valeria%20Sofia/Desktop/Proyecto%20de%20grado/Analisis%20financiero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cenarios"/>
      <sheetName val="datos"/>
      <sheetName val="Credito"/>
      <sheetName val="nomina"/>
      <sheetName val="Depreciaciones"/>
      <sheetName val="estresultado"/>
      <sheetName val="flujocaja"/>
      <sheetName val="balance"/>
      <sheetName val="rentabilidad"/>
    </sheetNames>
    <sheetDataSet>
      <sheetData sheetId="0"/>
      <sheetData sheetId="1">
        <row r="5">
          <cell r="B5">
            <v>10</v>
          </cell>
        </row>
        <row r="6">
          <cell r="B6">
            <v>5</v>
          </cell>
        </row>
        <row r="19">
          <cell r="B19">
            <v>0.1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D185-4172-4CE8-A871-8C8D17CDDB84}">
  <dimension ref="B2:J26"/>
  <sheetViews>
    <sheetView showGridLines="0" topLeftCell="A13" zoomScale="90" zoomScaleNormal="90" workbookViewId="0">
      <selection activeCell="K27" sqref="K27"/>
    </sheetView>
  </sheetViews>
  <sheetFormatPr baseColWidth="10" defaultRowHeight="15" x14ac:dyDescent="0.25"/>
  <cols>
    <col min="2" max="2" width="30.42578125" customWidth="1"/>
    <col min="3" max="3" width="15.7109375" customWidth="1"/>
    <col min="4" max="4" width="21.5703125" customWidth="1"/>
    <col min="5" max="5" width="17.7109375" customWidth="1"/>
    <col min="6" max="6" width="27.42578125" customWidth="1"/>
    <col min="7" max="7" width="18.7109375" customWidth="1"/>
    <col min="8" max="8" width="16.28515625" customWidth="1"/>
    <col min="11" max="11" width="14.7109375" customWidth="1"/>
    <col min="12" max="12" width="14.5703125" customWidth="1"/>
  </cols>
  <sheetData>
    <row r="2" spans="2:10" x14ac:dyDescent="0.25">
      <c r="B2" s="104" t="s">
        <v>152</v>
      </c>
      <c r="C2" s="104" t="s">
        <v>140</v>
      </c>
      <c r="D2" s="104" t="s">
        <v>139</v>
      </c>
      <c r="F2" s="108" t="s">
        <v>152</v>
      </c>
      <c r="G2" s="115" t="s">
        <v>166</v>
      </c>
    </row>
    <row r="3" spans="2:10" x14ac:dyDescent="0.25">
      <c r="B3" s="105" t="s">
        <v>153</v>
      </c>
      <c r="C3" s="109">
        <v>2200000</v>
      </c>
      <c r="D3" s="109">
        <v>2200000</v>
      </c>
      <c r="E3" s="102"/>
      <c r="F3" s="117" t="s">
        <v>153</v>
      </c>
      <c r="G3" s="116">
        <v>4200000</v>
      </c>
    </row>
    <row r="4" spans="2:10" x14ac:dyDescent="0.25">
      <c r="B4" s="105" t="s">
        <v>154</v>
      </c>
      <c r="C4" s="109">
        <v>183260</v>
      </c>
      <c r="D4" s="109">
        <v>183260</v>
      </c>
      <c r="E4" s="102"/>
      <c r="F4" s="117" t="s">
        <v>154</v>
      </c>
      <c r="G4" s="116">
        <v>349860</v>
      </c>
      <c r="I4" s="102"/>
    </row>
    <row r="5" spans="2:10" x14ac:dyDescent="0.25">
      <c r="B5" s="105" t="s">
        <v>155</v>
      </c>
      <c r="C5" s="109">
        <v>183260</v>
      </c>
      <c r="D5" s="109">
        <v>183260</v>
      </c>
      <c r="E5" s="102"/>
      <c r="F5" s="117" t="s">
        <v>155</v>
      </c>
      <c r="G5" s="116">
        <v>349860</v>
      </c>
    </row>
    <row r="6" spans="2:10" x14ac:dyDescent="0.25">
      <c r="B6" s="105" t="s">
        <v>156</v>
      </c>
      <c r="C6" s="109">
        <v>1832.6</v>
      </c>
      <c r="D6" s="109">
        <v>1832.6</v>
      </c>
      <c r="E6" s="102"/>
      <c r="F6" s="117" t="s">
        <v>156</v>
      </c>
      <c r="G6" s="116">
        <v>3498.6</v>
      </c>
      <c r="J6" s="103"/>
    </row>
    <row r="7" spans="2:10" x14ac:dyDescent="0.25">
      <c r="B7" s="105" t="s">
        <v>157</v>
      </c>
      <c r="C7" s="109">
        <v>91740</v>
      </c>
      <c r="D7" s="109">
        <v>91740</v>
      </c>
      <c r="E7" s="102"/>
      <c r="F7" s="117" t="s">
        <v>157</v>
      </c>
      <c r="G7" s="116">
        <v>175140</v>
      </c>
    </row>
    <row r="8" spans="2:10" ht="18" customHeight="1" x14ac:dyDescent="0.25">
      <c r="B8" s="106" t="s">
        <v>158</v>
      </c>
      <c r="C8" s="110">
        <v>460092.6</v>
      </c>
      <c r="D8" s="110">
        <v>460092.6</v>
      </c>
      <c r="E8" s="102"/>
      <c r="F8" s="118" t="s">
        <v>158</v>
      </c>
      <c r="G8" s="119">
        <v>878358.6</v>
      </c>
    </row>
    <row r="9" spans="2:10" ht="32.25" customHeight="1" x14ac:dyDescent="0.25">
      <c r="B9" s="105" t="s">
        <v>159</v>
      </c>
      <c r="C9" s="109">
        <v>88000</v>
      </c>
      <c r="D9" s="109">
        <v>88000</v>
      </c>
      <c r="E9" s="102"/>
      <c r="F9" s="117" t="s">
        <v>159</v>
      </c>
      <c r="G9" s="116">
        <v>168000</v>
      </c>
    </row>
    <row r="10" spans="2:10" ht="18" customHeight="1" x14ac:dyDescent="0.25">
      <c r="B10" s="107" t="s">
        <v>160</v>
      </c>
      <c r="C10" s="111">
        <v>88000</v>
      </c>
      <c r="D10" s="111">
        <v>88000</v>
      </c>
      <c r="E10" s="102"/>
      <c r="F10" s="118" t="s">
        <v>160</v>
      </c>
      <c r="G10" s="119">
        <v>168000</v>
      </c>
    </row>
    <row r="11" spans="2:10" x14ac:dyDescent="0.25">
      <c r="B11" s="105" t="s">
        <v>171</v>
      </c>
      <c r="C11" s="109">
        <v>264000</v>
      </c>
      <c r="D11" s="109">
        <v>264000</v>
      </c>
      <c r="E11" s="102"/>
      <c r="F11" s="117" t="s">
        <v>171</v>
      </c>
      <c r="G11" s="116">
        <v>504000</v>
      </c>
    </row>
    <row r="12" spans="2:10" x14ac:dyDescent="0.25">
      <c r="B12" s="105" t="s">
        <v>161</v>
      </c>
      <c r="C12" s="109">
        <v>11484</v>
      </c>
      <c r="D12" s="109">
        <v>11484</v>
      </c>
      <c r="E12" s="102"/>
      <c r="F12" s="117" t="s">
        <v>161</v>
      </c>
      <c r="G12" s="116">
        <v>21924</v>
      </c>
    </row>
    <row r="13" spans="2:10" ht="30" customHeight="1" x14ac:dyDescent="0.25">
      <c r="B13" s="106" t="s">
        <v>162</v>
      </c>
      <c r="C13" s="110">
        <v>275484</v>
      </c>
      <c r="D13" s="110">
        <v>275484</v>
      </c>
      <c r="E13" s="102"/>
      <c r="F13" s="118" t="s">
        <v>162</v>
      </c>
      <c r="G13" s="119">
        <v>525924</v>
      </c>
    </row>
    <row r="14" spans="2:10" x14ac:dyDescent="0.25">
      <c r="B14" s="105" t="s">
        <v>172</v>
      </c>
      <c r="C14" s="109">
        <v>88000</v>
      </c>
      <c r="D14" s="109">
        <v>88000</v>
      </c>
      <c r="E14" s="102"/>
      <c r="F14" s="117" t="s">
        <v>172</v>
      </c>
      <c r="G14" s="116">
        <v>168000</v>
      </c>
    </row>
    <row r="15" spans="2:10" x14ac:dyDescent="0.25">
      <c r="B15" s="105" t="s">
        <v>171</v>
      </c>
      <c r="C15" s="109">
        <v>88000</v>
      </c>
      <c r="D15" s="109">
        <v>88000</v>
      </c>
      <c r="E15" s="102"/>
      <c r="F15" s="117" t="s">
        <v>171</v>
      </c>
      <c r="G15" s="116">
        <v>168000</v>
      </c>
    </row>
    <row r="16" spans="2:10" ht="31.5" customHeight="1" x14ac:dyDescent="0.25">
      <c r="B16" s="106" t="s">
        <v>163</v>
      </c>
      <c r="C16" s="110">
        <v>176000</v>
      </c>
      <c r="D16" s="110">
        <v>176000</v>
      </c>
      <c r="E16" s="102"/>
      <c r="F16" s="118" t="s">
        <v>163</v>
      </c>
      <c r="G16" s="119">
        <v>336000</v>
      </c>
    </row>
    <row r="17" spans="2:8" ht="36.75" customHeight="1" x14ac:dyDescent="0.25">
      <c r="B17" s="106" t="s">
        <v>164</v>
      </c>
      <c r="C17" s="110">
        <v>3023576.6</v>
      </c>
      <c r="D17" s="110">
        <v>3023576.6</v>
      </c>
      <c r="E17" s="102"/>
      <c r="F17" s="118" t="s">
        <v>164</v>
      </c>
      <c r="G17" s="119">
        <v>5772282.5999999996</v>
      </c>
    </row>
    <row r="18" spans="2:8" ht="31.5" customHeight="1" x14ac:dyDescent="0.25">
      <c r="B18" s="106" t="s">
        <v>165</v>
      </c>
      <c r="C18" s="110">
        <v>2024000</v>
      </c>
      <c r="D18" s="110">
        <v>2024000</v>
      </c>
      <c r="E18" s="102"/>
      <c r="F18" s="118" t="s">
        <v>165</v>
      </c>
      <c r="G18" s="119">
        <v>3864000</v>
      </c>
    </row>
    <row r="21" spans="2:8" ht="15.75" x14ac:dyDescent="0.25">
      <c r="B21" s="7" t="s">
        <v>7</v>
      </c>
      <c r="C21" s="11"/>
      <c r="D21" s="7" t="s">
        <v>8</v>
      </c>
      <c r="E21" s="7" t="s">
        <v>9</v>
      </c>
      <c r="F21" s="7" t="s">
        <v>10</v>
      </c>
      <c r="G21" s="7" t="s">
        <v>11</v>
      </c>
      <c r="H21" s="7" t="s">
        <v>12</v>
      </c>
    </row>
    <row r="22" spans="2:8" ht="15.75" x14ac:dyDescent="0.25">
      <c r="B22" s="94" t="s">
        <v>84</v>
      </c>
      <c r="C22" s="95">
        <f>[1]datos!B19</f>
        <v>0.1</v>
      </c>
      <c r="D22" s="96"/>
      <c r="E22" s="96">
        <f>$C$22</f>
        <v>0.1</v>
      </c>
      <c r="F22" s="96">
        <f>$C$22</f>
        <v>0.1</v>
      </c>
      <c r="G22" s="96">
        <f>$C$22</f>
        <v>0.1</v>
      </c>
      <c r="H22" s="96">
        <f>$C$22</f>
        <v>0.1</v>
      </c>
    </row>
    <row r="23" spans="2:8" ht="31.5" x14ac:dyDescent="0.25">
      <c r="B23" s="99" t="s">
        <v>168</v>
      </c>
      <c r="C23" s="10"/>
      <c r="D23" s="101">
        <f>C17*5*12</f>
        <v>181414596</v>
      </c>
      <c r="E23" s="101">
        <f>D23+(D23*E22)</f>
        <v>199556055.59999999</v>
      </c>
      <c r="F23" s="101">
        <f t="shared" ref="F23:H23" si="0">E23+(E23*F22)</f>
        <v>219511661.16</v>
      </c>
      <c r="G23" s="101">
        <f t="shared" si="0"/>
        <v>241462827.27599999</v>
      </c>
      <c r="H23" s="101">
        <f t="shared" si="0"/>
        <v>265609110.0036</v>
      </c>
    </row>
    <row r="24" spans="2:8" ht="31.5" x14ac:dyDescent="0.25">
      <c r="B24" s="99" t="s">
        <v>169</v>
      </c>
      <c r="C24" s="100"/>
      <c r="D24" s="101">
        <f>D17*5*12</f>
        <v>181414596</v>
      </c>
      <c r="E24" s="101">
        <f>D24+(D24*E22)</f>
        <v>199556055.59999999</v>
      </c>
      <c r="F24" s="101">
        <f t="shared" ref="F24:H24" si="1">E24+(E24*F22)</f>
        <v>219511661.16</v>
      </c>
      <c r="G24" s="101">
        <f t="shared" si="1"/>
        <v>241462827.27599999</v>
      </c>
      <c r="H24" s="101">
        <f t="shared" si="1"/>
        <v>265609110.0036</v>
      </c>
    </row>
    <row r="25" spans="2:8" ht="15.75" x14ac:dyDescent="0.25">
      <c r="B25" s="97" t="s">
        <v>170</v>
      </c>
      <c r="C25" s="98"/>
      <c r="D25" s="101">
        <f>G17*12</f>
        <v>69267391.199999988</v>
      </c>
      <c r="E25" s="101">
        <f>D25+(D25*E22)</f>
        <v>76194130.319999993</v>
      </c>
      <c r="F25" s="101">
        <f t="shared" ref="F25:H25" si="2">E25+(E25*F22)</f>
        <v>83813543.351999998</v>
      </c>
      <c r="G25" s="101">
        <f t="shared" si="2"/>
        <v>92194897.687199995</v>
      </c>
      <c r="H25" s="101">
        <f t="shared" si="2"/>
        <v>101414387.45592</v>
      </c>
    </row>
    <row r="26" spans="2:8" ht="15.75" x14ac:dyDescent="0.25">
      <c r="B26" s="112" t="s">
        <v>167</v>
      </c>
      <c r="C26" s="113"/>
      <c r="D26" s="114">
        <f>D23+D24+D25</f>
        <v>432096583.19999999</v>
      </c>
      <c r="E26" s="114">
        <f>E23+E24+E25</f>
        <v>475306241.51999998</v>
      </c>
      <c r="F26" s="114">
        <f>F23+F24+F25</f>
        <v>522836865.67199999</v>
      </c>
      <c r="G26" s="114">
        <f t="shared" ref="G26:H26" si="3">G23+G24+G25</f>
        <v>575120552.2392</v>
      </c>
      <c r="H26" s="114">
        <f t="shared" si="3"/>
        <v>632632607.46311998</v>
      </c>
    </row>
  </sheetData>
  <phoneticPr fontId="1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10"/>
  <sheetViews>
    <sheetView showGridLines="0" workbookViewId="0">
      <selection activeCell="F21" sqref="F21"/>
    </sheetView>
  </sheetViews>
  <sheetFormatPr baseColWidth="10" defaultRowHeight="15" x14ac:dyDescent="0.25"/>
  <cols>
    <col min="2" max="2" width="19.28515625" bestFit="1" customWidth="1"/>
    <col min="3" max="3" width="15.140625" bestFit="1" customWidth="1"/>
    <col min="4" max="4" width="12.85546875" customWidth="1"/>
    <col min="5" max="5" width="15" customWidth="1"/>
    <col min="6" max="6" width="15.42578125" customWidth="1"/>
    <col min="7" max="7" width="14.5703125" customWidth="1"/>
    <col min="8" max="8" width="15.5703125" customWidth="1"/>
    <col min="9" max="9" width="15.140625" customWidth="1"/>
    <col min="10" max="10" width="14.85546875" customWidth="1"/>
  </cols>
  <sheetData>
    <row r="1" spans="2:10" ht="15.75" x14ac:dyDescent="0.25">
      <c r="B1" s="17" t="s">
        <v>52</v>
      </c>
      <c r="C1" s="23">
        <f>datos!B8</f>
        <v>81992400</v>
      </c>
      <c r="D1" s="15"/>
      <c r="E1" s="15"/>
      <c r="F1" s="15"/>
      <c r="G1" s="15"/>
      <c r="H1" s="15"/>
      <c r="I1" s="15"/>
      <c r="J1" s="15"/>
    </row>
    <row r="2" spans="2:10" ht="15.75" x14ac:dyDescent="0.25">
      <c r="B2" s="17" t="s">
        <v>53</v>
      </c>
      <c r="C2" s="23">
        <f>credito!C2</f>
        <v>32796960</v>
      </c>
      <c r="D2" s="15"/>
      <c r="E2" s="15"/>
      <c r="F2" s="15"/>
      <c r="G2" s="15"/>
      <c r="H2" s="15"/>
      <c r="I2" s="15"/>
      <c r="J2" s="15"/>
    </row>
    <row r="3" spans="2:10" ht="15.75" x14ac:dyDescent="0.25">
      <c r="B3" s="17" t="s">
        <v>54</v>
      </c>
      <c r="C3" s="23">
        <f>-flujocaja!C18</f>
        <v>49195440</v>
      </c>
      <c r="D3" s="15"/>
      <c r="E3" s="15"/>
      <c r="F3" s="15"/>
      <c r="G3" s="15"/>
      <c r="H3" s="15"/>
      <c r="I3" s="15"/>
      <c r="J3" s="15"/>
    </row>
    <row r="4" spans="2:10" ht="15.75" x14ac:dyDescent="0.25">
      <c r="B4" s="17" t="s">
        <v>55</v>
      </c>
      <c r="C4" s="9">
        <f>credito!C3</f>
        <v>0.38650000000000001</v>
      </c>
      <c r="D4" s="15"/>
      <c r="E4" s="15"/>
      <c r="F4" s="15"/>
      <c r="G4" s="15"/>
      <c r="H4" s="15"/>
      <c r="I4" s="15"/>
      <c r="J4" s="15"/>
    </row>
    <row r="5" spans="2:10" ht="15.75" x14ac:dyDescent="0.25">
      <c r="B5" s="17" t="s">
        <v>56</v>
      </c>
      <c r="C5" s="9">
        <f>datos!B24</f>
        <v>0.35</v>
      </c>
      <c r="D5" s="15"/>
      <c r="E5" s="15"/>
      <c r="F5" s="15"/>
      <c r="G5" s="15"/>
      <c r="H5" s="15"/>
      <c r="I5" s="15"/>
      <c r="J5" s="15"/>
    </row>
    <row r="6" spans="2:10" ht="15.75" x14ac:dyDescent="0.25">
      <c r="B6" s="12"/>
      <c r="C6" s="30"/>
      <c r="D6" s="14">
        <v>0</v>
      </c>
      <c r="E6" s="14">
        <v>1</v>
      </c>
      <c r="F6" s="14">
        <v>2</v>
      </c>
      <c r="G6" s="14">
        <v>3</v>
      </c>
      <c r="H6" s="14">
        <v>4</v>
      </c>
      <c r="I6" s="14">
        <v>5</v>
      </c>
      <c r="J6" s="14">
        <v>6</v>
      </c>
    </row>
    <row r="7" spans="2:10" ht="15.75" x14ac:dyDescent="0.25">
      <c r="B7" s="12" t="s">
        <v>57</v>
      </c>
      <c r="C7" s="30"/>
      <c r="D7" s="16">
        <f>flujocaja!C18</f>
        <v>-49195440</v>
      </c>
      <c r="E7" s="16">
        <f>flujocaja!D18</f>
        <v>68622362.835068166</v>
      </c>
      <c r="F7" s="16">
        <f>flujocaja!E18</f>
        <v>5172572.95462358</v>
      </c>
      <c r="G7" s="16">
        <f>flujocaja!F18</f>
        <v>-3549358.5287520885</v>
      </c>
      <c r="H7" s="16">
        <f>flujocaja!G18</f>
        <v>5949013.9121685028</v>
      </c>
      <c r="I7" s="16">
        <f>flujocaja!H18</f>
        <v>37196165.9883883</v>
      </c>
      <c r="J7" s="16">
        <f>flujocaja!I18</f>
        <v>-25481517.64181906</v>
      </c>
    </row>
    <row r="8" spans="2:10" ht="15.75" x14ac:dyDescent="0.25">
      <c r="B8" s="31" t="s">
        <v>18</v>
      </c>
      <c r="C8" s="46">
        <v>0.13250000000000001</v>
      </c>
      <c r="D8" s="28"/>
      <c r="E8" s="29"/>
      <c r="F8" s="28"/>
      <c r="G8" s="9"/>
      <c r="H8" s="15"/>
      <c r="I8" s="15"/>
      <c r="J8" s="15"/>
    </row>
    <row r="9" spans="2:10" ht="15.75" x14ac:dyDescent="0.25">
      <c r="B9" s="32" t="s">
        <v>0</v>
      </c>
      <c r="C9" s="28">
        <f>+IRR(D7:J7)</f>
        <v>0.54039589765194851</v>
      </c>
      <c r="D9" s="16"/>
      <c r="E9" s="16"/>
      <c r="F9" s="16"/>
      <c r="G9" s="16"/>
      <c r="H9" s="15"/>
      <c r="I9" s="15"/>
      <c r="J9" s="15"/>
    </row>
    <row r="10" spans="2:10" ht="15.75" x14ac:dyDescent="0.25">
      <c r="B10" s="32" t="s">
        <v>1</v>
      </c>
      <c r="C10" s="23">
        <f>+NPV(C8,E7:J7)+D7</f>
        <v>24492888.393233269</v>
      </c>
      <c r="D10" s="16"/>
      <c r="E10" s="16"/>
      <c r="F10" s="16"/>
      <c r="G10" s="16"/>
      <c r="H10" s="15"/>
      <c r="I10" s="15"/>
      <c r="J10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57EC-D434-4DBB-85CF-F394DAD4858A}">
  <sheetPr>
    <outlinePr summaryBelow="0"/>
  </sheetPr>
  <dimension ref="B1:F11"/>
  <sheetViews>
    <sheetView showGridLines="0" tabSelected="1" workbookViewId="0">
      <selection activeCell="I9" sqref="I9"/>
    </sheetView>
  </sheetViews>
  <sheetFormatPr baseColWidth="10" defaultRowHeight="15" outlineLevelRow="1" outlineLevelCol="1" x14ac:dyDescent="0.25"/>
  <cols>
    <col min="3" max="3" width="9.85546875" customWidth="1"/>
    <col min="4" max="6" width="14.5703125" bestFit="1" customWidth="1" outlineLevel="1"/>
  </cols>
  <sheetData>
    <row r="1" spans="2:6" ht="15.75" thickBot="1" x14ac:dyDescent="0.3"/>
    <row r="2" spans="2:6" ht="15.75" x14ac:dyDescent="0.25">
      <c r="B2" s="123" t="s">
        <v>174</v>
      </c>
      <c r="C2" s="123"/>
      <c r="D2" s="127"/>
      <c r="E2" s="127"/>
      <c r="F2" s="127"/>
    </row>
    <row r="3" spans="2:6" ht="15.75" collapsed="1" x14ac:dyDescent="0.25">
      <c r="B3" s="122"/>
      <c r="C3" s="122"/>
      <c r="D3" s="128" t="s">
        <v>176</v>
      </c>
      <c r="E3" s="128" t="s">
        <v>19</v>
      </c>
      <c r="F3" s="128" t="s">
        <v>20</v>
      </c>
    </row>
    <row r="4" spans="2:6" ht="191.25" hidden="1" outlineLevel="1" x14ac:dyDescent="0.25">
      <c r="B4" s="125"/>
      <c r="C4" s="125"/>
      <c r="E4" s="131" t="s">
        <v>173</v>
      </c>
      <c r="F4" s="131" t="s">
        <v>173</v>
      </c>
    </row>
    <row r="5" spans="2:6" x14ac:dyDescent="0.25">
      <c r="B5" s="126" t="s">
        <v>175</v>
      </c>
      <c r="C5" s="126"/>
      <c r="D5" s="124"/>
      <c r="E5" s="124"/>
      <c r="F5" s="124"/>
    </row>
    <row r="6" spans="2:6" outlineLevel="1" x14ac:dyDescent="0.25">
      <c r="B6" s="159" t="s">
        <v>149</v>
      </c>
      <c r="C6" s="159"/>
      <c r="D6">
        <v>91</v>
      </c>
      <c r="E6" s="129">
        <v>93</v>
      </c>
      <c r="F6" s="129">
        <v>91</v>
      </c>
    </row>
    <row r="7" spans="2:6" outlineLevel="1" x14ac:dyDescent="0.25">
      <c r="B7" s="160" t="s">
        <v>58</v>
      </c>
      <c r="C7" s="160"/>
      <c r="D7" s="102">
        <v>5991555.5555555597</v>
      </c>
      <c r="E7" s="130">
        <v>5991556</v>
      </c>
      <c r="F7" s="130">
        <v>5991556</v>
      </c>
    </row>
    <row r="8" spans="2:6" outlineLevel="1" x14ac:dyDescent="0.25">
      <c r="B8" s="161" t="s">
        <v>178</v>
      </c>
      <c r="C8" s="161"/>
      <c r="D8" s="102">
        <v>432096583.19999999</v>
      </c>
      <c r="E8" s="130">
        <v>432096583</v>
      </c>
      <c r="F8" s="130">
        <v>496911071</v>
      </c>
    </row>
    <row r="9" spans="2:6" x14ac:dyDescent="0.25">
      <c r="B9" s="126" t="s">
        <v>177</v>
      </c>
      <c r="C9" s="126"/>
      <c r="D9" s="124"/>
      <c r="E9" s="124"/>
      <c r="F9" s="124"/>
    </row>
    <row r="10" spans="2:6" outlineLevel="1" x14ac:dyDescent="0.25">
      <c r="B10" s="159" t="s">
        <v>0</v>
      </c>
      <c r="C10" s="159"/>
      <c r="D10" s="120">
        <v>0.54039589765194895</v>
      </c>
      <c r="E10" s="120">
        <v>0.70343782399988297</v>
      </c>
      <c r="F10" s="120">
        <v>0.54039726473807104</v>
      </c>
    </row>
    <row r="11" spans="2:6" ht="15.75" outlineLevel="1" thickBot="1" x14ac:dyDescent="0.3">
      <c r="B11" s="162" t="s">
        <v>1</v>
      </c>
      <c r="C11" s="162"/>
      <c r="D11" s="121">
        <v>24492888.393233299</v>
      </c>
      <c r="E11" s="121">
        <v>31804006.758127701</v>
      </c>
      <c r="F11" s="121">
        <v>24492993.974087901</v>
      </c>
    </row>
  </sheetData>
  <mergeCells count="5">
    <mergeCell ref="B6:C6"/>
    <mergeCell ref="B7:C7"/>
    <mergeCell ref="B8:C8"/>
    <mergeCell ref="B10:C10"/>
    <mergeCell ref="B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0346-34D5-4D55-9EF3-189D23282E54}">
  <dimension ref="B2:F53"/>
  <sheetViews>
    <sheetView showGridLines="0" topLeftCell="A31" zoomScale="80" zoomScaleNormal="80" workbookViewId="0">
      <selection activeCell="D56" sqref="D56"/>
    </sheetView>
  </sheetViews>
  <sheetFormatPr baseColWidth="10" defaultRowHeight="15" x14ac:dyDescent="0.25"/>
  <cols>
    <col min="2" max="2" width="31.42578125" customWidth="1"/>
    <col min="3" max="3" width="15.7109375" customWidth="1"/>
    <col min="4" max="4" width="20.7109375" customWidth="1"/>
    <col min="5" max="5" width="34.85546875" customWidth="1"/>
    <col min="6" max="6" width="17.5703125" customWidth="1"/>
  </cols>
  <sheetData>
    <row r="2" spans="2:5" ht="15.75" x14ac:dyDescent="0.25">
      <c r="B2" s="132" t="s">
        <v>88</v>
      </c>
      <c r="C2" s="132"/>
      <c r="D2" s="132"/>
      <c r="E2" s="132"/>
    </row>
    <row r="3" spans="2:5" ht="15.75" x14ac:dyDescent="0.25">
      <c r="B3" s="62" t="s">
        <v>89</v>
      </c>
      <c r="C3" s="62" t="s">
        <v>90</v>
      </c>
      <c r="D3" s="62" t="s">
        <v>91</v>
      </c>
      <c r="E3" s="62" t="s">
        <v>92</v>
      </c>
    </row>
    <row r="4" spans="2:5" ht="15.75" x14ac:dyDescent="0.25">
      <c r="B4" s="133" t="s">
        <v>93</v>
      </c>
      <c r="C4" s="134"/>
      <c r="D4" s="134"/>
      <c r="E4" s="135"/>
    </row>
    <row r="5" spans="2:5" ht="15.75" x14ac:dyDescent="0.25">
      <c r="B5" s="4" t="s">
        <v>94</v>
      </c>
      <c r="C5" s="4">
        <v>11</v>
      </c>
      <c r="D5" s="47">
        <v>400000</v>
      </c>
      <c r="E5" s="48">
        <f>C5*D5</f>
        <v>4400000</v>
      </c>
    </row>
    <row r="6" spans="2:5" ht="15.75" x14ac:dyDescent="0.25">
      <c r="B6" s="4" t="s">
        <v>95</v>
      </c>
      <c r="C6" s="4">
        <v>11</v>
      </c>
      <c r="D6" s="47">
        <v>500000</v>
      </c>
      <c r="E6" s="48">
        <f>C6*D6</f>
        <v>5500000</v>
      </c>
    </row>
    <row r="7" spans="2:5" ht="15.75" x14ac:dyDescent="0.25">
      <c r="B7" s="55" t="s">
        <v>96</v>
      </c>
      <c r="C7" s="56"/>
      <c r="D7" s="56"/>
      <c r="E7" s="57">
        <f>SUM(E5:E6)</f>
        <v>9900000</v>
      </c>
    </row>
    <row r="8" spans="2:5" ht="15.75" x14ac:dyDescent="0.25">
      <c r="B8" s="133" t="s">
        <v>97</v>
      </c>
      <c r="C8" s="134"/>
      <c r="D8" s="134"/>
      <c r="E8" s="135"/>
    </row>
    <row r="9" spans="2:5" ht="15.75" x14ac:dyDescent="0.25">
      <c r="B9" s="4" t="s">
        <v>98</v>
      </c>
      <c r="C9" s="4">
        <v>11</v>
      </c>
      <c r="D9" s="47">
        <v>5400000</v>
      </c>
      <c r="E9" s="48">
        <f>C9*D9</f>
        <v>59400000</v>
      </c>
    </row>
    <row r="10" spans="2:5" ht="31.5" x14ac:dyDescent="0.25">
      <c r="B10" s="55" t="s">
        <v>99</v>
      </c>
      <c r="C10" s="56"/>
      <c r="D10" s="56"/>
      <c r="E10" s="57">
        <f>E9</f>
        <v>59400000</v>
      </c>
    </row>
    <row r="11" spans="2:5" ht="15.75" x14ac:dyDescent="0.25">
      <c r="B11" s="62" t="s">
        <v>100</v>
      </c>
      <c r="C11" s="63" t="s">
        <v>90</v>
      </c>
      <c r="D11" s="63" t="s">
        <v>91</v>
      </c>
      <c r="E11" s="63" t="s">
        <v>92</v>
      </c>
    </row>
    <row r="12" spans="2:5" ht="15.75" x14ac:dyDescent="0.25">
      <c r="B12" s="133" t="s">
        <v>101</v>
      </c>
      <c r="C12" s="134"/>
      <c r="D12" s="134"/>
      <c r="E12" s="135"/>
    </row>
    <row r="13" spans="2:5" ht="15.75" x14ac:dyDescent="0.25">
      <c r="B13" s="4" t="s">
        <v>102</v>
      </c>
      <c r="C13" s="52"/>
      <c r="D13" s="13"/>
      <c r="E13" s="53">
        <v>53000</v>
      </c>
    </row>
    <row r="14" spans="2:5" ht="15.75" x14ac:dyDescent="0.25">
      <c r="B14" s="4" t="s">
        <v>103</v>
      </c>
      <c r="C14" s="52"/>
      <c r="D14" s="13"/>
      <c r="E14" s="53">
        <v>7900</v>
      </c>
    </row>
    <row r="15" spans="2:5" ht="15.75" x14ac:dyDescent="0.25">
      <c r="B15" s="4" t="s">
        <v>104</v>
      </c>
      <c r="C15" s="52"/>
      <c r="D15" s="13"/>
      <c r="E15" s="53">
        <v>42000</v>
      </c>
    </row>
    <row r="16" spans="2:5" ht="15.75" x14ac:dyDescent="0.25">
      <c r="B16" s="4" t="s">
        <v>105</v>
      </c>
      <c r="C16" s="52"/>
      <c r="D16" s="13"/>
      <c r="E16" s="53">
        <v>18000</v>
      </c>
    </row>
    <row r="17" spans="2:6" ht="15.75" x14ac:dyDescent="0.25">
      <c r="B17" s="4" t="s">
        <v>106</v>
      </c>
      <c r="C17" s="52"/>
      <c r="D17" s="13"/>
      <c r="E17" s="53">
        <v>3600</v>
      </c>
    </row>
    <row r="18" spans="2:6" ht="34.5" customHeight="1" x14ac:dyDescent="0.25">
      <c r="B18" s="54" t="s">
        <v>107</v>
      </c>
      <c r="C18" s="52"/>
      <c r="D18" s="13"/>
      <c r="E18" s="53">
        <v>7900</v>
      </c>
    </row>
    <row r="19" spans="2:6" ht="34.5" customHeight="1" x14ac:dyDescent="0.25">
      <c r="B19" s="55" t="s">
        <v>108</v>
      </c>
      <c r="C19" s="56"/>
      <c r="D19" s="56"/>
      <c r="E19" s="57">
        <f>SUM(E13:E18)</f>
        <v>132400</v>
      </c>
    </row>
    <row r="20" spans="2:6" ht="15.75" x14ac:dyDescent="0.25">
      <c r="B20" s="139" t="s">
        <v>109</v>
      </c>
      <c r="C20" s="140"/>
      <c r="D20" s="140"/>
      <c r="E20" s="141"/>
    </row>
    <row r="21" spans="2:6" ht="15.75" x14ac:dyDescent="0.25">
      <c r="B21" s="4" t="s">
        <v>110</v>
      </c>
      <c r="C21" s="4">
        <v>11</v>
      </c>
      <c r="D21" s="47">
        <f>80000*12</f>
        <v>960000</v>
      </c>
      <c r="E21" s="48">
        <f>D21*C21</f>
        <v>10560000</v>
      </c>
    </row>
    <row r="22" spans="2:6" ht="15.75" x14ac:dyDescent="0.25">
      <c r="B22" s="49" t="s">
        <v>111</v>
      </c>
      <c r="C22" s="50"/>
      <c r="D22" s="51"/>
      <c r="E22" s="57">
        <f>E21</f>
        <v>10560000</v>
      </c>
    </row>
    <row r="23" spans="2:6" ht="15.75" x14ac:dyDescent="0.25">
      <c r="B23" s="133" t="s">
        <v>15</v>
      </c>
      <c r="C23" s="142"/>
      <c r="D23" s="142"/>
      <c r="E23" s="143"/>
    </row>
    <row r="24" spans="2:6" ht="15.75" x14ac:dyDescent="0.25">
      <c r="B24" s="49" t="s">
        <v>15</v>
      </c>
      <c r="C24" s="50"/>
      <c r="D24" s="51"/>
      <c r="E24" s="57">
        <v>2000000</v>
      </c>
    </row>
    <row r="25" spans="2:6" ht="15.75" x14ac:dyDescent="0.25">
      <c r="B25" s="58" t="s">
        <v>112</v>
      </c>
      <c r="C25" s="59"/>
      <c r="D25" s="60"/>
      <c r="E25" s="61">
        <f>E7+E10+E22+E19+E24</f>
        <v>81992400</v>
      </c>
    </row>
    <row r="28" spans="2:6" ht="15.75" x14ac:dyDescent="0.25">
      <c r="B28" s="132" t="s">
        <v>133</v>
      </c>
      <c r="C28" s="132"/>
      <c r="D28" s="132"/>
      <c r="E28" s="132"/>
      <c r="F28" s="132"/>
    </row>
    <row r="29" spans="2:6" ht="30.75" customHeight="1" x14ac:dyDescent="0.25">
      <c r="B29" s="14" t="s">
        <v>130</v>
      </c>
      <c r="C29" s="65" t="s">
        <v>120</v>
      </c>
      <c r="D29" s="65" t="s">
        <v>121</v>
      </c>
      <c r="E29" s="14" t="s">
        <v>122</v>
      </c>
      <c r="F29" s="14" t="s">
        <v>123</v>
      </c>
    </row>
    <row r="30" spans="2:6" ht="15.75" x14ac:dyDescent="0.25">
      <c r="B30" s="14" t="s">
        <v>124</v>
      </c>
      <c r="C30" s="66">
        <v>100000</v>
      </c>
      <c r="D30" s="67">
        <v>11</v>
      </c>
      <c r="E30" s="66">
        <f>D30*C30</f>
        <v>1100000</v>
      </c>
      <c r="F30" s="66">
        <f>E30*12</f>
        <v>13200000</v>
      </c>
    </row>
    <row r="31" spans="2:6" ht="15.75" x14ac:dyDescent="0.25">
      <c r="B31" s="14" t="s">
        <v>144</v>
      </c>
      <c r="C31" s="70">
        <v>80000</v>
      </c>
      <c r="D31" s="67">
        <v>11</v>
      </c>
      <c r="E31" s="66">
        <f>C31*D31</f>
        <v>880000</v>
      </c>
      <c r="F31" s="66">
        <f>E31*12</f>
        <v>10560000</v>
      </c>
    </row>
    <row r="32" spans="2:6" ht="15.75" x14ac:dyDescent="0.25">
      <c r="B32" s="14" t="s">
        <v>134</v>
      </c>
      <c r="C32" s="70"/>
      <c r="D32" s="67">
        <v>11</v>
      </c>
      <c r="E32" s="66">
        <f>(Nomina!C17*5)+(Nomina!D17*5)+Nomina!G17</f>
        <v>36008048.600000001</v>
      </c>
      <c r="F32" s="66">
        <f>Nomina!D26</f>
        <v>432096583.19999999</v>
      </c>
    </row>
    <row r="33" spans="2:6" ht="15.75" x14ac:dyDescent="0.25">
      <c r="B33" s="14" t="s">
        <v>125</v>
      </c>
      <c r="C33" s="14"/>
      <c r="D33" s="68"/>
      <c r="E33" s="68"/>
      <c r="F33" s="68">
        <f>SUM(F30:F32)</f>
        <v>455856583.19999999</v>
      </c>
    </row>
    <row r="34" spans="2:6" ht="15.75" x14ac:dyDescent="0.25">
      <c r="B34" s="3"/>
      <c r="C34" s="3"/>
      <c r="D34" s="3"/>
      <c r="E34" s="3"/>
      <c r="F34" s="3"/>
    </row>
    <row r="35" spans="2:6" ht="15.75" x14ac:dyDescent="0.25">
      <c r="B35" s="132" t="s">
        <v>138</v>
      </c>
      <c r="C35" s="132"/>
      <c r="D35" s="132"/>
      <c r="E35" s="3"/>
      <c r="F35" s="3"/>
    </row>
    <row r="36" spans="2:6" ht="15.75" x14ac:dyDescent="0.25">
      <c r="B36" s="14" t="s">
        <v>126</v>
      </c>
      <c r="C36" s="14" t="s">
        <v>127</v>
      </c>
      <c r="D36" s="14" t="s">
        <v>123</v>
      </c>
      <c r="E36" s="15"/>
      <c r="F36" s="3"/>
    </row>
    <row r="37" spans="2:6" ht="15.75" x14ac:dyDescent="0.25">
      <c r="B37" s="17" t="s">
        <v>128</v>
      </c>
      <c r="C37" s="68">
        <v>300000</v>
      </c>
      <c r="D37" s="68">
        <f>C37*12</f>
        <v>3600000</v>
      </c>
      <c r="E37" s="69"/>
      <c r="F37" s="3"/>
    </row>
    <row r="38" spans="2:6" ht="15.75" x14ac:dyDescent="0.25">
      <c r="B38" s="17" t="s">
        <v>129</v>
      </c>
      <c r="C38" s="68">
        <v>200000</v>
      </c>
      <c r="D38" s="68">
        <f>C38*12</f>
        <v>2400000</v>
      </c>
      <c r="E38" s="69"/>
      <c r="F38" s="3"/>
    </row>
    <row r="39" spans="2:6" ht="15.75" x14ac:dyDescent="0.25">
      <c r="B39" s="17" t="s">
        <v>125</v>
      </c>
      <c r="C39" s="68">
        <f>SUM(C37:C38)</f>
        <v>500000</v>
      </c>
      <c r="D39" s="68">
        <f>SUM(D37:D38)</f>
        <v>6000000</v>
      </c>
      <c r="E39" s="69"/>
      <c r="F39" s="3"/>
    </row>
    <row r="42" spans="2:6" ht="15.75" x14ac:dyDescent="0.25">
      <c r="B42" s="132" t="s">
        <v>145</v>
      </c>
      <c r="C42" s="132"/>
      <c r="D42" s="132"/>
    </row>
    <row r="43" spans="2:6" ht="15.75" x14ac:dyDescent="0.25">
      <c r="B43" s="132" t="s">
        <v>142</v>
      </c>
      <c r="C43" s="132"/>
      <c r="D43" s="132"/>
    </row>
    <row r="44" spans="2:6" ht="30" x14ac:dyDescent="0.25">
      <c r="B44" s="136" t="s">
        <v>146</v>
      </c>
      <c r="C44" s="136"/>
      <c r="D44" s="93" t="s">
        <v>147</v>
      </c>
    </row>
    <row r="45" spans="2:6" ht="15.75" x14ac:dyDescent="0.25">
      <c r="B45" s="14" t="s">
        <v>124</v>
      </c>
      <c r="C45" s="89">
        <f>E30</f>
        <v>1100000</v>
      </c>
      <c r="D45" s="90">
        <f>C45/9</f>
        <v>122222.22222222222</v>
      </c>
    </row>
    <row r="46" spans="2:6" ht="15.75" x14ac:dyDescent="0.25">
      <c r="B46" s="14" t="s">
        <v>144</v>
      </c>
      <c r="C46" s="89">
        <f>E31</f>
        <v>880000</v>
      </c>
      <c r="D46" s="90">
        <f>C46/9</f>
        <v>97777.777777777781</v>
      </c>
    </row>
    <row r="47" spans="2:6" ht="15.75" x14ac:dyDescent="0.25">
      <c r="B47" s="14" t="s">
        <v>134</v>
      </c>
      <c r="C47" s="89">
        <f>E32</f>
        <v>36008048.600000001</v>
      </c>
      <c r="D47" s="90">
        <f>C47/9</f>
        <v>4000894.2888888889</v>
      </c>
    </row>
    <row r="48" spans="2:6" ht="15.75" x14ac:dyDescent="0.25">
      <c r="B48" s="133" t="s">
        <v>143</v>
      </c>
      <c r="C48" s="134"/>
      <c r="D48" s="135"/>
    </row>
    <row r="49" spans="2:4" ht="15.75" x14ac:dyDescent="0.25">
      <c r="B49" s="17" t="s">
        <v>128</v>
      </c>
      <c r="C49" s="89">
        <f>C37</f>
        <v>300000</v>
      </c>
      <c r="D49" s="90">
        <f>C49/9</f>
        <v>33333.333333333336</v>
      </c>
    </row>
    <row r="50" spans="2:4" ht="15.75" x14ac:dyDescent="0.25">
      <c r="B50" s="17" t="s">
        <v>129</v>
      </c>
      <c r="C50" s="89">
        <f>C38</f>
        <v>200000</v>
      </c>
      <c r="D50" s="90">
        <f>C50/9</f>
        <v>22222.222222222223</v>
      </c>
    </row>
    <row r="51" spans="2:4" ht="15.75" x14ac:dyDescent="0.25">
      <c r="B51" s="20" t="s">
        <v>125</v>
      </c>
      <c r="C51" s="91">
        <f>SUM(C45:C50)</f>
        <v>38488048.600000001</v>
      </c>
      <c r="D51" s="90">
        <f>SUM(D45:D47)+SUM(D49:D50)</f>
        <v>4276449.8444444444</v>
      </c>
    </row>
    <row r="52" spans="2:4" x14ac:dyDescent="0.25">
      <c r="B52" s="137" t="s">
        <v>148</v>
      </c>
      <c r="C52" s="137"/>
      <c r="D52" s="90">
        <f>(D51*30%)</f>
        <v>1282934.9533333334</v>
      </c>
    </row>
    <row r="53" spans="2:4" x14ac:dyDescent="0.25">
      <c r="B53" s="138" t="s">
        <v>31</v>
      </c>
      <c r="C53" s="138"/>
      <c r="D53" s="92">
        <f>D51+D52</f>
        <v>5559384.7977777775</v>
      </c>
    </row>
  </sheetData>
  <mergeCells count="14">
    <mergeCell ref="B28:F28"/>
    <mergeCell ref="B35:D35"/>
    <mergeCell ref="B2:E2"/>
    <mergeCell ref="B4:E4"/>
    <mergeCell ref="B8:E8"/>
    <mergeCell ref="B12:E12"/>
    <mergeCell ref="B20:E20"/>
    <mergeCell ref="B23:E23"/>
    <mergeCell ref="B42:D42"/>
    <mergeCell ref="B48:D48"/>
    <mergeCell ref="B44:C44"/>
    <mergeCell ref="B52:C52"/>
    <mergeCell ref="B53:C53"/>
    <mergeCell ref="B43:D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opLeftCell="A5" workbookViewId="0">
      <selection activeCell="G19" sqref="G19"/>
    </sheetView>
  </sheetViews>
  <sheetFormatPr baseColWidth="10" defaultColWidth="11.42578125" defaultRowHeight="15" x14ac:dyDescent="0.25"/>
  <cols>
    <col min="1" max="1" width="36.28515625" style="1" bestFit="1" customWidth="1"/>
    <col min="2" max="2" width="16.28515625" style="1" bestFit="1" customWidth="1"/>
    <col min="3" max="3" width="11.42578125" style="1"/>
    <col min="4" max="4" width="17.28515625" style="1" customWidth="1"/>
    <col min="5" max="5" width="7.85546875" style="1" customWidth="1"/>
    <col min="6" max="6" width="18.7109375" style="1" customWidth="1"/>
    <col min="7" max="16384" width="11.42578125" style="1"/>
  </cols>
  <sheetData>
    <row r="1" spans="1:6" ht="15.75" x14ac:dyDescent="0.25">
      <c r="A1" s="3"/>
      <c r="B1" s="3"/>
    </row>
    <row r="2" spans="1:6" ht="15.75" x14ac:dyDescent="0.25">
      <c r="A2" s="86" t="s">
        <v>141</v>
      </c>
      <c r="B2" s="88">
        <v>91</v>
      </c>
    </row>
    <row r="3" spans="1:6" ht="15.75" x14ac:dyDescent="0.25">
      <c r="A3" s="148" t="s">
        <v>86</v>
      </c>
      <c r="B3" s="149"/>
    </row>
    <row r="4" spans="1:6" ht="15.75" x14ac:dyDescent="0.25">
      <c r="A4" s="71" t="s">
        <v>113</v>
      </c>
      <c r="B4" s="72">
        <f>'Inver-cost-gast-precio'!E7</f>
        <v>9900000</v>
      </c>
    </row>
    <row r="5" spans="1:6" ht="15.75" x14ac:dyDescent="0.25">
      <c r="A5" s="71" t="s">
        <v>114</v>
      </c>
      <c r="B5" s="72">
        <f>'Inver-cost-gast-precio'!E10</f>
        <v>59400000</v>
      </c>
    </row>
    <row r="6" spans="1:6" ht="15.75" x14ac:dyDescent="0.25">
      <c r="A6" s="150" t="s">
        <v>87</v>
      </c>
      <c r="B6" s="151"/>
    </row>
    <row r="7" spans="1:6" ht="15.75" x14ac:dyDescent="0.25">
      <c r="A7" s="71" t="s">
        <v>118</v>
      </c>
      <c r="B7" s="72">
        <f>'Inver-cost-gast-precio'!E19+'Inver-cost-gast-precio'!E22+'Inver-cost-gast-precio'!E24</f>
        <v>12692400</v>
      </c>
    </row>
    <row r="8" spans="1:6" ht="15.75" x14ac:dyDescent="0.25">
      <c r="A8" s="73" t="s">
        <v>85</v>
      </c>
      <c r="B8" s="74">
        <f>+SUM(B4:B7)</f>
        <v>81992400</v>
      </c>
    </row>
    <row r="9" spans="1:6" ht="15.75" x14ac:dyDescent="0.25">
      <c r="A9" s="152" t="s">
        <v>132</v>
      </c>
      <c r="B9" s="153"/>
    </row>
    <row r="10" spans="1:6" ht="15.75" x14ac:dyDescent="0.25">
      <c r="A10" s="75" t="s">
        <v>119</v>
      </c>
      <c r="B10" s="76">
        <v>0.4</v>
      </c>
    </row>
    <row r="11" spans="1:6" ht="15.75" x14ac:dyDescent="0.25">
      <c r="A11" s="75" t="s">
        <v>62</v>
      </c>
      <c r="B11" s="77">
        <f>+B8*B10</f>
        <v>32796960</v>
      </c>
      <c r="E11" s="43" t="s">
        <v>0</v>
      </c>
      <c r="F11" s="44">
        <f>factible!C9</f>
        <v>0.54039589765194851</v>
      </c>
    </row>
    <row r="12" spans="1:6" ht="15.75" x14ac:dyDescent="0.25">
      <c r="A12" s="75" t="s">
        <v>63</v>
      </c>
      <c r="B12" s="76">
        <v>0.38650000000000001</v>
      </c>
      <c r="E12" s="43" t="s">
        <v>1</v>
      </c>
      <c r="F12" s="45">
        <f>factible!C10</f>
        <v>24492888.393233269</v>
      </c>
    </row>
    <row r="13" spans="1:6" ht="15.75" x14ac:dyDescent="0.25">
      <c r="A13" s="75" t="s">
        <v>2</v>
      </c>
      <c r="B13" s="78">
        <v>6</v>
      </c>
    </row>
    <row r="14" spans="1:6" ht="15.75" x14ac:dyDescent="0.25">
      <c r="A14" s="86" t="s">
        <v>116</v>
      </c>
      <c r="B14" s="87">
        <v>5991555.5555555597</v>
      </c>
    </row>
    <row r="15" spans="1:6" ht="15.75" x14ac:dyDescent="0.25">
      <c r="A15" s="154" t="s">
        <v>135</v>
      </c>
      <c r="B15" s="155"/>
    </row>
    <row r="16" spans="1:6" ht="15.75" x14ac:dyDescent="0.25">
      <c r="A16" s="79" t="s">
        <v>115</v>
      </c>
      <c r="B16" s="80">
        <v>10560000</v>
      </c>
    </row>
    <row r="17" spans="1:2" ht="15.75" x14ac:dyDescent="0.25">
      <c r="A17" s="79" t="s">
        <v>131</v>
      </c>
      <c r="B17" s="80">
        <f>'Inver-cost-gast-precio'!F30</f>
        <v>13200000</v>
      </c>
    </row>
    <row r="18" spans="1:2" ht="15.75" x14ac:dyDescent="0.25">
      <c r="A18" s="79" t="s">
        <v>134</v>
      </c>
      <c r="B18" s="80">
        <v>432096583.19999999</v>
      </c>
    </row>
    <row r="19" spans="1:2" ht="15.75" x14ac:dyDescent="0.25">
      <c r="A19" s="144" t="s">
        <v>136</v>
      </c>
      <c r="B19" s="145"/>
    </row>
    <row r="20" spans="1:2" ht="15.75" x14ac:dyDescent="0.25">
      <c r="A20" s="64" t="s">
        <v>81</v>
      </c>
      <c r="B20" s="81">
        <f>'Inver-cost-gast-precio'!D39</f>
        <v>6000000</v>
      </c>
    </row>
    <row r="21" spans="1:2" ht="15.75" x14ac:dyDescent="0.25">
      <c r="A21" s="146" t="s">
        <v>137</v>
      </c>
      <c r="B21" s="147"/>
    </row>
    <row r="22" spans="1:2" ht="15.75" x14ac:dyDescent="0.25">
      <c r="A22" s="84" t="s">
        <v>23</v>
      </c>
      <c r="B22" s="85">
        <v>10</v>
      </c>
    </row>
    <row r="23" spans="1:2" ht="15.75" x14ac:dyDescent="0.25">
      <c r="A23" s="84" t="s">
        <v>117</v>
      </c>
      <c r="B23" s="85">
        <v>5</v>
      </c>
    </row>
    <row r="24" spans="1:2" ht="15.75" x14ac:dyDescent="0.25">
      <c r="A24" s="82" t="s">
        <v>39</v>
      </c>
      <c r="B24" s="83">
        <v>0.35</v>
      </c>
    </row>
    <row r="25" spans="1:2" ht="15.75" x14ac:dyDescent="0.25">
      <c r="A25" s="3"/>
      <c r="B25" s="3"/>
    </row>
    <row r="26" spans="1:2" x14ac:dyDescent="0.25">
      <c r="B26" s="40"/>
    </row>
  </sheetData>
  <scenarios current="1" show="1" sqref="E11:F12">
    <scenario name="Optimista" locked="1" count="3" user="Valeria Sofia" comment="Creado por Valeria Sofia el 22/11/2023_x000a_Modificado por Valeria Sofia el 22/11/2023_x000a_Modificado por Valeria Sofia el 25/11/2023_x000a_Modificado por Valeria Sofia el 26/06/2024_x000a_Modificado por Valeria Sofia el 28/06/2024_x000a_Modificado por Valeria Sofia el 6/08/202">
      <inputCells r="B2" val="93"/>
      <inputCells r="B14" val="5991556" numFmtId="170"/>
      <inputCells r="B18" val="432096583"/>
    </scenario>
    <scenario name="Pesimista" locked="1" count="3" user="Valeria Sofia" comment="Creado por Valeria Sofia el 22/11/2023_x000a_Modificado por Valeria Sofia el 22/11/2023_x000a_Modificado por Valeria Sofia el 25/11/2023_x000a_Modificado por Valeria Sofia el 26/06/2024_x000a_Modificado por Valeria Sofia el 28/06/2024_x000a_Modificado por Valeria Sofia el 6/08/202">
      <inputCells r="B2" val="91"/>
      <inputCells r="B14" val="5991556" numFmtId="170"/>
      <inputCells r="B18" val="496911071"/>
    </scenario>
  </scenarios>
  <mergeCells count="6">
    <mergeCell ref="A19:B19"/>
    <mergeCell ref="A21:B21"/>
    <mergeCell ref="A3:B3"/>
    <mergeCell ref="A6:B6"/>
    <mergeCell ref="A9:B9"/>
    <mergeCell ref="A15:B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5"/>
  <sheetViews>
    <sheetView zoomScale="80" zoomScaleNormal="80" workbookViewId="0">
      <selection activeCell="K13" sqref="K13"/>
    </sheetView>
  </sheetViews>
  <sheetFormatPr baseColWidth="10" defaultColWidth="11.42578125" defaultRowHeight="15" x14ac:dyDescent="0.25"/>
  <cols>
    <col min="1" max="1" width="11.42578125" style="1"/>
    <col min="2" max="2" width="28.42578125" style="1" bestFit="1" customWidth="1"/>
    <col min="3" max="4" width="11.42578125" style="1"/>
    <col min="5" max="5" width="15.140625" style="1" customWidth="1"/>
    <col min="6" max="16384" width="11.42578125" style="1"/>
  </cols>
  <sheetData>
    <row r="2" spans="2:9" ht="15.75" x14ac:dyDescent="0.25">
      <c r="B2" s="17" t="s">
        <v>82</v>
      </c>
      <c r="C2" s="14"/>
      <c r="D2" s="13">
        <v>0</v>
      </c>
      <c r="E2" s="14">
        <v>1</v>
      </c>
      <c r="F2" s="14">
        <v>2</v>
      </c>
      <c r="G2" s="14">
        <v>3</v>
      </c>
      <c r="H2" s="14">
        <v>4</v>
      </c>
      <c r="I2" s="14">
        <v>5</v>
      </c>
    </row>
    <row r="3" spans="2:9" ht="15.75" x14ac:dyDescent="0.25">
      <c r="B3" s="17" t="s">
        <v>60</v>
      </c>
      <c r="C3" s="14">
        <f>datos!B2</f>
        <v>91</v>
      </c>
      <c r="D3" s="15"/>
      <c r="E3" s="14">
        <f>+C3</f>
        <v>91</v>
      </c>
      <c r="F3" s="16">
        <v>91</v>
      </c>
      <c r="G3" s="16">
        <f t="shared" ref="G3:I3" si="0">INT(F3*(1+G4))</f>
        <v>95</v>
      </c>
      <c r="H3" s="16">
        <f t="shared" si="0"/>
        <v>104</v>
      </c>
      <c r="I3" s="16">
        <f t="shared" si="0"/>
        <v>119</v>
      </c>
    </row>
    <row r="4" spans="2:9" ht="15.75" x14ac:dyDescent="0.25">
      <c r="B4" s="17" t="s">
        <v>61</v>
      </c>
      <c r="C4" s="8"/>
      <c r="D4" s="8"/>
      <c r="E4" s="14"/>
      <c r="F4" s="8"/>
      <c r="G4" s="8">
        <v>0.05</v>
      </c>
      <c r="H4" s="8">
        <v>0.1</v>
      </c>
      <c r="I4" s="8">
        <v>0.15</v>
      </c>
    </row>
    <row r="5" spans="2:9" x14ac:dyDescent="0.25">
      <c r="B5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9"/>
  <sheetViews>
    <sheetView showGridLines="0" workbookViewId="0">
      <selection activeCell="J16" sqref="J16"/>
    </sheetView>
  </sheetViews>
  <sheetFormatPr baseColWidth="10" defaultRowHeight="15" x14ac:dyDescent="0.25"/>
  <cols>
    <col min="2" max="2" width="19.85546875" customWidth="1"/>
    <col min="3" max="3" width="16.42578125" bestFit="1" customWidth="1"/>
    <col min="4" max="8" width="15" bestFit="1" customWidth="1"/>
    <col min="9" max="9" width="19.85546875" customWidth="1"/>
    <col min="10" max="10" width="18.28515625" customWidth="1"/>
  </cols>
  <sheetData>
    <row r="2" spans="2:10" ht="15.75" x14ac:dyDescent="0.25">
      <c r="B2" s="4" t="s">
        <v>62</v>
      </c>
      <c r="C2" s="6">
        <f>datos!B11</f>
        <v>32796960</v>
      </c>
      <c r="D2" s="3"/>
      <c r="E2" s="3"/>
      <c r="F2" s="3"/>
      <c r="G2" s="3"/>
      <c r="H2" s="3"/>
      <c r="I2" s="3"/>
      <c r="J2" s="3"/>
    </row>
    <row r="3" spans="2:10" ht="15.75" x14ac:dyDescent="0.25">
      <c r="B3" s="4" t="s">
        <v>63</v>
      </c>
      <c r="C3" s="33">
        <f>datos!B12</f>
        <v>0.38650000000000001</v>
      </c>
      <c r="D3" s="3"/>
      <c r="E3" s="3"/>
      <c r="F3" s="3"/>
      <c r="G3" s="3"/>
      <c r="H3" s="3"/>
      <c r="I3" s="3"/>
      <c r="J3" s="3"/>
    </row>
    <row r="4" spans="2:10" ht="15.75" x14ac:dyDescent="0.25">
      <c r="B4" s="4" t="s">
        <v>2</v>
      </c>
      <c r="C4" s="34">
        <v>6</v>
      </c>
      <c r="D4" s="3"/>
      <c r="E4" s="3"/>
      <c r="F4" s="3"/>
      <c r="G4" s="3"/>
      <c r="H4" s="3"/>
      <c r="I4" s="3"/>
      <c r="J4" s="3"/>
    </row>
    <row r="5" spans="2:10" ht="15.75" x14ac:dyDescent="0.25">
      <c r="B5" s="4" t="s">
        <v>21</v>
      </c>
      <c r="C5" s="4"/>
      <c r="D5" s="14">
        <v>0</v>
      </c>
      <c r="E5" s="14">
        <v>1</v>
      </c>
      <c r="F5" s="14">
        <v>2</v>
      </c>
      <c r="G5" s="14">
        <v>3</v>
      </c>
      <c r="H5" s="14">
        <v>4</v>
      </c>
      <c r="I5" s="14">
        <v>5</v>
      </c>
      <c r="J5" s="14">
        <v>6</v>
      </c>
    </row>
    <row r="6" spans="2:10" ht="15.75" x14ac:dyDescent="0.25">
      <c r="B6" s="4" t="s">
        <v>64</v>
      </c>
      <c r="C6" s="4"/>
      <c r="D6" s="4"/>
      <c r="E6" s="19">
        <f>+IPMT($C$3,E5,$C$4,-$C$2)</f>
        <v>12676025.040000001</v>
      </c>
      <c r="F6" s="19">
        <f t="shared" ref="F6:J6" si="0">+IPMT($C$3,F5,$C$4,-$C$2)</f>
        <v>11873425.138291487</v>
      </c>
      <c r="G6" s="19">
        <f t="shared" si="0"/>
        <v>10760620.374572637</v>
      </c>
      <c r="H6" s="19">
        <f t="shared" si="0"/>
        <v>9217716.5696764477</v>
      </c>
      <c r="I6" s="19">
        <f t="shared" si="0"/>
        <v>7078480.4441878852</v>
      </c>
      <c r="J6" s="19">
        <f t="shared" si="0"/>
        <v>4112429.5561979888</v>
      </c>
    </row>
    <row r="7" spans="2:10" ht="15.75" x14ac:dyDescent="0.25">
      <c r="B7" s="4" t="s">
        <v>65</v>
      </c>
      <c r="C7" s="4"/>
      <c r="D7" s="4"/>
      <c r="E7" s="19">
        <f>+PPMT($C$3,E5,$C$4,-$C$2)</f>
        <v>2076584.4804877408</v>
      </c>
      <c r="F7" s="19">
        <f t="shared" ref="F7:J7" si="1">+PPMT($C$3,F5,$C$4,-$C$2)</f>
        <v>2879184.3821962527</v>
      </c>
      <c r="G7" s="19">
        <f t="shared" si="1"/>
        <v>3991989.1459151045</v>
      </c>
      <c r="H7" s="19">
        <f t="shared" si="1"/>
        <v>5534892.950811292</v>
      </c>
      <c r="I7" s="19">
        <f t="shared" si="1"/>
        <v>7674129.0762998564</v>
      </c>
      <c r="J7" s="19">
        <f t="shared" si="1"/>
        <v>10640179.964289751</v>
      </c>
    </row>
    <row r="8" spans="2:10" ht="15.75" x14ac:dyDescent="0.25">
      <c r="B8" s="4" t="s">
        <v>66</v>
      </c>
      <c r="C8" s="4"/>
      <c r="D8" s="4"/>
      <c r="E8" s="19">
        <f>+E6+E7</f>
        <v>14752609.520487742</v>
      </c>
      <c r="F8" s="19">
        <f t="shared" ref="F8:J8" si="2">+F6+F7</f>
        <v>14752609.520487741</v>
      </c>
      <c r="G8" s="19">
        <f t="shared" si="2"/>
        <v>14752609.520487741</v>
      </c>
      <c r="H8" s="19">
        <f t="shared" si="2"/>
        <v>14752609.520487741</v>
      </c>
      <c r="I8" s="19">
        <f t="shared" si="2"/>
        <v>14752609.520487741</v>
      </c>
      <c r="J8" s="19">
        <f t="shared" si="2"/>
        <v>14752609.520487741</v>
      </c>
    </row>
    <row r="9" spans="2:10" ht="15.75" x14ac:dyDescent="0.25">
      <c r="B9" s="4" t="s">
        <v>67</v>
      </c>
      <c r="C9" s="4"/>
      <c r="D9" s="5">
        <f>+C2</f>
        <v>32796960</v>
      </c>
      <c r="E9" s="5">
        <f>+D9-E7</f>
        <v>30720375.519512258</v>
      </c>
      <c r="F9" s="5">
        <f t="shared" ref="F9:J9" si="3">+E9-F7</f>
        <v>27841191.137316007</v>
      </c>
      <c r="G9" s="5">
        <f t="shared" si="3"/>
        <v>23849201.991400901</v>
      </c>
      <c r="H9" s="5">
        <f t="shared" si="3"/>
        <v>18314309.040589608</v>
      </c>
      <c r="I9" s="5">
        <f t="shared" si="3"/>
        <v>10640179.964289751</v>
      </c>
      <c r="J9" s="5">
        <f t="shared" si="3"/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9"/>
  <sheetViews>
    <sheetView zoomScale="80" zoomScaleNormal="80" workbookViewId="0">
      <selection activeCell="G28" sqref="G28"/>
    </sheetView>
  </sheetViews>
  <sheetFormatPr baseColWidth="10" defaultColWidth="11.42578125" defaultRowHeight="15" x14ac:dyDescent="0.25"/>
  <cols>
    <col min="1" max="1" width="11.42578125" style="1"/>
    <col min="2" max="2" width="40.85546875" style="1" bestFit="1" customWidth="1"/>
    <col min="3" max="3" width="16.28515625" style="1" bestFit="1" customWidth="1"/>
    <col min="4" max="7" width="16" style="1" bestFit="1" customWidth="1"/>
    <col min="8" max="12" width="14.42578125" style="1" bestFit="1" customWidth="1"/>
    <col min="13" max="13" width="17.5703125" style="1" customWidth="1"/>
    <col min="14" max="16384" width="11.42578125" style="1"/>
  </cols>
  <sheetData>
    <row r="2" spans="2:9" ht="15.75" x14ac:dyDescent="0.25">
      <c r="B2" s="17" t="s">
        <v>13</v>
      </c>
      <c r="C2" s="14"/>
      <c r="D2" s="14"/>
      <c r="E2" s="14"/>
      <c r="F2" s="14"/>
      <c r="G2" s="14"/>
      <c r="H2" s="14"/>
      <c r="I2" s="14"/>
    </row>
    <row r="3" spans="2:9" ht="15.75" x14ac:dyDescent="0.25">
      <c r="B3" s="17" t="s">
        <v>21</v>
      </c>
      <c r="C3" s="14"/>
      <c r="D3" s="20">
        <v>0</v>
      </c>
      <c r="E3" s="20">
        <v>1</v>
      </c>
      <c r="F3" s="20">
        <v>2</v>
      </c>
      <c r="G3" s="20">
        <v>3</v>
      </c>
      <c r="H3" s="20">
        <v>4</v>
      </c>
      <c r="I3" s="20">
        <v>5</v>
      </c>
    </row>
    <row r="4" spans="2:9" ht="15.75" x14ac:dyDescent="0.25">
      <c r="B4" s="12" t="s">
        <v>22</v>
      </c>
      <c r="C4" s="22">
        <f>datos!B4</f>
        <v>9900000</v>
      </c>
      <c r="D4" s="14"/>
      <c r="E4" s="14"/>
      <c r="F4" s="14"/>
      <c r="G4" s="14"/>
      <c r="H4" s="14"/>
      <c r="I4" s="14"/>
    </row>
    <row r="5" spans="2:9" ht="15.75" x14ac:dyDescent="0.25">
      <c r="B5" s="12" t="s">
        <v>23</v>
      </c>
      <c r="C5" s="16">
        <f>[1]datos!B5</f>
        <v>10</v>
      </c>
      <c r="D5" s="14"/>
      <c r="E5" s="14"/>
      <c r="F5" s="14"/>
      <c r="G5" s="14"/>
      <c r="H5" s="14"/>
      <c r="I5" s="14"/>
    </row>
    <row r="6" spans="2:9" ht="15.75" x14ac:dyDescent="0.25">
      <c r="B6" s="17" t="s">
        <v>14</v>
      </c>
      <c r="C6" s="14">
        <v>0</v>
      </c>
      <c r="D6" s="14"/>
      <c r="E6" s="14"/>
      <c r="F6" s="14"/>
      <c r="G6" s="14"/>
      <c r="H6" s="14"/>
      <c r="I6" s="14"/>
    </row>
    <row r="7" spans="2:9" ht="15.75" x14ac:dyDescent="0.25">
      <c r="B7" s="17" t="s">
        <v>24</v>
      </c>
      <c r="C7" s="22">
        <f>+C4/C5</f>
        <v>990000</v>
      </c>
      <c r="D7" s="14"/>
      <c r="E7" s="14"/>
      <c r="F7" s="14"/>
      <c r="G7" s="14"/>
      <c r="H7" s="14"/>
      <c r="I7" s="14"/>
    </row>
    <row r="8" spans="2:9" ht="15.75" x14ac:dyDescent="0.25">
      <c r="B8" s="17" t="s">
        <v>25</v>
      </c>
      <c r="C8" s="14"/>
      <c r="D8" s="22"/>
      <c r="E8" s="22">
        <f>+$C$7</f>
        <v>990000</v>
      </c>
      <c r="F8" s="22">
        <f t="shared" ref="F8:I8" si="0">+$C$7</f>
        <v>990000</v>
      </c>
      <c r="G8" s="22">
        <f t="shared" si="0"/>
        <v>990000</v>
      </c>
      <c r="H8" s="22">
        <f t="shared" si="0"/>
        <v>990000</v>
      </c>
      <c r="I8" s="22">
        <f t="shared" si="0"/>
        <v>990000</v>
      </c>
    </row>
    <row r="9" spans="2:9" ht="15.75" x14ac:dyDescent="0.25">
      <c r="B9" s="17" t="s">
        <v>26</v>
      </c>
      <c r="C9" s="14"/>
      <c r="D9" s="22"/>
      <c r="E9" s="22">
        <f>E8</f>
        <v>990000</v>
      </c>
      <c r="F9" s="22">
        <f>E9+F8</f>
        <v>1980000</v>
      </c>
      <c r="G9" s="22">
        <f t="shared" ref="G9:I9" si="1">F9+G8</f>
        <v>2970000</v>
      </c>
      <c r="H9" s="22">
        <f t="shared" si="1"/>
        <v>3960000</v>
      </c>
      <c r="I9" s="22">
        <f t="shared" si="1"/>
        <v>4950000</v>
      </c>
    </row>
    <row r="10" spans="2:9" ht="15.75" x14ac:dyDescent="0.25">
      <c r="B10" s="17" t="s">
        <v>27</v>
      </c>
      <c r="C10" s="14"/>
      <c r="D10" s="22">
        <f>C4</f>
        <v>9900000</v>
      </c>
      <c r="E10" s="22">
        <f>D10-E8</f>
        <v>8910000</v>
      </c>
      <c r="F10" s="22">
        <f t="shared" ref="F10:I10" si="2">E10-F8</f>
        <v>7920000</v>
      </c>
      <c r="G10" s="22">
        <f t="shared" si="2"/>
        <v>6930000</v>
      </c>
      <c r="H10" s="22">
        <f t="shared" si="2"/>
        <v>5940000</v>
      </c>
      <c r="I10" s="22">
        <f t="shared" si="2"/>
        <v>4950000</v>
      </c>
    </row>
    <row r="11" spans="2:9" ht="15.75" x14ac:dyDescent="0.25">
      <c r="B11" s="12" t="s">
        <v>28</v>
      </c>
      <c r="C11" s="22">
        <f>datos!B5</f>
        <v>59400000</v>
      </c>
      <c r="D11" s="14"/>
      <c r="E11" s="14"/>
      <c r="F11" s="14"/>
      <c r="G11" s="14"/>
      <c r="H11" s="14"/>
      <c r="I11" s="14"/>
    </row>
    <row r="12" spans="2:9" ht="15.75" x14ac:dyDescent="0.25">
      <c r="B12" s="12" t="s">
        <v>29</v>
      </c>
      <c r="C12" s="16">
        <f>[1]datos!B6</f>
        <v>5</v>
      </c>
      <c r="D12" s="14"/>
      <c r="E12" s="14"/>
      <c r="F12" s="14"/>
      <c r="G12" s="14"/>
      <c r="H12" s="14"/>
      <c r="I12" s="14"/>
    </row>
    <row r="13" spans="2:9" ht="15.75" x14ac:dyDescent="0.25">
      <c r="B13" s="17" t="s">
        <v>14</v>
      </c>
      <c r="C13" s="14">
        <v>0</v>
      </c>
      <c r="D13" s="14"/>
      <c r="E13" s="14"/>
      <c r="F13" s="14"/>
      <c r="G13" s="14"/>
      <c r="H13" s="14"/>
      <c r="I13" s="14"/>
    </row>
    <row r="14" spans="2:9" ht="15.75" x14ac:dyDescent="0.25">
      <c r="B14" s="17" t="s">
        <v>24</v>
      </c>
      <c r="C14" s="22">
        <f>+C11/C12</f>
        <v>11880000</v>
      </c>
      <c r="D14" s="14"/>
      <c r="E14" s="14"/>
      <c r="F14" s="14"/>
      <c r="G14" s="14"/>
      <c r="H14" s="14"/>
      <c r="I14" s="14"/>
    </row>
    <row r="15" spans="2:9" ht="15.75" x14ac:dyDescent="0.25">
      <c r="B15" s="17" t="s">
        <v>25</v>
      </c>
      <c r="C15" s="14"/>
      <c r="D15" s="22"/>
      <c r="E15" s="22">
        <f>+$C$14</f>
        <v>11880000</v>
      </c>
      <c r="F15" s="22">
        <f t="shared" ref="F15:I15" si="3">+$C$14</f>
        <v>11880000</v>
      </c>
      <c r="G15" s="22">
        <f t="shared" si="3"/>
        <v>11880000</v>
      </c>
      <c r="H15" s="22">
        <f t="shared" si="3"/>
        <v>11880000</v>
      </c>
      <c r="I15" s="22">
        <f t="shared" si="3"/>
        <v>11880000</v>
      </c>
    </row>
    <row r="16" spans="2:9" ht="15.75" x14ac:dyDescent="0.25">
      <c r="B16" s="17" t="s">
        <v>26</v>
      </c>
      <c r="C16" s="14"/>
      <c r="D16" s="22"/>
      <c r="E16" s="22">
        <f>E15</f>
        <v>11880000</v>
      </c>
      <c r="F16" s="22">
        <f>E16+F15</f>
        <v>23760000</v>
      </c>
      <c r="G16" s="22">
        <f t="shared" ref="G16:I16" si="4">F16+G15</f>
        <v>35640000</v>
      </c>
      <c r="H16" s="22">
        <f t="shared" si="4"/>
        <v>47520000</v>
      </c>
      <c r="I16" s="22">
        <f t="shared" si="4"/>
        <v>59400000</v>
      </c>
    </row>
    <row r="17" spans="2:9" ht="15.75" x14ac:dyDescent="0.25">
      <c r="B17" s="17" t="s">
        <v>27</v>
      </c>
      <c r="C17" s="14"/>
      <c r="D17" s="22">
        <f>C11</f>
        <v>59400000</v>
      </c>
      <c r="E17" s="22">
        <f>D17-E15</f>
        <v>47520000</v>
      </c>
      <c r="F17" s="22">
        <f t="shared" ref="F17:I17" si="5">E17-F15</f>
        <v>35640000</v>
      </c>
      <c r="G17" s="22">
        <f t="shared" si="5"/>
        <v>23760000</v>
      </c>
      <c r="H17" s="22">
        <f t="shared" si="5"/>
        <v>11880000</v>
      </c>
      <c r="I17" s="22">
        <f t="shared" si="5"/>
        <v>0</v>
      </c>
    </row>
    <row r="18" spans="2:9" ht="15.75" x14ac:dyDescent="0.25">
      <c r="B18" s="17" t="s">
        <v>83</v>
      </c>
      <c r="C18" s="14"/>
      <c r="D18" s="23">
        <f>datos!$B$7</f>
        <v>12692400</v>
      </c>
      <c r="E18" s="23">
        <f>datos!$B$7</f>
        <v>12692400</v>
      </c>
      <c r="F18" s="23">
        <f>datos!$B$7</f>
        <v>12692400</v>
      </c>
      <c r="G18" s="23">
        <f>datos!$B$7</f>
        <v>12692400</v>
      </c>
      <c r="H18" s="23">
        <f>datos!$B$7</f>
        <v>12692400</v>
      </c>
      <c r="I18" s="23">
        <f>datos!$B$7</f>
        <v>12692400</v>
      </c>
    </row>
    <row r="19" spans="2:9" ht="15.75" x14ac:dyDescent="0.25">
      <c r="B19" s="17" t="s">
        <v>16</v>
      </c>
      <c r="C19" s="14"/>
      <c r="D19" s="22">
        <f>D10+D17+D18</f>
        <v>81992400</v>
      </c>
      <c r="E19" s="22">
        <f t="shared" ref="E19:I19" si="6">E10+E17+E18</f>
        <v>69122400</v>
      </c>
      <c r="F19" s="22">
        <f t="shared" si="6"/>
        <v>56252400</v>
      </c>
      <c r="G19" s="22">
        <f t="shared" si="6"/>
        <v>43382400</v>
      </c>
      <c r="H19" s="22">
        <f t="shared" si="6"/>
        <v>30512400</v>
      </c>
      <c r="I19" s="22">
        <f t="shared" si="6"/>
        <v>17642400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4"/>
  <sheetViews>
    <sheetView showGridLines="0" topLeftCell="A14" zoomScale="90" zoomScaleNormal="90" workbookViewId="0">
      <selection activeCell="E38" sqref="E38"/>
    </sheetView>
  </sheetViews>
  <sheetFormatPr baseColWidth="10" defaultColWidth="11.42578125" defaultRowHeight="15" x14ac:dyDescent="0.25"/>
  <cols>
    <col min="1" max="1" width="11.42578125" style="1"/>
    <col min="2" max="2" width="32" style="1" bestFit="1" customWidth="1"/>
    <col min="3" max="4" width="14" style="1" customWidth="1"/>
    <col min="5" max="5" width="16.28515625" style="1" customWidth="1"/>
    <col min="6" max="6" width="18.85546875" style="1" customWidth="1"/>
    <col min="7" max="7" width="17.140625" style="1" customWidth="1"/>
    <col min="8" max="8" width="16.7109375" style="1" customWidth="1"/>
    <col min="9" max="9" width="18.5703125" style="1" customWidth="1"/>
    <col min="10" max="16384" width="11.42578125" style="1"/>
  </cols>
  <sheetData>
    <row r="2" spans="2:9" ht="15.75" x14ac:dyDescent="0.25">
      <c r="B2" s="17" t="s">
        <v>82</v>
      </c>
      <c r="C2" s="14"/>
      <c r="D2" s="14">
        <v>0</v>
      </c>
      <c r="E2" s="14">
        <v>1</v>
      </c>
      <c r="F2" s="14">
        <v>2</v>
      </c>
      <c r="G2" s="14">
        <v>3</v>
      </c>
      <c r="H2" s="14">
        <v>4</v>
      </c>
      <c r="I2" s="14">
        <v>5</v>
      </c>
    </row>
    <row r="3" spans="2:9" ht="15.75" x14ac:dyDescent="0.25">
      <c r="B3" s="17" t="s">
        <v>30</v>
      </c>
      <c r="C3" s="14"/>
      <c r="D3" s="14"/>
      <c r="E3" s="16">
        <f>pronostico!E3</f>
        <v>91</v>
      </c>
      <c r="F3" s="16">
        <f>pronostico!F3</f>
        <v>91</v>
      </c>
      <c r="G3" s="16">
        <f>pronostico!G3</f>
        <v>95</v>
      </c>
      <c r="H3" s="16">
        <f>pronostico!H3</f>
        <v>104</v>
      </c>
      <c r="I3" s="16">
        <f>pronostico!I3</f>
        <v>119</v>
      </c>
    </row>
    <row r="4" spans="2:9" ht="15.75" x14ac:dyDescent="0.25">
      <c r="B4" s="17" t="s">
        <v>31</v>
      </c>
      <c r="C4" s="24">
        <f>datos!B14</f>
        <v>5991555.5555555597</v>
      </c>
      <c r="D4" s="24"/>
      <c r="E4" s="24">
        <f>$C$4</f>
        <v>5991555.5555555597</v>
      </c>
      <c r="F4" s="24">
        <f>$C$4</f>
        <v>5991555.5555555597</v>
      </c>
      <c r="G4" s="24">
        <f t="shared" ref="G4:I4" si="0">$C$4</f>
        <v>5991555.5555555597</v>
      </c>
      <c r="H4" s="24">
        <f t="shared" si="0"/>
        <v>5991555.5555555597</v>
      </c>
      <c r="I4" s="24">
        <f t="shared" si="0"/>
        <v>5991555.5555555597</v>
      </c>
    </row>
    <row r="5" spans="2:9" ht="15.75" x14ac:dyDescent="0.25">
      <c r="B5" s="17" t="s">
        <v>32</v>
      </c>
      <c r="C5" s="14"/>
      <c r="D5" s="14"/>
      <c r="E5" s="24">
        <f>E3*E4</f>
        <v>545231555.55555594</v>
      </c>
      <c r="F5" s="24">
        <f>F3*F4</f>
        <v>545231555.55555594</v>
      </c>
      <c r="G5" s="24">
        <f>G3*G4</f>
        <v>569197777.77777815</v>
      </c>
      <c r="H5" s="24">
        <f>H3*H4</f>
        <v>623121777.77777815</v>
      </c>
      <c r="I5" s="24">
        <f>I3*I4</f>
        <v>712995111.11111164</v>
      </c>
    </row>
    <row r="6" spans="2:9" ht="15.75" x14ac:dyDescent="0.25">
      <c r="B6" s="17" t="s">
        <v>33</v>
      </c>
      <c r="C6" s="24"/>
      <c r="D6" s="24"/>
      <c r="E6" s="24">
        <f>Nomina!D26</f>
        <v>432096583.19999999</v>
      </c>
      <c r="F6" s="24">
        <f>Nomina!E26</f>
        <v>475306241.51999998</v>
      </c>
      <c r="G6" s="24">
        <f>Nomina!F26</f>
        <v>522836865.67199999</v>
      </c>
      <c r="H6" s="24">
        <f>Nomina!G26</f>
        <v>575120552.2392</v>
      </c>
      <c r="I6" s="24">
        <f>Nomina!H26</f>
        <v>632632607.46311998</v>
      </c>
    </row>
    <row r="7" spans="2:9" ht="15.75" x14ac:dyDescent="0.25">
      <c r="B7" s="17" t="s">
        <v>59</v>
      </c>
      <c r="C7" s="24">
        <f>datos!B16</f>
        <v>10560000</v>
      </c>
      <c r="D7" s="24"/>
      <c r="E7" s="22">
        <f>$C$7</f>
        <v>10560000</v>
      </c>
      <c r="F7" s="22">
        <f t="shared" ref="F7:I7" si="1">$C$7</f>
        <v>10560000</v>
      </c>
      <c r="G7" s="22">
        <f t="shared" si="1"/>
        <v>10560000</v>
      </c>
      <c r="H7" s="22">
        <f t="shared" si="1"/>
        <v>10560000</v>
      </c>
      <c r="I7" s="22">
        <f t="shared" si="1"/>
        <v>10560000</v>
      </c>
    </row>
    <row r="8" spans="2:9" ht="15.75" x14ac:dyDescent="0.25">
      <c r="B8" s="17" t="s">
        <v>34</v>
      </c>
      <c r="C8" s="24">
        <f>datos!B17</f>
        <v>13200000</v>
      </c>
      <c r="D8" s="24"/>
      <c r="E8" s="22">
        <f>$C$8</f>
        <v>13200000</v>
      </c>
      <c r="F8" s="22">
        <f>$C$8</f>
        <v>13200000</v>
      </c>
      <c r="G8" s="22">
        <f t="shared" ref="G8:I8" si="2">$C$8</f>
        <v>13200000</v>
      </c>
      <c r="H8" s="22">
        <f t="shared" si="2"/>
        <v>13200000</v>
      </c>
      <c r="I8" s="22">
        <f t="shared" si="2"/>
        <v>13200000</v>
      </c>
    </row>
    <row r="9" spans="2:9" ht="15.75" x14ac:dyDescent="0.25">
      <c r="B9" s="17" t="s">
        <v>3</v>
      </c>
      <c r="C9" s="8"/>
      <c r="D9" s="8"/>
      <c r="E9" s="22">
        <f>SUM(E6:E8)</f>
        <v>455856583.19999999</v>
      </c>
      <c r="F9" s="22">
        <f>SUM(F6:F8)</f>
        <v>499066241.51999998</v>
      </c>
      <c r="G9" s="22">
        <f t="shared" ref="G9:I9" si="3">SUM(G6:G8)</f>
        <v>546596865.67199993</v>
      </c>
      <c r="H9" s="22">
        <f t="shared" si="3"/>
        <v>598880552.2392</v>
      </c>
      <c r="I9" s="22">
        <f t="shared" si="3"/>
        <v>656392607.46311998</v>
      </c>
    </row>
    <row r="10" spans="2:9" ht="15.75" x14ac:dyDescent="0.25">
      <c r="B10" s="17" t="s">
        <v>35</v>
      </c>
      <c r="C10" s="8"/>
      <c r="D10" s="8"/>
      <c r="E10" s="22">
        <f>+credito!E6</f>
        <v>12676025.040000001</v>
      </c>
      <c r="F10" s="22">
        <f>+credito!F6</f>
        <v>11873425.138291487</v>
      </c>
      <c r="G10" s="22">
        <f>+credito!G6</f>
        <v>10760620.374572637</v>
      </c>
      <c r="H10" s="22">
        <f>+credito!H6</f>
        <v>9217716.5696764477</v>
      </c>
      <c r="I10" s="22">
        <f>+credito!I6</f>
        <v>7078480.4441878852</v>
      </c>
    </row>
    <row r="11" spans="2:9" ht="15.75" x14ac:dyDescent="0.25">
      <c r="B11" s="17" t="s">
        <v>81</v>
      </c>
      <c r="C11" s="23">
        <f>datos!B20</f>
        <v>6000000</v>
      </c>
      <c r="D11" s="23"/>
      <c r="E11" s="22">
        <f>$C$11</f>
        <v>6000000</v>
      </c>
      <c r="F11" s="22">
        <f t="shared" ref="F11:I11" si="4">$C$11</f>
        <v>6000000</v>
      </c>
      <c r="G11" s="22">
        <f t="shared" si="4"/>
        <v>6000000</v>
      </c>
      <c r="H11" s="22">
        <f t="shared" si="4"/>
        <v>6000000</v>
      </c>
      <c r="I11" s="22">
        <f t="shared" si="4"/>
        <v>6000000</v>
      </c>
    </row>
    <row r="12" spans="2:9" ht="15.75" x14ac:dyDescent="0.25">
      <c r="B12" s="17" t="s">
        <v>36</v>
      </c>
      <c r="C12" s="14"/>
      <c r="D12" s="14"/>
      <c r="E12" s="23">
        <f>activos!E8+activos!E15</f>
        <v>12870000</v>
      </c>
      <c r="F12" s="23">
        <f>activos!F8+activos!F15</f>
        <v>12870000</v>
      </c>
      <c r="G12" s="23">
        <f>activos!G8+activos!G15</f>
        <v>12870000</v>
      </c>
      <c r="H12" s="23">
        <f>activos!H8+activos!H15</f>
        <v>12870000</v>
      </c>
      <c r="I12" s="23">
        <f>activos!I8+activos!I15</f>
        <v>12870000</v>
      </c>
    </row>
    <row r="13" spans="2:9" ht="15.75" x14ac:dyDescent="0.25">
      <c r="B13" s="17" t="s">
        <v>37</v>
      </c>
      <c r="C13" s="14"/>
      <c r="D13" s="14"/>
      <c r="E13" s="22">
        <f>E9+E10+E12+E11</f>
        <v>487402608.24000001</v>
      </c>
      <c r="F13" s="22">
        <f t="shared" ref="F13:I13" si="5">F9+F10+F12+F11</f>
        <v>529809666.65829146</v>
      </c>
      <c r="G13" s="22">
        <f t="shared" si="5"/>
        <v>576227486.04657257</v>
      </c>
      <c r="H13" s="22">
        <f t="shared" si="5"/>
        <v>626968268.8088764</v>
      </c>
      <c r="I13" s="22">
        <f t="shared" si="5"/>
        <v>682341087.90730786</v>
      </c>
    </row>
    <row r="14" spans="2:9" ht="15.75" x14ac:dyDescent="0.25">
      <c r="B14" s="17" t="s">
        <v>38</v>
      </c>
      <c r="C14" s="14"/>
      <c r="D14" s="14"/>
      <c r="E14" s="22">
        <f>E5-E13</f>
        <v>57828947.31555593</v>
      </c>
      <c r="F14" s="22">
        <f>F5-F13</f>
        <v>15421888.897264481</v>
      </c>
      <c r="G14" s="22">
        <f>G5-G13</f>
        <v>-7029708.2687944174</v>
      </c>
      <c r="H14" s="22">
        <f>H5-H13</f>
        <v>-3846491.0310982466</v>
      </c>
      <c r="I14" s="22">
        <f>I5-I13</f>
        <v>30654023.203803778</v>
      </c>
    </row>
    <row r="15" spans="2:9" ht="15.75" x14ac:dyDescent="0.25">
      <c r="B15" s="17" t="s">
        <v>39</v>
      </c>
      <c r="C15" s="8">
        <f>datos!B24</f>
        <v>0.35</v>
      </c>
      <c r="D15" s="8"/>
      <c r="E15" s="22">
        <f>$C$15*E14</f>
        <v>20240131.560444575</v>
      </c>
      <c r="F15" s="22">
        <f>$C$15*F14</f>
        <v>5397661.114042568</v>
      </c>
      <c r="G15" s="22">
        <f>$C$15*G14</f>
        <v>-2460397.8940780461</v>
      </c>
      <c r="H15" s="22">
        <f>$C$15*H14</f>
        <v>-1346271.8608843861</v>
      </c>
      <c r="I15" s="22">
        <f>$C$15*I14</f>
        <v>10728908.121331321</v>
      </c>
    </row>
    <row r="16" spans="2:9" ht="15.75" x14ac:dyDescent="0.25">
      <c r="B16" s="17" t="s">
        <v>40</v>
      </c>
      <c r="C16" s="14"/>
      <c r="D16" s="14"/>
      <c r="E16" s="22">
        <f>+E14-E15</f>
        <v>37588815.755111352</v>
      </c>
      <c r="F16" s="22">
        <f>+F14-F15</f>
        <v>10024227.783221912</v>
      </c>
      <c r="G16" s="22">
        <f>+G14-G15</f>
        <v>-4569310.3747163713</v>
      </c>
      <c r="H16" s="22">
        <f>+H14-H15</f>
        <v>-2500219.1702138605</v>
      </c>
      <c r="I16" s="22">
        <f>+I14-I15</f>
        <v>19925115.082472458</v>
      </c>
    </row>
    <row r="17" spans="2:9" ht="15.75" x14ac:dyDescent="0.25">
      <c r="B17" s="38"/>
      <c r="C17" s="15"/>
      <c r="D17" s="15"/>
      <c r="E17" s="39"/>
      <c r="F17" s="39"/>
      <c r="G17" s="39"/>
      <c r="H17" s="39"/>
      <c r="I17" s="39"/>
    </row>
    <row r="18" spans="2:9" ht="15.75" customHeight="1" x14ac:dyDescent="0.25">
      <c r="B18" s="156" t="s">
        <v>150</v>
      </c>
      <c r="C18" s="142"/>
      <c r="D18" s="142"/>
      <c r="E18" s="142"/>
      <c r="F18" s="142"/>
      <c r="G18" s="142"/>
      <c r="H18" s="142"/>
      <c r="I18" s="143"/>
    </row>
    <row r="19" spans="2:9" ht="15.75" x14ac:dyDescent="0.25">
      <c r="B19" s="17" t="s">
        <v>82</v>
      </c>
      <c r="C19" s="14"/>
      <c r="D19" s="14">
        <v>0</v>
      </c>
      <c r="E19" s="14">
        <v>1</v>
      </c>
      <c r="F19" s="14">
        <v>2</v>
      </c>
      <c r="G19" s="14">
        <v>3</v>
      </c>
      <c r="H19" s="14">
        <v>4</v>
      </c>
      <c r="I19" s="14">
        <v>5</v>
      </c>
    </row>
    <row r="20" spans="2:9" ht="15.75" x14ac:dyDescent="0.25">
      <c r="B20" s="17" t="s">
        <v>30</v>
      </c>
      <c r="C20" s="14"/>
      <c r="D20" s="14"/>
      <c r="E20" s="16">
        <f>E3</f>
        <v>91</v>
      </c>
      <c r="F20" s="16">
        <f t="shared" ref="F20:I20" si="6">F3</f>
        <v>91</v>
      </c>
      <c r="G20" s="16">
        <f>G3</f>
        <v>95</v>
      </c>
      <c r="H20" s="16">
        <f t="shared" si="6"/>
        <v>104</v>
      </c>
      <c r="I20" s="16">
        <f t="shared" si="6"/>
        <v>119</v>
      </c>
    </row>
    <row r="21" spans="2:9" ht="15.75" x14ac:dyDescent="0.25">
      <c r="B21" s="17" t="s">
        <v>31</v>
      </c>
      <c r="C21" s="24">
        <f>C4</f>
        <v>5991555.5555555597</v>
      </c>
      <c r="D21" s="24"/>
      <c r="E21" s="24">
        <f>$C$4</f>
        <v>5991555.5555555597</v>
      </c>
      <c r="F21" s="24">
        <f>$C$4</f>
        <v>5991555.5555555597</v>
      </c>
      <c r="G21" s="24">
        <f t="shared" ref="G21:I21" si="7">$C$4</f>
        <v>5991555.5555555597</v>
      </c>
      <c r="H21" s="24">
        <f t="shared" si="7"/>
        <v>5991555.5555555597</v>
      </c>
      <c r="I21" s="24">
        <f t="shared" si="7"/>
        <v>5991555.5555555597</v>
      </c>
    </row>
    <row r="22" spans="2:9" ht="15.75" x14ac:dyDescent="0.25">
      <c r="B22" s="17" t="s">
        <v>32</v>
      </c>
      <c r="C22" s="14"/>
      <c r="D22" s="14"/>
      <c r="E22" s="24">
        <f>E20*E21</f>
        <v>545231555.55555594</v>
      </c>
      <c r="F22" s="24">
        <f>F20*F21</f>
        <v>545231555.55555594</v>
      </c>
      <c r="G22" s="24">
        <f>G20*G21</f>
        <v>569197777.77777815</v>
      </c>
      <c r="H22" s="24">
        <f>H20*H21</f>
        <v>623121777.77777815</v>
      </c>
      <c r="I22" s="24">
        <f>I20*I21</f>
        <v>712995111.11111164</v>
      </c>
    </row>
    <row r="25" spans="2:9" x14ac:dyDescent="0.25">
      <c r="B25" s="157" t="s">
        <v>151</v>
      </c>
      <c r="C25" s="157"/>
      <c r="D25" s="157"/>
      <c r="E25" s="157"/>
      <c r="F25" s="157"/>
      <c r="G25" s="157"/>
      <c r="H25" s="157"/>
      <c r="I25" s="157"/>
    </row>
    <row r="26" spans="2:9" ht="15.75" x14ac:dyDescent="0.25">
      <c r="B26" s="17" t="s">
        <v>82</v>
      </c>
      <c r="C26" s="14"/>
      <c r="D26" s="14">
        <v>0</v>
      </c>
      <c r="E26" s="14">
        <v>1</v>
      </c>
      <c r="F26" s="14">
        <v>2</v>
      </c>
      <c r="G26" s="14">
        <v>3</v>
      </c>
      <c r="H26" s="14">
        <v>4</v>
      </c>
      <c r="I26" s="14">
        <v>5</v>
      </c>
    </row>
    <row r="27" spans="2:9" ht="15.75" x14ac:dyDescent="0.25">
      <c r="B27" s="17" t="s">
        <v>33</v>
      </c>
      <c r="C27" s="24"/>
      <c r="D27" s="24"/>
      <c r="E27" s="24">
        <f>E6</f>
        <v>432096583.19999999</v>
      </c>
      <c r="F27" s="24">
        <f t="shared" ref="F27:I27" si="8">F6</f>
        <v>475306241.51999998</v>
      </c>
      <c r="G27" s="24">
        <f t="shared" si="8"/>
        <v>522836865.67199999</v>
      </c>
      <c r="H27" s="24">
        <f t="shared" si="8"/>
        <v>575120552.2392</v>
      </c>
      <c r="I27" s="24">
        <f t="shared" si="8"/>
        <v>632632607.46311998</v>
      </c>
    </row>
    <row r="28" spans="2:9" ht="15.75" x14ac:dyDescent="0.25">
      <c r="B28" s="17" t="s">
        <v>59</v>
      </c>
      <c r="C28" s="24">
        <f>C7</f>
        <v>10560000</v>
      </c>
      <c r="D28" s="24"/>
      <c r="E28" s="24">
        <f t="shared" ref="E28:I28" si="9">E7</f>
        <v>10560000</v>
      </c>
      <c r="F28" s="24">
        <f t="shared" si="9"/>
        <v>10560000</v>
      </c>
      <c r="G28" s="24">
        <f t="shared" si="9"/>
        <v>10560000</v>
      </c>
      <c r="H28" s="24">
        <f t="shared" si="9"/>
        <v>10560000</v>
      </c>
      <c r="I28" s="24">
        <f t="shared" si="9"/>
        <v>10560000</v>
      </c>
    </row>
    <row r="29" spans="2:9" ht="15.75" x14ac:dyDescent="0.25">
      <c r="B29" s="17" t="s">
        <v>34</v>
      </c>
      <c r="C29" s="24">
        <f>C8</f>
        <v>13200000</v>
      </c>
      <c r="D29" s="24"/>
      <c r="E29" s="24">
        <f t="shared" ref="E29:I29" si="10">E8</f>
        <v>13200000</v>
      </c>
      <c r="F29" s="24">
        <f t="shared" si="10"/>
        <v>13200000</v>
      </c>
      <c r="G29" s="24">
        <f t="shared" si="10"/>
        <v>13200000</v>
      </c>
      <c r="H29" s="24">
        <f t="shared" si="10"/>
        <v>13200000</v>
      </c>
      <c r="I29" s="24">
        <f t="shared" si="10"/>
        <v>13200000</v>
      </c>
    </row>
    <row r="30" spans="2:9" ht="15.75" x14ac:dyDescent="0.25">
      <c r="B30" s="17" t="s">
        <v>3</v>
      </c>
      <c r="C30" s="8"/>
      <c r="D30" s="8"/>
      <c r="E30" s="24">
        <f t="shared" ref="E30:I30" si="11">E9</f>
        <v>455856583.19999999</v>
      </c>
      <c r="F30" s="24">
        <f t="shared" si="11"/>
        <v>499066241.51999998</v>
      </c>
      <c r="G30" s="24">
        <f t="shared" si="11"/>
        <v>546596865.67199993</v>
      </c>
      <c r="H30" s="24">
        <f t="shared" si="11"/>
        <v>598880552.2392</v>
      </c>
      <c r="I30" s="24">
        <f t="shared" si="11"/>
        <v>656392607.46311998</v>
      </c>
    </row>
    <row r="31" spans="2:9" ht="15.75" x14ac:dyDescent="0.25">
      <c r="B31" s="17" t="s">
        <v>35</v>
      </c>
      <c r="C31" s="8"/>
      <c r="D31" s="8"/>
      <c r="E31" s="24">
        <f t="shared" ref="E31:I31" si="12">E10</f>
        <v>12676025.040000001</v>
      </c>
      <c r="F31" s="24">
        <f t="shared" si="12"/>
        <v>11873425.138291487</v>
      </c>
      <c r="G31" s="24">
        <f t="shared" si="12"/>
        <v>10760620.374572637</v>
      </c>
      <c r="H31" s="24">
        <f t="shared" si="12"/>
        <v>9217716.5696764477</v>
      </c>
      <c r="I31" s="24">
        <f t="shared" si="12"/>
        <v>7078480.4441878852</v>
      </c>
    </row>
    <row r="32" spans="2:9" ht="15.75" x14ac:dyDescent="0.25">
      <c r="B32" s="17" t="s">
        <v>81</v>
      </c>
      <c r="C32" s="23">
        <f>C11</f>
        <v>6000000</v>
      </c>
      <c r="D32" s="23"/>
      <c r="E32" s="24">
        <f t="shared" ref="E32:I32" si="13">E11</f>
        <v>6000000</v>
      </c>
      <c r="F32" s="24">
        <f t="shared" si="13"/>
        <v>6000000</v>
      </c>
      <c r="G32" s="24">
        <f t="shared" si="13"/>
        <v>6000000</v>
      </c>
      <c r="H32" s="24">
        <f t="shared" si="13"/>
        <v>6000000</v>
      </c>
      <c r="I32" s="24">
        <f t="shared" si="13"/>
        <v>6000000</v>
      </c>
    </row>
    <row r="33" spans="2:9" ht="15.75" x14ac:dyDescent="0.25">
      <c r="B33" s="17" t="s">
        <v>36</v>
      </c>
      <c r="C33" s="14"/>
      <c r="D33" s="14"/>
      <c r="E33" s="24">
        <f t="shared" ref="E33:I33" si="14">E12</f>
        <v>12870000</v>
      </c>
      <c r="F33" s="24">
        <f t="shared" si="14"/>
        <v>12870000</v>
      </c>
      <c r="G33" s="24">
        <f t="shared" si="14"/>
        <v>12870000</v>
      </c>
      <c r="H33" s="24">
        <f t="shared" si="14"/>
        <v>12870000</v>
      </c>
      <c r="I33" s="24">
        <f t="shared" si="14"/>
        <v>12870000</v>
      </c>
    </row>
    <row r="34" spans="2:9" ht="15.75" x14ac:dyDescent="0.25">
      <c r="B34" s="17" t="s">
        <v>37</v>
      </c>
      <c r="C34" s="14"/>
      <c r="D34" s="14"/>
      <c r="E34" s="24">
        <f t="shared" ref="E34:I34" si="15">E13</f>
        <v>487402608.24000001</v>
      </c>
      <c r="F34" s="24">
        <f t="shared" si="15"/>
        <v>529809666.65829146</v>
      </c>
      <c r="G34" s="24">
        <f t="shared" si="15"/>
        <v>576227486.04657257</v>
      </c>
      <c r="H34" s="24">
        <f t="shared" si="15"/>
        <v>626968268.8088764</v>
      </c>
      <c r="I34" s="24">
        <f t="shared" si="15"/>
        <v>682341087.90730786</v>
      </c>
    </row>
  </sheetData>
  <mergeCells count="2">
    <mergeCell ref="B18:I18"/>
    <mergeCell ref="B25:I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I26"/>
  <sheetViews>
    <sheetView workbookViewId="0">
      <selection activeCell="K14" sqref="K14"/>
    </sheetView>
  </sheetViews>
  <sheetFormatPr baseColWidth="10" defaultColWidth="11.42578125" defaultRowHeight="15" x14ac:dyDescent="0.25"/>
  <cols>
    <col min="1" max="1" width="11.42578125" style="1"/>
    <col min="2" max="2" width="44.28515625" style="1" customWidth="1"/>
    <col min="3" max="3" width="13.7109375" style="1" bestFit="1" customWidth="1"/>
    <col min="4" max="4" width="12.85546875" style="1" bestFit="1" customWidth="1"/>
    <col min="5" max="5" width="14.5703125" style="1" customWidth="1"/>
    <col min="6" max="6" width="15.85546875" style="1" customWidth="1"/>
    <col min="7" max="7" width="15.5703125" style="1" customWidth="1"/>
    <col min="8" max="9" width="13.7109375" style="1" bestFit="1" customWidth="1"/>
    <col min="10" max="16384" width="11.42578125" style="1"/>
  </cols>
  <sheetData>
    <row r="3" spans="2:9" x14ac:dyDescent="0.25">
      <c r="B3" s="35" t="s">
        <v>82</v>
      </c>
      <c r="C3" s="25">
        <v>0</v>
      </c>
      <c r="D3" s="25">
        <v>1</v>
      </c>
      <c r="E3" s="25">
        <v>2</v>
      </c>
      <c r="F3" s="25">
        <v>3</v>
      </c>
      <c r="G3" s="25">
        <v>4</v>
      </c>
      <c r="H3" s="25">
        <v>5</v>
      </c>
      <c r="I3" s="25">
        <v>6</v>
      </c>
    </row>
    <row r="4" spans="2:9" x14ac:dyDescent="0.25">
      <c r="B4" s="35" t="s">
        <v>68</v>
      </c>
      <c r="C4" s="25"/>
      <c r="D4" s="26">
        <f>eresult!E5</f>
        <v>545231555.55555594</v>
      </c>
      <c r="E4" s="26">
        <f>eresult!F5</f>
        <v>545231555.55555594</v>
      </c>
      <c r="F4" s="26">
        <f>eresult!G5</f>
        <v>569197777.77777815</v>
      </c>
      <c r="G4" s="26">
        <f>eresult!H5</f>
        <v>623121777.77777815</v>
      </c>
      <c r="H4" s="26">
        <f>eresult!I5</f>
        <v>712995111.11111164</v>
      </c>
      <c r="I4" s="26"/>
    </row>
    <row r="5" spans="2:9" x14ac:dyDescent="0.25">
      <c r="B5" s="35" t="s">
        <v>69</v>
      </c>
      <c r="C5" s="25"/>
      <c r="D5" s="26">
        <f>D4</f>
        <v>545231555.55555594</v>
      </c>
      <c r="E5" s="26">
        <f t="shared" ref="E5:I5" si="0">E4</f>
        <v>545231555.55555594</v>
      </c>
      <c r="F5" s="26">
        <f t="shared" si="0"/>
        <v>569197777.77777815</v>
      </c>
      <c r="G5" s="26">
        <f t="shared" si="0"/>
        <v>623121777.77777815</v>
      </c>
      <c r="H5" s="26">
        <f t="shared" si="0"/>
        <v>712995111.11111164</v>
      </c>
      <c r="I5" s="26">
        <f t="shared" si="0"/>
        <v>0</v>
      </c>
    </row>
    <row r="6" spans="2:9" x14ac:dyDescent="0.25">
      <c r="B6" s="35" t="s">
        <v>70</v>
      </c>
      <c r="C6" s="25"/>
      <c r="D6" s="27">
        <f>eresult!E9</f>
        <v>455856583.19999999</v>
      </c>
      <c r="E6" s="27">
        <f>eresult!F9</f>
        <v>499066241.51999998</v>
      </c>
      <c r="F6" s="27">
        <f>eresult!G9</f>
        <v>546596865.67199993</v>
      </c>
      <c r="G6" s="27">
        <f>eresult!H9</f>
        <v>598880552.2392</v>
      </c>
      <c r="H6" s="27">
        <f>eresult!I9</f>
        <v>656392607.46311998</v>
      </c>
      <c r="I6" s="27"/>
    </row>
    <row r="7" spans="2:9" x14ac:dyDescent="0.25">
      <c r="B7" s="35" t="s">
        <v>35</v>
      </c>
      <c r="C7" s="25"/>
      <c r="D7" s="27">
        <f>+credito!E6</f>
        <v>12676025.040000001</v>
      </c>
      <c r="E7" s="27">
        <f>+credito!F6</f>
        <v>11873425.138291487</v>
      </c>
      <c r="F7" s="27">
        <f>+credito!G6</f>
        <v>10760620.374572637</v>
      </c>
      <c r="G7" s="27">
        <f>+credito!H6</f>
        <v>9217716.5696764477</v>
      </c>
      <c r="H7" s="27">
        <f>+credito!I6</f>
        <v>7078480.4441878852</v>
      </c>
      <c r="I7" s="27">
        <f>+credito!J6</f>
        <v>4112429.5561979888</v>
      </c>
    </row>
    <row r="8" spans="2:9" x14ac:dyDescent="0.25">
      <c r="B8" s="35" t="s">
        <v>81</v>
      </c>
      <c r="C8" s="25"/>
      <c r="D8" s="27">
        <f>eresult!E11</f>
        <v>6000000</v>
      </c>
      <c r="E8" s="27">
        <f>eresult!F11</f>
        <v>6000000</v>
      </c>
      <c r="F8" s="27">
        <f>eresult!G11</f>
        <v>6000000</v>
      </c>
      <c r="G8" s="27">
        <f>eresult!H11</f>
        <v>6000000</v>
      </c>
      <c r="H8" s="27">
        <f>eresult!I11</f>
        <v>6000000</v>
      </c>
      <c r="I8" s="27">
        <f>eresult!J11</f>
        <v>0</v>
      </c>
    </row>
    <row r="9" spans="2:9" x14ac:dyDescent="0.25">
      <c r="B9" s="35" t="s">
        <v>71</v>
      </c>
      <c r="C9" s="25"/>
      <c r="D9" s="27">
        <f>credito!E7</f>
        <v>2076584.4804877408</v>
      </c>
      <c r="E9" s="27">
        <f>credito!F7</f>
        <v>2879184.3821962527</v>
      </c>
      <c r="F9" s="27">
        <f>credito!G7</f>
        <v>3991989.1459151045</v>
      </c>
      <c r="G9" s="27">
        <f>credito!H7</f>
        <v>5534892.950811292</v>
      </c>
      <c r="H9" s="27">
        <f>credito!I7</f>
        <v>7674129.0762998564</v>
      </c>
      <c r="I9" s="27">
        <f>credito!J7</f>
        <v>10640179.964289751</v>
      </c>
    </row>
    <row r="10" spans="2:9" x14ac:dyDescent="0.25">
      <c r="B10" s="35" t="s">
        <v>44</v>
      </c>
      <c r="C10" s="25"/>
      <c r="D10" s="27"/>
      <c r="E10" s="27">
        <f>eresult!E15</f>
        <v>20240131.560444575</v>
      </c>
      <c r="F10" s="27">
        <f>eresult!F15</f>
        <v>5397661.114042568</v>
      </c>
      <c r="G10" s="27">
        <f>eresult!G15</f>
        <v>-2460397.8940780461</v>
      </c>
      <c r="H10" s="27">
        <f>eresult!H15</f>
        <v>-1346271.8608843861</v>
      </c>
      <c r="I10" s="27">
        <f>eresult!I15</f>
        <v>10728908.121331321</v>
      </c>
    </row>
    <row r="11" spans="2:9" x14ac:dyDescent="0.25">
      <c r="B11" s="35" t="s">
        <v>72</v>
      </c>
      <c r="C11" s="25"/>
      <c r="D11" s="27">
        <f>D6+D7+D9+D10+D8</f>
        <v>476609192.72048777</v>
      </c>
      <c r="E11" s="27">
        <f t="shared" ref="E11:I11" si="1">E6+E7+E9+E10+E8</f>
        <v>540058982.60093236</v>
      </c>
      <c r="F11" s="27">
        <f t="shared" si="1"/>
        <v>572747136.30653024</v>
      </c>
      <c r="G11" s="27">
        <f t="shared" si="1"/>
        <v>617172763.86560965</v>
      </c>
      <c r="H11" s="27">
        <f t="shared" si="1"/>
        <v>675798945.12272334</v>
      </c>
      <c r="I11" s="27">
        <f t="shared" si="1"/>
        <v>25481517.64181906</v>
      </c>
    </row>
    <row r="12" spans="2:9" x14ac:dyDescent="0.25">
      <c r="B12" s="35" t="s">
        <v>73</v>
      </c>
      <c r="C12" s="25"/>
      <c r="D12" s="27">
        <f>D5-D11</f>
        <v>68622362.835068166</v>
      </c>
      <c r="E12" s="27">
        <f t="shared" ref="E12:I12" si="2">E5-E11</f>
        <v>5172572.95462358</v>
      </c>
      <c r="F12" s="27">
        <f t="shared" si="2"/>
        <v>-3549358.5287520885</v>
      </c>
      <c r="G12" s="27">
        <f t="shared" si="2"/>
        <v>5949013.9121685028</v>
      </c>
      <c r="H12" s="27">
        <f t="shared" si="2"/>
        <v>37196165.9883883</v>
      </c>
      <c r="I12" s="27">
        <f t="shared" si="2"/>
        <v>-25481517.64181906</v>
      </c>
    </row>
    <row r="13" spans="2:9" x14ac:dyDescent="0.25">
      <c r="B13" s="35" t="s">
        <v>74</v>
      </c>
      <c r="C13" s="27">
        <f>activos!C4</f>
        <v>9900000</v>
      </c>
      <c r="D13" s="27"/>
      <c r="E13" s="27"/>
      <c r="F13" s="27"/>
      <c r="G13" s="27"/>
      <c r="H13" s="27"/>
      <c r="I13" s="27"/>
    </row>
    <row r="14" spans="2:9" x14ac:dyDescent="0.25">
      <c r="B14" s="35" t="s">
        <v>17</v>
      </c>
      <c r="C14" s="27">
        <f>datos!B5</f>
        <v>59400000</v>
      </c>
      <c r="D14" s="27"/>
      <c r="E14" s="27"/>
      <c r="F14" s="27"/>
      <c r="G14" s="27"/>
      <c r="H14" s="27"/>
      <c r="I14" s="27"/>
    </row>
    <row r="15" spans="2:9" x14ac:dyDescent="0.25">
      <c r="B15" s="35" t="s">
        <v>83</v>
      </c>
      <c r="C15" s="27">
        <f>datos!B7</f>
        <v>12692400</v>
      </c>
      <c r="D15" s="27"/>
      <c r="E15" s="27"/>
      <c r="F15" s="27"/>
      <c r="G15" s="27"/>
      <c r="H15" s="27"/>
      <c r="I15" s="27"/>
    </row>
    <row r="16" spans="2:9" x14ac:dyDescent="0.25">
      <c r="B16" s="35" t="s">
        <v>75</v>
      </c>
      <c r="C16" s="27">
        <f>SUM(C13:C15)</f>
        <v>81992400</v>
      </c>
      <c r="D16" s="27"/>
      <c r="E16" s="27"/>
      <c r="F16" s="27"/>
      <c r="G16" s="27"/>
      <c r="H16" s="27"/>
      <c r="I16" s="27"/>
    </row>
    <row r="17" spans="2:9" x14ac:dyDescent="0.25">
      <c r="B17" s="35" t="s">
        <v>76</v>
      </c>
      <c r="C17" s="27">
        <f>credito!C2</f>
        <v>32796960</v>
      </c>
      <c r="D17" s="25"/>
      <c r="E17" s="25"/>
      <c r="F17" s="25"/>
      <c r="G17" s="25"/>
      <c r="H17" s="25"/>
      <c r="I17" s="25"/>
    </row>
    <row r="18" spans="2:9" x14ac:dyDescent="0.25">
      <c r="B18" s="35" t="s">
        <v>4</v>
      </c>
      <c r="C18" s="27">
        <f>-C16+C17</f>
        <v>-49195440</v>
      </c>
      <c r="D18" s="27">
        <f t="shared" ref="D18:I18" si="3">D12</f>
        <v>68622362.835068166</v>
      </c>
      <c r="E18" s="27">
        <f t="shared" si="3"/>
        <v>5172572.95462358</v>
      </c>
      <c r="F18" s="27">
        <f>F12</f>
        <v>-3549358.5287520885</v>
      </c>
      <c r="G18" s="27">
        <f t="shared" si="3"/>
        <v>5949013.9121685028</v>
      </c>
      <c r="H18" s="27">
        <f t="shared" si="3"/>
        <v>37196165.9883883</v>
      </c>
      <c r="I18" s="27">
        <f t="shared" si="3"/>
        <v>-25481517.64181906</v>
      </c>
    </row>
    <row r="19" spans="2:9" x14ac:dyDescent="0.25">
      <c r="B19" s="35" t="s">
        <v>5</v>
      </c>
      <c r="C19" s="25"/>
      <c r="D19" s="27">
        <f>D18</f>
        <v>68622362.835068166</v>
      </c>
      <c r="E19" s="27">
        <f>D19+E18</f>
        <v>73794935.789691746</v>
      </c>
      <c r="F19" s="27">
        <f t="shared" ref="F19:I19" si="4">E19+F18</f>
        <v>70245577.260939658</v>
      </c>
      <c r="G19" s="27">
        <f t="shared" si="4"/>
        <v>76194591.17310816</v>
      </c>
      <c r="H19" s="27">
        <f t="shared" si="4"/>
        <v>113390757.16149646</v>
      </c>
      <c r="I19" s="27">
        <f t="shared" si="4"/>
        <v>87909239.519677401</v>
      </c>
    </row>
    <row r="20" spans="2:9" x14ac:dyDescent="0.25">
      <c r="B20" s="35" t="s">
        <v>6</v>
      </c>
      <c r="C20" s="27">
        <f>+C18</f>
        <v>-49195440</v>
      </c>
      <c r="D20" s="27">
        <f>+D18+C20</f>
        <v>19426922.835068166</v>
      </c>
      <c r="E20" s="27">
        <f t="shared" ref="E20:I20" si="5">+E18+D20</f>
        <v>24599495.789691746</v>
      </c>
      <c r="F20" s="27">
        <f t="shared" si="5"/>
        <v>21050137.260939658</v>
      </c>
      <c r="G20" s="27">
        <f t="shared" si="5"/>
        <v>26999151.17310816</v>
      </c>
      <c r="H20" s="27">
        <f>+H18+G20</f>
        <v>64195317.16149646</v>
      </c>
      <c r="I20" s="27">
        <f t="shared" si="5"/>
        <v>38713799.519677401</v>
      </c>
    </row>
    <row r="21" spans="2:9" x14ac:dyDescent="0.25">
      <c r="B21" s="41"/>
      <c r="C21" s="42"/>
      <c r="D21" s="42"/>
      <c r="E21" s="42"/>
      <c r="F21" s="42"/>
      <c r="G21" s="42"/>
      <c r="H21" s="42"/>
      <c r="I21" s="42"/>
    </row>
    <row r="22" spans="2:9" x14ac:dyDescent="0.25">
      <c r="B22" s="41"/>
      <c r="C22" s="42"/>
      <c r="D22" s="42"/>
      <c r="E22" s="42"/>
      <c r="F22" s="42"/>
      <c r="G22" s="42"/>
      <c r="H22" s="42"/>
      <c r="I22" s="42"/>
    </row>
    <row r="23" spans="2:9" ht="15.75" x14ac:dyDescent="0.25">
      <c r="D23" s="2"/>
      <c r="E23" s="2"/>
      <c r="F23" s="2"/>
      <c r="G23" s="2"/>
      <c r="H23" s="2"/>
    </row>
    <row r="24" spans="2:9" ht="15.75" x14ac:dyDescent="0.25">
      <c r="D24" s="2"/>
      <c r="E24" s="2"/>
      <c r="F24" s="2"/>
      <c r="G24" s="2"/>
    </row>
    <row r="25" spans="2:9" ht="15.75" x14ac:dyDescent="0.25">
      <c r="E25" s="2"/>
      <c r="F25" s="2"/>
      <c r="G25" s="2"/>
    </row>
    <row r="26" spans="2:9" ht="15.75" x14ac:dyDescent="0.25">
      <c r="F26" s="2"/>
      <c r="G26" s="2"/>
      <c r="H26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21"/>
  <sheetViews>
    <sheetView showGridLines="0" workbookViewId="0">
      <selection activeCell="E19" sqref="E19"/>
    </sheetView>
  </sheetViews>
  <sheetFormatPr baseColWidth="10" defaultRowHeight="15" x14ac:dyDescent="0.25"/>
  <cols>
    <col min="2" max="2" width="23.28515625" bestFit="1" customWidth="1"/>
    <col min="3" max="3" width="12.42578125" bestFit="1" customWidth="1"/>
    <col min="4" max="7" width="13.85546875" bestFit="1" customWidth="1"/>
    <col min="8" max="8" width="15.7109375" customWidth="1"/>
    <col min="9" max="9" width="13.7109375" customWidth="1"/>
  </cols>
  <sheetData>
    <row r="2" spans="2:8" ht="15.75" x14ac:dyDescent="0.25">
      <c r="B2" s="4" t="s">
        <v>82</v>
      </c>
      <c r="C2" s="14">
        <v>0</v>
      </c>
      <c r="D2" s="14">
        <v>1</v>
      </c>
      <c r="E2" s="14">
        <v>2</v>
      </c>
      <c r="F2" s="14">
        <v>3</v>
      </c>
      <c r="G2" s="14">
        <v>4</v>
      </c>
      <c r="H2" s="14">
        <v>5</v>
      </c>
    </row>
    <row r="3" spans="2:8" ht="15.75" x14ac:dyDescent="0.25">
      <c r="B3" s="4" t="s">
        <v>41</v>
      </c>
      <c r="C3" s="14"/>
      <c r="D3" s="22">
        <f>flujocaja!D19</f>
        <v>68622362.835068166</v>
      </c>
      <c r="E3" s="22">
        <f>flujocaja!E19</f>
        <v>73794935.789691746</v>
      </c>
      <c r="F3" s="22">
        <f>flujocaja!F19</f>
        <v>70245577.260939658</v>
      </c>
      <c r="G3" s="22">
        <f>flujocaja!G19</f>
        <v>76194591.17310816</v>
      </c>
      <c r="H3" s="22">
        <f>flujocaja!H19</f>
        <v>113390757.16149646</v>
      </c>
    </row>
    <row r="4" spans="2:8" ht="15.75" x14ac:dyDescent="0.25">
      <c r="B4" s="4" t="s">
        <v>42</v>
      </c>
      <c r="C4" s="22">
        <f>activos!D19</f>
        <v>81992400</v>
      </c>
      <c r="D4" s="22">
        <f>activos!E19</f>
        <v>69122400</v>
      </c>
      <c r="E4" s="22">
        <f>activos!F19</f>
        <v>56252400</v>
      </c>
      <c r="F4" s="22">
        <f>activos!G19</f>
        <v>43382400</v>
      </c>
      <c r="G4" s="22">
        <f>activos!H19</f>
        <v>30512400</v>
      </c>
      <c r="H4" s="22">
        <f>activos!I19</f>
        <v>17642400</v>
      </c>
    </row>
    <row r="5" spans="2:8" ht="15.75" x14ac:dyDescent="0.25">
      <c r="B5" s="4" t="s">
        <v>16</v>
      </c>
      <c r="C5" s="22">
        <f>+SUM(C3:C4)</f>
        <v>81992400</v>
      </c>
      <c r="D5" s="22">
        <f t="shared" ref="D5:H5" si="0">+SUM(D3:D4)</f>
        <v>137744762.83506817</v>
      </c>
      <c r="E5" s="22">
        <f t="shared" si="0"/>
        <v>130047335.78969175</v>
      </c>
      <c r="F5" s="22">
        <f t="shared" si="0"/>
        <v>113627977.26093966</v>
      </c>
      <c r="G5" s="22">
        <f t="shared" si="0"/>
        <v>106706991.17310816</v>
      </c>
      <c r="H5" s="22">
        <f t="shared" si="0"/>
        <v>131033157.16149646</v>
      </c>
    </row>
    <row r="6" spans="2:8" ht="15.75" x14ac:dyDescent="0.25">
      <c r="B6" s="4" t="s">
        <v>43</v>
      </c>
      <c r="C6" s="22">
        <f>+credito!D9</f>
        <v>32796960</v>
      </c>
      <c r="D6" s="22">
        <f>+credito!E9</f>
        <v>30720375.519512258</v>
      </c>
      <c r="E6" s="22">
        <f>+credito!F9</f>
        <v>27841191.137316007</v>
      </c>
      <c r="F6" s="22">
        <f>+credito!G9</f>
        <v>23849201.991400901</v>
      </c>
      <c r="G6" s="22">
        <f>+credito!H9</f>
        <v>18314309.040589608</v>
      </c>
      <c r="H6" s="22">
        <f>+credito!I9</f>
        <v>10640179.964289751</v>
      </c>
    </row>
    <row r="7" spans="2:8" ht="15.75" x14ac:dyDescent="0.25">
      <c r="B7" s="4" t="s">
        <v>44</v>
      </c>
      <c r="C7" s="22">
        <v>0</v>
      </c>
      <c r="D7" s="22">
        <f>+eresult!E15</f>
        <v>20240131.560444575</v>
      </c>
      <c r="E7" s="22">
        <f>+eresult!F15</f>
        <v>5397661.114042568</v>
      </c>
      <c r="F7" s="22">
        <f>+eresult!G15</f>
        <v>-2460397.8940780461</v>
      </c>
      <c r="G7" s="22">
        <f>+eresult!H15</f>
        <v>-1346271.8608843861</v>
      </c>
      <c r="H7" s="22">
        <f>+eresult!I15</f>
        <v>10728908.121331321</v>
      </c>
    </row>
    <row r="8" spans="2:8" ht="15.75" x14ac:dyDescent="0.25">
      <c r="B8" s="4" t="s">
        <v>45</v>
      </c>
      <c r="C8" s="22">
        <f>C6+C7</f>
        <v>32796960</v>
      </c>
      <c r="D8" s="22">
        <f t="shared" ref="D8:H8" si="1">D6+D7</f>
        <v>50960507.07995683</v>
      </c>
      <c r="E8" s="22">
        <f t="shared" si="1"/>
        <v>33238852.251358576</v>
      </c>
      <c r="F8" s="22">
        <f t="shared" si="1"/>
        <v>21388804.097322855</v>
      </c>
      <c r="G8" s="22">
        <f t="shared" si="1"/>
        <v>16968037.179705221</v>
      </c>
      <c r="H8" s="22">
        <f t="shared" si="1"/>
        <v>21369088.085621074</v>
      </c>
    </row>
    <row r="9" spans="2:8" ht="15.75" x14ac:dyDescent="0.25">
      <c r="B9" s="4" t="s">
        <v>46</v>
      </c>
      <c r="C9" s="22">
        <v>0</v>
      </c>
      <c r="D9" s="22">
        <f>eresult!E16</f>
        <v>37588815.755111352</v>
      </c>
      <c r="E9" s="22">
        <f>eresult!F16</f>
        <v>10024227.783221912</v>
      </c>
      <c r="F9" s="22">
        <f>eresult!G16</f>
        <v>-4569310.3747163713</v>
      </c>
      <c r="G9" s="22">
        <f>eresult!H16</f>
        <v>-2500219.1702138605</v>
      </c>
      <c r="H9" s="22">
        <f>eresult!I16</f>
        <v>19925115.082472458</v>
      </c>
    </row>
    <row r="10" spans="2:8" ht="15.75" x14ac:dyDescent="0.25">
      <c r="B10" s="4" t="s">
        <v>47</v>
      </c>
      <c r="C10" s="22">
        <v>0</v>
      </c>
      <c r="D10" s="22">
        <f>C10+D9</f>
        <v>37588815.755111352</v>
      </c>
      <c r="E10" s="22">
        <f t="shared" ref="E10:F10" si="2">D10+E9</f>
        <v>47613043.538333267</v>
      </c>
      <c r="F10" s="22">
        <f t="shared" si="2"/>
        <v>43043733.163616896</v>
      </c>
      <c r="G10" s="22">
        <f t="shared" ref="G10" si="3">F10+G9</f>
        <v>40543513.993403032</v>
      </c>
      <c r="H10" s="22">
        <f t="shared" ref="H10" si="4">G10+H9</f>
        <v>60468629.075875491</v>
      </c>
    </row>
    <row r="11" spans="2:8" ht="15.75" x14ac:dyDescent="0.25">
      <c r="B11" s="4" t="s">
        <v>48</v>
      </c>
      <c r="C11" s="22">
        <f>-flujocaja!$C$18</f>
        <v>49195440</v>
      </c>
      <c r="D11" s="22">
        <f>-flujocaja!$C$18</f>
        <v>49195440</v>
      </c>
      <c r="E11" s="22">
        <f>-flujocaja!$C$18</f>
        <v>49195440</v>
      </c>
      <c r="F11" s="22">
        <f>-flujocaja!$C$18</f>
        <v>49195440</v>
      </c>
      <c r="G11" s="22">
        <f>-flujocaja!$C$18</f>
        <v>49195440</v>
      </c>
      <c r="H11" s="22">
        <f>-flujocaja!$C$18</f>
        <v>49195440</v>
      </c>
    </row>
    <row r="12" spans="2:8" ht="15.75" x14ac:dyDescent="0.25">
      <c r="B12" s="4" t="s">
        <v>49</v>
      </c>
      <c r="C12" s="22">
        <f>C10+C11</f>
        <v>49195440</v>
      </c>
      <c r="D12" s="22">
        <f>D10+D11</f>
        <v>86784255.755111352</v>
      </c>
      <c r="E12" s="22">
        <f t="shared" ref="E12:H12" si="5">E10+E11</f>
        <v>96808483.538333267</v>
      </c>
      <c r="F12" s="22">
        <f t="shared" si="5"/>
        <v>92239173.163616896</v>
      </c>
      <c r="G12" s="22">
        <f t="shared" si="5"/>
        <v>89738953.993403032</v>
      </c>
      <c r="H12" s="22">
        <f t="shared" si="5"/>
        <v>109664069.07587549</v>
      </c>
    </row>
    <row r="13" spans="2:8" ht="15.75" x14ac:dyDescent="0.25">
      <c r="B13" s="4" t="s">
        <v>50</v>
      </c>
      <c r="C13" s="22">
        <f>C8+C12</f>
        <v>81992400</v>
      </c>
      <c r="D13" s="22">
        <f>D8+D12</f>
        <v>137744762.83506817</v>
      </c>
      <c r="E13" s="22">
        <f t="shared" ref="E13:H13" si="6">E8+E12</f>
        <v>130047335.78969184</v>
      </c>
      <c r="F13" s="22">
        <f t="shared" si="6"/>
        <v>113627977.26093975</v>
      </c>
      <c r="G13" s="22">
        <f t="shared" si="6"/>
        <v>106706991.17310825</v>
      </c>
      <c r="H13" s="22">
        <f t="shared" si="6"/>
        <v>131033157.16149656</v>
      </c>
    </row>
    <row r="14" spans="2:8" ht="15.75" x14ac:dyDescent="0.25">
      <c r="B14" s="4" t="s">
        <v>51</v>
      </c>
      <c r="C14" s="37">
        <f>C5-C13</f>
        <v>0</v>
      </c>
      <c r="D14" s="37">
        <f t="shared" ref="D14:H14" si="7">D5-D13</f>
        <v>0</v>
      </c>
      <c r="E14" s="37">
        <f t="shared" si="7"/>
        <v>0</v>
      </c>
      <c r="F14" s="37">
        <f t="shared" si="7"/>
        <v>0</v>
      </c>
      <c r="G14" s="37">
        <f t="shared" si="7"/>
        <v>0</v>
      </c>
      <c r="H14" s="37">
        <f t="shared" si="7"/>
        <v>0</v>
      </c>
    </row>
    <row r="16" spans="2:8" ht="15.75" x14ac:dyDescent="0.25">
      <c r="B16" s="158" t="s">
        <v>80</v>
      </c>
      <c r="C16" s="158"/>
      <c r="D16" s="3"/>
    </row>
    <row r="17" spans="2:4" ht="15.75" x14ac:dyDescent="0.25">
      <c r="B17" s="4" t="s">
        <v>77</v>
      </c>
      <c r="C17" s="21">
        <f>C5-'Inver-cost-gast-precio'!E7</f>
        <v>72092400</v>
      </c>
      <c r="D17" s="3"/>
    </row>
    <row r="18" spans="2:4" ht="15.75" x14ac:dyDescent="0.25">
      <c r="B18" s="4" t="s">
        <v>78</v>
      </c>
      <c r="C18" s="21">
        <v>0</v>
      </c>
      <c r="D18" s="3"/>
    </row>
    <row r="19" spans="2:4" ht="15.75" x14ac:dyDescent="0.25">
      <c r="B19" s="4" t="s">
        <v>79</v>
      </c>
      <c r="C19" s="21">
        <f>C17-C18</f>
        <v>72092400</v>
      </c>
      <c r="D19" s="3"/>
    </row>
    <row r="21" spans="2:4" x14ac:dyDescent="0.25">
      <c r="D21" s="36"/>
    </row>
  </sheetData>
  <mergeCells count="1"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Nomina</vt:lpstr>
      <vt:lpstr>Inver-cost-gast-precio</vt:lpstr>
      <vt:lpstr>datos</vt:lpstr>
      <vt:lpstr>pronostico</vt:lpstr>
      <vt:lpstr>credito</vt:lpstr>
      <vt:lpstr>activos</vt:lpstr>
      <vt:lpstr>eresult</vt:lpstr>
      <vt:lpstr>flujocaja</vt:lpstr>
      <vt:lpstr>balance</vt:lpstr>
      <vt:lpstr>factible</vt:lpstr>
      <vt:lpstr>Resumen del escenarios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jacome</dc:creator>
  <cp:lastModifiedBy>Valeria Sofia Gonzalez Suarez</cp:lastModifiedBy>
  <cp:lastPrinted>2024-07-04T20:09:05Z</cp:lastPrinted>
  <dcterms:created xsi:type="dcterms:W3CDTF">2016-05-19T04:02:03Z</dcterms:created>
  <dcterms:modified xsi:type="dcterms:W3CDTF">2024-08-08T01:38:34Z</dcterms:modified>
</cp:coreProperties>
</file>