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USTENTACION\"/>
    </mc:Choice>
  </mc:AlternateContent>
  <xr:revisionPtr revIDLastSave="0" documentId="13_ncr:1_{2F6B29F7-D413-4636-B8CC-97C8222F7977}" xr6:coauthVersionLast="46" xr6:coauthVersionMax="46" xr10:uidLastSave="{00000000-0000-0000-0000-000000000000}"/>
  <bookViews>
    <workbookView xWindow="-120" yWindow="-120" windowWidth="20730" windowHeight="11160" xr2:uid="{812C72FE-3D00-4B89-B39E-0846748AA1D4}"/>
  </bookViews>
  <sheets>
    <sheet name="DATOS FLOTA" sheetId="1" r:id="rId1"/>
    <sheet name="RECORRIDO ANUAL" sheetId="3" r:id="rId2"/>
    <sheet name="GASTO DE COMBUSTIBLE" sheetId="6" r:id="rId3"/>
    <sheet name="FACTOR RENDIMIENTO" sheetId="7" r:id="rId4"/>
    <sheet name="Hoja2" sheetId="2" r:id="rId5"/>
    <sheet name="Hoja3" sheetId="4" r:id="rId6"/>
  </sheets>
  <definedNames>
    <definedName name="EMPRESAS">Hoja2!$C$9:$C$19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3" i="1" l="1"/>
  <c r="H114" i="1" l="1"/>
  <c r="K4" i="1"/>
  <c r="G9" i="6"/>
  <c r="F9" i="6"/>
  <c r="F10" i="6"/>
  <c r="F11" i="6"/>
  <c r="F12" i="6"/>
  <c r="F13" i="6"/>
  <c r="F14" i="6"/>
  <c r="F15" i="6"/>
  <c r="F16" i="6"/>
  <c r="F17" i="6"/>
  <c r="F18" i="6"/>
  <c r="F8" i="6"/>
  <c r="F7" i="6"/>
  <c r="M50" i="7"/>
  <c r="M49" i="7"/>
  <c r="M48" i="7"/>
  <c r="M47" i="7"/>
  <c r="M44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20" i="7"/>
  <c r="M73" i="7"/>
  <c r="U59" i="7"/>
  <c r="U49" i="7"/>
  <c r="U50" i="7"/>
  <c r="U51" i="7"/>
  <c r="U52" i="7"/>
  <c r="U53" i="7"/>
  <c r="U54" i="7"/>
  <c r="U55" i="7"/>
  <c r="U56" i="7"/>
  <c r="U57" i="7"/>
  <c r="U58" i="7"/>
  <c r="U48" i="7"/>
  <c r="L44" i="7"/>
  <c r="I20" i="7"/>
  <c r="H20" i="7"/>
  <c r="G20" i="7"/>
  <c r="F20" i="7"/>
  <c r="E20" i="7"/>
  <c r="D28" i="7"/>
  <c r="H28" i="7" s="1"/>
  <c r="D29" i="7"/>
  <c r="G29" i="7" s="1"/>
  <c r="D30" i="7"/>
  <c r="F30" i="7" s="1"/>
  <c r="D31" i="7"/>
  <c r="I31" i="7" s="1"/>
  <c r="D32" i="7"/>
  <c r="H32" i="7" s="1"/>
  <c r="D33" i="7"/>
  <c r="G33" i="7" s="1"/>
  <c r="D34" i="7"/>
  <c r="F34" i="7" s="1"/>
  <c r="D35" i="7"/>
  <c r="I35" i="7" s="1"/>
  <c r="D36" i="7"/>
  <c r="H36" i="7" s="1"/>
  <c r="D37" i="7"/>
  <c r="G37" i="7" s="1"/>
  <c r="D38" i="7"/>
  <c r="F38" i="7" s="1"/>
  <c r="D39" i="7"/>
  <c r="I39" i="7" s="1"/>
  <c r="D40" i="7"/>
  <c r="H40" i="7" s="1"/>
  <c r="D41" i="7"/>
  <c r="G41" i="7" s="1"/>
  <c r="D42" i="7"/>
  <c r="F42" i="7" s="1"/>
  <c r="D43" i="7"/>
  <c r="I43" i="7" s="1"/>
  <c r="D22" i="7"/>
  <c r="I22" i="7" s="1"/>
  <c r="D23" i="7"/>
  <c r="I23" i="7" s="1"/>
  <c r="D24" i="7"/>
  <c r="H24" i="7" s="1"/>
  <c r="D25" i="7"/>
  <c r="G25" i="7" s="1"/>
  <c r="D26" i="7"/>
  <c r="F26" i="7" s="1"/>
  <c r="D27" i="7"/>
  <c r="I27" i="7" s="1"/>
  <c r="D21" i="7"/>
  <c r="I21" i="7" s="1"/>
  <c r="E26" i="7" l="1"/>
  <c r="G43" i="7"/>
  <c r="G32" i="7"/>
  <c r="G24" i="7"/>
  <c r="H30" i="7"/>
  <c r="I34" i="7"/>
  <c r="E38" i="7"/>
  <c r="E25" i="7"/>
  <c r="F25" i="7"/>
  <c r="G42" i="7"/>
  <c r="G36" i="7"/>
  <c r="G31" i="7"/>
  <c r="H43" i="7"/>
  <c r="H35" i="7"/>
  <c r="H21" i="7"/>
  <c r="I30" i="7"/>
  <c r="E42" i="7"/>
  <c r="E34" i="7"/>
  <c r="E24" i="7"/>
  <c r="F24" i="7"/>
  <c r="G40" i="7"/>
  <c r="G35" i="7"/>
  <c r="G30" i="7"/>
  <c r="H42" i="7"/>
  <c r="H34" i="7"/>
  <c r="I42" i="7"/>
  <c r="I26" i="7"/>
  <c r="E21" i="7"/>
  <c r="G38" i="7"/>
  <c r="H38" i="7"/>
  <c r="E30" i="7"/>
  <c r="E22" i="7"/>
  <c r="F21" i="7"/>
  <c r="G39" i="7"/>
  <c r="G34" i="7"/>
  <c r="G28" i="7"/>
  <c r="H39" i="7"/>
  <c r="H31" i="7"/>
  <c r="I38" i="7"/>
  <c r="I25" i="7"/>
  <c r="I24" i="7"/>
  <c r="F41" i="7"/>
  <c r="F37" i="7"/>
  <c r="F33" i="7"/>
  <c r="F29" i="7"/>
  <c r="H27" i="7"/>
  <c r="H23" i="7"/>
  <c r="E41" i="7"/>
  <c r="E37" i="7"/>
  <c r="E33" i="7"/>
  <c r="E29" i="7"/>
  <c r="F40" i="7"/>
  <c r="F36" i="7"/>
  <c r="F32" i="7"/>
  <c r="F28" i="7"/>
  <c r="G27" i="7"/>
  <c r="G23" i="7"/>
  <c r="H26" i="7"/>
  <c r="H22" i="7"/>
  <c r="I41" i="7"/>
  <c r="I37" i="7"/>
  <c r="I33" i="7"/>
  <c r="I29" i="7"/>
  <c r="E40" i="7"/>
  <c r="E36" i="7"/>
  <c r="E32" i="7"/>
  <c r="E28" i="7"/>
  <c r="F43" i="7"/>
  <c r="F39" i="7"/>
  <c r="F35" i="7"/>
  <c r="F31" i="7"/>
  <c r="F27" i="7"/>
  <c r="F23" i="7"/>
  <c r="G26" i="7"/>
  <c r="G22" i="7"/>
  <c r="H41" i="7"/>
  <c r="H37" i="7"/>
  <c r="H33" i="7"/>
  <c r="H29" i="7"/>
  <c r="H25" i="7"/>
  <c r="I40" i="7"/>
  <c r="I36" i="7"/>
  <c r="I32" i="7"/>
  <c r="I28" i="7"/>
  <c r="E43" i="7"/>
  <c r="E39" i="7"/>
  <c r="E35" i="7"/>
  <c r="E31" i="7"/>
  <c r="E27" i="7"/>
  <c r="E23" i="7"/>
  <c r="F22" i="7"/>
  <c r="G21" i="7"/>
  <c r="N4" i="1"/>
  <c r="O4" i="1" s="1"/>
  <c r="G8" i="6"/>
  <c r="G10" i="6"/>
  <c r="G11" i="6"/>
  <c r="G12" i="6"/>
  <c r="G13" i="6"/>
  <c r="G14" i="6"/>
  <c r="G15" i="6"/>
  <c r="G16" i="6"/>
  <c r="G17" i="6"/>
  <c r="G18" i="6"/>
  <c r="G7" i="6"/>
  <c r="D6" i="6"/>
  <c r="C18" i="6"/>
  <c r="D6" i="3" l="1"/>
  <c r="C15" i="3"/>
  <c r="C15" i="6" s="1"/>
  <c r="C16" i="3"/>
  <c r="C16" i="6" s="1"/>
  <c r="C17" i="3"/>
  <c r="C17" i="6" s="1"/>
  <c r="C7" i="3"/>
  <c r="C7" i="6" s="1"/>
  <c r="C8" i="3"/>
  <c r="C8" i="6" s="1"/>
  <c r="C9" i="3"/>
  <c r="C9" i="6" s="1"/>
  <c r="C10" i="3"/>
  <c r="C10" i="6" s="1"/>
  <c r="C11" i="3"/>
  <c r="C11" i="6" s="1"/>
  <c r="C12" i="3"/>
  <c r="C12" i="6" s="1"/>
  <c r="C13" i="3"/>
  <c r="C13" i="6" s="1"/>
  <c r="C14" i="3"/>
  <c r="C14" i="6" s="1"/>
  <c r="C6" i="3"/>
  <c r="C6" i="6" s="1"/>
  <c r="Z122" i="1" l="1"/>
  <c r="AA122" i="1"/>
  <c r="Y122" i="1"/>
  <c r="X122" i="1"/>
  <c r="W122" i="1"/>
  <c r="Z121" i="1"/>
  <c r="AA121" i="1"/>
  <c r="Y121" i="1"/>
  <c r="X121" i="1"/>
  <c r="W121" i="1"/>
  <c r="Z120" i="1"/>
  <c r="AA120" i="1"/>
  <c r="Y120" i="1"/>
  <c r="X120" i="1"/>
  <c r="W120" i="1"/>
  <c r="U122" i="1"/>
  <c r="AB122" i="1" s="1"/>
  <c r="U121" i="1"/>
  <c r="U120" i="1"/>
  <c r="T122" i="1"/>
  <c r="T121" i="1"/>
  <c r="T120" i="1"/>
  <c r="Z118" i="1"/>
  <c r="AA118" i="1"/>
  <c r="Z117" i="1"/>
  <c r="AA117" i="1"/>
  <c r="Z116" i="1"/>
  <c r="AA116" i="1"/>
  <c r="Y118" i="1"/>
  <c r="Y117" i="1"/>
  <c r="Y116" i="1"/>
  <c r="X118" i="1"/>
  <c r="X117" i="1"/>
  <c r="X116" i="1"/>
  <c r="W118" i="1"/>
  <c r="W117" i="1"/>
  <c r="W116" i="1"/>
  <c r="V116" i="1"/>
  <c r="U118" i="1"/>
  <c r="U117" i="1"/>
  <c r="U116" i="1"/>
  <c r="T118" i="1"/>
  <c r="T117" i="1"/>
  <c r="T116" i="1"/>
  <c r="J69" i="1"/>
  <c r="J68" i="1"/>
  <c r="J67" i="1"/>
  <c r="J76" i="1"/>
  <c r="J74" i="1"/>
  <c r="M9" i="4"/>
  <c r="M10" i="4"/>
  <c r="M8" i="4"/>
  <c r="L8" i="4"/>
  <c r="L9" i="4"/>
  <c r="L10" i="4"/>
  <c r="K9" i="4"/>
  <c r="K10" i="4"/>
  <c r="K8" i="4"/>
  <c r="J9" i="4"/>
  <c r="J10" i="4"/>
  <c r="J8" i="4"/>
  <c r="I9" i="4"/>
  <c r="I10" i="4"/>
  <c r="I8" i="4"/>
  <c r="H9" i="4"/>
  <c r="H10" i="4"/>
  <c r="H8" i="4"/>
  <c r="N107" i="1"/>
  <c r="O107" i="1" s="1"/>
  <c r="N104" i="1"/>
  <c r="O104" i="1" s="1"/>
  <c r="N101" i="1"/>
  <c r="O101" i="1" s="1"/>
  <c r="N102" i="1"/>
  <c r="O102" i="1" s="1"/>
  <c r="N103" i="1"/>
  <c r="O103" i="1" s="1"/>
  <c r="N100" i="1"/>
  <c r="O100" i="1" s="1"/>
  <c r="N98" i="1"/>
  <c r="O98" i="1" s="1"/>
  <c r="N96" i="1"/>
  <c r="O96" i="1" s="1"/>
  <c r="N97" i="1"/>
  <c r="O97" i="1" s="1"/>
  <c r="N95" i="1"/>
  <c r="O95" i="1" s="1"/>
  <c r="N93" i="1"/>
  <c r="O93" i="1" s="1"/>
  <c r="N90" i="1"/>
  <c r="O90" i="1" s="1"/>
  <c r="N89" i="1"/>
  <c r="O89" i="1" s="1"/>
  <c r="N91" i="1"/>
  <c r="O91" i="1" s="1"/>
  <c r="N92" i="1"/>
  <c r="O92" i="1" s="1"/>
  <c r="N88" i="1"/>
  <c r="O88" i="1" s="1"/>
  <c r="N85" i="1"/>
  <c r="O85" i="1" s="1"/>
  <c r="N81" i="1"/>
  <c r="O81" i="1" s="1"/>
  <c r="N82" i="1"/>
  <c r="O82" i="1" s="1"/>
  <c r="N80" i="1"/>
  <c r="O80" i="1" s="1"/>
  <c r="N79" i="1"/>
  <c r="O79" i="1" s="1"/>
  <c r="N77" i="1"/>
  <c r="O77" i="1" s="1"/>
  <c r="N76" i="1"/>
  <c r="O76" i="1" s="1"/>
  <c r="N74" i="1"/>
  <c r="O74" i="1" s="1"/>
  <c r="N73" i="1"/>
  <c r="O73" i="1" s="1"/>
  <c r="N70" i="1"/>
  <c r="O70" i="1" s="1"/>
  <c r="N7" i="1"/>
  <c r="O7" i="1" s="1"/>
  <c r="N10" i="1"/>
  <c r="O10" i="1" s="1"/>
  <c r="N13" i="1"/>
  <c r="O13" i="1" s="1"/>
  <c r="N16" i="1"/>
  <c r="O16" i="1" s="1"/>
  <c r="N19" i="1"/>
  <c r="O19" i="1" s="1"/>
  <c r="N22" i="1"/>
  <c r="O22" i="1" s="1"/>
  <c r="N25" i="1"/>
  <c r="O25" i="1" s="1"/>
  <c r="N28" i="1"/>
  <c r="O28" i="1" s="1"/>
  <c r="N31" i="1"/>
  <c r="O31" i="1" s="1"/>
  <c r="N34" i="1"/>
  <c r="O34" i="1" s="1"/>
  <c r="N37" i="1"/>
  <c r="O37" i="1" s="1"/>
  <c r="N40" i="1"/>
  <c r="O40" i="1" s="1"/>
  <c r="N43" i="1"/>
  <c r="O43" i="1" s="1"/>
  <c r="N46" i="1"/>
  <c r="O46" i="1" s="1"/>
  <c r="N49" i="1"/>
  <c r="O49" i="1" s="1"/>
  <c r="N52" i="1"/>
  <c r="O52" i="1" s="1"/>
  <c r="N55" i="1"/>
  <c r="O55" i="1" s="1"/>
  <c r="N58" i="1"/>
  <c r="O58" i="1" s="1"/>
  <c r="N61" i="1"/>
  <c r="O61" i="1" s="1"/>
  <c r="N64" i="1"/>
  <c r="O64" i="1" s="1"/>
  <c r="N67" i="1"/>
  <c r="O67" i="1" s="1"/>
  <c r="L4" i="1"/>
  <c r="P4" i="1" s="1"/>
  <c r="Q4" i="1" s="1"/>
  <c r="R4" i="1" s="1"/>
  <c r="AB117" i="1" l="1"/>
  <c r="AB118" i="1"/>
  <c r="AB120" i="1"/>
  <c r="AB116" i="1"/>
  <c r="AB121" i="1"/>
  <c r="O109" i="1"/>
  <c r="AB119" i="1" l="1"/>
  <c r="AC116" i="1" s="1"/>
  <c r="AC120" i="1"/>
  <c r="AC117" i="1"/>
  <c r="K95" i="1"/>
  <c r="L95" i="1" s="1"/>
  <c r="P95" i="1" s="1"/>
  <c r="Q95" i="1" s="1"/>
  <c r="R95" i="1" s="1"/>
  <c r="S95" i="1" s="1"/>
  <c r="K93" i="1"/>
  <c r="L93" i="1" s="1"/>
  <c r="P93" i="1" s="1"/>
  <c r="Q93" i="1" s="1"/>
  <c r="R93" i="1" s="1"/>
  <c r="S93" i="1" s="1"/>
  <c r="K104" i="1"/>
  <c r="L104" i="1" s="1"/>
  <c r="P104" i="1" s="1"/>
  <c r="Q104" i="1" s="1"/>
  <c r="R104" i="1" s="1"/>
  <c r="S104" i="1" s="1"/>
  <c r="K96" i="1"/>
  <c r="L96" i="1" s="1"/>
  <c r="P96" i="1" s="1"/>
  <c r="Q96" i="1" s="1"/>
  <c r="R96" i="1" s="1"/>
  <c r="S96" i="1" s="1"/>
  <c r="K67" i="1"/>
  <c r="L67" i="1" s="1"/>
  <c r="P67" i="1" s="1"/>
  <c r="Q67" i="1" s="1"/>
  <c r="R67" i="1" s="1"/>
  <c r="K76" i="1"/>
  <c r="L76" i="1" s="1"/>
  <c r="P76" i="1" s="1"/>
  <c r="Q76" i="1" s="1"/>
  <c r="R76" i="1" s="1"/>
  <c r="S76" i="1" s="1"/>
  <c r="E76" i="1"/>
  <c r="K98" i="1"/>
  <c r="L98" i="1" s="1"/>
  <c r="P98" i="1" s="1"/>
  <c r="Q98" i="1" s="1"/>
  <c r="R98" i="1" s="1"/>
  <c r="S98" i="1" s="1"/>
  <c r="AC121" i="1" l="1"/>
  <c r="AC118" i="1"/>
  <c r="AC122" i="1"/>
  <c r="S69" i="1"/>
  <c r="S67" i="1"/>
  <c r="S68" i="1"/>
  <c r="S105" i="1"/>
  <c r="I119" i="1"/>
  <c r="D12" i="3" s="1"/>
  <c r="H119" i="1"/>
  <c r="I124" i="1"/>
  <c r="D17" i="3" s="1"/>
  <c r="I122" i="1"/>
  <c r="D15" i="3" s="1"/>
  <c r="I114" i="1"/>
  <c r="I116" i="1"/>
  <c r="D9" i="3" s="1"/>
  <c r="I117" i="1"/>
  <c r="D10" i="3" s="1"/>
  <c r="I120" i="1"/>
  <c r="D13" i="3" s="1"/>
  <c r="I115" i="1"/>
  <c r="D8" i="3" s="1"/>
  <c r="I118" i="1"/>
  <c r="D11" i="3" s="1"/>
  <c r="I123" i="1"/>
  <c r="D16" i="3" s="1"/>
  <c r="S106" i="1"/>
  <c r="I121" i="1"/>
  <c r="D14" i="3" s="1"/>
  <c r="S4" i="1"/>
  <c r="S5" i="1" s="1"/>
  <c r="S6" i="1" s="1"/>
  <c r="K7" i="1"/>
  <c r="L7" i="1" s="1"/>
  <c r="P7" i="1" s="1"/>
  <c r="Q7" i="1" s="1"/>
  <c r="R7" i="1" s="1"/>
  <c r="F16" i="3" l="1"/>
  <c r="G16" i="3"/>
  <c r="E16" i="3"/>
  <c r="H16" i="3"/>
  <c r="F10" i="3"/>
  <c r="H10" i="3"/>
  <c r="G10" i="3"/>
  <c r="E10" i="3"/>
  <c r="E17" i="3"/>
  <c r="F17" i="3"/>
  <c r="G17" i="3"/>
  <c r="H17" i="3"/>
  <c r="H11" i="3"/>
  <c r="E11" i="3"/>
  <c r="F11" i="3"/>
  <c r="G11" i="3"/>
  <c r="H9" i="3"/>
  <c r="E9" i="3"/>
  <c r="G9" i="3"/>
  <c r="F9" i="3"/>
  <c r="S8" i="1"/>
  <c r="S7" i="1"/>
  <c r="S9" i="1"/>
  <c r="F8" i="3"/>
  <c r="G8" i="3"/>
  <c r="E8" i="3"/>
  <c r="H8" i="3"/>
  <c r="D7" i="3"/>
  <c r="I125" i="1"/>
  <c r="D18" i="3" s="1"/>
  <c r="H12" i="3"/>
  <c r="E12" i="3"/>
  <c r="F12" i="3"/>
  <c r="G12" i="3"/>
  <c r="G14" i="3"/>
  <c r="H14" i="3"/>
  <c r="E14" i="3"/>
  <c r="F14" i="3"/>
  <c r="F13" i="3"/>
  <c r="G13" i="3"/>
  <c r="E13" i="3"/>
  <c r="H13" i="3"/>
  <c r="F15" i="3"/>
  <c r="G15" i="3"/>
  <c r="E15" i="3"/>
  <c r="H15" i="3"/>
  <c r="K10" i="1"/>
  <c r="L10" i="1" s="1"/>
  <c r="P10" i="1" s="1"/>
  <c r="Q10" i="1" s="1"/>
  <c r="R10" i="1" s="1"/>
  <c r="K13" i="1"/>
  <c r="L13" i="1" s="1"/>
  <c r="P13" i="1" s="1"/>
  <c r="Q13" i="1" s="1"/>
  <c r="R13" i="1" s="1"/>
  <c r="K16" i="1"/>
  <c r="L16" i="1" s="1"/>
  <c r="P16" i="1" s="1"/>
  <c r="Q16" i="1" s="1"/>
  <c r="R16" i="1" s="1"/>
  <c r="K19" i="1"/>
  <c r="L19" i="1" s="1"/>
  <c r="P19" i="1" s="1"/>
  <c r="Q19" i="1" s="1"/>
  <c r="R19" i="1" s="1"/>
  <c r="K22" i="1"/>
  <c r="L22" i="1" s="1"/>
  <c r="P22" i="1" s="1"/>
  <c r="Q22" i="1" s="1"/>
  <c r="R22" i="1" s="1"/>
  <c r="K25" i="1"/>
  <c r="L25" i="1" s="1"/>
  <c r="P25" i="1" s="1"/>
  <c r="Q25" i="1" s="1"/>
  <c r="R25" i="1" s="1"/>
  <c r="K28" i="1"/>
  <c r="L28" i="1" s="1"/>
  <c r="P28" i="1" s="1"/>
  <c r="Q28" i="1" s="1"/>
  <c r="R28" i="1" s="1"/>
  <c r="K31" i="1"/>
  <c r="L31" i="1" s="1"/>
  <c r="P31" i="1" s="1"/>
  <c r="Q31" i="1" s="1"/>
  <c r="R31" i="1" s="1"/>
  <c r="K34" i="1"/>
  <c r="L34" i="1" s="1"/>
  <c r="P34" i="1" s="1"/>
  <c r="Q34" i="1" s="1"/>
  <c r="R34" i="1" s="1"/>
  <c r="K37" i="1"/>
  <c r="L37" i="1" s="1"/>
  <c r="P37" i="1" s="1"/>
  <c r="Q37" i="1" s="1"/>
  <c r="R37" i="1" s="1"/>
  <c r="K40" i="1"/>
  <c r="L40" i="1" s="1"/>
  <c r="P40" i="1" s="1"/>
  <c r="Q40" i="1" s="1"/>
  <c r="R40" i="1" s="1"/>
  <c r="K43" i="1"/>
  <c r="L43" i="1" s="1"/>
  <c r="P43" i="1" s="1"/>
  <c r="Q43" i="1" s="1"/>
  <c r="R43" i="1" s="1"/>
  <c r="K46" i="1"/>
  <c r="L46" i="1" s="1"/>
  <c r="P46" i="1" s="1"/>
  <c r="Q46" i="1" s="1"/>
  <c r="R46" i="1" s="1"/>
  <c r="K49" i="1"/>
  <c r="L49" i="1" s="1"/>
  <c r="P49" i="1" s="1"/>
  <c r="Q49" i="1" s="1"/>
  <c r="R49" i="1" s="1"/>
  <c r="K52" i="1"/>
  <c r="L52" i="1" s="1"/>
  <c r="P52" i="1" s="1"/>
  <c r="Q52" i="1" s="1"/>
  <c r="R52" i="1" s="1"/>
  <c r="K55" i="1"/>
  <c r="L55" i="1" s="1"/>
  <c r="P55" i="1" s="1"/>
  <c r="Q55" i="1" s="1"/>
  <c r="R55" i="1" s="1"/>
  <c r="K58" i="1"/>
  <c r="L58" i="1" s="1"/>
  <c r="P58" i="1" s="1"/>
  <c r="Q58" i="1" s="1"/>
  <c r="R58" i="1" s="1"/>
  <c r="K61" i="1"/>
  <c r="L61" i="1" s="1"/>
  <c r="P61" i="1" s="1"/>
  <c r="Q61" i="1" s="1"/>
  <c r="R61" i="1" s="1"/>
  <c r="K64" i="1"/>
  <c r="L64" i="1" s="1"/>
  <c r="P64" i="1" s="1"/>
  <c r="Q64" i="1" s="1"/>
  <c r="R64" i="1" s="1"/>
  <c r="K70" i="1"/>
  <c r="L70" i="1" s="1"/>
  <c r="P70" i="1" s="1"/>
  <c r="Q70" i="1" s="1"/>
  <c r="R70" i="1" s="1"/>
  <c r="K73" i="1"/>
  <c r="L73" i="1" s="1"/>
  <c r="P73" i="1" s="1"/>
  <c r="Q73" i="1" s="1"/>
  <c r="R73" i="1" s="1"/>
  <c r="K74" i="1"/>
  <c r="L74" i="1" s="1"/>
  <c r="P74" i="1" s="1"/>
  <c r="Q74" i="1" s="1"/>
  <c r="R74" i="1" s="1"/>
  <c r="S74" i="1" s="1"/>
  <c r="K77" i="1"/>
  <c r="K79" i="1"/>
  <c r="L79" i="1" s="1"/>
  <c r="P79" i="1" s="1"/>
  <c r="Q79" i="1" s="1"/>
  <c r="R79" i="1" s="1"/>
  <c r="K80" i="1"/>
  <c r="L80" i="1" s="1"/>
  <c r="P80" i="1" s="1"/>
  <c r="Q80" i="1" s="1"/>
  <c r="R80" i="1" s="1"/>
  <c r="S80" i="1" s="1"/>
  <c r="K81" i="1"/>
  <c r="L81" i="1" s="1"/>
  <c r="P81" i="1" s="1"/>
  <c r="Q81" i="1" s="1"/>
  <c r="R81" i="1" s="1"/>
  <c r="S81" i="1" s="1"/>
  <c r="K82" i="1"/>
  <c r="L82" i="1" s="1"/>
  <c r="P82" i="1" s="1"/>
  <c r="Q82" i="1" s="1"/>
  <c r="R82" i="1" s="1"/>
  <c r="K85" i="1"/>
  <c r="L85" i="1" s="1"/>
  <c r="P85" i="1" s="1"/>
  <c r="Q85" i="1" s="1"/>
  <c r="R85" i="1" s="1"/>
  <c r="K88" i="1"/>
  <c r="L88" i="1" s="1"/>
  <c r="P88" i="1" s="1"/>
  <c r="Q88" i="1" s="1"/>
  <c r="R88" i="1" s="1"/>
  <c r="S88" i="1" s="1"/>
  <c r="K89" i="1"/>
  <c r="L89" i="1" s="1"/>
  <c r="P89" i="1" s="1"/>
  <c r="Q89" i="1" s="1"/>
  <c r="R89" i="1" s="1"/>
  <c r="K90" i="1"/>
  <c r="L90" i="1" s="1"/>
  <c r="P90" i="1" s="1"/>
  <c r="Q90" i="1" s="1"/>
  <c r="R90" i="1" s="1"/>
  <c r="S90" i="1" s="1"/>
  <c r="K91" i="1"/>
  <c r="L91" i="1" s="1"/>
  <c r="P91" i="1" s="1"/>
  <c r="Q91" i="1" s="1"/>
  <c r="R91" i="1" s="1"/>
  <c r="S91" i="1" s="1"/>
  <c r="K92" i="1"/>
  <c r="L92" i="1" s="1"/>
  <c r="P92" i="1" s="1"/>
  <c r="Q92" i="1" s="1"/>
  <c r="R92" i="1" s="1"/>
  <c r="K97" i="1"/>
  <c r="L97" i="1" s="1"/>
  <c r="P97" i="1" s="1"/>
  <c r="Q97" i="1" s="1"/>
  <c r="R97" i="1" s="1"/>
  <c r="K100" i="1"/>
  <c r="L100" i="1" s="1"/>
  <c r="P100" i="1" s="1"/>
  <c r="Q100" i="1" s="1"/>
  <c r="R100" i="1" s="1"/>
  <c r="S100" i="1" s="1"/>
  <c r="K101" i="1"/>
  <c r="K102" i="1"/>
  <c r="L102" i="1" s="1"/>
  <c r="P102" i="1" s="1"/>
  <c r="Q102" i="1" s="1"/>
  <c r="R102" i="1" s="1"/>
  <c r="S102" i="1" s="1"/>
  <c r="K103" i="1"/>
  <c r="K107" i="1"/>
  <c r="I16" i="3" l="1"/>
  <c r="D16" i="6" s="1"/>
  <c r="H16" i="6" s="1"/>
  <c r="I8" i="3"/>
  <c r="D8" i="6" s="1"/>
  <c r="H8" i="6" s="1"/>
  <c r="H116" i="1"/>
  <c r="S79" i="1"/>
  <c r="S57" i="1"/>
  <c r="S55" i="1"/>
  <c r="S56" i="1"/>
  <c r="S33" i="1"/>
  <c r="S31" i="1"/>
  <c r="S32" i="1"/>
  <c r="S82" i="1"/>
  <c r="S83" i="1"/>
  <c r="S84" i="1"/>
  <c r="S66" i="1"/>
  <c r="S65" i="1"/>
  <c r="S64" i="1"/>
  <c r="S54" i="1"/>
  <c r="S52" i="1"/>
  <c r="S53" i="1"/>
  <c r="S41" i="1"/>
  <c r="S40" i="1"/>
  <c r="S42" i="1"/>
  <c r="S29" i="1"/>
  <c r="S28" i="1"/>
  <c r="S30" i="1"/>
  <c r="S17" i="1"/>
  <c r="S16" i="1"/>
  <c r="S18" i="1"/>
  <c r="I9" i="3"/>
  <c r="D9" i="6" s="1"/>
  <c r="H9" i="6" s="1"/>
  <c r="I11" i="3"/>
  <c r="D11" i="6" s="1"/>
  <c r="H11" i="6" s="1"/>
  <c r="S97" i="1"/>
  <c r="H121" i="1"/>
  <c r="S89" i="1"/>
  <c r="H120" i="1"/>
  <c r="S61" i="1"/>
  <c r="S63" i="1"/>
  <c r="S62" i="1"/>
  <c r="S50" i="1"/>
  <c r="S51" i="1"/>
  <c r="S49" i="1"/>
  <c r="S39" i="1"/>
  <c r="S38" i="1"/>
  <c r="S37" i="1"/>
  <c r="S27" i="1"/>
  <c r="S26" i="1"/>
  <c r="S25" i="1"/>
  <c r="S13" i="1"/>
  <c r="S15" i="1"/>
  <c r="S14" i="1"/>
  <c r="I15" i="3"/>
  <c r="D15" i="6" s="1"/>
  <c r="H15" i="6" s="1"/>
  <c r="I13" i="3"/>
  <c r="D13" i="6" s="1"/>
  <c r="H13" i="6" s="1"/>
  <c r="I14" i="3"/>
  <c r="D14" i="6" s="1"/>
  <c r="H14" i="6" s="1"/>
  <c r="G7" i="3"/>
  <c r="G18" i="3" s="1"/>
  <c r="F7" i="3"/>
  <c r="F18" i="3" s="1"/>
  <c r="H7" i="3"/>
  <c r="H18" i="3" s="1"/>
  <c r="E7" i="3"/>
  <c r="I17" i="3"/>
  <c r="D17" i="6" s="1"/>
  <c r="H17" i="6" s="1"/>
  <c r="S73" i="1"/>
  <c r="S60" i="1"/>
  <c r="S58" i="1"/>
  <c r="S59" i="1"/>
  <c r="S46" i="1"/>
  <c r="S47" i="1"/>
  <c r="S48" i="1"/>
  <c r="S34" i="1"/>
  <c r="S36" i="1"/>
  <c r="S35" i="1"/>
  <c r="S22" i="1"/>
  <c r="S23" i="1"/>
  <c r="S24" i="1"/>
  <c r="S12" i="1"/>
  <c r="S10" i="1"/>
  <c r="S11" i="1"/>
  <c r="I12" i="3"/>
  <c r="D12" i="6" s="1"/>
  <c r="H12" i="6" s="1"/>
  <c r="H117" i="1"/>
  <c r="I10" i="3"/>
  <c r="D10" i="6" s="1"/>
  <c r="H10" i="6" s="1"/>
  <c r="H123" i="1"/>
  <c r="S92" i="1"/>
  <c r="H122" i="1"/>
  <c r="S87" i="1"/>
  <c r="S86" i="1"/>
  <c r="S85" i="1"/>
  <c r="S72" i="1"/>
  <c r="S70" i="1"/>
  <c r="S71" i="1"/>
  <c r="S45" i="1"/>
  <c r="S44" i="1"/>
  <c r="S43" i="1"/>
  <c r="S21" i="1"/>
  <c r="S20" i="1"/>
  <c r="S19" i="1"/>
  <c r="H115" i="1"/>
  <c r="L77" i="1"/>
  <c r="P77" i="1" s="1"/>
  <c r="Q77" i="1" s="1"/>
  <c r="R77" i="1" s="1"/>
  <c r="L101" i="1"/>
  <c r="P101" i="1" s="1"/>
  <c r="Q101" i="1" s="1"/>
  <c r="R101" i="1" s="1"/>
  <c r="S101" i="1" s="1"/>
  <c r="L103" i="1"/>
  <c r="P103" i="1" s="1"/>
  <c r="Q103" i="1" s="1"/>
  <c r="R103" i="1" s="1"/>
  <c r="S103" i="1" s="1"/>
  <c r="L107" i="1"/>
  <c r="P107" i="1" s="1"/>
  <c r="Q107" i="1" s="1"/>
  <c r="R107" i="1" s="1"/>
  <c r="S77" i="1" l="1"/>
  <c r="H118" i="1"/>
  <c r="I7" i="3"/>
  <c r="D7" i="6" s="1"/>
  <c r="H7" i="6" s="1"/>
  <c r="E18" i="3"/>
  <c r="I18" i="3" s="1"/>
  <c r="D18" i="6" s="1"/>
  <c r="H18" i="6" s="1"/>
  <c r="S107" i="1"/>
  <c r="H124" i="1"/>
  <c r="H125" i="1" s="1"/>
  <c r="R109" i="1"/>
  <c r="J101" i="1" l="1"/>
  <c r="J100" i="1"/>
  <c r="J98" i="1"/>
  <c r="J97" i="1"/>
  <c r="J96" i="1"/>
  <c r="J95" i="1"/>
  <c r="J93" i="1"/>
  <c r="J92" i="1"/>
  <c r="G122" i="1" s="1"/>
  <c r="J91" i="1"/>
  <c r="J90" i="1"/>
  <c r="J89" i="1"/>
  <c r="J88" i="1"/>
  <c r="J81" i="1"/>
  <c r="G116" i="1" s="1"/>
  <c r="J80" i="1"/>
  <c r="J79" i="1"/>
  <c r="J77" i="1"/>
  <c r="G114" i="1"/>
  <c r="J73" i="1"/>
  <c r="J102" i="1"/>
  <c r="J103" i="1"/>
  <c r="J107" i="1"/>
  <c r="G120" i="1"/>
  <c r="J106" i="1"/>
  <c r="J105" i="1"/>
  <c r="G119" i="1" s="1"/>
  <c r="J104" i="1"/>
  <c r="J87" i="1"/>
  <c r="J86" i="1"/>
  <c r="J85" i="1"/>
  <c r="J84" i="1"/>
  <c r="J83" i="1"/>
  <c r="J82" i="1"/>
  <c r="J72" i="1"/>
  <c r="J71" i="1"/>
  <c r="J70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F114" i="1"/>
  <c r="F115" i="1"/>
  <c r="F116" i="1"/>
  <c r="F117" i="1"/>
  <c r="F118" i="1"/>
  <c r="F119" i="1"/>
  <c r="F120" i="1"/>
  <c r="F121" i="1"/>
  <c r="F122" i="1"/>
  <c r="F123" i="1"/>
  <c r="F124" i="1"/>
  <c r="G118" i="1" l="1"/>
  <c r="G124" i="1"/>
  <c r="G115" i="1"/>
  <c r="G121" i="1"/>
  <c r="G117" i="1"/>
  <c r="G123" i="1"/>
  <c r="G125" i="1" l="1"/>
</calcChain>
</file>

<file path=xl/sharedStrings.xml><?xml version="1.0" encoding="utf-8"?>
<sst xmlns="http://schemas.openxmlformats.org/spreadsheetml/2006/main" count="246" uniqueCount="115">
  <si>
    <t xml:space="preserve">EMPRESAS </t>
  </si>
  <si>
    <t>UNITRANSA S.A</t>
  </si>
  <si>
    <t>TRANSCOLOMBIA S.A</t>
  </si>
  <si>
    <t>COTRANDER LTDA</t>
  </si>
  <si>
    <t>BUENAVISTA – MORRORICO – CARRERA 9 – CANELOS – INEM</t>
  </si>
  <si>
    <t>CONVIVIR-MODELO-UIS</t>
  </si>
  <si>
    <t>LA JOYA – CENTRO – BUENAVISTA</t>
  </si>
  <si>
    <t>DON BOSCO-CARRERA 33-REAL DE MINAS</t>
  </si>
  <si>
    <t>ALTOS DE CARRIZAL – CALLE 45 – CABECERA – PORTON DEL TEJAR – CAMPANAZO</t>
  </si>
  <si>
    <t>JOYA – UIS – CARRERA 33 – LA VICTORIA</t>
  </si>
  <si>
    <t>LIMONCITO</t>
  </si>
  <si>
    <t>TRINIDAD – TERRAZAS – AV.QUEBRADASECA – SAN MIGUEL</t>
  </si>
  <si>
    <t>QUINTA ESTRELLA – REAL DE MINAS – REPOSO</t>
  </si>
  <si>
    <t>BAHONDO – RINCON – CARRERA 33</t>
  </si>
  <si>
    <t>BAVARIA – CAFÉ – REAL DE MINAS – MUTIS</t>
  </si>
  <si>
    <t>LA FERIA – CENTRO – UIS – LA VICTORIA</t>
  </si>
  <si>
    <t>PUENTE TIERRA – CENTRO – CARRERRA 33 – CIUDAD VALENCIA</t>
  </si>
  <si>
    <t>BOSCONIA – LOS ANGELES – CHAPINERO – CENTRO – REAL DE MINAS – INEM</t>
  </si>
  <si>
    <t>HAMACAS – CARRERA 33 – REPOSO</t>
  </si>
  <si>
    <t>CAFÉ – INEM</t>
  </si>
  <si>
    <t>MONTERREDONDO – CARRERA 33 – VILLA ROSA</t>
  </si>
  <si>
    <t>PABLON-CARRERA33-ESTORAQUES</t>
  </si>
  <si>
    <t>MARIA PAZ – CANELOS – MONTERREDONDO</t>
  </si>
  <si>
    <t>VILLA ROSA – REAL DE MINAS – INEM</t>
  </si>
  <si>
    <t>COLORADOS – REAL DE MINAS – MUTIS</t>
  </si>
  <si>
    <t>CUMBRE – EL CARMEN – TRANSVERSAL – CARRERA 33 – PINOS</t>
  </si>
  <si>
    <t>CARACOLI-CARRETERA ANTIGUA-CARRERA 33-CENTRO</t>
  </si>
  <si>
    <t>LUSITANIA S.A</t>
  </si>
  <si>
    <t>LAURELES – OASIS – REPOSO – CARRETERA ANTIGUA – GONZÁLES VALENCIA – CARRERA 16 –CENTRO</t>
  </si>
  <si>
    <t>ESTORAQUES – PINOS</t>
  </si>
  <si>
    <t>ORIENTAL DE TRANSPORTES S.A</t>
  </si>
  <si>
    <t>MIRADOR DE ARENALES – POBLADO – CENTRO – CARRERA 22</t>
  </si>
  <si>
    <t>TRANSPORTES GIRON S.A</t>
  </si>
  <si>
    <t>BAHONDO – CARRERA 33</t>
  </si>
  <si>
    <t>BELLAVISTA – POBLADO – REAL DE MINAS – UIS</t>
  </si>
  <si>
    <t>CARACOLÍ</t>
  </si>
  <si>
    <t>BAHONDO – POBLADO – CALLE 45 – K33</t>
  </si>
  <si>
    <t>BAHONDO – RINCON – REAL DE MINAS – UIS</t>
  </si>
  <si>
    <t>TRANSPORTES PIEDECUESTA S.A</t>
  </si>
  <si>
    <t>BRISAS DEL CAMPO – RINCÓN – UIS</t>
  </si>
  <si>
    <t>METROPOLITANA DE SERVICIOS S.A</t>
  </si>
  <si>
    <t>CAFÉ – PALENQUE – PUERTA DEL SOL – UIS</t>
  </si>
  <si>
    <t>BRISAS DEL CAMPO – RINCÓN – REAL DE MINAS – UIS</t>
  </si>
  <si>
    <t>CAMPIÑA – POBLADO – CARRERA 33</t>
  </si>
  <si>
    <t>COOTRAGAS CTA</t>
  </si>
  <si>
    <t>CARACOLÍ – TRANSVERSAL ORIENTAL – HIPINTO – CARRERA 21 – CENTRO</t>
  </si>
  <si>
    <t>LA MESETA – RINCON- REAL DE MINAS – CENTRO – UIS</t>
  </si>
  <si>
    <t>FLORIDA – TERMINAL – GIRÓN</t>
  </si>
  <si>
    <t>TRANSPORTES SAN JUAN S.A</t>
  </si>
  <si>
    <t>MIRADOR DE ARENALES – POBLADO – REAL DE MINAS – CARRERA 36 – UIS</t>
  </si>
  <si>
    <t>BRISAS DEL CAMPO – POBLADO – REAL DE MINAS – UIS</t>
  </si>
  <si>
    <t>MIRADOR DE ARENALES – POBLADO – RINCON – FLORIDABLANCA</t>
  </si>
  <si>
    <t>CARRIZAL – CARRERA 33</t>
  </si>
  <si>
    <t>PIEDECUESTA – ANILLO VIAL – GIRON – KENNEDY</t>
  </si>
  <si>
    <t>PIEDECUESTA – FLORIDABLANCA – CARRETERA ANTIGUA – CARRERA 33</t>
  </si>
  <si>
    <t>TRANSPORTES VIILA DE SAN CARLOS S.A</t>
  </si>
  <si>
    <t>PIEDECUESTA – FLORIDABLANCA – CARRETERA ANTIGUA – CARRERA 21</t>
  </si>
  <si>
    <t>RUTA</t>
  </si>
  <si>
    <t>NOMBRE RUTA</t>
  </si>
  <si>
    <t>EMPRESA</t>
  </si>
  <si>
    <t xml:space="preserve">CAPACIDAD MIN </t>
  </si>
  <si>
    <t>CAPACIDAD MAX</t>
  </si>
  <si>
    <t>FRECUENCIA</t>
  </si>
  <si>
    <t>LONG (KM)</t>
  </si>
  <si>
    <t>EMPRESAS</t>
  </si>
  <si>
    <t>Nº DE RUTAS</t>
  </si>
  <si>
    <t>LONG TOTAL (KM)</t>
  </si>
  <si>
    <t>28 A</t>
  </si>
  <si>
    <t>CUMBRE-REPOSO-CARRERA 36</t>
  </si>
  <si>
    <t>BETANIA-REAL DE MINAS-INEM</t>
  </si>
  <si>
    <t>LA MESETA-POBLADO-RELA DE MINAS-CENTRO-UIS-CRA 33</t>
  </si>
  <si>
    <t>TIEMPO RECORRIDO (CICLO) MIN</t>
  </si>
  <si>
    <t>FLOTA</t>
  </si>
  <si>
    <t>%</t>
  </si>
  <si>
    <t xml:space="preserve">RPD </t>
  </si>
  <si>
    <t>T DE VIAJE</t>
  </si>
  <si>
    <t>Nº RECORRIDOS</t>
  </si>
  <si>
    <t>VEL</t>
  </si>
  <si>
    <t>INT</t>
  </si>
  <si>
    <t>T SERVICIO</t>
  </si>
  <si>
    <t>LONG</t>
  </si>
  <si>
    <t>FRE</t>
  </si>
  <si>
    <t>RECORRIDO TOTAL</t>
  </si>
  <si>
    <t>CICLO</t>
  </si>
  <si>
    <t>FLOTA CAL</t>
  </si>
  <si>
    <t>PROM</t>
  </si>
  <si>
    <t>PARCIALES</t>
  </si>
  <si>
    <t>DIA HABIL</t>
  </si>
  <si>
    <t>SABADO</t>
  </si>
  <si>
    <t>DOMINGO</t>
  </si>
  <si>
    <t>FESTIVO</t>
  </si>
  <si>
    <t>TOTAL</t>
  </si>
  <si>
    <t>RPD (KM)</t>
  </si>
  <si>
    <t>RPA (KM)</t>
  </si>
  <si>
    <t>VALOR GALON ($/GAL)</t>
  </si>
  <si>
    <t>RENDIMIENTO (KM/GAL)</t>
  </si>
  <si>
    <t>COSTO DE COMBUSTIBLE ($/KM)</t>
  </si>
  <si>
    <t>TOTAL ($)</t>
  </si>
  <si>
    <t>VELOCIDAD (KM/H)</t>
  </si>
  <si>
    <t>INTERVALO (DESPACHOS/DIA)</t>
  </si>
  <si>
    <t>TIEMPO DE SERVICIO (H)</t>
  </si>
  <si>
    <t>PUNTO 1</t>
  </si>
  <si>
    <t>EDAD</t>
  </si>
  <si>
    <t>FACTOR DE RENDIMIENTO</t>
  </si>
  <si>
    <t>PUNTO 2</t>
  </si>
  <si>
    <t>AÑO</t>
  </si>
  <si>
    <t>F.R</t>
  </si>
  <si>
    <t>BUS 105</t>
  </si>
  <si>
    <t>BUS 80</t>
  </si>
  <si>
    <t>BUS 60</t>
  </si>
  <si>
    <t>BUSETON</t>
  </si>
  <si>
    <t>BUSETA</t>
  </si>
  <si>
    <t>VEH</t>
  </si>
  <si>
    <t>PRODUCTO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</si>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</sst>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  <numFmt numFmtId="166" formatCode="0.00000"/>
    <numFmt numFmtId="167" formatCode="0.0000"/>
    <numFmt numFmtId="168" formatCode="0.000"/>
    <numFmt numFmtId="169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1" fontId="0" fillId="0" borderId="3" xfId="0" applyNumberFormat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right"/>
    </xf>
    <xf numFmtId="1" fontId="0" fillId="0" borderId="1" xfId="0" applyNumberFormat="1" applyBorder="1" applyAlignment="1"/>
    <xf numFmtId="1" fontId="0" fillId="0" borderId="7" xfId="0" applyNumberFormat="1" applyBorder="1"/>
    <xf numFmtId="1" fontId="0" fillId="0" borderId="0" xfId="0" applyNumberFormat="1" applyBorder="1" applyAlignment="1"/>
    <xf numFmtId="1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2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0" borderId="1" xfId="1" applyNumberFormat="1" applyFont="1" applyBorder="1"/>
    <xf numFmtId="164" fontId="0" fillId="0" borderId="1" xfId="0" applyNumberFormat="1" applyBorder="1"/>
    <xf numFmtId="1" fontId="0" fillId="6" borderId="1" xfId="0" applyNumberFormat="1" applyFill="1" applyBorder="1" applyAlignment="1">
      <alignment horizontal="center"/>
    </xf>
    <xf numFmtId="164" fontId="0" fillId="6" borderId="1" xfId="1" applyNumberFormat="1" applyFont="1" applyFill="1" applyBorder="1" applyAlignment="1">
      <alignment horizontal="center"/>
    </xf>
    <xf numFmtId="164" fontId="0" fillId="6" borderId="1" xfId="0" applyNumberFormat="1" applyFill="1" applyBorder="1"/>
    <xf numFmtId="165" fontId="0" fillId="0" borderId="1" xfId="2" applyNumberFormat="1" applyFont="1" applyBorder="1" applyAlignment="1">
      <alignment horizontal="center"/>
    </xf>
    <xf numFmtId="165" fontId="0" fillId="0" borderId="1" xfId="2" applyNumberFormat="1" applyFont="1" applyBorder="1"/>
    <xf numFmtId="0" fontId="0" fillId="3" borderId="1" xfId="0" applyFill="1" applyBorder="1"/>
    <xf numFmtId="0" fontId="0" fillId="5" borderId="1" xfId="0" applyFill="1" applyBorder="1"/>
    <xf numFmtId="0" fontId="0" fillId="0" borderId="0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167" fontId="0" fillId="0" borderId="1" xfId="0" applyNumberFormat="1" applyBorder="1"/>
    <xf numFmtId="167" fontId="0" fillId="0" borderId="1" xfId="0" applyNumberFormat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6" fontId="0" fillId="0" borderId="0" xfId="0" applyNumberFormat="1"/>
    <xf numFmtId="0" fontId="0" fillId="0" borderId="0" xfId="0" applyBorder="1" applyAlignment="1">
      <alignment horizontal="center"/>
    </xf>
    <xf numFmtId="9" fontId="0" fillId="0" borderId="1" xfId="3" applyFont="1" applyBorder="1" applyAlignment="1">
      <alignment horizontal="center"/>
    </xf>
    <xf numFmtId="9" fontId="0" fillId="3" borderId="1" xfId="3" applyFont="1" applyFill="1" applyBorder="1" applyAlignment="1">
      <alignment horizontal="center"/>
    </xf>
    <xf numFmtId="9" fontId="0" fillId="0" borderId="0" xfId="3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9" fontId="0" fillId="0" borderId="0" xfId="3" applyFont="1" applyFill="1" applyBorder="1" applyAlignment="1">
      <alignment horizontal="center"/>
    </xf>
    <xf numFmtId="168" fontId="0" fillId="0" borderId="1" xfId="0" applyNumberFormat="1" applyBorder="1"/>
    <xf numFmtId="2" fontId="0" fillId="8" borderId="1" xfId="0" applyNumberFormat="1" applyFill="1" applyBorder="1" applyAlignment="1">
      <alignment horizontal="center"/>
    </xf>
    <xf numFmtId="164" fontId="0" fillId="8" borderId="1" xfId="1" applyNumberFormat="1" applyFont="1" applyFill="1" applyBorder="1"/>
    <xf numFmtId="165" fontId="0" fillId="8" borderId="1" xfId="2" applyNumberFormat="1" applyFont="1" applyFill="1" applyBorder="1" applyAlignment="1">
      <alignment horizontal="center"/>
    </xf>
    <xf numFmtId="165" fontId="0" fillId="8" borderId="1" xfId="2" applyNumberFormat="1" applyFont="1" applyFill="1" applyBorder="1"/>
    <xf numFmtId="165" fontId="0" fillId="0" borderId="1" xfId="2" applyNumberFormat="1" applyFont="1" applyBorder="1" applyAlignment="1"/>
    <xf numFmtId="165" fontId="0" fillId="8" borderId="1" xfId="2" applyNumberFormat="1" applyFont="1" applyFill="1" applyBorder="1" applyAlignment="1"/>
    <xf numFmtId="1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4" borderId="1" xfId="0" applyNumberFormat="1" applyFill="1" applyBorder="1" applyAlignment="1"/>
    <xf numFmtId="1" fontId="0" fillId="4" borderId="5" xfId="0" applyNumberFormat="1" applyFill="1" applyBorder="1"/>
    <xf numFmtId="1" fontId="0" fillId="4" borderId="1" xfId="0" applyNumberFormat="1" applyFill="1" applyBorder="1"/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2" fontId="0" fillId="5" borderId="3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center" vertical="center"/>
    </xf>
    <xf numFmtId="1" fontId="0" fillId="5" borderId="5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DISMINUCION</a:t>
            </a:r>
            <a:r>
              <a:rPr lang="en-US" baseline="0"/>
              <a:t> DE RENDIMIENTO DE COMBUSTIBLE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chemeClr val="accent1">
                    <a:alpha val="50000"/>
                  </a:schemeClr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838188976377953"/>
                  <c:y val="0.23515982176589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'FACTOR RENDIMIENTO'!$C$4:$C$5</c:f>
              <c:numCache>
                <c:formatCode>General</c:formatCode>
                <c:ptCount val="2"/>
                <c:pt idx="0">
                  <c:v>0.5</c:v>
                </c:pt>
                <c:pt idx="1">
                  <c:v>7.5</c:v>
                </c:pt>
              </c:numCache>
            </c:numRef>
          </c:xVal>
          <c:yVal>
            <c:numRef>
              <c:f>'FACTOR RENDIMIENTO'!$D$4:$D$5</c:f>
              <c:numCache>
                <c:formatCode>General</c:formatCode>
                <c:ptCount val="2"/>
                <c:pt idx="0">
                  <c:v>1</c:v>
                </c:pt>
                <c:pt idx="1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57-4869-A525-7E3EA4C4F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098200"/>
        <c:axId val="416097544"/>
      </c:scatterChart>
      <c:valAx>
        <c:axId val="416098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EDAD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6097544"/>
        <c:crosses val="autoZero"/>
        <c:crossBetween val="midCat"/>
      </c:valAx>
      <c:valAx>
        <c:axId val="41609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FACTORDE COMBUSTIBLE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6098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'FACTOR RENDIMIENTO'!$K$20:$K$40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'FACTOR RENDIMIENTO'!$L$20:$L$40</c:f>
              <c:numCache>
                <c:formatCode>General</c:formatCode>
                <c:ptCount val="21"/>
                <c:pt idx="0">
                  <c:v>3</c:v>
                </c:pt>
                <c:pt idx="1">
                  <c:v>26</c:v>
                </c:pt>
                <c:pt idx="2">
                  <c:v>46</c:v>
                </c:pt>
                <c:pt idx="3">
                  <c:v>50</c:v>
                </c:pt>
                <c:pt idx="4">
                  <c:v>87</c:v>
                </c:pt>
                <c:pt idx="5">
                  <c:v>108</c:v>
                </c:pt>
                <c:pt idx="6">
                  <c:v>97</c:v>
                </c:pt>
                <c:pt idx="7">
                  <c:v>103</c:v>
                </c:pt>
                <c:pt idx="8">
                  <c:v>52</c:v>
                </c:pt>
                <c:pt idx="9">
                  <c:v>85</c:v>
                </c:pt>
                <c:pt idx="10">
                  <c:v>44</c:v>
                </c:pt>
                <c:pt idx="11">
                  <c:v>16</c:v>
                </c:pt>
                <c:pt idx="12">
                  <c:v>13</c:v>
                </c:pt>
                <c:pt idx="13">
                  <c:v>27</c:v>
                </c:pt>
                <c:pt idx="14">
                  <c:v>19</c:v>
                </c:pt>
                <c:pt idx="15">
                  <c:v>38</c:v>
                </c:pt>
                <c:pt idx="16">
                  <c:v>22</c:v>
                </c:pt>
                <c:pt idx="17">
                  <c:v>13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4A-4ADF-9AF7-52B448094C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42354360"/>
        <c:axId val="442353704"/>
      </c:barChart>
      <c:catAx>
        <c:axId val="44235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2353704"/>
        <c:crosses val="autoZero"/>
        <c:auto val="1"/>
        <c:lblAlgn val="ctr"/>
        <c:lblOffset val="100"/>
        <c:noMultiLvlLbl val="0"/>
      </c:catAx>
      <c:valAx>
        <c:axId val="44235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2354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60463</xdr:colOff>
      <xdr:row>122</xdr:row>
      <xdr:rowOff>136070</xdr:rowOff>
    </xdr:from>
    <xdr:to>
      <xdr:col>27</xdr:col>
      <xdr:colOff>370411</xdr:colOff>
      <xdr:row>139</xdr:row>
      <xdr:rowOff>149677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EBFD38-41A0-45C2-8FD4-E2CFDCC4F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947" t="46364" r="31584" b="14050"/>
        <a:stretch/>
      </xdr:blipFill>
      <xdr:spPr>
        <a:xfrm>
          <a:off x="27968713" y="23445106"/>
          <a:ext cx="5181305" cy="3252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904875</xdr:colOff>
      <xdr:row>0</xdr:row>
      <xdr:rowOff>9525</xdr:rowOff>
    </xdr:from>
    <xdr:to>
      <xdr:col>10</xdr:col>
      <xdr:colOff>742950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CA2FC4-B969-464E-AABF-37A84D82C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1581150</xdr:colOff>
      <xdr:row>44</xdr:row>
      <xdr:rowOff>109537</xdr:rowOff>
    </xdr:from>
    <xdr:to>
      <xdr:col>9</xdr:col>
      <xdr:colOff>581025</xdr:colOff>
      <xdr:row>58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303187-73D4-4DB3-83A2-7A9D8C2D5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24E1-EE08-4719-8EE4-9EF3E5B8FC4D}">
  <sheetPr codeName="Hoja1"/>
  <dimension ref="C2:AC125"/>
  <sheetViews>
    <sheetView tabSelected="1" zoomScale="70" zoomScaleNormal="70" workbookViewId="0">
      <selection activeCell="G128" sqref="G128"/>
    </sheetView>
  </sheetViews>
  <sheetFormatPr baseColWidth="10" defaultRowHeight="15" x14ac:dyDescent="0.25"/>
  <cols>
    <col min="3" max="3" width="11.42578125" style="1"/>
    <col min="4" max="4" width="57.7109375" style="1" customWidth="1"/>
    <col min="5" max="5" width="44.28515625" customWidth="1"/>
    <col min="6" max="6" width="17.140625" customWidth="1"/>
    <col min="7" max="7" width="19" customWidth="1"/>
    <col min="8" max="8" width="14.140625" customWidth="1"/>
    <col min="9" max="9" width="19.28515625" customWidth="1"/>
    <col min="10" max="10" width="3.28515625" hidden="1" customWidth="1"/>
    <col min="11" max="11" width="26.140625" customWidth="1"/>
    <col min="12" max="12" width="22.5703125" customWidth="1"/>
    <col min="13" max="13" width="26.140625" customWidth="1"/>
    <col min="14" max="14" width="22.42578125" customWidth="1"/>
    <col min="15" max="15" width="21.42578125" style="15" customWidth="1"/>
    <col min="16" max="16" width="11.42578125" style="15"/>
    <col min="17" max="17" width="21.28515625" style="17" customWidth="1"/>
    <col min="18" max="18" width="16.140625" customWidth="1"/>
    <col min="19" max="19" width="0.140625" customWidth="1"/>
    <col min="20" max="20" width="44.85546875" customWidth="1"/>
    <col min="21" max="21" width="11.28515625" customWidth="1"/>
    <col min="22" max="22" width="11.42578125" hidden="1" customWidth="1"/>
    <col min="26" max="26" width="13.85546875" customWidth="1"/>
    <col min="27" max="27" width="13.5703125" bestFit="1" customWidth="1"/>
  </cols>
  <sheetData>
    <row r="2" spans="3:19" x14ac:dyDescent="0.25">
      <c r="C2" s="73" t="s">
        <v>57</v>
      </c>
      <c r="D2" s="73" t="s">
        <v>58</v>
      </c>
      <c r="E2" s="73" t="s">
        <v>59</v>
      </c>
      <c r="F2" s="73" t="s">
        <v>60</v>
      </c>
      <c r="G2" s="73" t="s">
        <v>61</v>
      </c>
      <c r="H2" s="73" t="s">
        <v>62</v>
      </c>
      <c r="I2" s="73" t="s">
        <v>63</v>
      </c>
      <c r="K2" s="98" t="s">
        <v>71</v>
      </c>
      <c r="L2" s="99" t="s">
        <v>98</v>
      </c>
      <c r="M2" s="73" t="s">
        <v>100</v>
      </c>
      <c r="N2" s="98" t="s">
        <v>99</v>
      </c>
      <c r="O2" s="100" t="s">
        <v>74</v>
      </c>
      <c r="P2" s="100" t="s">
        <v>75</v>
      </c>
      <c r="Q2" s="101" t="s">
        <v>76</v>
      </c>
      <c r="R2" s="102" t="s">
        <v>72</v>
      </c>
    </row>
    <row r="3" spans="3:19" x14ac:dyDescent="0.25">
      <c r="C3" s="73"/>
      <c r="D3" s="73"/>
      <c r="E3" s="73"/>
      <c r="F3" s="73"/>
      <c r="G3" s="73"/>
      <c r="H3" s="73"/>
      <c r="I3" s="73"/>
      <c r="K3" s="98"/>
      <c r="L3" s="103"/>
      <c r="M3" s="73"/>
      <c r="N3" s="98"/>
      <c r="O3" s="104"/>
      <c r="P3" s="104"/>
      <c r="Q3" s="105"/>
      <c r="R3" s="106"/>
    </row>
    <row r="4" spans="3:19" x14ac:dyDescent="0.25">
      <c r="C4" s="72">
        <v>1</v>
      </c>
      <c r="D4" s="71" t="s">
        <v>5</v>
      </c>
      <c r="E4" s="2" t="s">
        <v>1</v>
      </c>
      <c r="F4" s="71">
        <v>18</v>
      </c>
      <c r="G4" s="71">
        <v>23</v>
      </c>
      <c r="H4" s="71">
        <v>5</v>
      </c>
      <c r="I4" s="71">
        <v>27.17</v>
      </c>
      <c r="J4" s="19">
        <f>I4</f>
        <v>27.17</v>
      </c>
      <c r="K4" s="71">
        <f>F4*H4</f>
        <v>90</v>
      </c>
      <c r="L4" s="82">
        <f>I4*60/K4</f>
        <v>18.113333333333333</v>
      </c>
      <c r="M4" s="71">
        <v>14</v>
      </c>
      <c r="N4" s="81">
        <f>(M4*60)/H4</f>
        <v>168</v>
      </c>
      <c r="O4" s="82">
        <f>N4*I4</f>
        <v>4564.5600000000004</v>
      </c>
      <c r="P4" s="82">
        <f>I4/L4</f>
        <v>1.5</v>
      </c>
      <c r="Q4" s="89">
        <f>M4/P4</f>
        <v>9.3333333333333339</v>
      </c>
      <c r="R4" s="89">
        <f>(1.1*(O4/(I4*Q4)))</f>
        <v>19.8</v>
      </c>
      <c r="S4" s="17">
        <f>R4</f>
        <v>19.8</v>
      </c>
    </row>
    <row r="5" spans="3:19" x14ac:dyDescent="0.25">
      <c r="C5" s="72"/>
      <c r="D5" s="71"/>
      <c r="E5" s="2" t="s">
        <v>2</v>
      </c>
      <c r="F5" s="71"/>
      <c r="G5" s="71"/>
      <c r="H5" s="71"/>
      <c r="I5" s="71"/>
      <c r="J5" s="19">
        <f>I4</f>
        <v>27.17</v>
      </c>
      <c r="K5" s="71"/>
      <c r="L5" s="83"/>
      <c r="M5" s="71"/>
      <c r="N5" s="81"/>
      <c r="O5" s="83"/>
      <c r="P5" s="83"/>
      <c r="Q5" s="91"/>
      <c r="R5" s="91"/>
      <c r="S5" s="17">
        <f>S4</f>
        <v>19.8</v>
      </c>
    </row>
    <row r="6" spans="3:19" x14ac:dyDescent="0.25">
      <c r="C6" s="72"/>
      <c r="D6" s="71"/>
      <c r="E6" s="2" t="s">
        <v>3</v>
      </c>
      <c r="F6" s="71"/>
      <c r="G6" s="71"/>
      <c r="H6" s="71"/>
      <c r="I6" s="71"/>
      <c r="J6" s="19">
        <f>I4</f>
        <v>27.17</v>
      </c>
      <c r="K6" s="71"/>
      <c r="L6" s="84"/>
      <c r="M6" s="71"/>
      <c r="N6" s="81"/>
      <c r="O6" s="84"/>
      <c r="P6" s="84"/>
      <c r="Q6" s="90"/>
      <c r="R6" s="90"/>
      <c r="S6" s="17">
        <f>S5</f>
        <v>19.8</v>
      </c>
    </row>
    <row r="7" spans="3:19" x14ac:dyDescent="0.25">
      <c r="C7" s="72">
        <v>2</v>
      </c>
      <c r="D7" s="71" t="s">
        <v>4</v>
      </c>
      <c r="E7" s="2" t="s">
        <v>1</v>
      </c>
      <c r="F7" s="71">
        <v>18</v>
      </c>
      <c r="G7" s="71">
        <v>22</v>
      </c>
      <c r="H7" s="71">
        <v>6</v>
      </c>
      <c r="I7" s="71">
        <v>26.82</v>
      </c>
      <c r="J7" s="19">
        <f>I7</f>
        <v>26.82</v>
      </c>
      <c r="K7" s="71">
        <f>F7*H7</f>
        <v>108</v>
      </c>
      <c r="L7" s="82">
        <f t="shared" ref="L7:L67" si="0">I7*60/K7</f>
        <v>14.9</v>
      </c>
      <c r="M7" s="71">
        <v>14</v>
      </c>
      <c r="N7" s="81">
        <f t="shared" ref="N7" si="1">(M7*60)/H7</f>
        <v>140</v>
      </c>
      <c r="O7" s="82">
        <f t="shared" ref="O7:O67" si="2">N7*I7</f>
        <v>3754.8</v>
      </c>
      <c r="P7" s="82">
        <f t="shared" ref="P7:P67" si="3">I7/L7</f>
        <v>1.8</v>
      </c>
      <c r="Q7" s="89">
        <f t="shared" ref="Q7:Q67" si="4">M7/P7</f>
        <v>7.7777777777777777</v>
      </c>
      <c r="R7" s="89">
        <f t="shared" ref="R7" si="5">(1.1*(O7/(I7*Q7)))</f>
        <v>19.8</v>
      </c>
      <c r="S7" s="17">
        <f>R7</f>
        <v>19.8</v>
      </c>
    </row>
    <row r="8" spans="3:19" x14ac:dyDescent="0.25">
      <c r="C8" s="72"/>
      <c r="D8" s="71"/>
      <c r="E8" s="2" t="s">
        <v>2</v>
      </c>
      <c r="F8" s="71"/>
      <c r="G8" s="71"/>
      <c r="H8" s="71"/>
      <c r="I8" s="71"/>
      <c r="J8" s="19">
        <f>I7</f>
        <v>26.82</v>
      </c>
      <c r="K8" s="71"/>
      <c r="L8" s="83"/>
      <c r="M8" s="71"/>
      <c r="N8" s="81"/>
      <c r="O8" s="83"/>
      <c r="P8" s="83"/>
      <c r="Q8" s="91"/>
      <c r="R8" s="91"/>
      <c r="S8" s="17">
        <f>R7</f>
        <v>19.8</v>
      </c>
    </row>
    <row r="9" spans="3:19" x14ac:dyDescent="0.25">
      <c r="C9" s="72"/>
      <c r="D9" s="71"/>
      <c r="E9" s="2" t="s">
        <v>3</v>
      </c>
      <c r="F9" s="71"/>
      <c r="G9" s="71"/>
      <c r="H9" s="71"/>
      <c r="I9" s="71"/>
      <c r="J9" s="19">
        <f>I7</f>
        <v>26.82</v>
      </c>
      <c r="K9" s="71"/>
      <c r="L9" s="84"/>
      <c r="M9" s="71"/>
      <c r="N9" s="81"/>
      <c r="O9" s="84"/>
      <c r="P9" s="84"/>
      <c r="Q9" s="90"/>
      <c r="R9" s="90"/>
      <c r="S9" s="17">
        <f>R7</f>
        <v>19.8</v>
      </c>
    </row>
    <row r="10" spans="3:19" x14ac:dyDescent="0.25">
      <c r="C10" s="72">
        <v>3</v>
      </c>
      <c r="D10" s="71" t="s">
        <v>6</v>
      </c>
      <c r="E10" s="2" t="s">
        <v>1</v>
      </c>
      <c r="F10" s="71">
        <v>14</v>
      </c>
      <c r="G10" s="71">
        <v>17</v>
      </c>
      <c r="H10" s="71">
        <v>6</v>
      </c>
      <c r="I10" s="71">
        <v>20.399999999999999</v>
      </c>
      <c r="J10" s="19">
        <f>I10</f>
        <v>20.399999999999999</v>
      </c>
      <c r="K10" s="71">
        <f t="shared" ref="K10:K64" si="6">F10*H10</f>
        <v>84</v>
      </c>
      <c r="L10" s="82">
        <f t="shared" si="0"/>
        <v>14.571428571428571</v>
      </c>
      <c r="M10" s="71">
        <v>14</v>
      </c>
      <c r="N10" s="81">
        <f t="shared" ref="N10" si="7">(M10*60)/H10</f>
        <v>140</v>
      </c>
      <c r="O10" s="82">
        <f t="shared" si="2"/>
        <v>2856</v>
      </c>
      <c r="P10" s="82">
        <f t="shared" si="3"/>
        <v>1.4</v>
      </c>
      <c r="Q10" s="89">
        <f t="shared" si="4"/>
        <v>10</v>
      </c>
      <c r="R10" s="89">
        <f t="shared" ref="R10" si="8">(1.1*(O10/(I10*Q10)))</f>
        <v>15.400000000000002</v>
      </c>
      <c r="S10" s="17">
        <f>R10</f>
        <v>15.400000000000002</v>
      </c>
    </row>
    <row r="11" spans="3:19" x14ac:dyDescent="0.25">
      <c r="C11" s="72"/>
      <c r="D11" s="71"/>
      <c r="E11" s="2" t="s">
        <v>2</v>
      </c>
      <c r="F11" s="71"/>
      <c r="G11" s="71"/>
      <c r="H11" s="71"/>
      <c r="I11" s="71"/>
      <c r="J11" s="19">
        <f>I10</f>
        <v>20.399999999999999</v>
      </c>
      <c r="K11" s="71"/>
      <c r="L11" s="83"/>
      <c r="M11" s="71"/>
      <c r="N11" s="81"/>
      <c r="O11" s="83"/>
      <c r="P11" s="83"/>
      <c r="Q11" s="91"/>
      <c r="R11" s="91"/>
      <c r="S11" s="17">
        <f>R10</f>
        <v>15.400000000000002</v>
      </c>
    </row>
    <row r="12" spans="3:19" x14ac:dyDescent="0.25">
      <c r="C12" s="72"/>
      <c r="D12" s="71"/>
      <c r="E12" s="2" t="s">
        <v>3</v>
      </c>
      <c r="F12" s="71"/>
      <c r="G12" s="71"/>
      <c r="H12" s="71"/>
      <c r="I12" s="71"/>
      <c r="J12" s="19">
        <f>I10</f>
        <v>20.399999999999999</v>
      </c>
      <c r="K12" s="71"/>
      <c r="L12" s="84"/>
      <c r="M12" s="71"/>
      <c r="N12" s="81"/>
      <c r="O12" s="84"/>
      <c r="P12" s="84"/>
      <c r="Q12" s="90"/>
      <c r="R12" s="90"/>
      <c r="S12" s="17">
        <f>R10</f>
        <v>15.400000000000002</v>
      </c>
    </row>
    <row r="13" spans="3:19" x14ac:dyDescent="0.25">
      <c r="C13" s="72">
        <v>4</v>
      </c>
      <c r="D13" s="71" t="s">
        <v>7</v>
      </c>
      <c r="E13" s="2" t="s">
        <v>1</v>
      </c>
      <c r="F13" s="71">
        <v>18</v>
      </c>
      <c r="G13" s="71">
        <v>23</v>
      </c>
      <c r="H13" s="71">
        <v>6</v>
      </c>
      <c r="I13" s="71">
        <v>27.85</v>
      </c>
      <c r="J13" s="19">
        <f>I13</f>
        <v>27.85</v>
      </c>
      <c r="K13" s="71">
        <f t="shared" si="6"/>
        <v>108</v>
      </c>
      <c r="L13" s="82">
        <f t="shared" si="0"/>
        <v>15.472222222222221</v>
      </c>
      <c r="M13" s="71">
        <v>14</v>
      </c>
      <c r="N13" s="81">
        <f t="shared" ref="N13" si="9">(M13*60)/H13</f>
        <v>140</v>
      </c>
      <c r="O13" s="82">
        <f t="shared" si="2"/>
        <v>3899</v>
      </c>
      <c r="P13" s="82">
        <f t="shared" si="3"/>
        <v>1.8000000000000003</v>
      </c>
      <c r="Q13" s="89">
        <f t="shared" si="4"/>
        <v>7.7777777777777768</v>
      </c>
      <c r="R13" s="89">
        <f t="shared" ref="R13" si="10">(1.1*(O13/(I13*Q13)))</f>
        <v>19.800000000000004</v>
      </c>
      <c r="S13" s="17">
        <f>R13</f>
        <v>19.800000000000004</v>
      </c>
    </row>
    <row r="14" spans="3:19" x14ac:dyDescent="0.25">
      <c r="C14" s="72"/>
      <c r="D14" s="71"/>
      <c r="E14" s="2" t="s">
        <v>2</v>
      </c>
      <c r="F14" s="71"/>
      <c r="G14" s="71"/>
      <c r="H14" s="71"/>
      <c r="I14" s="71"/>
      <c r="J14" s="19">
        <f>I13</f>
        <v>27.85</v>
      </c>
      <c r="K14" s="71"/>
      <c r="L14" s="83"/>
      <c r="M14" s="71"/>
      <c r="N14" s="81"/>
      <c r="O14" s="83"/>
      <c r="P14" s="83"/>
      <c r="Q14" s="91"/>
      <c r="R14" s="91"/>
      <c r="S14" s="17">
        <f>R13</f>
        <v>19.800000000000004</v>
      </c>
    </row>
    <row r="15" spans="3:19" x14ac:dyDescent="0.25">
      <c r="C15" s="72"/>
      <c r="D15" s="71"/>
      <c r="E15" s="2" t="s">
        <v>3</v>
      </c>
      <c r="F15" s="71"/>
      <c r="G15" s="71"/>
      <c r="H15" s="71"/>
      <c r="I15" s="71"/>
      <c r="J15" s="19">
        <f>I13</f>
        <v>27.85</v>
      </c>
      <c r="K15" s="71"/>
      <c r="L15" s="84"/>
      <c r="M15" s="71"/>
      <c r="N15" s="81"/>
      <c r="O15" s="84"/>
      <c r="P15" s="84"/>
      <c r="Q15" s="90"/>
      <c r="R15" s="90"/>
      <c r="S15" s="17">
        <f>R13</f>
        <v>19.800000000000004</v>
      </c>
    </row>
    <row r="16" spans="3:19" x14ac:dyDescent="0.25">
      <c r="C16" s="72">
        <v>5</v>
      </c>
      <c r="D16" s="74" t="s">
        <v>8</v>
      </c>
      <c r="E16" s="2" t="s">
        <v>1</v>
      </c>
      <c r="F16" s="71">
        <v>22</v>
      </c>
      <c r="G16" s="71">
        <v>27</v>
      </c>
      <c r="H16" s="71">
        <v>6</v>
      </c>
      <c r="I16" s="71">
        <v>33.17</v>
      </c>
      <c r="J16" s="19">
        <f>I16</f>
        <v>33.17</v>
      </c>
      <c r="K16" s="71">
        <f t="shared" si="6"/>
        <v>132</v>
      </c>
      <c r="L16" s="82">
        <f t="shared" si="0"/>
        <v>15.077272727272728</v>
      </c>
      <c r="M16" s="71">
        <v>14</v>
      </c>
      <c r="N16" s="81">
        <f t="shared" ref="N16" si="11">(M16*60)/H16</f>
        <v>140</v>
      </c>
      <c r="O16" s="82">
        <f t="shared" si="2"/>
        <v>4643.8</v>
      </c>
      <c r="P16" s="82">
        <f t="shared" si="3"/>
        <v>2.2000000000000002</v>
      </c>
      <c r="Q16" s="89">
        <f t="shared" si="4"/>
        <v>6.3636363636363633</v>
      </c>
      <c r="R16" s="89">
        <f t="shared" ref="R16" si="12">(1.1*(O16/(I16*Q16)))</f>
        <v>24.200000000000003</v>
      </c>
      <c r="S16" s="17">
        <f>R16</f>
        <v>24.200000000000003</v>
      </c>
    </row>
    <row r="17" spans="3:19" x14ac:dyDescent="0.25">
      <c r="C17" s="72"/>
      <c r="D17" s="74"/>
      <c r="E17" s="2" t="s">
        <v>2</v>
      </c>
      <c r="F17" s="71"/>
      <c r="G17" s="71"/>
      <c r="H17" s="71"/>
      <c r="I17" s="71"/>
      <c r="J17" s="19">
        <f>I16</f>
        <v>33.17</v>
      </c>
      <c r="K17" s="71"/>
      <c r="L17" s="83"/>
      <c r="M17" s="71"/>
      <c r="N17" s="81"/>
      <c r="O17" s="83"/>
      <c r="P17" s="83"/>
      <c r="Q17" s="91"/>
      <c r="R17" s="91"/>
      <c r="S17" s="17">
        <f>R16</f>
        <v>24.200000000000003</v>
      </c>
    </row>
    <row r="18" spans="3:19" x14ac:dyDescent="0.25">
      <c r="C18" s="72"/>
      <c r="D18" s="74"/>
      <c r="E18" s="2" t="s">
        <v>3</v>
      </c>
      <c r="F18" s="71"/>
      <c r="G18" s="71"/>
      <c r="H18" s="71"/>
      <c r="I18" s="71"/>
      <c r="J18" s="19">
        <f>I16</f>
        <v>33.17</v>
      </c>
      <c r="K18" s="71"/>
      <c r="L18" s="84"/>
      <c r="M18" s="71"/>
      <c r="N18" s="81"/>
      <c r="O18" s="84"/>
      <c r="P18" s="84"/>
      <c r="Q18" s="90"/>
      <c r="R18" s="90"/>
      <c r="S18" s="17">
        <f>R16</f>
        <v>24.200000000000003</v>
      </c>
    </row>
    <row r="19" spans="3:19" x14ac:dyDescent="0.25">
      <c r="C19" s="72">
        <v>6</v>
      </c>
      <c r="D19" s="71" t="s">
        <v>9</v>
      </c>
      <c r="E19" s="2" t="s">
        <v>1</v>
      </c>
      <c r="F19" s="71">
        <v>16</v>
      </c>
      <c r="G19" s="71">
        <v>20</v>
      </c>
      <c r="H19" s="71">
        <v>6</v>
      </c>
      <c r="I19" s="71">
        <v>24.32</v>
      </c>
      <c r="J19" s="19">
        <f>I19</f>
        <v>24.32</v>
      </c>
      <c r="K19" s="71">
        <f t="shared" si="6"/>
        <v>96</v>
      </c>
      <c r="L19" s="82">
        <f t="shared" si="0"/>
        <v>15.200000000000001</v>
      </c>
      <c r="M19" s="71">
        <v>14</v>
      </c>
      <c r="N19" s="81">
        <f t="shared" ref="N19" si="13">(M19*60)/H19</f>
        <v>140</v>
      </c>
      <c r="O19" s="82">
        <f t="shared" si="2"/>
        <v>3404.8</v>
      </c>
      <c r="P19" s="82">
        <f t="shared" si="3"/>
        <v>1.5999999999999999</v>
      </c>
      <c r="Q19" s="89">
        <f t="shared" si="4"/>
        <v>8.75</v>
      </c>
      <c r="R19" s="89">
        <f t="shared" ref="R19" si="14">(1.1*(O19/(I19*Q19)))</f>
        <v>17.600000000000001</v>
      </c>
      <c r="S19" s="17">
        <f>R19</f>
        <v>17.600000000000001</v>
      </c>
    </row>
    <row r="20" spans="3:19" x14ac:dyDescent="0.25">
      <c r="C20" s="72"/>
      <c r="D20" s="71"/>
      <c r="E20" s="2" t="s">
        <v>2</v>
      </c>
      <c r="F20" s="71"/>
      <c r="G20" s="71"/>
      <c r="H20" s="71"/>
      <c r="I20" s="71"/>
      <c r="J20" s="19">
        <f>I19</f>
        <v>24.32</v>
      </c>
      <c r="K20" s="71"/>
      <c r="L20" s="83"/>
      <c r="M20" s="71"/>
      <c r="N20" s="81"/>
      <c r="O20" s="83"/>
      <c r="P20" s="83"/>
      <c r="Q20" s="91"/>
      <c r="R20" s="91"/>
      <c r="S20" s="17">
        <f>R19</f>
        <v>17.600000000000001</v>
      </c>
    </row>
    <row r="21" spans="3:19" x14ac:dyDescent="0.25">
      <c r="C21" s="72"/>
      <c r="D21" s="71"/>
      <c r="E21" s="2" t="s">
        <v>3</v>
      </c>
      <c r="F21" s="71"/>
      <c r="G21" s="71"/>
      <c r="H21" s="71"/>
      <c r="I21" s="71"/>
      <c r="J21" s="19">
        <f>I19</f>
        <v>24.32</v>
      </c>
      <c r="K21" s="71"/>
      <c r="L21" s="84"/>
      <c r="M21" s="71"/>
      <c r="N21" s="81"/>
      <c r="O21" s="84"/>
      <c r="P21" s="84"/>
      <c r="Q21" s="90"/>
      <c r="R21" s="90"/>
      <c r="S21" s="17">
        <f>R19</f>
        <v>17.600000000000001</v>
      </c>
    </row>
    <row r="22" spans="3:19" x14ac:dyDescent="0.25">
      <c r="C22" s="72">
        <v>7</v>
      </c>
      <c r="D22" s="75" t="s">
        <v>10</v>
      </c>
      <c r="E22" s="2" t="s">
        <v>1</v>
      </c>
      <c r="F22" s="71">
        <v>6</v>
      </c>
      <c r="G22" s="71">
        <v>8</v>
      </c>
      <c r="H22" s="71">
        <v>15</v>
      </c>
      <c r="I22" s="71">
        <v>24</v>
      </c>
      <c r="J22" s="19">
        <f>I22</f>
        <v>24</v>
      </c>
      <c r="K22" s="71">
        <f t="shared" si="6"/>
        <v>90</v>
      </c>
      <c r="L22" s="82">
        <f t="shared" si="0"/>
        <v>16</v>
      </c>
      <c r="M22" s="71">
        <v>14</v>
      </c>
      <c r="N22" s="81">
        <f t="shared" ref="N22" si="15">(M22*60)/H22</f>
        <v>56</v>
      </c>
      <c r="O22" s="82">
        <f t="shared" si="2"/>
        <v>1344</v>
      </c>
      <c r="P22" s="82">
        <f t="shared" si="3"/>
        <v>1.5</v>
      </c>
      <c r="Q22" s="89">
        <f t="shared" si="4"/>
        <v>9.3333333333333339</v>
      </c>
      <c r="R22" s="89">
        <f t="shared" ref="R22" si="16">(1.1*(O22/(I22*Q22)))</f>
        <v>6.6000000000000005</v>
      </c>
      <c r="S22" s="17">
        <f>R22</f>
        <v>6.6000000000000005</v>
      </c>
    </row>
    <row r="23" spans="3:19" x14ac:dyDescent="0.25">
      <c r="C23" s="72"/>
      <c r="D23" s="75"/>
      <c r="E23" s="2" t="s">
        <v>2</v>
      </c>
      <c r="F23" s="71"/>
      <c r="G23" s="71"/>
      <c r="H23" s="71"/>
      <c r="I23" s="71"/>
      <c r="J23" s="19">
        <f>I22</f>
        <v>24</v>
      </c>
      <c r="K23" s="71"/>
      <c r="L23" s="83"/>
      <c r="M23" s="71"/>
      <c r="N23" s="81"/>
      <c r="O23" s="83"/>
      <c r="P23" s="83"/>
      <c r="Q23" s="91"/>
      <c r="R23" s="91"/>
      <c r="S23" s="17">
        <f>R22</f>
        <v>6.6000000000000005</v>
      </c>
    </row>
    <row r="24" spans="3:19" x14ac:dyDescent="0.25">
      <c r="C24" s="72"/>
      <c r="D24" s="75"/>
      <c r="E24" s="2" t="s">
        <v>3</v>
      </c>
      <c r="F24" s="71"/>
      <c r="G24" s="71"/>
      <c r="H24" s="71"/>
      <c r="I24" s="71"/>
      <c r="J24" s="19">
        <f>I22</f>
        <v>24</v>
      </c>
      <c r="K24" s="71"/>
      <c r="L24" s="84"/>
      <c r="M24" s="71"/>
      <c r="N24" s="81"/>
      <c r="O24" s="84"/>
      <c r="P24" s="84"/>
      <c r="Q24" s="90"/>
      <c r="R24" s="90"/>
      <c r="S24" s="17">
        <f>R22</f>
        <v>6.6000000000000005</v>
      </c>
    </row>
    <row r="25" spans="3:19" x14ac:dyDescent="0.25">
      <c r="C25" s="72">
        <v>9</v>
      </c>
      <c r="D25" s="71" t="s">
        <v>11</v>
      </c>
      <c r="E25" s="2" t="s">
        <v>1</v>
      </c>
      <c r="F25" s="71">
        <v>18</v>
      </c>
      <c r="G25" s="71">
        <v>22</v>
      </c>
      <c r="H25" s="71">
        <v>7</v>
      </c>
      <c r="I25" s="71">
        <v>31.17</v>
      </c>
      <c r="J25" s="19">
        <f>I25</f>
        <v>31.17</v>
      </c>
      <c r="K25" s="71">
        <f t="shared" si="6"/>
        <v>126</v>
      </c>
      <c r="L25" s="82">
        <f t="shared" si="0"/>
        <v>14.842857142857143</v>
      </c>
      <c r="M25" s="71">
        <v>14</v>
      </c>
      <c r="N25" s="81">
        <f t="shared" ref="N25" si="17">(M25*60)/H25</f>
        <v>120</v>
      </c>
      <c r="O25" s="82">
        <f t="shared" si="2"/>
        <v>3740.4</v>
      </c>
      <c r="P25" s="82">
        <f t="shared" si="3"/>
        <v>2.1</v>
      </c>
      <c r="Q25" s="89">
        <f t="shared" si="4"/>
        <v>6.6666666666666661</v>
      </c>
      <c r="R25" s="89">
        <f t="shared" ref="R25" si="18">(1.1*(O25/(I25*Q25)))</f>
        <v>19.800000000000004</v>
      </c>
      <c r="S25" s="17">
        <f>R25</f>
        <v>19.800000000000004</v>
      </c>
    </row>
    <row r="26" spans="3:19" x14ac:dyDescent="0.25">
      <c r="C26" s="72"/>
      <c r="D26" s="71"/>
      <c r="E26" s="2" t="s">
        <v>2</v>
      </c>
      <c r="F26" s="71"/>
      <c r="G26" s="71"/>
      <c r="H26" s="71"/>
      <c r="I26" s="71"/>
      <c r="J26" s="19">
        <f>I25</f>
        <v>31.17</v>
      </c>
      <c r="K26" s="71"/>
      <c r="L26" s="83"/>
      <c r="M26" s="71"/>
      <c r="N26" s="81"/>
      <c r="O26" s="83"/>
      <c r="P26" s="83"/>
      <c r="Q26" s="91"/>
      <c r="R26" s="91"/>
      <c r="S26" s="17">
        <f>R25</f>
        <v>19.800000000000004</v>
      </c>
    </row>
    <row r="27" spans="3:19" x14ac:dyDescent="0.25">
      <c r="C27" s="72"/>
      <c r="D27" s="71"/>
      <c r="E27" s="2" t="s">
        <v>3</v>
      </c>
      <c r="F27" s="71"/>
      <c r="G27" s="71"/>
      <c r="H27" s="71"/>
      <c r="I27" s="71"/>
      <c r="J27" s="19">
        <f>I25</f>
        <v>31.17</v>
      </c>
      <c r="K27" s="71"/>
      <c r="L27" s="84"/>
      <c r="M27" s="71"/>
      <c r="N27" s="81"/>
      <c r="O27" s="84"/>
      <c r="P27" s="84"/>
      <c r="Q27" s="90"/>
      <c r="R27" s="90"/>
      <c r="S27" s="17">
        <f>R25</f>
        <v>19.800000000000004</v>
      </c>
    </row>
    <row r="28" spans="3:19" x14ac:dyDescent="0.25">
      <c r="C28" s="72">
        <v>10</v>
      </c>
      <c r="D28" s="71" t="s">
        <v>12</v>
      </c>
      <c r="E28" s="2" t="s">
        <v>1</v>
      </c>
      <c r="F28" s="71">
        <v>14</v>
      </c>
      <c r="G28" s="71">
        <v>18</v>
      </c>
      <c r="H28" s="71">
        <v>7</v>
      </c>
      <c r="I28" s="71">
        <v>24.77</v>
      </c>
      <c r="J28" s="19">
        <f>I28</f>
        <v>24.77</v>
      </c>
      <c r="K28" s="71">
        <f t="shared" si="6"/>
        <v>98</v>
      </c>
      <c r="L28" s="82">
        <f t="shared" si="0"/>
        <v>15.16530612244898</v>
      </c>
      <c r="M28" s="71">
        <v>14</v>
      </c>
      <c r="N28" s="81">
        <f t="shared" ref="N28" si="19">(M28*60)/H28</f>
        <v>120</v>
      </c>
      <c r="O28" s="82">
        <f t="shared" si="2"/>
        <v>2972.4</v>
      </c>
      <c r="P28" s="82">
        <f t="shared" si="3"/>
        <v>1.6333333333333333</v>
      </c>
      <c r="Q28" s="89">
        <f t="shared" si="4"/>
        <v>8.5714285714285712</v>
      </c>
      <c r="R28" s="89">
        <f t="shared" ref="R28" si="20">(1.1*(O28/(I28*Q28)))</f>
        <v>15.400000000000002</v>
      </c>
      <c r="S28" s="17">
        <f>R28</f>
        <v>15.400000000000002</v>
      </c>
    </row>
    <row r="29" spans="3:19" x14ac:dyDescent="0.25">
      <c r="C29" s="72"/>
      <c r="D29" s="71"/>
      <c r="E29" s="2" t="s">
        <v>2</v>
      </c>
      <c r="F29" s="71"/>
      <c r="G29" s="71"/>
      <c r="H29" s="71"/>
      <c r="I29" s="71"/>
      <c r="J29" s="19">
        <f>I28</f>
        <v>24.77</v>
      </c>
      <c r="K29" s="71"/>
      <c r="L29" s="83"/>
      <c r="M29" s="71"/>
      <c r="N29" s="81"/>
      <c r="O29" s="83"/>
      <c r="P29" s="83"/>
      <c r="Q29" s="91"/>
      <c r="R29" s="91"/>
      <c r="S29" s="17">
        <f>R28</f>
        <v>15.400000000000002</v>
      </c>
    </row>
    <row r="30" spans="3:19" x14ac:dyDescent="0.25">
      <c r="C30" s="72"/>
      <c r="D30" s="71"/>
      <c r="E30" s="2" t="s">
        <v>3</v>
      </c>
      <c r="F30" s="71"/>
      <c r="G30" s="71"/>
      <c r="H30" s="71"/>
      <c r="I30" s="71"/>
      <c r="J30" s="19">
        <f>I28</f>
        <v>24.77</v>
      </c>
      <c r="K30" s="71"/>
      <c r="L30" s="84"/>
      <c r="M30" s="71"/>
      <c r="N30" s="81"/>
      <c r="O30" s="84"/>
      <c r="P30" s="84"/>
      <c r="Q30" s="90"/>
      <c r="R30" s="90"/>
      <c r="S30" s="17">
        <f>R28</f>
        <v>15.400000000000002</v>
      </c>
    </row>
    <row r="31" spans="3:19" x14ac:dyDescent="0.25">
      <c r="C31" s="72">
        <v>11</v>
      </c>
      <c r="D31" s="71" t="s">
        <v>13</v>
      </c>
      <c r="E31" s="2" t="s">
        <v>1</v>
      </c>
      <c r="F31" s="71">
        <v>16</v>
      </c>
      <c r="G31" s="71">
        <v>20</v>
      </c>
      <c r="H31" s="71">
        <v>10</v>
      </c>
      <c r="I31" s="71">
        <v>39.729999999999997</v>
      </c>
      <c r="J31" s="19">
        <f>I31</f>
        <v>39.729999999999997</v>
      </c>
      <c r="K31" s="71">
        <f t="shared" si="6"/>
        <v>160</v>
      </c>
      <c r="L31" s="82">
        <f t="shared" si="0"/>
        <v>14.898749999999998</v>
      </c>
      <c r="M31" s="71">
        <v>14</v>
      </c>
      <c r="N31" s="81">
        <f t="shared" ref="N31" si="21">(M31*60)/H31</f>
        <v>84</v>
      </c>
      <c r="O31" s="82">
        <f t="shared" si="2"/>
        <v>3337.3199999999997</v>
      </c>
      <c r="P31" s="82">
        <f t="shared" si="3"/>
        <v>2.666666666666667</v>
      </c>
      <c r="Q31" s="89">
        <f t="shared" si="4"/>
        <v>5.2499999999999991</v>
      </c>
      <c r="R31" s="89">
        <f t="shared" ref="R31" si="22">(1.1*(O31/(I31*Q31)))</f>
        <v>17.600000000000005</v>
      </c>
      <c r="S31" s="17">
        <f>R31</f>
        <v>17.600000000000005</v>
      </c>
    </row>
    <row r="32" spans="3:19" x14ac:dyDescent="0.25">
      <c r="C32" s="72"/>
      <c r="D32" s="71"/>
      <c r="E32" s="2" t="s">
        <v>2</v>
      </c>
      <c r="F32" s="71"/>
      <c r="G32" s="71"/>
      <c r="H32" s="71"/>
      <c r="I32" s="71"/>
      <c r="J32" s="19">
        <f>I31</f>
        <v>39.729999999999997</v>
      </c>
      <c r="K32" s="71"/>
      <c r="L32" s="83"/>
      <c r="M32" s="71"/>
      <c r="N32" s="81"/>
      <c r="O32" s="83"/>
      <c r="P32" s="83"/>
      <c r="Q32" s="91"/>
      <c r="R32" s="91"/>
      <c r="S32" s="17">
        <f>R31</f>
        <v>17.600000000000005</v>
      </c>
    </row>
    <row r="33" spans="3:19" x14ac:dyDescent="0.25">
      <c r="C33" s="72"/>
      <c r="D33" s="71"/>
      <c r="E33" s="2" t="s">
        <v>3</v>
      </c>
      <c r="F33" s="71"/>
      <c r="G33" s="71"/>
      <c r="H33" s="71"/>
      <c r="I33" s="71"/>
      <c r="J33" s="19">
        <f>I31</f>
        <v>39.729999999999997</v>
      </c>
      <c r="K33" s="71"/>
      <c r="L33" s="84"/>
      <c r="M33" s="71"/>
      <c r="N33" s="81"/>
      <c r="O33" s="84"/>
      <c r="P33" s="84"/>
      <c r="Q33" s="90"/>
      <c r="R33" s="90"/>
      <c r="S33" s="17">
        <f>R31</f>
        <v>17.600000000000005</v>
      </c>
    </row>
    <row r="34" spans="3:19" x14ac:dyDescent="0.25">
      <c r="C34" s="72">
        <v>12</v>
      </c>
      <c r="D34" s="71" t="s">
        <v>14</v>
      </c>
      <c r="E34" s="2" t="s">
        <v>1</v>
      </c>
      <c r="F34" s="71">
        <v>14</v>
      </c>
      <c r="G34" s="71">
        <v>17</v>
      </c>
      <c r="H34" s="71">
        <v>8</v>
      </c>
      <c r="I34" s="71">
        <v>26.68</v>
      </c>
      <c r="J34" s="19">
        <f>I34</f>
        <v>26.68</v>
      </c>
      <c r="K34" s="71">
        <f t="shared" si="6"/>
        <v>112</v>
      </c>
      <c r="L34" s="82">
        <f t="shared" si="0"/>
        <v>14.292857142857143</v>
      </c>
      <c r="M34" s="71">
        <v>14</v>
      </c>
      <c r="N34" s="81">
        <f t="shared" ref="N34" si="23">(M34*60)/H34</f>
        <v>105</v>
      </c>
      <c r="O34" s="82">
        <f t="shared" si="2"/>
        <v>2801.4</v>
      </c>
      <c r="P34" s="82">
        <f t="shared" si="3"/>
        <v>1.8666666666666667</v>
      </c>
      <c r="Q34" s="89">
        <f t="shared" si="4"/>
        <v>7.5</v>
      </c>
      <c r="R34" s="89">
        <f t="shared" ref="R34" si="24">(1.1*(O34/(I34*Q34)))</f>
        <v>15.400000000000002</v>
      </c>
      <c r="S34" s="17">
        <f>R34</f>
        <v>15.400000000000002</v>
      </c>
    </row>
    <row r="35" spans="3:19" x14ac:dyDescent="0.25">
      <c r="C35" s="72"/>
      <c r="D35" s="71"/>
      <c r="E35" s="2" t="s">
        <v>2</v>
      </c>
      <c r="F35" s="71"/>
      <c r="G35" s="71"/>
      <c r="H35" s="71"/>
      <c r="I35" s="71"/>
      <c r="J35" s="19">
        <f>I34</f>
        <v>26.68</v>
      </c>
      <c r="K35" s="71"/>
      <c r="L35" s="83"/>
      <c r="M35" s="71"/>
      <c r="N35" s="81"/>
      <c r="O35" s="83"/>
      <c r="P35" s="83"/>
      <c r="Q35" s="91"/>
      <c r="R35" s="91"/>
      <c r="S35" s="17">
        <f>R34</f>
        <v>15.400000000000002</v>
      </c>
    </row>
    <row r="36" spans="3:19" x14ac:dyDescent="0.25">
      <c r="C36" s="72"/>
      <c r="D36" s="71"/>
      <c r="E36" s="2" t="s">
        <v>3</v>
      </c>
      <c r="F36" s="71"/>
      <c r="G36" s="71"/>
      <c r="H36" s="71"/>
      <c r="I36" s="71"/>
      <c r="J36" s="19">
        <f>I34</f>
        <v>26.68</v>
      </c>
      <c r="K36" s="71"/>
      <c r="L36" s="84"/>
      <c r="M36" s="71"/>
      <c r="N36" s="81"/>
      <c r="O36" s="84"/>
      <c r="P36" s="84"/>
      <c r="Q36" s="90"/>
      <c r="R36" s="90"/>
      <c r="S36" s="17">
        <f>R34</f>
        <v>15.400000000000002</v>
      </c>
    </row>
    <row r="37" spans="3:19" x14ac:dyDescent="0.25">
      <c r="C37" s="72">
        <v>13</v>
      </c>
      <c r="D37" s="71" t="s">
        <v>15</v>
      </c>
      <c r="E37" s="2" t="s">
        <v>1</v>
      </c>
      <c r="F37" s="71">
        <v>9</v>
      </c>
      <c r="G37" s="71">
        <v>10</v>
      </c>
      <c r="H37" s="71">
        <v>8</v>
      </c>
      <c r="I37" s="71">
        <v>16.32</v>
      </c>
      <c r="J37" s="19">
        <f>I37</f>
        <v>16.32</v>
      </c>
      <c r="K37" s="71">
        <f t="shared" si="6"/>
        <v>72</v>
      </c>
      <c r="L37" s="82">
        <f t="shared" si="0"/>
        <v>13.600000000000001</v>
      </c>
      <c r="M37" s="71">
        <v>14</v>
      </c>
      <c r="N37" s="81">
        <f t="shared" ref="N37" si="25">(M37*60)/H37</f>
        <v>105</v>
      </c>
      <c r="O37" s="82">
        <f t="shared" si="2"/>
        <v>1713.6000000000001</v>
      </c>
      <c r="P37" s="82">
        <f t="shared" si="3"/>
        <v>1.2</v>
      </c>
      <c r="Q37" s="89">
        <f t="shared" si="4"/>
        <v>11.666666666666668</v>
      </c>
      <c r="R37" s="89">
        <f t="shared" ref="R37" si="26">(1.1*(O37/(I37*Q37)))</f>
        <v>9.8999999999999986</v>
      </c>
      <c r="S37" s="17">
        <f>R37</f>
        <v>9.8999999999999986</v>
      </c>
    </row>
    <row r="38" spans="3:19" x14ac:dyDescent="0.25">
      <c r="C38" s="72"/>
      <c r="D38" s="71"/>
      <c r="E38" s="2" t="s">
        <v>2</v>
      </c>
      <c r="F38" s="71"/>
      <c r="G38" s="71"/>
      <c r="H38" s="71"/>
      <c r="I38" s="71"/>
      <c r="J38" s="19">
        <f>I37</f>
        <v>16.32</v>
      </c>
      <c r="K38" s="71"/>
      <c r="L38" s="83"/>
      <c r="M38" s="71"/>
      <c r="N38" s="81"/>
      <c r="O38" s="83"/>
      <c r="P38" s="83"/>
      <c r="Q38" s="91"/>
      <c r="R38" s="91"/>
      <c r="S38" s="17">
        <f>R37</f>
        <v>9.8999999999999986</v>
      </c>
    </row>
    <row r="39" spans="3:19" x14ac:dyDescent="0.25">
      <c r="C39" s="72"/>
      <c r="D39" s="71"/>
      <c r="E39" s="2" t="s">
        <v>3</v>
      </c>
      <c r="F39" s="71"/>
      <c r="G39" s="71"/>
      <c r="H39" s="71"/>
      <c r="I39" s="71"/>
      <c r="J39" s="19">
        <f>I37</f>
        <v>16.32</v>
      </c>
      <c r="K39" s="71"/>
      <c r="L39" s="84"/>
      <c r="M39" s="71"/>
      <c r="N39" s="81"/>
      <c r="O39" s="84"/>
      <c r="P39" s="84"/>
      <c r="Q39" s="90"/>
      <c r="R39" s="90"/>
      <c r="S39" s="17">
        <f>R37</f>
        <v>9.8999999999999986</v>
      </c>
    </row>
    <row r="40" spans="3:19" x14ac:dyDescent="0.25">
      <c r="C40" s="72">
        <v>14</v>
      </c>
      <c r="D40" s="71" t="s">
        <v>16</v>
      </c>
      <c r="E40" s="2" t="s">
        <v>1</v>
      </c>
      <c r="F40" s="71">
        <v>21</v>
      </c>
      <c r="G40" s="71">
        <v>26</v>
      </c>
      <c r="H40" s="71">
        <v>8</v>
      </c>
      <c r="I40" s="71">
        <v>41.82</v>
      </c>
      <c r="J40" s="19">
        <f>I40</f>
        <v>41.82</v>
      </c>
      <c r="K40" s="71">
        <f t="shared" si="6"/>
        <v>168</v>
      </c>
      <c r="L40" s="82">
        <f t="shared" si="0"/>
        <v>14.935714285714285</v>
      </c>
      <c r="M40" s="71">
        <v>14</v>
      </c>
      <c r="N40" s="81">
        <f t="shared" ref="N40" si="27">(M40*60)/H40</f>
        <v>105</v>
      </c>
      <c r="O40" s="82">
        <f t="shared" si="2"/>
        <v>4391.1000000000004</v>
      </c>
      <c r="P40" s="82">
        <f t="shared" si="3"/>
        <v>2.8000000000000003</v>
      </c>
      <c r="Q40" s="89">
        <f t="shared" si="4"/>
        <v>4.9999999999999991</v>
      </c>
      <c r="R40" s="89">
        <f t="shared" ref="R40" si="28">(1.1*(O40/(I40*Q40)))</f>
        <v>23.100000000000005</v>
      </c>
      <c r="S40" s="17">
        <f>R40</f>
        <v>23.100000000000005</v>
      </c>
    </row>
    <row r="41" spans="3:19" x14ac:dyDescent="0.25">
      <c r="C41" s="72"/>
      <c r="D41" s="71"/>
      <c r="E41" s="2" t="s">
        <v>2</v>
      </c>
      <c r="F41" s="71"/>
      <c r="G41" s="71"/>
      <c r="H41" s="71"/>
      <c r="I41" s="71"/>
      <c r="J41" s="19">
        <f>I40</f>
        <v>41.82</v>
      </c>
      <c r="K41" s="71"/>
      <c r="L41" s="83"/>
      <c r="M41" s="71"/>
      <c r="N41" s="81"/>
      <c r="O41" s="83"/>
      <c r="P41" s="83"/>
      <c r="Q41" s="91"/>
      <c r="R41" s="91"/>
      <c r="S41" s="17">
        <f>R40</f>
        <v>23.100000000000005</v>
      </c>
    </row>
    <row r="42" spans="3:19" x14ac:dyDescent="0.25">
      <c r="C42" s="72"/>
      <c r="D42" s="71"/>
      <c r="E42" s="2" t="s">
        <v>3</v>
      </c>
      <c r="F42" s="71"/>
      <c r="G42" s="71"/>
      <c r="H42" s="71"/>
      <c r="I42" s="71"/>
      <c r="J42" s="19">
        <f>I40</f>
        <v>41.82</v>
      </c>
      <c r="K42" s="71"/>
      <c r="L42" s="84"/>
      <c r="M42" s="71"/>
      <c r="N42" s="81"/>
      <c r="O42" s="84"/>
      <c r="P42" s="84"/>
      <c r="Q42" s="90"/>
      <c r="R42" s="90"/>
      <c r="S42" s="17">
        <f>R40</f>
        <v>23.100000000000005</v>
      </c>
    </row>
    <row r="43" spans="3:19" x14ac:dyDescent="0.25">
      <c r="C43" s="72">
        <v>15</v>
      </c>
      <c r="D43" s="76" t="s">
        <v>17</v>
      </c>
      <c r="E43" s="2" t="s">
        <v>1</v>
      </c>
      <c r="F43" s="71">
        <v>17</v>
      </c>
      <c r="G43" s="71">
        <v>21</v>
      </c>
      <c r="H43" s="71">
        <v>8</v>
      </c>
      <c r="I43" s="71">
        <v>33.14</v>
      </c>
      <c r="J43" s="19">
        <f>I43</f>
        <v>33.14</v>
      </c>
      <c r="K43" s="71">
        <f t="shared" si="6"/>
        <v>136</v>
      </c>
      <c r="L43" s="82">
        <f t="shared" si="0"/>
        <v>14.620588235294118</v>
      </c>
      <c r="M43" s="71">
        <v>14</v>
      </c>
      <c r="N43" s="81">
        <f t="shared" ref="N43" si="29">(M43*60)/H43</f>
        <v>105</v>
      </c>
      <c r="O43" s="82">
        <f t="shared" si="2"/>
        <v>3479.7000000000003</v>
      </c>
      <c r="P43" s="82">
        <f t="shared" si="3"/>
        <v>2.2666666666666666</v>
      </c>
      <c r="Q43" s="89">
        <f t="shared" si="4"/>
        <v>6.1764705882352944</v>
      </c>
      <c r="R43" s="89">
        <f t="shared" ref="R43" si="30">(1.1*(O43/(I43*Q43)))</f>
        <v>18.700000000000003</v>
      </c>
      <c r="S43" s="17">
        <f>R43</f>
        <v>18.700000000000003</v>
      </c>
    </row>
    <row r="44" spans="3:19" x14ac:dyDescent="0.25">
      <c r="C44" s="72"/>
      <c r="D44" s="76"/>
      <c r="E44" s="2" t="s">
        <v>2</v>
      </c>
      <c r="F44" s="71"/>
      <c r="G44" s="71"/>
      <c r="H44" s="71"/>
      <c r="I44" s="71"/>
      <c r="J44" s="19">
        <f>I43</f>
        <v>33.14</v>
      </c>
      <c r="K44" s="71"/>
      <c r="L44" s="83"/>
      <c r="M44" s="71"/>
      <c r="N44" s="81"/>
      <c r="O44" s="83"/>
      <c r="P44" s="83"/>
      <c r="Q44" s="91"/>
      <c r="R44" s="91"/>
      <c r="S44" s="17">
        <f>R43</f>
        <v>18.700000000000003</v>
      </c>
    </row>
    <row r="45" spans="3:19" x14ac:dyDescent="0.25">
      <c r="C45" s="72"/>
      <c r="D45" s="76"/>
      <c r="E45" s="2" t="s">
        <v>3</v>
      </c>
      <c r="F45" s="71"/>
      <c r="G45" s="71"/>
      <c r="H45" s="71"/>
      <c r="I45" s="71"/>
      <c r="J45" s="19">
        <f>I43</f>
        <v>33.14</v>
      </c>
      <c r="K45" s="71"/>
      <c r="L45" s="84"/>
      <c r="M45" s="71"/>
      <c r="N45" s="81"/>
      <c r="O45" s="84"/>
      <c r="P45" s="84"/>
      <c r="Q45" s="90"/>
      <c r="R45" s="90"/>
      <c r="S45" s="17">
        <f>R43</f>
        <v>18.700000000000003</v>
      </c>
    </row>
    <row r="46" spans="3:19" x14ac:dyDescent="0.25">
      <c r="C46" s="72">
        <v>16</v>
      </c>
      <c r="D46" s="71" t="s">
        <v>18</v>
      </c>
      <c r="E46" s="2" t="s">
        <v>1</v>
      </c>
      <c r="F46" s="71">
        <v>17</v>
      </c>
      <c r="G46" s="71">
        <v>21</v>
      </c>
      <c r="H46" s="71">
        <v>8</v>
      </c>
      <c r="I46" s="71">
        <v>33.950000000000003</v>
      </c>
      <c r="J46" s="19">
        <f>I46</f>
        <v>33.950000000000003</v>
      </c>
      <c r="K46" s="71">
        <f t="shared" si="6"/>
        <v>136</v>
      </c>
      <c r="L46" s="82">
        <f t="shared" si="0"/>
        <v>14.977941176470591</v>
      </c>
      <c r="M46" s="71">
        <v>14</v>
      </c>
      <c r="N46" s="81">
        <f t="shared" ref="N46" si="31">(M46*60)/H46</f>
        <v>105</v>
      </c>
      <c r="O46" s="82">
        <f t="shared" si="2"/>
        <v>3564.7500000000005</v>
      </c>
      <c r="P46" s="82">
        <f t="shared" si="3"/>
        <v>2.2666666666666666</v>
      </c>
      <c r="Q46" s="89">
        <f t="shared" si="4"/>
        <v>6.1764705882352944</v>
      </c>
      <c r="R46" s="89">
        <f t="shared" ref="R46" si="32">(1.1*(O46/(I46*Q46)))</f>
        <v>18.700000000000003</v>
      </c>
      <c r="S46" s="17">
        <f>R46</f>
        <v>18.700000000000003</v>
      </c>
    </row>
    <row r="47" spans="3:19" x14ac:dyDescent="0.25">
      <c r="C47" s="72"/>
      <c r="D47" s="71"/>
      <c r="E47" s="2" t="s">
        <v>2</v>
      </c>
      <c r="F47" s="71"/>
      <c r="G47" s="71"/>
      <c r="H47" s="71"/>
      <c r="I47" s="71"/>
      <c r="J47" s="19">
        <f>I46</f>
        <v>33.950000000000003</v>
      </c>
      <c r="K47" s="71"/>
      <c r="L47" s="83"/>
      <c r="M47" s="71"/>
      <c r="N47" s="81"/>
      <c r="O47" s="83"/>
      <c r="P47" s="83"/>
      <c r="Q47" s="91"/>
      <c r="R47" s="91"/>
      <c r="S47" s="17">
        <f>R46</f>
        <v>18.700000000000003</v>
      </c>
    </row>
    <row r="48" spans="3:19" x14ac:dyDescent="0.25">
      <c r="C48" s="72"/>
      <c r="D48" s="71"/>
      <c r="E48" s="2" t="s">
        <v>3</v>
      </c>
      <c r="F48" s="71"/>
      <c r="G48" s="71"/>
      <c r="H48" s="71"/>
      <c r="I48" s="71"/>
      <c r="J48" s="19">
        <f>I46</f>
        <v>33.950000000000003</v>
      </c>
      <c r="K48" s="71"/>
      <c r="L48" s="84"/>
      <c r="M48" s="71"/>
      <c r="N48" s="81"/>
      <c r="O48" s="84"/>
      <c r="P48" s="84"/>
      <c r="Q48" s="90"/>
      <c r="R48" s="90"/>
      <c r="S48" s="17">
        <f>R46</f>
        <v>18.700000000000003</v>
      </c>
    </row>
    <row r="49" spans="3:19" x14ac:dyDescent="0.25">
      <c r="C49" s="72">
        <v>17</v>
      </c>
      <c r="D49" s="71" t="s">
        <v>19</v>
      </c>
      <c r="E49" s="2" t="s">
        <v>1</v>
      </c>
      <c r="F49" s="71">
        <v>11</v>
      </c>
      <c r="G49" s="71">
        <v>14</v>
      </c>
      <c r="H49" s="71">
        <v>8</v>
      </c>
      <c r="I49" s="71">
        <v>22.08</v>
      </c>
      <c r="J49" s="19">
        <f>I49</f>
        <v>22.08</v>
      </c>
      <c r="K49" s="71">
        <f t="shared" si="6"/>
        <v>88</v>
      </c>
      <c r="L49" s="82">
        <f t="shared" si="0"/>
        <v>15.054545454545455</v>
      </c>
      <c r="M49" s="71">
        <v>14</v>
      </c>
      <c r="N49" s="81">
        <f t="shared" ref="N49" si="33">(M49*60)/H49</f>
        <v>105</v>
      </c>
      <c r="O49" s="82">
        <f t="shared" si="2"/>
        <v>2318.3999999999996</v>
      </c>
      <c r="P49" s="82">
        <f t="shared" si="3"/>
        <v>1.4666666666666666</v>
      </c>
      <c r="Q49" s="89">
        <f t="shared" si="4"/>
        <v>9.5454545454545467</v>
      </c>
      <c r="R49" s="89">
        <f t="shared" ref="R49" si="34">(1.1*(O49/(I49*Q49)))</f>
        <v>12.1</v>
      </c>
      <c r="S49" s="17">
        <f>R49</f>
        <v>12.1</v>
      </c>
    </row>
    <row r="50" spans="3:19" x14ac:dyDescent="0.25">
      <c r="C50" s="72"/>
      <c r="D50" s="71"/>
      <c r="E50" s="2" t="s">
        <v>2</v>
      </c>
      <c r="F50" s="71"/>
      <c r="G50" s="71"/>
      <c r="H50" s="71"/>
      <c r="I50" s="71"/>
      <c r="J50" s="19">
        <f>I49</f>
        <v>22.08</v>
      </c>
      <c r="K50" s="71"/>
      <c r="L50" s="83"/>
      <c r="M50" s="71"/>
      <c r="N50" s="81"/>
      <c r="O50" s="83"/>
      <c r="P50" s="83"/>
      <c r="Q50" s="91"/>
      <c r="R50" s="91"/>
      <c r="S50" s="17">
        <f>R49</f>
        <v>12.1</v>
      </c>
    </row>
    <row r="51" spans="3:19" x14ac:dyDescent="0.25">
      <c r="C51" s="72"/>
      <c r="D51" s="71"/>
      <c r="E51" s="2" t="s">
        <v>3</v>
      </c>
      <c r="F51" s="71"/>
      <c r="G51" s="71"/>
      <c r="H51" s="71"/>
      <c r="I51" s="71"/>
      <c r="J51" s="19">
        <f>I49</f>
        <v>22.08</v>
      </c>
      <c r="K51" s="71"/>
      <c r="L51" s="84"/>
      <c r="M51" s="71"/>
      <c r="N51" s="81"/>
      <c r="O51" s="84"/>
      <c r="P51" s="84"/>
      <c r="Q51" s="90"/>
      <c r="R51" s="90"/>
      <c r="S51" s="17">
        <f>R49</f>
        <v>12.1</v>
      </c>
    </row>
    <row r="52" spans="3:19" x14ac:dyDescent="0.25">
      <c r="C52" s="72">
        <v>20</v>
      </c>
      <c r="D52" s="71" t="s">
        <v>20</v>
      </c>
      <c r="E52" s="2" t="s">
        <v>1</v>
      </c>
      <c r="F52" s="71">
        <v>15</v>
      </c>
      <c r="G52" s="71">
        <v>19</v>
      </c>
      <c r="H52" s="71">
        <v>8</v>
      </c>
      <c r="I52" s="71">
        <v>29.91</v>
      </c>
      <c r="J52" s="19">
        <f>I52</f>
        <v>29.91</v>
      </c>
      <c r="K52" s="71">
        <f t="shared" si="6"/>
        <v>120</v>
      </c>
      <c r="L52" s="82">
        <f t="shared" si="0"/>
        <v>14.955</v>
      </c>
      <c r="M52" s="71">
        <v>14</v>
      </c>
      <c r="N52" s="81">
        <f t="shared" ref="N52" si="35">(M52*60)/H52</f>
        <v>105</v>
      </c>
      <c r="O52" s="82">
        <f t="shared" si="2"/>
        <v>3140.55</v>
      </c>
      <c r="P52" s="82">
        <f t="shared" si="3"/>
        <v>2</v>
      </c>
      <c r="Q52" s="89">
        <f t="shared" si="4"/>
        <v>7</v>
      </c>
      <c r="R52" s="89">
        <f t="shared" ref="R52" si="36">(1.1*(O52/(I52*Q52)))</f>
        <v>16.5</v>
      </c>
      <c r="S52" s="17">
        <f>R52</f>
        <v>16.5</v>
      </c>
    </row>
    <row r="53" spans="3:19" x14ac:dyDescent="0.25">
      <c r="C53" s="72"/>
      <c r="D53" s="71"/>
      <c r="E53" s="2" t="s">
        <v>2</v>
      </c>
      <c r="F53" s="71"/>
      <c r="G53" s="71"/>
      <c r="H53" s="71"/>
      <c r="I53" s="71"/>
      <c r="J53" s="19">
        <f>I52</f>
        <v>29.91</v>
      </c>
      <c r="K53" s="71"/>
      <c r="L53" s="83"/>
      <c r="M53" s="71"/>
      <c r="N53" s="81"/>
      <c r="O53" s="83"/>
      <c r="P53" s="83"/>
      <c r="Q53" s="91"/>
      <c r="R53" s="91"/>
      <c r="S53" s="17">
        <f>R52</f>
        <v>16.5</v>
      </c>
    </row>
    <row r="54" spans="3:19" x14ac:dyDescent="0.25">
      <c r="C54" s="72"/>
      <c r="D54" s="71"/>
      <c r="E54" s="2" t="s">
        <v>3</v>
      </c>
      <c r="F54" s="71"/>
      <c r="G54" s="71"/>
      <c r="H54" s="71"/>
      <c r="I54" s="71"/>
      <c r="J54" s="19">
        <f>I52</f>
        <v>29.91</v>
      </c>
      <c r="K54" s="71"/>
      <c r="L54" s="84"/>
      <c r="M54" s="71"/>
      <c r="N54" s="81"/>
      <c r="O54" s="84"/>
      <c r="P54" s="84"/>
      <c r="Q54" s="90"/>
      <c r="R54" s="90"/>
      <c r="S54" s="17">
        <f>R52</f>
        <v>16.5</v>
      </c>
    </row>
    <row r="55" spans="3:19" x14ac:dyDescent="0.25">
      <c r="C55" s="72">
        <v>21</v>
      </c>
      <c r="D55" s="71" t="s">
        <v>21</v>
      </c>
      <c r="E55" s="2" t="s">
        <v>1</v>
      </c>
      <c r="F55" s="71">
        <v>24</v>
      </c>
      <c r="G55" s="71">
        <v>30</v>
      </c>
      <c r="H55" s="71">
        <v>8</v>
      </c>
      <c r="I55" s="71">
        <v>48.55</v>
      </c>
      <c r="J55" s="19">
        <f>I55</f>
        <v>48.55</v>
      </c>
      <c r="K55" s="71">
        <f t="shared" si="6"/>
        <v>192</v>
      </c>
      <c r="L55" s="82">
        <f t="shared" si="0"/>
        <v>15.171875</v>
      </c>
      <c r="M55" s="71">
        <v>14</v>
      </c>
      <c r="N55" s="81">
        <f t="shared" ref="N55" si="37">(M55*60)/H55</f>
        <v>105</v>
      </c>
      <c r="O55" s="82">
        <f t="shared" si="2"/>
        <v>5097.75</v>
      </c>
      <c r="P55" s="82">
        <f t="shared" si="3"/>
        <v>3.1999999999999997</v>
      </c>
      <c r="Q55" s="89">
        <f t="shared" si="4"/>
        <v>4.375</v>
      </c>
      <c r="R55" s="89">
        <f t="shared" ref="R55" si="38">(1.1*(O55/(I55*Q55)))</f>
        <v>26.400000000000002</v>
      </c>
      <c r="S55" s="17">
        <f>R55</f>
        <v>26.400000000000002</v>
      </c>
    </row>
    <row r="56" spans="3:19" x14ac:dyDescent="0.25">
      <c r="C56" s="72"/>
      <c r="D56" s="71"/>
      <c r="E56" s="2" t="s">
        <v>2</v>
      </c>
      <c r="F56" s="71"/>
      <c r="G56" s="71"/>
      <c r="H56" s="71"/>
      <c r="I56" s="71"/>
      <c r="J56" s="19">
        <f>I55</f>
        <v>48.55</v>
      </c>
      <c r="K56" s="71"/>
      <c r="L56" s="83"/>
      <c r="M56" s="71"/>
      <c r="N56" s="81"/>
      <c r="O56" s="83"/>
      <c r="P56" s="83"/>
      <c r="Q56" s="91"/>
      <c r="R56" s="91"/>
      <c r="S56" s="17">
        <f>R55</f>
        <v>26.400000000000002</v>
      </c>
    </row>
    <row r="57" spans="3:19" x14ac:dyDescent="0.25">
      <c r="C57" s="72"/>
      <c r="D57" s="71"/>
      <c r="E57" s="2" t="s">
        <v>3</v>
      </c>
      <c r="F57" s="71"/>
      <c r="G57" s="71"/>
      <c r="H57" s="71"/>
      <c r="I57" s="71"/>
      <c r="J57" s="19">
        <f>I55</f>
        <v>48.55</v>
      </c>
      <c r="K57" s="71"/>
      <c r="L57" s="84"/>
      <c r="M57" s="71"/>
      <c r="N57" s="81"/>
      <c r="O57" s="84"/>
      <c r="P57" s="84"/>
      <c r="Q57" s="90"/>
      <c r="R57" s="90"/>
      <c r="S57" s="17">
        <f>R55</f>
        <v>26.400000000000002</v>
      </c>
    </row>
    <row r="58" spans="3:19" x14ac:dyDescent="0.25">
      <c r="C58" s="72">
        <v>22</v>
      </c>
      <c r="D58" s="71" t="s">
        <v>22</v>
      </c>
      <c r="E58" s="2" t="s">
        <v>1</v>
      </c>
      <c r="F58" s="71">
        <v>16</v>
      </c>
      <c r="G58" s="71">
        <v>20</v>
      </c>
      <c r="H58" s="71">
        <v>8</v>
      </c>
      <c r="I58" s="71">
        <v>32.56</v>
      </c>
      <c r="J58" s="19">
        <f>I58</f>
        <v>32.56</v>
      </c>
      <c r="K58" s="71">
        <f t="shared" si="6"/>
        <v>128</v>
      </c>
      <c r="L58" s="82">
        <f t="shared" si="0"/>
        <v>15.262500000000001</v>
      </c>
      <c r="M58" s="71">
        <v>14</v>
      </c>
      <c r="N58" s="81">
        <f t="shared" ref="N58" si="39">(M58*60)/H58</f>
        <v>105</v>
      </c>
      <c r="O58" s="82">
        <f t="shared" si="2"/>
        <v>3418.8</v>
      </c>
      <c r="P58" s="82">
        <f t="shared" si="3"/>
        <v>2.1333333333333333</v>
      </c>
      <c r="Q58" s="89">
        <f t="shared" si="4"/>
        <v>6.5625</v>
      </c>
      <c r="R58" s="89">
        <f t="shared" ref="R58" si="40">(1.1*(O58/(I58*Q58)))</f>
        <v>17.600000000000001</v>
      </c>
      <c r="S58" s="17">
        <f>R58</f>
        <v>17.600000000000001</v>
      </c>
    </row>
    <row r="59" spans="3:19" x14ac:dyDescent="0.25">
      <c r="C59" s="72"/>
      <c r="D59" s="71"/>
      <c r="E59" s="2" t="s">
        <v>2</v>
      </c>
      <c r="F59" s="71"/>
      <c r="G59" s="71"/>
      <c r="H59" s="71"/>
      <c r="I59" s="71"/>
      <c r="J59" s="19">
        <f>I58</f>
        <v>32.56</v>
      </c>
      <c r="K59" s="71"/>
      <c r="L59" s="83"/>
      <c r="M59" s="71"/>
      <c r="N59" s="81"/>
      <c r="O59" s="83"/>
      <c r="P59" s="83"/>
      <c r="Q59" s="91"/>
      <c r="R59" s="91"/>
      <c r="S59" s="17">
        <f>R58</f>
        <v>17.600000000000001</v>
      </c>
    </row>
    <row r="60" spans="3:19" x14ac:dyDescent="0.25">
      <c r="C60" s="72"/>
      <c r="D60" s="71"/>
      <c r="E60" s="2" t="s">
        <v>3</v>
      </c>
      <c r="F60" s="71"/>
      <c r="G60" s="71"/>
      <c r="H60" s="71"/>
      <c r="I60" s="71"/>
      <c r="J60" s="19">
        <f>I58</f>
        <v>32.56</v>
      </c>
      <c r="K60" s="71"/>
      <c r="L60" s="84"/>
      <c r="M60" s="71"/>
      <c r="N60" s="81"/>
      <c r="O60" s="84"/>
      <c r="P60" s="84"/>
      <c r="Q60" s="90"/>
      <c r="R60" s="90"/>
      <c r="S60" s="17">
        <f>R58</f>
        <v>17.600000000000001</v>
      </c>
    </row>
    <row r="61" spans="3:19" x14ac:dyDescent="0.25">
      <c r="C61" s="72">
        <v>23</v>
      </c>
      <c r="D61" s="71" t="s">
        <v>23</v>
      </c>
      <c r="E61" s="2" t="s">
        <v>1</v>
      </c>
      <c r="F61" s="71">
        <v>19</v>
      </c>
      <c r="G61" s="71">
        <v>24</v>
      </c>
      <c r="H61" s="71">
        <v>8</v>
      </c>
      <c r="I61" s="71">
        <v>37.700000000000003</v>
      </c>
      <c r="J61" s="19">
        <f>I61</f>
        <v>37.700000000000003</v>
      </c>
      <c r="K61" s="71">
        <f t="shared" si="6"/>
        <v>152</v>
      </c>
      <c r="L61" s="82">
        <f t="shared" si="0"/>
        <v>14.881578947368421</v>
      </c>
      <c r="M61" s="71">
        <v>14</v>
      </c>
      <c r="N61" s="81">
        <f t="shared" ref="N61" si="41">(M61*60)/H61</f>
        <v>105</v>
      </c>
      <c r="O61" s="82">
        <f t="shared" si="2"/>
        <v>3958.5000000000005</v>
      </c>
      <c r="P61" s="82">
        <f t="shared" si="3"/>
        <v>2.5333333333333337</v>
      </c>
      <c r="Q61" s="89">
        <f t="shared" si="4"/>
        <v>5.5263157894736832</v>
      </c>
      <c r="R61" s="89">
        <f t="shared" ref="R61" si="42">(1.1*(O61/(I61*Q61)))</f>
        <v>20.900000000000006</v>
      </c>
      <c r="S61" s="17">
        <f>R61</f>
        <v>20.900000000000006</v>
      </c>
    </row>
    <row r="62" spans="3:19" x14ac:dyDescent="0.25">
      <c r="C62" s="72"/>
      <c r="D62" s="71"/>
      <c r="E62" s="2" t="s">
        <v>2</v>
      </c>
      <c r="F62" s="71"/>
      <c r="G62" s="71"/>
      <c r="H62" s="71"/>
      <c r="I62" s="71"/>
      <c r="J62" s="19">
        <f>I61</f>
        <v>37.700000000000003</v>
      </c>
      <c r="K62" s="71"/>
      <c r="L62" s="83"/>
      <c r="M62" s="71"/>
      <c r="N62" s="81"/>
      <c r="O62" s="83"/>
      <c r="P62" s="83"/>
      <c r="Q62" s="91"/>
      <c r="R62" s="91"/>
      <c r="S62" s="17">
        <f>R61</f>
        <v>20.900000000000006</v>
      </c>
    </row>
    <row r="63" spans="3:19" x14ac:dyDescent="0.25">
      <c r="C63" s="72"/>
      <c r="D63" s="71"/>
      <c r="E63" s="2" t="s">
        <v>3</v>
      </c>
      <c r="F63" s="71"/>
      <c r="G63" s="71"/>
      <c r="H63" s="71"/>
      <c r="I63" s="71"/>
      <c r="J63" s="19">
        <f>I61</f>
        <v>37.700000000000003</v>
      </c>
      <c r="K63" s="71"/>
      <c r="L63" s="84"/>
      <c r="M63" s="71"/>
      <c r="N63" s="81"/>
      <c r="O63" s="84"/>
      <c r="P63" s="84"/>
      <c r="Q63" s="90"/>
      <c r="R63" s="90"/>
      <c r="S63" s="17">
        <f>R61</f>
        <v>20.900000000000006</v>
      </c>
    </row>
    <row r="64" spans="3:19" x14ac:dyDescent="0.25">
      <c r="C64" s="72">
        <v>24</v>
      </c>
      <c r="D64" s="71" t="s">
        <v>24</v>
      </c>
      <c r="E64" s="2" t="s">
        <v>1</v>
      </c>
      <c r="F64" s="71">
        <v>24</v>
      </c>
      <c r="G64" s="71">
        <v>30</v>
      </c>
      <c r="H64" s="71">
        <v>8</v>
      </c>
      <c r="I64" s="71">
        <v>47.84</v>
      </c>
      <c r="J64" s="19">
        <f>I64</f>
        <v>47.84</v>
      </c>
      <c r="K64" s="71">
        <f t="shared" si="6"/>
        <v>192</v>
      </c>
      <c r="L64" s="82">
        <f t="shared" si="0"/>
        <v>14.950000000000001</v>
      </c>
      <c r="M64" s="71">
        <v>14</v>
      </c>
      <c r="N64" s="81">
        <f t="shared" ref="N64" si="43">(M64*60)/H64</f>
        <v>105</v>
      </c>
      <c r="O64" s="82">
        <f t="shared" si="2"/>
        <v>5023.2000000000007</v>
      </c>
      <c r="P64" s="82">
        <f t="shared" si="3"/>
        <v>3.2</v>
      </c>
      <c r="Q64" s="89">
        <f t="shared" si="4"/>
        <v>4.375</v>
      </c>
      <c r="R64" s="89">
        <f t="shared" ref="R64" si="44">(1.1*(O64/(I64*Q64)))</f>
        <v>26.400000000000006</v>
      </c>
      <c r="S64" s="17">
        <f>R64</f>
        <v>26.400000000000006</v>
      </c>
    </row>
    <row r="65" spans="3:19" x14ac:dyDescent="0.25">
      <c r="C65" s="72"/>
      <c r="D65" s="71"/>
      <c r="E65" s="2" t="s">
        <v>2</v>
      </c>
      <c r="F65" s="71"/>
      <c r="G65" s="71"/>
      <c r="H65" s="71"/>
      <c r="I65" s="71"/>
      <c r="J65" s="19">
        <f>I64</f>
        <v>47.84</v>
      </c>
      <c r="K65" s="71"/>
      <c r="L65" s="83"/>
      <c r="M65" s="71"/>
      <c r="N65" s="81"/>
      <c r="O65" s="83"/>
      <c r="P65" s="83"/>
      <c r="Q65" s="91"/>
      <c r="R65" s="91"/>
      <c r="S65" s="17">
        <f>R64</f>
        <v>26.400000000000006</v>
      </c>
    </row>
    <row r="66" spans="3:19" x14ac:dyDescent="0.25">
      <c r="C66" s="72"/>
      <c r="D66" s="71"/>
      <c r="E66" s="2" t="s">
        <v>3</v>
      </c>
      <c r="F66" s="71"/>
      <c r="G66" s="71"/>
      <c r="H66" s="71"/>
      <c r="I66" s="71"/>
      <c r="J66" s="19">
        <f>I64</f>
        <v>47.84</v>
      </c>
      <c r="K66" s="71"/>
      <c r="L66" s="84"/>
      <c r="M66" s="71"/>
      <c r="N66" s="81"/>
      <c r="O66" s="84"/>
      <c r="P66" s="84"/>
      <c r="Q66" s="90"/>
      <c r="R66" s="90"/>
      <c r="S66" s="17">
        <f>R64</f>
        <v>26.400000000000006</v>
      </c>
    </row>
    <row r="67" spans="3:19" x14ac:dyDescent="0.25">
      <c r="C67" s="85">
        <v>25</v>
      </c>
      <c r="D67" s="69" t="s">
        <v>69</v>
      </c>
      <c r="E67" s="2" t="s">
        <v>1</v>
      </c>
      <c r="F67" s="69">
        <v>18</v>
      </c>
      <c r="G67" s="69">
        <v>22</v>
      </c>
      <c r="H67" s="69">
        <v>8</v>
      </c>
      <c r="I67" s="69">
        <v>34.68</v>
      </c>
      <c r="J67" s="19">
        <f>I67</f>
        <v>34.68</v>
      </c>
      <c r="K67" s="71">
        <f t="shared" ref="K67" si="45">F67*H67</f>
        <v>144</v>
      </c>
      <c r="L67" s="82">
        <f t="shared" si="0"/>
        <v>14.450000000000001</v>
      </c>
      <c r="M67" s="71">
        <v>14</v>
      </c>
      <c r="N67" s="81">
        <f t="shared" ref="N67" si="46">(M67*60)/H67</f>
        <v>105</v>
      </c>
      <c r="O67" s="82">
        <f t="shared" si="2"/>
        <v>3641.4</v>
      </c>
      <c r="P67" s="82">
        <f t="shared" si="3"/>
        <v>2.4</v>
      </c>
      <c r="Q67" s="89">
        <f t="shared" si="4"/>
        <v>5.8333333333333339</v>
      </c>
      <c r="R67" s="89">
        <f t="shared" ref="R67" si="47">(1.1*(O67/(I67*Q67)))</f>
        <v>19.8</v>
      </c>
      <c r="S67" s="17">
        <f>R67</f>
        <v>19.8</v>
      </c>
    </row>
    <row r="68" spans="3:19" x14ac:dyDescent="0.25">
      <c r="C68" s="86"/>
      <c r="D68" s="88"/>
      <c r="E68" s="2" t="s">
        <v>2</v>
      </c>
      <c r="F68" s="88"/>
      <c r="G68" s="88"/>
      <c r="H68" s="88"/>
      <c r="I68" s="88"/>
      <c r="J68" s="19">
        <f>I67</f>
        <v>34.68</v>
      </c>
      <c r="K68" s="71"/>
      <c r="L68" s="83"/>
      <c r="M68" s="71"/>
      <c r="N68" s="81"/>
      <c r="O68" s="83"/>
      <c r="P68" s="83"/>
      <c r="Q68" s="91"/>
      <c r="R68" s="91"/>
      <c r="S68" s="17">
        <f>R67</f>
        <v>19.8</v>
      </c>
    </row>
    <row r="69" spans="3:19" x14ac:dyDescent="0.25">
      <c r="C69" s="87"/>
      <c r="D69" s="70"/>
      <c r="E69" s="2" t="s">
        <v>3</v>
      </c>
      <c r="F69" s="70"/>
      <c r="G69" s="70"/>
      <c r="H69" s="70"/>
      <c r="I69" s="70"/>
      <c r="J69" s="19">
        <f>I67</f>
        <v>34.68</v>
      </c>
      <c r="K69" s="71"/>
      <c r="L69" s="84"/>
      <c r="M69" s="71"/>
      <c r="N69" s="81"/>
      <c r="O69" s="84"/>
      <c r="P69" s="84"/>
      <c r="Q69" s="90"/>
      <c r="R69" s="90"/>
      <c r="S69" s="17">
        <f>R67</f>
        <v>19.8</v>
      </c>
    </row>
    <row r="70" spans="3:19" x14ac:dyDescent="0.25">
      <c r="C70" s="72">
        <v>26</v>
      </c>
      <c r="D70" s="74" t="s">
        <v>25</v>
      </c>
      <c r="E70" s="2" t="s">
        <v>1</v>
      </c>
      <c r="F70" s="71">
        <v>13</v>
      </c>
      <c r="G70" s="71">
        <v>16</v>
      </c>
      <c r="H70" s="71">
        <v>8</v>
      </c>
      <c r="I70" s="71">
        <v>27.85</v>
      </c>
      <c r="J70" s="19">
        <f>I70</f>
        <v>27.85</v>
      </c>
      <c r="K70" s="71">
        <f t="shared" ref="K70:K107" si="48">F70*H70</f>
        <v>104</v>
      </c>
      <c r="L70" s="82">
        <f t="shared" ref="L70:L107" si="49">I70*60/K70</f>
        <v>16.067307692307693</v>
      </c>
      <c r="M70" s="71">
        <v>14</v>
      </c>
      <c r="N70" s="81">
        <f>(M70*60)/H70</f>
        <v>105</v>
      </c>
      <c r="O70" s="82">
        <f t="shared" ref="O70:O107" si="50">N70*I70</f>
        <v>2924.25</v>
      </c>
      <c r="P70" s="82">
        <f t="shared" ref="P70:P107" si="51">I70/L70</f>
        <v>1.7333333333333334</v>
      </c>
      <c r="Q70" s="89">
        <f t="shared" ref="Q70:Q107" si="52">M70/P70</f>
        <v>8.0769230769230766</v>
      </c>
      <c r="R70" s="89">
        <f>(1.1*(O70/(I70*Q70)))</f>
        <v>14.3</v>
      </c>
      <c r="S70" s="17">
        <f>R70</f>
        <v>14.3</v>
      </c>
    </row>
    <row r="71" spans="3:19" x14ac:dyDescent="0.25">
      <c r="C71" s="72"/>
      <c r="D71" s="74"/>
      <c r="E71" s="2" t="s">
        <v>2</v>
      </c>
      <c r="F71" s="71"/>
      <c r="G71" s="71"/>
      <c r="H71" s="71"/>
      <c r="I71" s="71"/>
      <c r="J71" s="19">
        <f>I70</f>
        <v>27.85</v>
      </c>
      <c r="K71" s="71"/>
      <c r="L71" s="83"/>
      <c r="M71" s="71"/>
      <c r="N71" s="81"/>
      <c r="O71" s="83"/>
      <c r="P71" s="83"/>
      <c r="Q71" s="91"/>
      <c r="R71" s="91"/>
      <c r="S71" s="17">
        <f>R70</f>
        <v>14.3</v>
      </c>
    </row>
    <row r="72" spans="3:19" x14ac:dyDescent="0.25">
      <c r="C72" s="72"/>
      <c r="D72" s="74"/>
      <c r="E72" s="2" t="s">
        <v>3</v>
      </c>
      <c r="F72" s="71"/>
      <c r="G72" s="71"/>
      <c r="H72" s="71"/>
      <c r="I72" s="71"/>
      <c r="J72" s="19">
        <f>I70</f>
        <v>27.85</v>
      </c>
      <c r="K72" s="71"/>
      <c r="L72" s="84"/>
      <c r="M72" s="71"/>
      <c r="N72" s="81"/>
      <c r="O72" s="84"/>
      <c r="P72" s="84"/>
      <c r="Q72" s="90"/>
      <c r="R72" s="90"/>
      <c r="S72" s="17">
        <f>R70</f>
        <v>14.3</v>
      </c>
    </row>
    <row r="73" spans="3:19" ht="22.5" customHeight="1" x14ac:dyDescent="0.25">
      <c r="C73" s="42">
        <v>27</v>
      </c>
      <c r="D73" s="4" t="s">
        <v>26</v>
      </c>
      <c r="E73" s="4" t="s">
        <v>27</v>
      </c>
      <c r="F73" s="4">
        <v>18</v>
      </c>
      <c r="G73" s="4">
        <v>20</v>
      </c>
      <c r="H73" s="4">
        <v>6</v>
      </c>
      <c r="I73" s="4">
        <v>25.54</v>
      </c>
      <c r="J73" s="19">
        <f>I73</f>
        <v>25.54</v>
      </c>
      <c r="K73" s="9">
        <f t="shared" si="48"/>
        <v>108</v>
      </c>
      <c r="L73" s="12">
        <f t="shared" si="49"/>
        <v>14.188888888888888</v>
      </c>
      <c r="M73" s="10">
        <v>14</v>
      </c>
      <c r="N73" s="12">
        <f>(M73*60)/H73</f>
        <v>140</v>
      </c>
      <c r="O73" s="12">
        <f t="shared" si="50"/>
        <v>3575.6</v>
      </c>
      <c r="P73" s="12">
        <f t="shared" si="51"/>
        <v>1.8</v>
      </c>
      <c r="Q73" s="16">
        <f t="shared" si="52"/>
        <v>7.7777777777777777</v>
      </c>
      <c r="R73" s="18">
        <f t="shared" ref="R73:R107" si="53">(1.1*(O73/(I73*Q73)))</f>
        <v>19.8</v>
      </c>
      <c r="S73" s="17">
        <f>R73</f>
        <v>19.8</v>
      </c>
    </row>
    <row r="74" spans="3:19" x14ac:dyDescent="0.25">
      <c r="C74" s="72">
        <v>28</v>
      </c>
      <c r="D74" s="74" t="s">
        <v>28</v>
      </c>
      <c r="E74" s="71" t="s">
        <v>27</v>
      </c>
      <c r="F74" s="71">
        <v>16</v>
      </c>
      <c r="G74" s="71">
        <v>17</v>
      </c>
      <c r="H74" s="71">
        <v>6</v>
      </c>
      <c r="I74" s="71">
        <v>22.4</v>
      </c>
      <c r="J74" s="80">
        <f>I74</f>
        <v>22.4</v>
      </c>
      <c r="K74" s="71">
        <f t="shared" si="48"/>
        <v>96</v>
      </c>
      <c r="L74" s="82">
        <f t="shared" si="49"/>
        <v>14</v>
      </c>
      <c r="M74" s="71">
        <v>14</v>
      </c>
      <c r="N74" s="81">
        <f>(M74*60)/H74</f>
        <v>140</v>
      </c>
      <c r="O74" s="82">
        <f t="shared" si="50"/>
        <v>3136</v>
      </c>
      <c r="P74" s="82">
        <f t="shared" si="51"/>
        <v>1.5999999999999999</v>
      </c>
      <c r="Q74" s="89">
        <f t="shared" si="52"/>
        <v>8.75</v>
      </c>
      <c r="R74" s="89">
        <f t="shared" si="53"/>
        <v>17.600000000000001</v>
      </c>
      <c r="S74" s="67">
        <f>R74</f>
        <v>17.600000000000001</v>
      </c>
    </row>
    <row r="75" spans="3:19" x14ac:dyDescent="0.25">
      <c r="C75" s="72"/>
      <c r="D75" s="74"/>
      <c r="E75" s="71"/>
      <c r="F75" s="71"/>
      <c r="G75" s="71"/>
      <c r="H75" s="71"/>
      <c r="I75" s="71"/>
      <c r="J75" s="80"/>
      <c r="K75" s="71"/>
      <c r="L75" s="84"/>
      <c r="M75" s="71"/>
      <c r="N75" s="81"/>
      <c r="O75" s="84"/>
      <c r="P75" s="84"/>
      <c r="Q75" s="90"/>
      <c r="R75" s="90"/>
      <c r="S75" s="67"/>
    </row>
    <row r="76" spans="3:19" x14ac:dyDescent="0.25">
      <c r="C76" s="42" t="s">
        <v>67</v>
      </c>
      <c r="D76" s="11" t="s">
        <v>68</v>
      </c>
      <c r="E76" s="9" t="str">
        <f>E74</f>
        <v>LUSITANIA S.A</v>
      </c>
      <c r="F76" s="9">
        <v>20</v>
      </c>
      <c r="G76" s="9">
        <v>22</v>
      </c>
      <c r="H76" s="9">
        <v>4</v>
      </c>
      <c r="I76" s="9">
        <v>19.2</v>
      </c>
      <c r="J76" s="20">
        <f>I76</f>
        <v>19.2</v>
      </c>
      <c r="K76" s="9">
        <f>F76*H76</f>
        <v>80</v>
      </c>
      <c r="L76" s="12">
        <f t="shared" si="49"/>
        <v>14.4</v>
      </c>
      <c r="M76" s="9">
        <v>14</v>
      </c>
      <c r="N76" s="14">
        <f>(M76*60)/H76</f>
        <v>210</v>
      </c>
      <c r="O76" s="12">
        <f t="shared" si="50"/>
        <v>4032</v>
      </c>
      <c r="P76" s="12">
        <f t="shared" si="51"/>
        <v>1.3333333333333333</v>
      </c>
      <c r="Q76" s="16">
        <f t="shared" si="52"/>
        <v>10.5</v>
      </c>
      <c r="R76" s="18">
        <f t="shared" si="53"/>
        <v>22</v>
      </c>
      <c r="S76" s="17">
        <f>R76</f>
        <v>22</v>
      </c>
    </row>
    <row r="77" spans="3:19" x14ac:dyDescent="0.25">
      <c r="C77" s="72">
        <v>29</v>
      </c>
      <c r="D77" s="77" t="s">
        <v>29</v>
      </c>
      <c r="E77" s="71" t="s">
        <v>30</v>
      </c>
      <c r="F77" s="71">
        <v>17</v>
      </c>
      <c r="G77" s="71">
        <v>21</v>
      </c>
      <c r="H77" s="71">
        <v>7</v>
      </c>
      <c r="I77" s="71">
        <v>21.7</v>
      </c>
      <c r="J77" s="80">
        <f>I77</f>
        <v>21.7</v>
      </c>
      <c r="K77" s="71">
        <f t="shared" si="48"/>
        <v>119</v>
      </c>
      <c r="L77" s="82">
        <f t="shared" si="49"/>
        <v>10.941176470588236</v>
      </c>
      <c r="M77" s="71">
        <v>14</v>
      </c>
      <c r="N77" s="81">
        <f>(M77*60)/H77</f>
        <v>120</v>
      </c>
      <c r="O77" s="82">
        <f t="shared" si="50"/>
        <v>2604</v>
      </c>
      <c r="P77" s="82">
        <f t="shared" si="51"/>
        <v>1.9833333333333332</v>
      </c>
      <c r="Q77" s="89">
        <f t="shared" si="52"/>
        <v>7.0588235294117654</v>
      </c>
      <c r="R77" s="89">
        <f t="shared" si="53"/>
        <v>18.700000000000003</v>
      </c>
      <c r="S77" s="67">
        <f>R77</f>
        <v>18.700000000000003</v>
      </c>
    </row>
    <row r="78" spans="3:19" x14ac:dyDescent="0.25">
      <c r="C78" s="72"/>
      <c r="D78" s="77"/>
      <c r="E78" s="71"/>
      <c r="F78" s="71"/>
      <c r="G78" s="71"/>
      <c r="H78" s="71"/>
      <c r="I78" s="71"/>
      <c r="J78" s="80"/>
      <c r="K78" s="71"/>
      <c r="L78" s="84"/>
      <c r="M78" s="71"/>
      <c r="N78" s="81"/>
      <c r="O78" s="84"/>
      <c r="P78" s="84"/>
      <c r="Q78" s="90"/>
      <c r="R78" s="90"/>
      <c r="S78" s="67"/>
    </row>
    <row r="79" spans="3:19" x14ac:dyDescent="0.25">
      <c r="C79" s="43">
        <v>30</v>
      </c>
      <c r="D79" s="3" t="s">
        <v>31</v>
      </c>
      <c r="E79" s="4" t="s">
        <v>32</v>
      </c>
      <c r="F79" s="2">
        <v>20</v>
      </c>
      <c r="G79" s="2">
        <v>22</v>
      </c>
      <c r="H79" s="2">
        <v>9</v>
      </c>
      <c r="I79" s="2">
        <v>34.9</v>
      </c>
      <c r="J79" s="19">
        <f>I79</f>
        <v>34.9</v>
      </c>
      <c r="K79" s="2">
        <f t="shared" si="48"/>
        <v>180</v>
      </c>
      <c r="L79" s="12">
        <f t="shared" si="49"/>
        <v>11.633333333333333</v>
      </c>
      <c r="M79" s="7">
        <v>14</v>
      </c>
      <c r="N79" s="14">
        <f>(M79*60)/H79</f>
        <v>93.333333333333329</v>
      </c>
      <c r="O79" s="12">
        <f t="shared" si="50"/>
        <v>3257.333333333333</v>
      </c>
      <c r="P79" s="12">
        <f t="shared" si="51"/>
        <v>3</v>
      </c>
      <c r="Q79" s="16">
        <f t="shared" si="52"/>
        <v>4.666666666666667</v>
      </c>
      <c r="R79" s="18">
        <f t="shared" si="53"/>
        <v>21.999999999999996</v>
      </c>
      <c r="S79" s="17">
        <f>R79</f>
        <v>21.999999999999996</v>
      </c>
    </row>
    <row r="80" spans="3:19" x14ac:dyDescent="0.25">
      <c r="C80" s="43">
        <v>31</v>
      </c>
      <c r="D80" s="3" t="s">
        <v>33</v>
      </c>
      <c r="E80" s="4" t="s">
        <v>32</v>
      </c>
      <c r="F80" s="2">
        <v>24</v>
      </c>
      <c r="G80" s="2">
        <v>27</v>
      </c>
      <c r="H80" s="2">
        <v>7</v>
      </c>
      <c r="I80" s="2">
        <v>35.200000000000003</v>
      </c>
      <c r="J80" s="19">
        <f>I80</f>
        <v>35.200000000000003</v>
      </c>
      <c r="K80" s="2">
        <f t="shared" si="48"/>
        <v>168</v>
      </c>
      <c r="L80" s="12">
        <f t="shared" si="49"/>
        <v>12.571428571428571</v>
      </c>
      <c r="M80" s="7">
        <v>14</v>
      </c>
      <c r="N80" s="14">
        <f t="shared" ref="N80:N82" si="54">(M80*60)/H80</f>
        <v>120</v>
      </c>
      <c r="O80" s="12">
        <f t="shared" si="50"/>
        <v>4224</v>
      </c>
      <c r="P80" s="12">
        <f t="shared" si="51"/>
        <v>2.8000000000000003</v>
      </c>
      <c r="Q80" s="16">
        <f t="shared" si="52"/>
        <v>4.9999999999999991</v>
      </c>
      <c r="R80" s="18">
        <f t="shared" si="53"/>
        <v>26.400000000000006</v>
      </c>
      <c r="S80" s="17">
        <f>R80</f>
        <v>26.400000000000006</v>
      </c>
    </row>
    <row r="81" spans="3:19" x14ac:dyDescent="0.25">
      <c r="C81" s="43">
        <v>32</v>
      </c>
      <c r="D81" s="3" t="s">
        <v>34</v>
      </c>
      <c r="E81" s="4" t="s">
        <v>32</v>
      </c>
      <c r="F81" s="2">
        <v>12</v>
      </c>
      <c r="G81" s="2">
        <v>13</v>
      </c>
      <c r="H81" s="2">
        <v>7</v>
      </c>
      <c r="I81" s="2">
        <v>31.9</v>
      </c>
      <c r="J81" s="19">
        <f>I81</f>
        <v>31.9</v>
      </c>
      <c r="K81" s="2">
        <f t="shared" si="48"/>
        <v>84</v>
      </c>
      <c r="L81" s="12">
        <f t="shared" si="49"/>
        <v>22.785714285714285</v>
      </c>
      <c r="M81" s="7">
        <v>14</v>
      </c>
      <c r="N81" s="14">
        <f>(M81*60)/H81</f>
        <v>120</v>
      </c>
      <c r="O81" s="12">
        <f t="shared" si="50"/>
        <v>3828</v>
      </c>
      <c r="P81" s="12">
        <f t="shared" si="51"/>
        <v>1.4</v>
      </c>
      <c r="Q81" s="16">
        <f t="shared" si="52"/>
        <v>10</v>
      </c>
      <c r="R81" s="18">
        <f t="shared" si="53"/>
        <v>13.200000000000001</v>
      </c>
      <c r="S81" s="17">
        <f>R81</f>
        <v>13.200000000000001</v>
      </c>
    </row>
    <row r="82" spans="3:19" x14ac:dyDescent="0.25">
      <c r="C82" s="72">
        <v>33</v>
      </c>
      <c r="D82" s="75" t="s">
        <v>35</v>
      </c>
      <c r="E82" s="4" t="s">
        <v>1</v>
      </c>
      <c r="F82" s="71">
        <v>8</v>
      </c>
      <c r="G82" s="71">
        <v>10</v>
      </c>
      <c r="H82" s="71">
        <v>13</v>
      </c>
      <c r="I82" s="71">
        <v>29.17</v>
      </c>
      <c r="J82" s="19">
        <f>I82</f>
        <v>29.17</v>
      </c>
      <c r="K82" s="71">
        <f t="shared" si="48"/>
        <v>104</v>
      </c>
      <c r="L82" s="82">
        <f t="shared" si="49"/>
        <v>16.828846153846154</v>
      </c>
      <c r="M82" s="71">
        <v>14</v>
      </c>
      <c r="N82" s="82">
        <f t="shared" si="54"/>
        <v>64.615384615384613</v>
      </c>
      <c r="O82" s="82">
        <f t="shared" si="50"/>
        <v>1884.8307692307692</v>
      </c>
      <c r="P82" s="82">
        <f t="shared" si="51"/>
        <v>1.7333333333333334</v>
      </c>
      <c r="Q82" s="89">
        <f t="shared" si="52"/>
        <v>8.0769230769230766</v>
      </c>
      <c r="R82" s="89">
        <f t="shared" si="53"/>
        <v>8.8000000000000007</v>
      </c>
      <c r="S82" s="17">
        <f>R82</f>
        <v>8.8000000000000007</v>
      </c>
    </row>
    <row r="83" spans="3:19" x14ac:dyDescent="0.25">
      <c r="C83" s="72"/>
      <c r="D83" s="75"/>
      <c r="E83" s="4" t="s">
        <v>2</v>
      </c>
      <c r="F83" s="71"/>
      <c r="G83" s="71"/>
      <c r="H83" s="71"/>
      <c r="I83" s="71"/>
      <c r="J83" s="19">
        <f>I82</f>
        <v>29.17</v>
      </c>
      <c r="K83" s="71"/>
      <c r="L83" s="83"/>
      <c r="M83" s="71"/>
      <c r="N83" s="83"/>
      <c r="O83" s="83"/>
      <c r="P83" s="83"/>
      <c r="Q83" s="91"/>
      <c r="R83" s="91"/>
      <c r="S83" s="17">
        <f>R82</f>
        <v>8.8000000000000007</v>
      </c>
    </row>
    <row r="84" spans="3:19" x14ac:dyDescent="0.25">
      <c r="C84" s="72"/>
      <c r="D84" s="75"/>
      <c r="E84" s="4" t="s">
        <v>3</v>
      </c>
      <c r="F84" s="71"/>
      <c r="G84" s="71"/>
      <c r="H84" s="71"/>
      <c r="I84" s="71"/>
      <c r="J84" s="19">
        <f>I82</f>
        <v>29.17</v>
      </c>
      <c r="K84" s="71"/>
      <c r="L84" s="84"/>
      <c r="M84" s="71"/>
      <c r="N84" s="84"/>
      <c r="O84" s="84"/>
      <c r="P84" s="84"/>
      <c r="Q84" s="90"/>
      <c r="R84" s="90"/>
      <c r="S84" s="17">
        <f>R82</f>
        <v>8.8000000000000007</v>
      </c>
    </row>
    <row r="85" spans="3:19" x14ac:dyDescent="0.25">
      <c r="C85" s="72">
        <v>34</v>
      </c>
      <c r="D85" s="77" t="s">
        <v>36</v>
      </c>
      <c r="E85" s="4" t="s">
        <v>1</v>
      </c>
      <c r="F85" s="71">
        <v>17</v>
      </c>
      <c r="G85" s="71">
        <v>21</v>
      </c>
      <c r="H85" s="71">
        <v>10</v>
      </c>
      <c r="I85" s="71">
        <v>42.84</v>
      </c>
      <c r="J85" s="19">
        <f>I85</f>
        <v>42.84</v>
      </c>
      <c r="K85" s="71">
        <f t="shared" si="48"/>
        <v>170</v>
      </c>
      <c r="L85" s="82">
        <f t="shared" si="49"/>
        <v>15.120000000000001</v>
      </c>
      <c r="M85" s="71">
        <v>14</v>
      </c>
      <c r="N85" s="82">
        <f>(M85*60)/H85</f>
        <v>84</v>
      </c>
      <c r="O85" s="82">
        <f t="shared" si="50"/>
        <v>3598.5600000000004</v>
      </c>
      <c r="P85" s="82">
        <f t="shared" si="51"/>
        <v>2.8333333333333335</v>
      </c>
      <c r="Q85" s="89">
        <f t="shared" si="52"/>
        <v>4.9411764705882346</v>
      </c>
      <c r="R85" s="89">
        <f t="shared" si="53"/>
        <v>18.700000000000006</v>
      </c>
      <c r="S85" s="17">
        <f>R85</f>
        <v>18.700000000000006</v>
      </c>
    </row>
    <row r="86" spans="3:19" x14ac:dyDescent="0.25">
      <c r="C86" s="72"/>
      <c r="D86" s="77"/>
      <c r="E86" s="4" t="s">
        <v>2</v>
      </c>
      <c r="F86" s="71"/>
      <c r="G86" s="71"/>
      <c r="H86" s="71"/>
      <c r="I86" s="71"/>
      <c r="J86" s="19">
        <f>I85</f>
        <v>42.84</v>
      </c>
      <c r="K86" s="71"/>
      <c r="L86" s="83"/>
      <c r="M86" s="71"/>
      <c r="N86" s="83"/>
      <c r="O86" s="83"/>
      <c r="P86" s="83"/>
      <c r="Q86" s="91"/>
      <c r="R86" s="91"/>
      <c r="S86" s="17">
        <f>R85</f>
        <v>18.700000000000006</v>
      </c>
    </row>
    <row r="87" spans="3:19" x14ac:dyDescent="0.25">
      <c r="C87" s="72"/>
      <c r="D87" s="77"/>
      <c r="E87" s="4" t="s">
        <v>3</v>
      </c>
      <c r="F87" s="71"/>
      <c r="G87" s="71"/>
      <c r="H87" s="71"/>
      <c r="I87" s="71"/>
      <c r="J87" s="19">
        <f>I85</f>
        <v>42.84</v>
      </c>
      <c r="K87" s="71"/>
      <c r="L87" s="84"/>
      <c r="M87" s="71"/>
      <c r="N87" s="84"/>
      <c r="O87" s="84"/>
      <c r="P87" s="84"/>
      <c r="Q87" s="90"/>
      <c r="R87" s="90"/>
      <c r="S87" s="17">
        <f>R85</f>
        <v>18.700000000000006</v>
      </c>
    </row>
    <row r="88" spans="3:19" x14ac:dyDescent="0.25">
      <c r="C88" s="43">
        <v>35</v>
      </c>
      <c r="D88" s="5" t="s">
        <v>37</v>
      </c>
      <c r="E88" s="4" t="s">
        <v>38</v>
      </c>
      <c r="F88" s="2">
        <v>13</v>
      </c>
      <c r="G88" s="2">
        <v>16</v>
      </c>
      <c r="H88" s="2">
        <v>10</v>
      </c>
      <c r="I88" s="2">
        <v>34.700000000000003</v>
      </c>
      <c r="J88" s="19">
        <f t="shared" ref="J88:J93" si="55">I88</f>
        <v>34.700000000000003</v>
      </c>
      <c r="K88" s="2">
        <f t="shared" si="48"/>
        <v>130</v>
      </c>
      <c r="L88" s="12">
        <f t="shared" si="49"/>
        <v>16.015384615384615</v>
      </c>
      <c r="M88" s="7">
        <v>14</v>
      </c>
      <c r="N88" s="14">
        <f>(M88*60)/H88</f>
        <v>84</v>
      </c>
      <c r="O88" s="12">
        <f t="shared" si="50"/>
        <v>2914.8</v>
      </c>
      <c r="P88" s="12">
        <f t="shared" si="51"/>
        <v>2.166666666666667</v>
      </c>
      <c r="Q88" s="16">
        <f t="shared" si="52"/>
        <v>6.4615384615384608</v>
      </c>
      <c r="R88" s="18">
        <f t="shared" si="53"/>
        <v>14.300000000000002</v>
      </c>
      <c r="S88" s="17">
        <f t="shared" ref="S88:S93" si="56">R88</f>
        <v>14.300000000000002</v>
      </c>
    </row>
    <row r="89" spans="3:19" x14ac:dyDescent="0.25">
      <c r="C89" s="43">
        <v>37</v>
      </c>
      <c r="D89" s="6" t="s">
        <v>39</v>
      </c>
      <c r="E89" s="4" t="s">
        <v>40</v>
      </c>
      <c r="F89" s="2">
        <v>11</v>
      </c>
      <c r="G89" s="2">
        <v>13</v>
      </c>
      <c r="H89" s="2">
        <v>9</v>
      </c>
      <c r="I89" s="2">
        <v>36.299999999999997</v>
      </c>
      <c r="J89" s="19">
        <f t="shared" si="55"/>
        <v>36.299999999999997</v>
      </c>
      <c r="K89" s="2">
        <f t="shared" si="48"/>
        <v>99</v>
      </c>
      <c r="L89" s="12">
        <f t="shared" si="49"/>
        <v>22</v>
      </c>
      <c r="M89" s="7">
        <v>14</v>
      </c>
      <c r="N89" s="14">
        <f>(M89*60)/H89</f>
        <v>93.333333333333329</v>
      </c>
      <c r="O89" s="12">
        <f t="shared" si="50"/>
        <v>3387.9999999999995</v>
      </c>
      <c r="P89" s="12">
        <f t="shared" si="51"/>
        <v>1.65</v>
      </c>
      <c r="Q89" s="16">
        <f t="shared" si="52"/>
        <v>8.4848484848484844</v>
      </c>
      <c r="R89" s="18">
        <f t="shared" si="53"/>
        <v>12.100000000000001</v>
      </c>
      <c r="S89" s="17">
        <f t="shared" si="56"/>
        <v>12.100000000000001</v>
      </c>
    </row>
    <row r="90" spans="3:19" x14ac:dyDescent="0.25">
      <c r="C90" s="43">
        <v>38</v>
      </c>
      <c r="D90" s="6" t="s">
        <v>41</v>
      </c>
      <c r="E90" s="4" t="s">
        <v>40</v>
      </c>
      <c r="F90" s="2">
        <v>12</v>
      </c>
      <c r="G90" s="2">
        <v>14</v>
      </c>
      <c r="H90" s="2">
        <v>10</v>
      </c>
      <c r="I90" s="2">
        <v>53.4</v>
      </c>
      <c r="J90" s="19">
        <f t="shared" si="55"/>
        <v>53.4</v>
      </c>
      <c r="K90" s="2">
        <f t="shared" si="48"/>
        <v>120</v>
      </c>
      <c r="L90" s="12">
        <f t="shared" si="49"/>
        <v>26.7</v>
      </c>
      <c r="M90" s="7">
        <v>14</v>
      </c>
      <c r="N90" s="14">
        <f>(M90*60)/H90</f>
        <v>84</v>
      </c>
      <c r="O90" s="12">
        <f t="shared" si="50"/>
        <v>4485.5999999999995</v>
      </c>
      <c r="P90" s="12">
        <f t="shared" si="51"/>
        <v>2</v>
      </c>
      <c r="Q90" s="16">
        <f t="shared" si="52"/>
        <v>7</v>
      </c>
      <c r="R90" s="18">
        <f t="shared" si="53"/>
        <v>13.2</v>
      </c>
      <c r="S90" s="17">
        <f t="shared" si="56"/>
        <v>13.2</v>
      </c>
    </row>
    <row r="91" spans="3:19" x14ac:dyDescent="0.25">
      <c r="C91" s="43">
        <v>39</v>
      </c>
      <c r="D91" s="6" t="s">
        <v>42</v>
      </c>
      <c r="E91" s="4" t="s">
        <v>30</v>
      </c>
      <c r="F91" s="2">
        <v>18</v>
      </c>
      <c r="G91" s="2">
        <v>23</v>
      </c>
      <c r="H91" s="2">
        <v>8</v>
      </c>
      <c r="I91" s="2">
        <v>32.200000000000003</v>
      </c>
      <c r="J91" s="19">
        <f t="shared" si="55"/>
        <v>32.200000000000003</v>
      </c>
      <c r="K91" s="2">
        <f t="shared" si="48"/>
        <v>144</v>
      </c>
      <c r="L91" s="12">
        <f t="shared" si="49"/>
        <v>13.416666666666668</v>
      </c>
      <c r="M91" s="7">
        <v>14</v>
      </c>
      <c r="N91" s="14">
        <f t="shared" ref="N91:N92" si="57">(M91*60)/H91</f>
        <v>105</v>
      </c>
      <c r="O91" s="12">
        <f t="shared" si="50"/>
        <v>3381.0000000000005</v>
      </c>
      <c r="P91" s="12">
        <f t="shared" si="51"/>
        <v>2.4</v>
      </c>
      <c r="Q91" s="16">
        <f t="shared" si="52"/>
        <v>5.8333333333333339</v>
      </c>
      <c r="R91" s="18">
        <f t="shared" si="53"/>
        <v>19.8</v>
      </c>
      <c r="S91" s="17">
        <f t="shared" si="56"/>
        <v>19.8</v>
      </c>
    </row>
    <row r="92" spans="3:19" x14ac:dyDescent="0.25">
      <c r="C92" s="43">
        <v>40</v>
      </c>
      <c r="D92" s="6" t="s">
        <v>43</v>
      </c>
      <c r="E92" s="4" t="s">
        <v>44</v>
      </c>
      <c r="F92" s="2">
        <v>13</v>
      </c>
      <c r="G92" s="2">
        <v>14</v>
      </c>
      <c r="H92" s="2">
        <v>10</v>
      </c>
      <c r="I92" s="2">
        <v>24.3</v>
      </c>
      <c r="J92" s="19">
        <f t="shared" si="55"/>
        <v>24.3</v>
      </c>
      <c r="K92" s="2">
        <f t="shared" si="48"/>
        <v>130</v>
      </c>
      <c r="L92" s="12">
        <f t="shared" si="49"/>
        <v>11.215384615384615</v>
      </c>
      <c r="M92" s="2">
        <v>14</v>
      </c>
      <c r="N92" s="14">
        <f t="shared" si="57"/>
        <v>84</v>
      </c>
      <c r="O92" s="12">
        <f t="shared" si="50"/>
        <v>2041.2</v>
      </c>
      <c r="P92" s="12">
        <f t="shared" si="51"/>
        <v>2.166666666666667</v>
      </c>
      <c r="Q92" s="16">
        <f t="shared" si="52"/>
        <v>6.4615384615384608</v>
      </c>
      <c r="R92" s="18">
        <f t="shared" si="53"/>
        <v>14.300000000000002</v>
      </c>
      <c r="S92" s="17">
        <f t="shared" si="56"/>
        <v>14.300000000000002</v>
      </c>
    </row>
    <row r="93" spans="3:19" x14ac:dyDescent="0.25">
      <c r="C93" s="72">
        <v>41</v>
      </c>
      <c r="D93" s="79" t="s">
        <v>45</v>
      </c>
      <c r="E93" s="71" t="s">
        <v>27</v>
      </c>
      <c r="F93" s="71">
        <v>10</v>
      </c>
      <c r="G93" s="71">
        <v>11</v>
      </c>
      <c r="H93" s="71">
        <v>9</v>
      </c>
      <c r="I93" s="71">
        <v>21.8</v>
      </c>
      <c r="J93" s="80">
        <f t="shared" si="55"/>
        <v>21.8</v>
      </c>
      <c r="K93" s="71">
        <f>F93*H93</f>
        <v>90</v>
      </c>
      <c r="L93" s="82">
        <f>I93*60/K93</f>
        <v>14.533333333333333</v>
      </c>
      <c r="M93" s="71">
        <v>14</v>
      </c>
      <c r="N93" s="82">
        <f>(M93*60)/H93</f>
        <v>93.333333333333329</v>
      </c>
      <c r="O93" s="82">
        <f t="shared" si="50"/>
        <v>2034.6666666666667</v>
      </c>
      <c r="P93" s="82">
        <f t="shared" si="51"/>
        <v>1.5</v>
      </c>
      <c r="Q93" s="89">
        <f t="shared" si="52"/>
        <v>9.3333333333333339</v>
      </c>
      <c r="R93" s="89">
        <f t="shared" si="53"/>
        <v>10.999999999999998</v>
      </c>
      <c r="S93" s="67">
        <f t="shared" si="56"/>
        <v>10.999999999999998</v>
      </c>
    </row>
    <row r="94" spans="3:19" x14ac:dyDescent="0.25">
      <c r="C94" s="72"/>
      <c r="D94" s="79"/>
      <c r="E94" s="71"/>
      <c r="F94" s="71"/>
      <c r="G94" s="71"/>
      <c r="H94" s="71"/>
      <c r="I94" s="71"/>
      <c r="J94" s="80"/>
      <c r="K94" s="71"/>
      <c r="L94" s="84"/>
      <c r="M94" s="71"/>
      <c r="N94" s="84"/>
      <c r="O94" s="84"/>
      <c r="P94" s="84"/>
      <c r="Q94" s="90"/>
      <c r="R94" s="90"/>
      <c r="S94" s="67"/>
    </row>
    <row r="95" spans="3:19" x14ac:dyDescent="0.25">
      <c r="C95" s="43">
        <v>42</v>
      </c>
      <c r="D95" s="5" t="s">
        <v>46</v>
      </c>
      <c r="E95" s="4" t="s">
        <v>30</v>
      </c>
      <c r="F95" s="7">
        <v>12</v>
      </c>
      <c r="G95" s="7">
        <v>13</v>
      </c>
      <c r="H95" s="7">
        <v>8</v>
      </c>
      <c r="I95" s="7">
        <v>37.450000000000003</v>
      </c>
      <c r="J95" s="19">
        <f>I95</f>
        <v>37.450000000000003</v>
      </c>
      <c r="K95" s="2">
        <f>F95*H95</f>
        <v>96</v>
      </c>
      <c r="L95" s="12">
        <f>I95*60/K95</f>
        <v>23.40625</v>
      </c>
      <c r="M95" s="7">
        <v>14</v>
      </c>
      <c r="N95" s="14">
        <f>(M95*60)/H95</f>
        <v>105</v>
      </c>
      <c r="O95" s="12">
        <f t="shared" si="50"/>
        <v>3932.2500000000005</v>
      </c>
      <c r="P95" s="12">
        <f t="shared" si="51"/>
        <v>1.6</v>
      </c>
      <c r="Q95" s="16">
        <f t="shared" si="52"/>
        <v>8.75</v>
      </c>
      <c r="R95" s="18">
        <f t="shared" si="53"/>
        <v>13.200000000000003</v>
      </c>
      <c r="S95" s="17">
        <f>R95</f>
        <v>13.200000000000003</v>
      </c>
    </row>
    <row r="96" spans="3:19" x14ac:dyDescent="0.25">
      <c r="C96" s="43">
        <v>43</v>
      </c>
      <c r="D96" s="5" t="s">
        <v>70</v>
      </c>
      <c r="E96" s="4" t="s">
        <v>30</v>
      </c>
      <c r="F96" s="7">
        <v>10</v>
      </c>
      <c r="G96" s="7">
        <v>12</v>
      </c>
      <c r="H96" s="7">
        <v>8</v>
      </c>
      <c r="I96" s="7">
        <v>17.7</v>
      </c>
      <c r="J96" s="19">
        <f>I96</f>
        <v>17.7</v>
      </c>
      <c r="K96" s="2">
        <f>F96*H96</f>
        <v>80</v>
      </c>
      <c r="L96" s="12">
        <f t="shared" si="49"/>
        <v>13.275</v>
      </c>
      <c r="M96" s="2">
        <v>14</v>
      </c>
      <c r="N96" s="14">
        <f t="shared" ref="N96:N97" si="58">(M96*60)/H96</f>
        <v>105</v>
      </c>
      <c r="O96" s="12">
        <f t="shared" si="50"/>
        <v>1858.5</v>
      </c>
      <c r="P96" s="12">
        <f t="shared" si="51"/>
        <v>1.3333333333333333</v>
      </c>
      <c r="Q96" s="16">
        <f t="shared" si="52"/>
        <v>10.5</v>
      </c>
      <c r="R96" s="18">
        <f t="shared" si="53"/>
        <v>11</v>
      </c>
      <c r="S96" s="17">
        <f>R96</f>
        <v>11</v>
      </c>
    </row>
    <row r="97" spans="3:19" x14ac:dyDescent="0.25">
      <c r="C97" s="43">
        <v>44</v>
      </c>
      <c r="D97" s="6" t="s">
        <v>47</v>
      </c>
      <c r="E97" s="4" t="s">
        <v>48</v>
      </c>
      <c r="F97" s="7">
        <v>21</v>
      </c>
      <c r="G97" s="7">
        <v>24</v>
      </c>
      <c r="H97" s="7">
        <v>6</v>
      </c>
      <c r="I97" s="7">
        <v>25.8</v>
      </c>
      <c r="J97" s="19">
        <f>I97</f>
        <v>25.8</v>
      </c>
      <c r="K97" s="2">
        <f t="shared" si="48"/>
        <v>126</v>
      </c>
      <c r="L97" s="12">
        <f t="shared" si="49"/>
        <v>12.285714285714286</v>
      </c>
      <c r="M97" s="7">
        <v>14</v>
      </c>
      <c r="N97" s="14">
        <f t="shared" si="58"/>
        <v>140</v>
      </c>
      <c r="O97" s="12">
        <f t="shared" si="50"/>
        <v>3612</v>
      </c>
      <c r="P97" s="12">
        <f t="shared" si="51"/>
        <v>2.1</v>
      </c>
      <c r="Q97" s="16">
        <f t="shared" si="52"/>
        <v>6.6666666666666661</v>
      </c>
      <c r="R97" s="18">
        <f t="shared" si="53"/>
        <v>23.1</v>
      </c>
      <c r="S97" s="17">
        <f>R97</f>
        <v>23.1</v>
      </c>
    </row>
    <row r="98" spans="3:19" x14ac:dyDescent="0.25">
      <c r="C98" s="72">
        <v>45</v>
      </c>
      <c r="D98" s="79" t="s">
        <v>49</v>
      </c>
      <c r="E98" s="71" t="s">
        <v>48</v>
      </c>
      <c r="F98" s="78">
        <v>12</v>
      </c>
      <c r="G98" s="78">
        <v>13</v>
      </c>
      <c r="H98" s="78">
        <v>8</v>
      </c>
      <c r="I98" s="78">
        <v>28.5</v>
      </c>
      <c r="J98" s="80">
        <f>I98</f>
        <v>28.5</v>
      </c>
      <c r="K98" s="71">
        <f>F98*H98</f>
        <v>96</v>
      </c>
      <c r="L98" s="82">
        <f t="shared" si="49"/>
        <v>17.8125</v>
      </c>
      <c r="M98" s="71">
        <v>14</v>
      </c>
      <c r="N98" s="82">
        <f>(M98*60)/H98</f>
        <v>105</v>
      </c>
      <c r="O98" s="82">
        <f t="shared" si="50"/>
        <v>2992.5</v>
      </c>
      <c r="P98" s="82">
        <f t="shared" si="51"/>
        <v>1.6</v>
      </c>
      <c r="Q98" s="89">
        <f t="shared" si="52"/>
        <v>8.75</v>
      </c>
      <c r="R98" s="89">
        <f t="shared" si="53"/>
        <v>13.200000000000001</v>
      </c>
      <c r="S98" s="67">
        <f>R98</f>
        <v>13.200000000000001</v>
      </c>
    </row>
    <row r="99" spans="3:19" x14ac:dyDescent="0.25">
      <c r="C99" s="72"/>
      <c r="D99" s="79"/>
      <c r="E99" s="71"/>
      <c r="F99" s="78"/>
      <c r="G99" s="78"/>
      <c r="H99" s="78"/>
      <c r="I99" s="78"/>
      <c r="J99" s="80"/>
      <c r="K99" s="71"/>
      <c r="L99" s="84"/>
      <c r="M99" s="71"/>
      <c r="N99" s="84"/>
      <c r="O99" s="84"/>
      <c r="P99" s="84"/>
      <c r="Q99" s="90"/>
      <c r="R99" s="90"/>
      <c r="S99" s="68"/>
    </row>
    <row r="100" spans="3:19" x14ac:dyDescent="0.25">
      <c r="C100" s="43">
        <v>46</v>
      </c>
      <c r="D100" s="5" t="s">
        <v>50</v>
      </c>
      <c r="E100" s="4" t="s">
        <v>38</v>
      </c>
      <c r="F100" s="7">
        <v>14</v>
      </c>
      <c r="G100" s="7">
        <v>17</v>
      </c>
      <c r="H100" s="7">
        <v>6</v>
      </c>
      <c r="I100" s="7">
        <v>22.2</v>
      </c>
      <c r="J100" s="19">
        <f>I100</f>
        <v>22.2</v>
      </c>
      <c r="K100" s="2">
        <f t="shared" si="48"/>
        <v>84</v>
      </c>
      <c r="L100" s="12">
        <f t="shared" si="49"/>
        <v>15.857142857142858</v>
      </c>
      <c r="M100" s="7">
        <v>14</v>
      </c>
      <c r="N100" s="13">
        <f>(M100*60)/H100</f>
        <v>140</v>
      </c>
      <c r="O100" s="12">
        <f t="shared" si="50"/>
        <v>3108</v>
      </c>
      <c r="P100" s="12">
        <f t="shared" si="51"/>
        <v>1.4</v>
      </c>
      <c r="Q100" s="16">
        <f t="shared" si="52"/>
        <v>10</v>
      </c>
      <c r="R100" s="18">
        <f t="shared" si="53"/>
        <v>15.400000000000002</v>
      </c>
      <c r="S100" s="17">
        <f>R100</f>
        <v>15.400000000000002</v>
      </c>
    </row>
    <row r="101" spans="3:19" x14ac:dyDescent="0.25">
      <c r="C101" s="43">
        <v>47</v>
      </c>
      <c r="D101" s="6" t="s">
        <v>51</v>
      </c>
      <c r="E101" s="4" t="s">
        <v>38</v>
      </c>
      <c r="F101" s="7">
        <v>7</v>
      </c>
      <c r="G101" s="7">
        <v>9</v>
      </c>
      <c r="H101" s="7">
        <v>12</v>
      </c>
      <c r="I101" s="7">
        <v>32</v>
      </c>
      <c r="J101" s="19">
        <f>I101</f>
        <v>32</v>
      </c>
      <c r="K101" s="2">
        <f t="shared" si="48"/>
        <v>84</v>
      </c>
      <c r="L101" s="12">
        <f t="shared" si="49"/>
        <v>22.857142857142858</v>
      </c>
      <c r="M101" s="7">
        <v>14</v>
      </c>
      <c r="N101" s="14">
        <f t="shared" ref="N101:N103" si="59">(M101*60)/H101</f>
        <v>70</v>
      </c>
      <c r="O101" s="12">
        <f t="shared" si="50"/>
        <v>2240</v>
      </c>
      <c r="P101" s="12">
        <f t="shared" si="51"/>
        <v>1.4</v>
      </c>
      <c r="Q101" s="16">
        <f t="shared" si="52"/>
        <v>10</v>
      </c>
      <c r="R101" s="18">
        <f t="shared" si="53"/>
        <v>7.7000000000000011</v>
      </c>
      <c r="S101" s="17">
        <f>R101</f>
        <v>7.7000000000000011</v>
      </c>
    </row>
    <row r="102" spans="3:19" x14ac:dyDescent="0.25">
      <c r="C102" s="43">
        <v>48</v>
      </c>
      <c r="D102" s="6" t="s">
        <v>52</v>
      </c>
      <c r="E102" s="4" t="s">
        <v>38</v>
      </c>
      <c r="F102" s="7">
        <v>6</v>
      </c>
      <c r="G102" s="7">
        <v>8</v>
      </c>
      <c r="H102" s="7">
        <v>18</v>
      </c>
      <c r="I102" s="7">
        <v>32</v>
      </c>
      <c r="J102" s="19">
        <f>I102</f>
        <v>32</v>
      </c>
      <c r="K102" s="2">
        <f t="shared" si="48"/>
        <v>108</v>
      </c>
      <c r="L102" s="12">
        <f t="shared" si="49"/>
        <v>17.777777777777779</v>
      </c>
      <c r="M102" s="7">
        <v>14</v>
      </c>
      <c r="N102" s="14">
        <f t="shared" si="59"/>
        <v>46.666666666666664</v>
      </c>
      <c r="O102" s="12">
        <f t="shared" si="50"/>
        <v>1493.3333333333333</v>
      </c>
      <c r="P102" s="12">
        <f t="shared" si="51"/>
        <v>1.7999999999999998</v>
      </c>
      <c r="Q102" s="16">
        <f t="shared" si="52"/>
        <v>7.7777777777777786</v>
      </c>
      <c r="R102" s="18">
        <f t="shared" si="53"/>
        <v>6.6</v>
      </c>
      <c r="S102" s="17">
        <f>R102</f>
        <v>6.6</v>
      </c>
    </row>
    <row r="103" spans="3:19" x14ac:dyDescent="0.25">
      <c r="C103" s="43">
        <v>49</v>
      </c>
      <c r="D103" s="8" t="s">
        <v>53</v>
      </c>
      <c r="E103" s="4" t="s">
        <v>38</v>
      </c>
      <c r="F103" s="7">
        <v>37</v>
      </c>
      <c r="G103" s="7">
        <v>40</v>
      </c>
      <c r="H103" s="7">
        <v>5</v>
      </c>
      <c r="I103" s="7">
        <v>56.6</v>
      </c>
      <c r="J103" s="19">
        <f>I103</f>
        <v>56.6</v>
      </c>
      <c r="K103" s="2">
        <f t="shared" si="48"/>
        <v>185</v>
      </c>
      <c r="L103" s="12">
        <f t="shared" si="49"/>
        <v>18.356756756756756</v>
      </c>
      <c r="M103" s="7">
        <v>14</v>
      </c>
      <c r="N103" s="14">
        <f t="shared" si="59"/>
        <v>168</v>
      </c>
      <c r="O103" s="12">
        <f t="shared" si="50"/>
        <v>9508.8000000000011</v>
      </c>
      <c r="P103" s="12">
        <f t="shared" si="51"/>
        <v>3.0833333333333335</v>
      </c>
      <c r="Q103" s="16">
        <f t="shared" si="52"/>
        <v>4.5405405405405403</v>
      </c>
      <c r="R103" s="18">
        <f t="shared" si="53"/>
        <v>40.700000000000003</v>
      </c>
      <c r="S103" s="17">
        <f>R103</f>
        <v>40.700000000000003</v>
      </c>
    </row>
    <row r="104" spans="3:19" ht="14.25" customHeight="1" x14ac:dyDescent="0.25">
      <c r="C104" s="72">
        <v>50</v>
      </c>
      <c r="D104" s="77" t="s">
        <v>54</v>
      </c>
      <c r="E104" s="4" t="s">
        <v>38</v>
      </c>
      <c r="F104" s="78">
        <v>30</v>
      </c>
      <c r="G104" s="78">
        <v>38</v>
      </c>
      <c r="H104" s="78">
        <v>6</v>
      </c>
      <c r="I104" s="71">
        <v>50.3</v>
      </c>
      <c r="J104" s="19">
        <f>I104</f>
        <v>50.3</v>
      </c>
      <c r="K104" s="71">
        <f>F104*H104</f>
        <v>180</v>
      </c>
      <c r="L104" s="82">
        <f t="shared" si="49"/>
        <v>16.766666666666666</v>
      </c>
      <c r="M104" s="71">
        <v>14</v>
      </c>
      <c r="N104" s="82">
        <f>(M104*60)/H104</f>
        <v>140</v>
      </c>
      <c r="O104" s="82">
        <f t="shared" si="50"/>
        <v>7042</v>
      </c>
      <c r="P104" s="82">
        <f t="shared" si="51"/>
        <v>3</v>
      </c>
      <c r="Q104" s="89">
        <f t="shared" si="52"/>
        <v>4.666666666666667</v>
      </c>
      <c r="R104" s="89">
        <f t="shared" si="53"/>
        <v>33</v>
      </c>
      <c r="S104" s="17">
        <f>R104</f>
        <v>33</v>
      </c>
    </row>
    <row r="105" spans="3:19" ht="14.25" customHeight="1" x14ac:dyDescent="0.25">
      <c r="C105" s="72"/>
      <c r="D105" s="77"/>
      <c r="E105" s="4" t="s">
        <v>55</v>
      </c>
      <c r="F105" s="78"/>
      <c r="G105" s="78"/>
      <c r="H105" s="78"/>
      <c r="I105" s="71"/>
      <c r="J105" s="19">
        <f>I104</f>
        <v>50.3</v>
      </c>
      <c r="K105" s="71"/>
      <c r="L105" s="83"/>
      <c r="M105" s="71"/>
      <c r="N105" s="83"/>
      <c r="O105" s="83"/>
      <c r="P105" s="83"/>
      <c r="Q105" s="91"/>
      <c r="R105" s="91"/>
      <c r="S105" s="17">
        <f>R104</f>
        <v>33</v>
      </c>
    </row>
    <row r="106" spans="3:19" x14ac:dyDescent="0.25">
      <c r="C106" s="72"/>
      <c r="D106" s="77"/>
      <c r="E106" s="4" t="s">
        <v>48</v>
      </c>
      <c r="F106" s="78"/>
      <c r="G106" s="78"/>
      <c r="H106" s="78"/>
      <c r="I106" s="71"/>
      <c r="J106" s="19">
        <f>I104</f>
        <v>50.3</v>
      </c>
      <c r="K106" s="71"/>
      <c r="L106" s="84"/>
      <c r="M106" s="71"/>
      <c r="N106" s="84"/>
      <c r="O106" s="84"/>
      <c r="P106" s="84"/>
      <c r="Q106" s="90"/>
      <c r="R106" s="90"/>
      <c r="S106" s="17">
        <f>R104</f>
        <v>33</v>
      </c>
    </row>
    <row r="107" spans="3:19" x14ac:dyDescent="0.25">
      <c r="C107" s="72">
        <v>51</v>
      </c>
      <c r="D107" s="79" t="s">
        <v>56</v>
      </c>
      <c r="E107" s="71" t="s">
        <v>38</v>
      </c>
      <c r="F107" s="78">
        <v>39</v>
      </c>
      <c r="G107" s="78">
        <v>43</v>
      </c>
      <c r="H107" s="78">
        <v>5</v>
      </c>
      <c r="I107" s="78">
        <v>48</v>
      </c>
      <c r="J107" s="80">
        <f>I107</f>
        <v>48</v>
      </c>
      <c r="K107" s="71">
        <f t="shared" si="48"/>
        <v>195</v>
      </c>
      <c r="L107" s="82">
        <f t="shared" si="49"/>
        <v>14.76923076923077</v>
      </c>
      <c r="M107" s="71">
        <v>14</v>
      </c>
      <c r="N107" s="82">
        <f>(M107*60)/H107</f>
        <v>168</v>
      </c>
      <c r="O107" s="82">
        <f t="shared" si="50"/>
        <v>8064</v>
      </c>
      <c r="P107" s="82">
        <f t="shared" si="51"/>
        <v>3.25</v>
      </c>
      <c r="Q107" s="89">
        <f t="shared" si="52"/>
        <v>4.3076923076923075</v>
      </c>
      <c r="R107" s="89">
        <f t="shared" si="53"/>
        <v>42.900000000000006</v>
      </c>
      <c r="S107" s="67">
        <f>R107</f>
        <v>42.900000000000006</v>
      </c>
    </row>
    <row r="108" spans="3:19" x14ac:dyDescent="0.25">
      <c r="C108" s="72"/>
      <c r="D108" s="79"/>
      <c r="E108" s="71"/>
      <c r="F108" s="78"/>
      <c r="G108" s="78"/>
      <c r="H108" s="78"/>
      <c r="I108" s="78"/>
      <c r="J108" s="80"/>
      <c r="K108" s="71"/>
      <c r="L108" s="84"/>
      <c r="M108" s="71"/>
      <c r="N108" s="84"/>
      <c r="O108" s="84"/>
      <c r="P108" s="84"/>
      <c r="Q108" s="90"/>
      <c r="R108" s="90"/>
      <c r="S108" s="67"/>
    </row>
    <row r="109" spans="3:19" x14ac:dyDescent="0.25">
      <c r="M109" s="41"/>
      <c r="O109" s="27">
        <f>SUM(O4:O108)</f>
        <v>172227.45410256411</v>
      </c>
      <c r="R109" s="17">
        <f>SUM(R4:R108)</f>
        <v>874.50000000000023</v>
      </c>
    </row>
    <row r="113" spans="5:29" x14ac:dyDescent="0.25">
      <c r="E113" s="25" t="s">
        <v>64</v>
      </c>
      <c r="F113" s="25" t="s">
        <v>65</v>
      </c>
      <c r="G113" s="25" t="s">
        <v>66</v>
      </c>
      <c r="H113" s="25" t="s">
        <v>84</v>
      </c>
      <c r="I113" s="25" t="s">
        <v>92</v>
      </c>
      <c r="L113" s="15"/>
      <c r="M113" s="15"/>
      <c r="N113" s="17"/>
      <c r="O113"/>
      <c r="P113"/>
      <c r="Q113"/>
    </row>
    <row r="114" spans="5:29" x14ac:dyDescent="0.25">
      <c r="E114" s="26" t="s">
        <v>27</v>
      </c>
      <c r="F114" s="2">
        <f>COUNTIF('DATOS FLOTA'!$E$4:$E$108,Hoja2!C9)</f>
        <v>4</v>
      </c>
      <c r="G114" s="2">
        <f t="shared" ref="G114:G124" si="60">SUMIF($E$4:$E$108,E114,$J$4:$J$108)</f>
        <v>88.94</v>
      </c>
      <c r="H114" s="24">
        <f>SUMIF($E$4:$E$108,E114,$R$4:$R$108)</f>
        <v>70.400000000000006</v>
      </c>
      <c r="I114" s="24">
        <f>SUMIF($E$4:$E$108,E114,$O$4:$O$108)</f>
        <v>12778.266666666666</v>
      </c>
      <c r="L114" s="15"/>
      <c r="M114" s="15"/>
      <c r="N114" s="17"/>
      <c r="O114"/>
      <c r="P114"/>
      <c r="Q114"/>
    </row>
    <row r="115" spans="5:29" x14ac:dyDescent="0.25">
      <c r="E115" s="26" t="s">
        <v>2</v>
      </c>
      <c r="F115" s="2">
        <f>COUNTIF('DATOS FLOTA'!$E$4:$E$108,Hoja2!C10)</f>
        <v>25</v>
      </c>
      <c r="G115" s="2">
        <f t="shared" si="60"/>
        <v>784.49000000000012</v>
      </c>
      <c r="H115" s="24">
        <f>SUMIF($E$4:$E$108,E117,$R$4:$R$108)*AC117</f>
        <v>125.0374102767498</v>
      </c>
      <c r="I115" s="24">
        <f>SUMIF($E$4:$E$108,E117,$O$4:$O$108)*AC117</f>
        <v>24108.800918822915</v>
      </c>
      <c r="L115" s="15"/>
      <c r="M115" s="15"/>
      <c r="N115" s="17"/>
      <c r="O115"/>
      <c r="P115"/>
      <c r="Q115"/>
      <c r="T115" s="22"/>
      <c r="U115" s="95">
        <v>2009</v>
      </c>
      <c r="V115" s="96"/>
      <c r="W115" s="96">
        <v>2010</v>
      </c>
      <c r="X115" s="96">
        <v>2011</v>
      </c>
      <c r="Y115" s="96">
        <v>2012</v>
      </c>
      <c r="Z115" s="96">
        <v>2013</v>
      </c>
      <c r="AA115" s="96">
        <v>2014</v>
      </c>
      <c r="AB115" s="96" t="s">
        <v>85</v>
      </c>
      <c r="AC115" s="26" t="s">
        <v>86</v>
      </c>
    </row>
    <row r="116" spans="5:29" x14ac:dyDescent="0.25">
      <c r="E116" s="26" t="s">
        <v>32</v>
      </c>
      <c r="F116" s="2">
        <f>COUNTIF('DATOS FLOTA'!$E$4:$E$108,Hoja2!C11)</f>
        <v>3</v>
      </c>
      <c r="G116" s="2">
        <f t="shared" si="60"/>
        <v>102</v>
      </c>
      <c r="H116" s="24">
        <f>SUMIF($E$4:$E$108,E116,$R$4:$R$108)</f>
        <v>61.600000000000009</v>
      </c>
      <c r="I116" s="24">
        <f>SUMIF($E$4:$E$108,E116,$O$4:$O$108)</f>
        <v>11309.333333333332</v>
      </c>
      <c r="L116" s="15"/>
      <c r="M116" s="15"/>
      <c r="T116" s="93" t="str">
        <f>E117</f>
        <v>UNITRANSA S.A</v>
      </c>
      <c r="U116" s="14">
        <f>(514*100)/2096</f>
        <v>24.522900763358777</v>
      </c>
      <c r="V116" s="14">
        <f t="shared" ref="V116" si="61">(514*100)/2096</f>
        <v>24.522900763358777</v>
      </c>
      <c r="W116" s="14">
        <f>(372*100)/1523</f>
        <v>24.425476034143138</v>
      </c>
      <c r="X116" s="14">
        <f>(372*100)/1523</f>
        <v>24.425476034143138</v>
      </c>
      <c r="Y116" s="14">
        <f>(238*100)/1062</f>
        <v>22.410546139359699</v>
      </c>
      <c r="Z116" s="14">
        <f t="shared" ref="Z116:AA116" si="62">(238*100)/1062</f>
        <v>22.410546139359699</v>
      </c>
      <c r="AA116" s="14">
        <f t="shared" si="62"/>
        <v>22.410546139359699</v>
      </c>
      <c r="AB116" s="14">
        <f>AVERAGE(U116:AA116)</f>
        <v>23.589770287583274</v>
      </c>
      <c r="AC116" s="97">
        <f>AB116/AB119</f>
        <v>0.46658061249035393</v>
      </c>
    </row>
    <row r="117" spans="5:29" x14ac:dyDescent="0.25">
      <c r="E117" s="26" t="s">
        <v>1</v>
      </c>
      <c r="F117" s="2">
        <f>COUNTIF('DATOS FLOTA'!$E$4:$E$108,Hoja2!C12)</f>
        <v>25</v>
      </c>
      <c r="G117" s="2">
        <f t="shared" si="60"/>
        <v>784.49000000000012</v>
      </c>
      <c r="H117" s="24">
        <f>SUMIF($E$4:$E$108,E117,$R$4:$R$108)*AC116</f>
        <v>206.83518551697392</v>
      </c>
      <c r="I117" s="24">
        <f>SUMIF($E$4:$E$108,E117,$O$4:$O$108)*AC116</f>
        <v>39880.450975429048</v>
      </c>
      <c r="L117" s="15"/>
      <c r="M117" s="15"/>
      <c r="T117" s="94" t="str">
        <f>E115</f>
        <v>TRANSCOLOMBIA S.A</v>
      </c>
      <c r="U117" s="14">
        <f>(316*100)/2096</f>
        <v>15.076335877862595</v>
      </c>
      <c r="V117" s="14"/>
      <c r="W117" s="14">
        <f>(227*100)/1523</f>
        <v>14.904793171372292</v>
      </c>
      <c r="X117" s="14">
        <f>(227*100)/1523</f>
        <v>14.904793171372292</v>
      </c>
      <c r="Y117" s="14">
        <f>(144*100)/1062</f>
        <v>13.559322033898304</v>
      </c>
      <c r="Z117" s="14">
        <f t="shared" ref="Z117:AA117" si="63">(144*100)/1062</f>
        <v>13.559322033898304</v>
      </c>
      <c r="AA117" s="14">
        <f t="shared" si="63"/>
        <v>13.559322033898304</v>
      </c>
      <c r="AB117" s="14">
        <f t="shared" ref="AB117:AB118" si="64">AVERAGE(U117:AA117)</f>
        <v>14.260648053717015</v>
      </c>
      <c r="AC117" s="97">
        <f>AB117/AB119</f>
        <v>0.28206047885574054</v>
      </c>
    </row>
    <row r="118" spans="5:29" x14ac:dyDescent="0.25">
      <c r="E118" s="26" t="s">
        <v>30</v>
      </c>
      <c r="F118" s="2">
        <f>COUNTIF('DATOS FLOTA'!$E$4:$E$108,Hoja2!C13)</f>
        <v>4</v>
      </c>
      <c r="G118" s="2">
        <f t="shared" si="60"/>
        <v>109.05000000000001</v>
      </c>
      <c r="H118" s="24">
        <f>SUMIF($E$4:$E$108,E118,$R$4:$R$108)</f>
        <v>62.7</v>
      </c>
      <c r="I118" s="24">
        <f>SUMIF($E$4:$E$108,E118,$O$4:$O$108)</f>
        <v>11775.75</v>
      </c>
      <c r="L118" s="15"/>
      <c r="M118" s="15"/>
      <c r="T118" s="94" t="str">
        <f>E123</f>
        <v>COTRANDER LTDA</v>
      </c>
      <c r="U118" s="14">
        <f>(278*100)/2096</f>
        <v>13.263358778625955</v>
      </c>
      <c r="V118" s="14"/>
      <c r="W118" s="14">
        <f>(200*100)/1523</f>
        <v>13.131976362442547</v>
      </c>
      <c r="X118" s="14">
        <f>(200*100)/1523</f>
        <v>13.131976362442547</v>
      </c>
      <c r="Y118" s="14">
        <f>(130*100)/1062</f>
        <v>12.241054613935971</v>
      </c>
      <c r="Z118" s="14">
        <f t="shared" ref="Z118:AA118" si="65">(130*100)/1062</f>
        <v>12.241054613935971</v>
      </c>
      <c r="AA118" s="14">
        <f t="shared" si="65"/>
        <v>12.241054613935971</v>
      </c>
      <c r="AB118" s="14">
        <f t="shared" si="64"/>
        <v>12.70841255755316</v>
      </c>
      <c r="AC118" s="97">
        <f>AB118/AB119</f>
        <v>0.25135890865390553</v>
      </c>
    </row>
    <row r="119" spans="5:29" x14ac:dyDescent="0.25">
      <c r="E119" s="26" t="s">
        <v>55</v>
      </c>
      <c r="F119" s="2">
        <f>COUNTIF('DATOS FLOTA'!$E$4:$E$108,Hoja2!C14)</f>
        <v>1</v>
      </c>
      <c r="G119" s="2">
        <f t="shared" si="60"/>
        <v>50.3</v>
      </c>
      <c r="H119" s="24">
        <f>SUMIF($E$4:$E$108,E119,$R$4:$R$108)+(R104*AC122)</f>
        <v>8.1847623646478276</v>
      </c>
      <c r="I119" s="24">
        <f>SUMIF($E$4:$E$108,E119,$O$4:$O$108)+(O104*AC122)</f>
        <v>1746.5786839954549</v>
      </c>
      <c r="L119" s="15"/>
      <c r="M119" s="15"/>
      <c r="T119" s="17"/>
      <c r="U119" s="14"/>
      <c r="W119" s="14"/>
      <c r="Y119" s="14"/>
      <c r="AB119" s="15">
        <f>SUM(AB116:AB118)</f>
        <v>50.558830898853451</v>
      </c>
      <c r="AC119" s="14"/>
    </row>
    <row r="120" spans="5:29" x14ac:dyDescent="0.25">
      <c r="E120" s="26" t="s">
        <v>40</v>
      </c>
      <c r="F120" s="2">
        <f>COUNTIF('DATOS FLOTA'!$E$4:$E$108,Hoja2!C15)</f>
        <v>2</v>
      </c>
      <c r="G120" s="2">
        <f t="shared" si="60"/>
        <v>89.699999999999989</v>
      </c>
      <c r="H120" s="24">
        <f>SUMIF($E$4:$E$108,E120,$R$4:$R$108)</f>
        <v>25.3</v>
      </c>
      <c r="I120" s="24">
        <f>SUMIF($E$4:$E$108,E120,$O$4:$O$108)</f>
        <v>7873.5999999999985</v>
      </c>
      <c r="L120" s="15"/>
      <c r="M120" s="15"/>
      <c r="T120" s="92" t="str">
        <f>E121</f>
        <v>TRANSPORTES SAN JUAN S.A</v>
      </c>
      <c r="U120" s="14">
        <f>(87*100)/2096</f>
        <v>4.1507633587786259</v>
      </c>
      <c r="V120" s="21"/>
      <c r="W120" s="14">
        <f>(63*100)/1523</f>
        <v>4.1365725541694021</v>
      </c>
      <c r="X120" s="14">
        <f>(63*100)/1523</f>
        <v>4.1365725541694021</v>
      </c>
      <c r="Y120" s="14">
        <f>(54*100)/1062</f>
        <v>5.0847457627118642</v>
      </c>
      <c r="Z120" s="14">
        <f t="shared" ref="Z120:AA120" si="66">(54*100)/1062</f>
        <v>5.0847457627118642</v>
      </c>
      <c r="AA120" s="14">
        <f t="shared" si="66"/>
        <v>5.0847457627118642</v>
      </c>
      <c r="AB120" s="14">
        <f>AVERAGE(U120:AA120)</f>
        <v>4.6130242925421703</v>
      </c>
      <c r="AC120" s="97">
        <f>AB120/AB123</f>
        <v>0.2124467626631435</v>
      </c>
    </row>
    <row r="121" spans="5:29" x14ac:dyDescent="0.25">
      <c r="E121" s="26" t="s">
        <v>48</v>
      </c>
      <c r="F121" s="2">
        <f>COUNTIF('DATOS FLOTA'!$E$4:$E$108,Hoja2!C16)</f>
        <v>3</v>
      </c>
      <c r="G121" s="2">
        <f t="shared" si="60"/>
        <v>104.6</v>
      </c>
      <c r="H121" s="24">
        <f>SUMIF($E$4:$E$108,E121,$R$4:$R$108)+(R104*AC120)</f>
        <v>43.310743167883743</v>
      </c>
      <c r="I121" s="24">
        <f>SUMIF($E$4:$E$108,E121,$O$4:$O$108)+(O104*AC120)</f>
        <v>8100.5501026738566</v>
      </c>
      <c r="L121" s="15"/>
      <c r="M121" s="15"/>
      <c r="T121" s="92" t="str">
        <f>E124</f>
        <v>TRANSPORTES PIEDECUESTA S.A</v>
      </c>
      <c r="U121" s="14">
        <f>(231*100)/2096</f>
        <v>11.020992366412214</v>
      </c>
      <c r="V121" s="21"/>
      <c r="W121" s="14">
        <f>(176*100)/1523</f>
        <v>11.556139198949442</v>
      </c>
      <c r="X121" s="14">
        <f>(176*100)/1523</f>
        <v>11.556139198949442</v>
      </c>
      <c r="Y121" s="14">
        <f>(128*100)/1062</f>
        <v>12.052730696798493</v>
      </c>
      <c r="Z121" s="14">
        <f t="shared" ref="Z121:AA121" si="67">(128*100)/1062</f>
        <v>12.052730696798493</v>
      </c>
      <c r="AA121" s="14">
        <f t="shared" si="67"/>
        <v>12.052730696798493</v>
      </c>
      <c r="AB121" s="14">
        <f t="shared" ref="AB121:AB122" si="68">AVERAGE(U121:AA121)</f>
        <v>11.71524380911776</v>
      </c>
      <c r="AC121" s="97">
        <f>AB121/AB123</f>
        <v>0.53953013537783134</v>
      </c>
    </row>
    <row r="122" spans="5:29" x14ac:dyDescent="0.25">
      <c r="E122" s="26" t="s">
        <v>44</v>
      </c>
      <c r="F122" s="2">
        <f>COUNTIF('DATOS FLOTA'!$E$4:$E$108,Hoja2!C17)</f>
        <v>1</v>
      </c>
      <c r="G122" s="2">
        <f t="shared" si="60"/>
        <v>24.3</v>
      </c>
      <c r="H122" s="24">
        <f>SUMIF($E$4:$E$108,E122,$R$4:$R$108)</f>
        <v>14.300000000000002</v>
      </c>
      <c r="I122" s="24">
        <f>SUMIF($E$4:$E$108,E122,$O$4:$O$108)</f>
        <v>2041.2</v>
      </c>
      <c r="L122" s="15"/>
      <c r="M122" s="15"/>
      <c r="T122" s="92" t="str">
        <f>E119</f>
        <v>TRANSPORTES VIILA DE SAN CARLOS S.A</v>
      </c>
      <c r="U122" s="14">
        <f>(101*100)/2096</f>
        <v>4.8187022900763354</v>
      </c>
      <c r="V122" s="21"/>
      <c r="W122" s="14">
        <f>(76*100)/1523</f>
        <v>4.9901510177281683</v>
      </c>
      <c r="X122" s="14">
        <f>(76*100)/1523</f>
        <v>4.9901510177281683</v>
      </c>
      <c r="Y122" s="14">
        <f>(62*100)/1062</f>
        <v>5.8380414312617699</v>
      </c>
      <c r="Z122" s="14">
        <f t="shared" ref="Z122:AA122" si="69">(62*100)/1062</f>
        <v>5.8380414312617699</v>
      </c>
      <c r="AA122" s="14">
        <f t="shared" si="69"/>
        <v>5.8380414312617699</v>
      </c>
      <c r="AB122" s="14">
        <f t="shared" si="68"/>
        <v>5.385521436552998</v>
      </c>
      <c r="AC122" s="97">
        <f>AB122/AB123</f>
        <v>0.24802310195902511</v>
      </c>
    </row>
    <row r="123" spans="5:29" x14ac:dyDescent="0.25">
      <c r="E123" s="26" t="s">
        <v>3</v>
      </c>
      <c r="F123" s="2">
        <f>COUNTIF('DATOS FLOTA'!$E$4:$E$108,Hoja2!C18)</f>
        <v>25</v>
      </c>
      <c r="G123" s="28">
        <f t="shared" si="60"/>
        <v>784.49000000000012</v>
      </c>
      <c r="H123" s="29">
        <f>SUMIF($E$4:$E$108,E117,$R$4:$R$108)*AC118</f>
        <v>111.42740420627634</v>
      </c>
      <c r="I123" s="24">
        <f>SUMIF($E$4:$E$108,E117,$O$4:$O$108)*AC118</f>
        <v>21484.618874978802</v>
      </c>
      <c r="L123" s="15"/>
      <c r="M123" s="15"/>
      <c r="AB123" s="23">
        <f>SUM(AB120:AB122)</f>
        <v>21.713789538212929</v>
      </c>
    </row>
    <row r="124" spans="5:29" x14ac:dyDescent="0.25">
      <c r="E124" s="26" t="s">
        <v>38</v>
      </c>
      <c r="F124" s="2">
        <f>COUNTIF('DATOS FLOTA'!$E$4:$E$108,Hoja2!C19)</f>
        <v>7</v>
      </c>
      <c r="G124" s="2">
        <f t="shared" si="60"/>
        <v>275.8</v>
      </c>
      <c r="H124" s="24">
        <f>SUMIF($E$4:$E$108,E124,$R$4:$R$108)-R104+(R104*AC121)</f>
        <v>145.40449446746845</v>
      </c>
      <c r="I124" s="24">
        <f>SUMIF($E$4:$E$108,E124,$O$4:$O$108)-O104+(O104*AC121)</f>
        <v>31128.304546664021</v>
      </c>
      <c r="L124" s="15"/>
      <c r="M124" s="15"/>
      <c r="N124" s="23"/>
      <c r="O124" s="23"/>
      <c r="P124" s="23"/>
      <c r="Q124" s="23"/>
      <c r="R124" s="23"/>
      <c r="S124" s="23"/>
      <c r="T124" s="23"/>
      <c r="U124" s="23"/>
      <c r="W124" s="23"/>
    </row>
    <row r="125" spans="5:29" x14ac:dyDescent="0.25">
      <c r="F125" s="1"/>
      <c r="G125" s="25">
        <f>SUM(G114:G124)</f>
        <v>3198.1600000000008</v>
      </c>
      <c r="H125" s="30">
        <f>SUM(H114:H124)</f>
        <v>874.5</v>
      </c>
      <c r="I125" s="30">
        <f>SUM(I114:I124)</f>
        <v>172227.45410256411</v>
      </c>
      <c r="L125" s="15"/>
      <c r="M125" s="15"/>
      <c r="N125" s="17"/>
      <c r="O125"/>
      <c r="P125"/>
      <c r="Q125"/>
    </row>
  </sheetData>
  <mergeCells count="464">
    <mergeCell ref="Q93:Q94"/>
    <mergeCell ref="Q98:Q99"/>
    <mergeCell ref="Q104:Q106"/>
    <mergeCell ref="Q107:Q108"/>
    <mergeCell ref="Q55:Q57"/>
    <mergeCell ref="Q58:Q60"/>
    <mergeCell ref="Q61:Q63"/>
    <mergeCell ref="Q64:Q66"/>
    <mergeCell ref="Q67:Q69"/>
    <mergeCell ref="Q70:Q72"/>
    <mergeCell ref="Q74:Q75"/>
    <mergeCell ref="Q77:Q78"/>
    <mergeCell ref="Q82:Q84"/>
    <mergeCell ref="R82:R84"/>
    <mergeCell ref="R85:R87"/>
    <mergeCell ref="R93:R94"/>
    <mergeCell ref="R98:R99"/>
    <mergeCell ref="R104:R106"/>
    <mergeCell ref="R107:R108"/>
    <mergeCell ref="Q4:Q6"/>
    <mergeCell ref="Q7:Q9"/>
    <mergeCell ref="Q10:Q12"/>
    <mergeCell ref="Q13:Q15"/>
    <mergeCell ref="Q16:Q18"/>
    <mergeCell ref="Q19:Q21"/>
    <mergeCell ref="Q22:Q24"/>
    <mergeCell ref="Q25:Q27"/>
    <mergeCell ref="Q28:Q30"/>
    <mergeCell ref="Q31:Q33"/>
    <mergeCell ref="Q34:Q36"/>
    <mergeCell ref="Q37:Q39"/>
    <mergeCell ref="Q40:Q42"/>
    <mergeCell ref="Q43:Q45"/>
    <mergeCell ref="Q46:Q48"/>
    <mergeCell ref="Q49:Q51"/>
    <mergeCell ref="Q52:Q54"/>
    <mergeCell ref="Q85:Q87"/>
    <mergeCell ref="R52:R54"/>
    <mergeCell ref="R55:R57"/>
    <mergeCell ref="R58:R60"/>
    <mergeCell ref="R61:R63"/>
    <mergeCell ref="R64:R66"/>
    <mergeCell ref="R67:R69"/>
    <mergeCell ref="R70:R72"/>
    <mergeCell ref="R74:R75"/>
    <mergeCell ref="R77:R78"/>
    <mergeCell ref="R25:R27"/>
    <mergeCell ref="R28:R30"/>
    <mergeCell ref="R31:R33"/>
    <mergeCell ref="R34:R36"/>
    <mergeCell ref="R37:R39"/>
    <mergeCell ref="R40:R42"/>
    <mergeCell ref="R43:R45"/>
    <mergeCell ref="R46:R48"/>
    <mergeCell ref="R49:R51"/>
    <mergeCell ref="L7:L9"/>
    <mergeCell ref="L4:L6"/>
    <mergeCell ref="R4:R6"/>
    <mergeCell ref="R7:R9"/>
    <mergeCell ref="R10:R12"/>
    <mergeCell ref="R13:R15"/>
    <mergeCell ref="R16:R18"/>
    <mergeCell ref="R19:R21"/>
    <mergeCell ref="R22:R24"/>
    <mergeCell ref="Q2:Q3"/>
    <mergeCell ref="L2:L3"/>
    <mergeCell ref="L107:L108"/>
    <mergeCell ref="L104:L106"/>
    <mergeCell ref="L98:L99"/>
    <mergeCell ref="L93:L94"/>
    <mergeCell ref="L85:L87"/>
    <mergeCell ref="L82:L84"/>
    <mergeCell ref="L77:L78"/>
    <mergeCell ref="L74:L75"/>
    <mergeCell ref="L70:L72"/>
    <mergeCell ref="L67:L69"/>
    <mergeCell ref="L64:L66"/>
    <mergeCell ref="L58:L60"/>
    <mergeCell ref="L61:L63"/>
    <mergeCell ref="L55:L57"/>
    <mergeCell ref="L52:L54"/>
    <mergeCell ref="L49:L51"/>
    <mergeCell ref="L46:L48"/>
    <mergeCell ref="L43:L45"/>
    <mergeCell ref="L40:L42"/>
    <mergeCell ref="L37:L39"/>
    <mergeCell ref="L34:L36"/>
    <mergeCell ref="L10:L12"/>
    <mergeCell ref="P107:P108"/>
    <mergeCell ref="P104:P106"/>
    <mergeCell ref="P98:P99"/>
    <mergeCell ref="P93:P94"/>
    <mergeCell ref="P85:P87"/>
    <mergeCell ref="P82:P84"/>
    <mergeCell ref="P77:P78"/>
    <mergeCell ref="P4:P6"/>
    <mergeCell ref="P7:P9"/>
    <mergeCell ref="P10:P12"/>
    <mergeCell ref="P13:P15"/>
    <mergeCell ref="P16:P18"/>
    <mergeCell ref="P19:P21"/>
    <mergeCell ref="P22:P24"/>
    <mergeCell ref="P25:P27"/>
    <mergeCell ref="P28:P30"/>
    <mergeCell ref="P31:P33"/>
    <mergeCell ref="P34:P36"/>
    <mergeCell ref="P37:P39"/>
    <mergeCell ref="P40:P42"/>
    <mergeCell ref="P43:P45"/>
    <mergeCell ref="P46:P48"/>
    <mergeCell ref="P49:P51"/>
    <mergeCell ref="P52:P54"/>
    <mergeCell ref="O67:O69"/>
    <mergeCell ref="O70:O72"/>
    <mergeCell ref="O74:O75"/>
    <mergeCell ref="O77:O78"/>
    <mergeCell ref="O82:O84"/>
    <mergeCell ref="O85:O87"/>
    <mergeCell ref="O93:O94"/>
    <mergeCell ref="P2:P3"/>
    <mergeCell ref="P55:P57"/>
    <mergeCell ref="P58:P60"/>
    <mergeCell ref="P61:P63"/>
    <mergeCell ref="P64:P66"/>
    <mergeCell ref="P67:P69"/>
    <mergeCell ref="P70:P72"/>
    <mergeCell ref="P74:P75"/>
    <mergeCell ref="O2:O3"/>
    <mergeCell ref="O104:O106"/>
    <mergeCell ref="O107:O108"/>
    <mergeCell ref="O98:O99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  <mergeCell ref="O46:O48"/>
    <mergeCell ref="O49:O51"/>
    <mergeCell ref="O52:O54"/>
    <mergeCell ref="O55:O57"/>
    <mergeCell ref="O58:O60"/>
    <mergeCell ref="O61:O63"/>
    <mergeCell ref="O64:O66"/>
    <mergeCell ref="N58:N60"/>
    <mergeCell ref="N61:N63"/>
    <mergeCell ref="N74:N75"/>
    <mergeCell ref="N77:N78"/>
    <mergeCell ref="N93:N94"/>
    <mergeCell ref="N98:N99"/>
    <mergeCell ref="N104:N106"/>
    <mergeCell ref="N107:N108"/>
    <mergeCell ref="N64:N66"/>
    <mergeCell ref="N67:N69"/>
    <mergeCell ref="N70:N72"/>
    <mergeCell ref="N82:N84"/>
    <mergeCell ref="N85:N87"/>
    <mergeCell ref="M64:M66"/>
    <mergeCell ref="M31:M33"/>
    <mergeCell ref="M28:M30"/>
    <mergeCell ref="M25:M27"/>
    <mergeCell ref="L25:L27"/>
    <mergeCell ref="M2:M3"/>
    <mergeCell ref="N2:N3"/>
    <mergeCell ref="N4:N6"/>
    <mergeCell ref="N7:N9"/>
    <mergeCell ref="N10:N12"/>
    <mergeCell ref="N13:N15"/>
    <mergeCell ref="N16:N18"/>
    <mergeCell ref="N19:N21"/>
    <mergeCell ref="N22:N24"/>
    <mergeCell ref="N25:N27"/>
    <mergeCell ref="N28:N30"/>
    <mergeCell ref="N31:N33"/>
    <mergeCell ref="N37:N39"/>
    <mergeCell ref="N40:N42"/>
    <mergeCell ref="N43:N45"/>
    <mergeCell ref="N46:N48"/>
    <mergeCell ref="N49:N51"/>
    <mergeCell ref="N52:N54"/>
    <mergeCell ref="N55:N57"/>
    <mergeCell ref="M34:M36"/>
    <mergeCell ref="N34:N36"/>
    <mergeCell ref="L31:L33"/>
    <mergeCell ref="L28:L30"/>
    <mergeCell ref="L22:L24"/>
    <mergeCell ref="L19:L21"/>
    <mergeCell ref="L16:L18"/>
    <mergeCell ref="L13:L15"/>
    <mergeCell ref="C67:C69"/>
    <mergeCell ref="D67:D69"/>
    <mergeCell ref="F67:F69"/>
    <mergeCell ref="G67:G69"/>
    <mergeCell ref="H67:H69"/>
    <mergeCell ref="I67:I69"/>
    <mergeCell ref="K67:K69"/>
    <mergeCell ref="M67:M69"/>
    <mergeCell ref="M58:M60"/>
    <mergeCell ref="K58:K60"/>
    <mergeCell ref="K55:K57"/>
    <mergeCell ref="K52:K54"/>
    <mergeCell ref="K49:K51"/>
    <mergeCell ref="K46:K48"/>
    <mergeCell ref="K19:K21"/>
    <mergeCell ref="K22:K24"/>
    <mergeCell ref="K31:K33"/>
    <mergeCell ref="K28:K30"/>
    <mergeCell ref="K25:K27"/>
    <mergeCell ref="M104:M106"/>
    <mergeCell ref="K104:K106"/>
    <mergeCell ref="M107:M108"/>
    <mergeCell ref="K107:K108"/>
    <mergeCell ref="K98:K99"/>
    <mergeCell ref="M98:M99"/>
    <mergeCell ref="M93:M94"/>
    <mergeCell ref="M85:M87"/>
    <mergeCell ref="K85:K87"/>
    <mergeCell ref="M61:M63"/>
    <mergeCell ref="M55:M57"/>
    <mergeCell ref="M52:M54"/>
    <mergeCell ref="M49:M51"/>
    <mergeCell ref="M46:M48"/>
    <mergeCell ref="K43:K45"/>
    <mergeCell ref="K40:K42"/>
    <mergeCell ref="K37:K39"/>
    <mergeCell ref="K34:K36"/>
    <mergeCell ref="M43:M45"/>
    <mergeCell ref="M40:M42"/>
    <mergeCell ref="M37:M39"/>
    <mergeCell ref="K2:K3"/>
    <mergeCell ref="K4:K6"/>
    <mergeCell ref="K7:K9"/>
    <mergeCell ref="K10:K12"/>
    <mergeCell ref="K13:K15"/>
    <mergeCell ref="K16:K18"/>
    <mergeCell ref="K74:K75"/>
    <mergeCell ref="K93:K94"/>
    <mergeCell ref="M4:M6"/>
    <mergeCell ref="M7:M9"/>
    <mergeCell ref="M10:M12"/>
    <mergeCell ref="M13:M15"/>
    <mergeCell ref="M16:M18"/>
    <mergeCell ref="M19:M21"/>
    <mergeCell ref="M22:M24"/>
    <mergeCell ref="K82:K84"/>
    <mergeCell ref="M82:M84"/>
    <mergeCell ref="K77:K78"/>
    <mergeCell ref="M77:M78"/>
    <mergeCell ref="M74:M75"/>
    <mergeCell ref="K70:K72"/>
    <mergeCell ref="M70:M72"/>
    <mergeCell ref="K64:K66"/>
    <mergeCell ref="K61:K63"/>
    <mergeCell ref="J107:J108"/>
    <mergeCell ref="J74:J75"/>
    <mergeCell ref="J77:J78"/>
    <mergeCell ref="J93:J94"/>
    <mergeCell ref="J98:J99"/>
    <mergeCell ref="D107:D108"/>
    <mergeCell ref="C107:C108"/>
    <mergeCell ref="E107:E108"/>
    <mergeCell ref="I107:I108"/>
    <mergeCell ref="H107:H108"/>
    <mergeCell ref="G107:G108"/>
    <mergeCell ref="F107:F108"/>
    <mergeCell ref="D104:D106"/>
    <mergeCell ref="C104:C106"/>
    <mergeCell ref="I104:I106"/>
    <mergeCell ref="H104:H106"/>
    <mergeCell ref="G104:G106"/>
    <mergeCell ref="F104:F106"/>
    <mergeCell ref="D98:D99"/>
    <mergeCell ref="C98:C99"/>
    <mergeCell ref="E98:E99"/>
    <mergeCell ref="I98:I99"/>
    <mergeCell ref="H98:H99"/>
    <mergeCell ref="G98:G99"/>
    <mergeCell ref="F98:F99"/>
    <mergeCell ref="D93:D94"/>
    <mergeCell ref="C93:C94"/>
    <mergeCell ref="E93:E94"/>
    <mergeCell ref="I93:I94"/>
    <mergeCell ref="H93:H94"/>
    <mergeCell ref="G93:G94"/>
    <mergeCell ref="F93:F94"/>
    <mergeCell ref="D85:D87"/>
    <mergeCell ref="C85:C87"/>
    <mergeCell ref="I85:I87"/>
    <mergeCell ref="H85:H87"/>
    <mergeCell ref="G85:G87"/>
    <mergeCell ref="F85:F87"/>
    <mergeCell ref="F77:F78"/>
    <mergeCell ref="I77:I78"/>
    <mergeCell ref="H77:H78"/>
    <mergeCell ref="G77:G78"/>
    <mergeCell ref="C82:C84"/>
    <mergeCell ref="D82:D84"/>
    <mergeCell ref="I82:I84"/>
    <mergeCell ref="H82:H84"/>
    <mergeCell ref="G82:G84"/>
    <mergeCell ref="F82:F84"/>
    <mergeCell ref="E77:E78"/>
    <mergeCell ref="C77:C78"/>
    <mergeCell ref="D77:D78"/>
    <mergeCell ref="D74:D75"/>
    <mergeCell ref="E74:E75"/>
    <mergeCell ref="C74:C75"/>
    <mergeCell ref="I74:I75"/>
    <mergeCell ref="H74:H75"/>
    <mergeCell ref="G74:G75"/>
    <mergeCell ref="F74:F75"/>
    <mergeCell ref="D70:D72"/>
    <mergeCell ref="C70:C72"/>
    <mergeCell ref="I70:I72"/>
    <mergeCell ref="H70:H72"/>
    <mergeCell ref="G70:G72"/>
    <mergeCell ref="F70:F72"/>
    <mergeCell ref="D64:D66"/>
    <mergeCell ref="C64:C66"/>
    <mergeCell ref="I64:I66"/>
    <mergeCell ref="H64:H66"/>
    <mergeCell ref="G64:G66"/>
    <mergeCell ref="F64:F66"/>
    <mergeCell ref="D61:D63"/>
    <mergeCell ref="C61:C63"/>
    <mergeCell ref="I61:I63"/>
    <mergeCell ref="H61:H63"/>
    <mergeCell ref="G61:G63"/>
    <mergeCell ref="F61:F63"/>
    <mergeCell ref="C58:C60"/>
    <mergeCell ref="D58:D60"/>
    <mergeCell ref="F58:F60"/>
    <mergeCell ref="G58:G60"/>
    <mergeCell ref="H58:H60"/>
    <mergeCell ref="I58:I60"/>
    <mergeCell ref="C55:C57"/>
    <mergeCell ref="D55:D57"/>
    <mergeCell ref="F55:F57"/>
    <mergeCell ref="G55:G57"/>
    <mergeCell ref="H55:H57"/>
    <mergeCell ref="I55:I57"/>
    <mergeCell ref="C52:C54"/>
    <mergeCell ref="D52:D54"/>
    <mergeCell ref="F52:F54"/>
    <mergeCell ref="G52:G54"/>
    <mergeCell ref="H52:H54"/>
    <mergeCell ref="I52:I54"/>
    <mergeCell ref="D49:D51"/>
    <mergeCell ref="C49:C51"/>
    <mergeCell ref="F49:F51"/>
    <mergeCell ref="G49:G51"/>
    <mergeCell ref="H49:H51"/>
    <mergeCell ref="I49:I51"/>
    <mergeCell ref="D46:D48"/>
    <mergeCell ref="C46:C48"/>
    <mergeCell ref="F46:F48"/>
    <mergeCell ref="G46:G48"/>
    <mergeCell ref="H46:H48"/>
    <mergeCell ref="I46:I48"/>
    <mergeCell ref="D43:D45"/>
    <mergeCell ref="C43:C45"/>
    <mergeCell ref="F43:F45"/>
    <mergeCell ref="G43:G45"/>
    <mergeCell ref="H43:H45"/>
    <mergeCell ref="I43:I45"/>
    <mergeCell ref="C40:C42"/>
    <mergeCell ref="D40:D42"/>
    <mergeCell ref="F40:F42"/>
    <mergeCell ref="G40:G42"/>
    <mergeCell ref="H40:H42"/>
    <mergeCell ref="I40:I42"/>
    <mergeCell ref="D37:D39"/>
    <mergeCell ref="C37:C39"/>
    <mergeCell ref="F37:F39"/>
    <mergeCell ref="G37:G39"/>
    <mergeCell ref="H37:H39"/>
    <mergeCell ref="I37:I39"/>
    <mergeCell ref="C34:C36"/>
    <mergeCell ref="D34:D36"/>
    <mergeCell ref="F34:F36"/>
    <mergeCell ref="G34:G36"/>
    <mergeCell ref="H34:H36"/>
    <mergeCell ref="I34:I36"/>
    <mergeCell ref="C31:C33"/>
    <mergeCell ref="D31:D33"/>
    <mergeCell ref="F31:F33"/>
    <mergeCell ref="G31:G33"/>
    <mergeCell ref="H31:H33"/>
    <mergeCell ref="I31:I33"/>
    <mergeCell ref="D28:D30"/>
    <mergeCell ref="C28:C30"/>
    <mergeCell ref="F28:F30"/>
    <mergeCell ref="G28:G30"/>
    <mergeCell ref="H28:H30"/>
    <mergeCell ref="I28:I30"/>
    <mergeCell ref="C25:C27"/>
    <mergeCell ref="D25:D27"/>
    <mergeCell ref="F25:F27"/>
    <mergeCell ref="G25:G27"/>
    <mergeCell ref="H25:H27"/>
    <mergeCell ref="I25:I27"/>
    <mergeCell ref="D22:D24"/>
    <mergeCell ref="C22:C24"/>
    <mergeCell ref="F22:F24"/>
    <mergeCell ref="G22:G24"/>
    <mergeCell ref="H22:H24"/>
    <mergeCell ref="I22:I24"/>
    <mergeCell ref="D19:D21"/>
    <mergeCell ref="C19:C21"/>
    <mergeCell ref="F19:F21"/>
    <mergeCell ref="G19:G21"/>
    <mergeCell ref="H19:H21"/>
    <mergeCell ref="I19:I21"/>
    <mergeCell ref="H16:H18"/>
    <mergeCell ref="I16:I18"/>
    <mergeCell ref="C2:C3"/>
    <mergeCell ref="D2:D3"/>
    <mergeCell ref="E2:E3"/>
    <mergeCell ref="F2:F3"/>
    <mergeCell ref="G2:G3"/>
    <mergeCell ref="H2:H3"/>
    <mergeCell ref="D13:D15"/>
    <mergeCell ref="C13:C15"/>
    <mergeCell ref="F13:F15"/>
    <mergeCell ref="G13:G15"/>
    <mergeCell ref="H13:H15"/>
    <mergeCell ref="C4:C6"/>
    <mergeCell ref="D4:D6"/>
    <mergeCell ref="F4:F6"/>
    <mergeCell ref="G4:G6"/>
    <mergeCell ref="H4:H6"/>
    <mergeCell ref="I4:I6"/>
    <mergeCell ref="S74:S75"/>
    <mergeCell ref="S77:S78"/>
    <mergeCell ref="S93:S94"/>
    <mergeCell ref="S98:S99"/>
    <mergeCell ref="S107:S108"/>
    <mergeCell ref="R2:R3"/>
    <mergeCell ref="I13:I15"/>
    <mergeCell ref="D10:D12"/>
    <mergeCell ref="C10:C12"/>
    <mergeCell ref="F10:F12"/>
    <mergeCell ref="G10:G12"/>
    <mergeCell ref="H10:H12"/>
    <mergeCell ref="I10:I12"/>
    <mergeCell ref="D7:D9"/>
    <mergeCell ref="C7:C9"/>
    <mergeCell ref="F7:F9"/>
    <mergeCell ref="G7:G9"/>
    <mergeCell ref="H7:H9"/>
    <mergeCell ref="I7:I9"/>
    <mergeCell ref="I2:I3"/>
    <mergeCell ref="D16:D18"/>
    <mergeCell ref="C16:C18"/>
    <mergeCell ref="F16:F18"/>
    <mergeCell ref="G16:G18"/>
  </mergeCells>
  <dataValidations count="1">
    <dataValidation type="list" allowBlank="1" showInputMessage="1" showErrorMessage="1" sqref="E77 E79:E93 E95:E98 E100:E107 E114:E124 E4:E74" xr:uid="{425251A0-8B57-469D-A3B7-A86AE7DE9BBA}">
      <formula1>EMPRESAS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7C78-AF8D-4D6F-BBCF-5A7CD531EF04}">
  <sheetPr codeName="Hoja2"/>
  <dimension ref="C5:I19"/>
  <sheetViews>
    <sheetView topLeftCell="B7" workbookViewId="0">
      <selection activeCell="I7" sqref="I7"/>
    </sheetView>
  </sheetViews>
  <sheetFormatPr baseColWidth="10" defaultRowHeight="15" x14ac:dyDescent="0.25"/>
  <cols>
    <col min="3" max="3" width="38.85546875" customWidth="1"/>
    <col min="4" max="4" width="19.7109375" customWidth="1"/>
    <col min="5" max="5" width="14.28515625" customWidth="1"/>
    <col min="6" max="6" width="14.28515625" bestFit="1" customWidth="1"/>
    <col min="7" max="8" width="13.140625" bestFit="1" customWidth="1"/>
  </cols>
  <sheetData>
    <row r="5" spans="3:9" x14ac:dyDescent="0.25">
      <c r="E5" s="1">
        <v>246</v>
      </c>
      <c r="F5" s="1">
        <v>53</v>
      </c>
      <c r="G5" s="1">
        <v>52</v>
      </c>
      <c r="H5" s="1">
        <v>14</v>
      </c>
    </row>
    <row r="6" spans="3:9" x14ac:dyDescent="0.25">
      <c r="C6" s="25" t="str">
        <f>'DATOS FLOTA'!E113</f>
        <v>EMPRESAS</v>
      </c>
      <c r="D6" s="25" t="str">
        <f>'DATOS FLOTA'!I113</f>
        <v>RPD (KM)</v>
      </c>
      <c r="E6" s="25" t="s">
        <v>87</v>
      </c>
      <c r="F6" s="25" t="s">
        <v>88</v>
      </c>
      <c r="G6" s="25" t="s">
        <v>89</v>
      </c>
      <c r="H6" s="25" t="s">
        <v>90</v>
      </c>
      <c r="I6" s="25" t="s">
        <v>93</v>
      </c>
    </row>
    <row r="7" spans="3:9" x14ac:dyDescent="0.25">
      <c r="C7" s="31" t="str">
        <f>'DATOS FLOTA'!E114</f>
        <v>LUSITANIA S.A</v>
      </c>
      <c r="D7" s="24">
        <f>'DATOS FLOTA'!I114</f>
        <v>12778.266666666666</v>
      </c>
      <c r="E7" s="32">
        <f>D7*$E$5</f>
        <v>3143453.6</v>
      </c>
      <c r="F7" s="32">
        <f>D7*$F$5*0.7</f>
        <v>474073.6933333333</v>
      </c>
      <c r="G7" s="32">
        <f>D7*$G$5*0.4</f>
        <v>265787.94666666671</v>
      </c>
      <c r="H7" s="32">
        <f>D7*$H$5*0.3</f>
        <v>53668.72</v>
      </c>
      <c r="I7" s="33">
        <f>SUM(E7:H7)</f>
        <v>3936983.9600000004</v>
      </c>
    </row>
    <row r="8" spans="3:9" x14ac:dyDescent="0.25">
      <c r="C8" s="31" t="str">
        <f>'DATOS FLOTA'!E115</f>
        <v>TRANSCOLOMBIA S.A</v>
      </c>
      <c r="D8" s="24">
        <f>'DATOS FLOTA'!I115</f>
        <v>24108.800918822915</v>
      </c>
      <c r="E8" s="32">
        <f t="shared" ref="E8:E17" si="0">D8*$E$5</f>
        <v>5930765.0260304371</v>
      </c>
      <c r="F8" s="32">
        <f t="shared" ref="F8:F17" si="1">D8*$F$5*0.7</f>
        <v>894436.51408833009</v>
      </c>
      <c r="G8" s="32">
        <f t="shared" ref="G8:G17" si="2">D8*$G$5*0.4</f>
        <v>501463.05911151669</v>
      </c>
      <c r="H8" s="32">
        <f t="shared" ref="H8:H17" si="3">D8*$H$5*0.3</f>
        <v>101256.96385905625</v>
      </c>
      <c r="I8" s="33">
        <f t="shared" ref="I8:I18" si="4">SUM(E8:H8)</f>
        <v>7427921.56308934</v>
      </c>
    </row>
    <row r="9" spans="3:9" x14ac:dyDescent="0.25">
      <c r="C9" s="31" t="str">
        <f>'DATOS FLOTA'!E116</f>
        <v>TRANSPORTES GIRON S.A</v>
      </c>
      <c r="D9" s="24">
        <f>'DATOS FLOTA'!I116</f>
        <v>11309.333333333332</v>
      </c>
      <c r="E9" s="32">
        <f t="shared" si="0"/>
        <v>2782095.9999999995</v>
      </c>
      <c r="F9" s="32">
        <f t="shared" si="1"/>
        <v>419576.2666666666</v>
      </c>
      <c r="G9" s="32">
        <f t="shared" si="2"/>
        <v>235234.1333333333</v>
      </c>
      <c r="H9" s="32">
        <f t="shared" si="3"/>
        <v>47499.199999999997</v>
      </c>
      <c r="I9" s="33">
        <f t="shared" si="4"/>
        <v>3484405.5999999996</v>
      </c>
    </row>
    <row r="10" spans="3:9" x14ac:dyDescent="0.25">
      <c r="C10" s="31" t="str">
        <f>'DATOS FLOTA'!E117</f>
        <v>UNITRANSA S.A</v>
      </c>
      <c r="D10" s="24">
        <f>'DATOS FLOTA'!I117</f>
        <v>39880.450975429048</v>
      </c>
      <c r="E10" s="32">
        <f t="shared" si="0"/>
        <v>9810590.9399555456</v>
      </c>
      <c r="F10" s="32">
        <f t="shared" si="1"/>
        <v>1479564.7311884176</v>
      </c>
      <c r="G10" s="32">
        <f t="shared" si="2"/>
        <v>829513.38028892421</v>
      </c>
      <c r="H10" s="32">
        <f t="shared" si="3"/>
        <v>167497.89409680202</v>
      </c>
      <c r="I10" s="33">
        <f t="shared" si="4"/>
        <v>12287166.945529692</v>
      </c>
    </row>
    <row r="11" spans="3:9" x14ac:dyDescent="0.25">
      <c r="C11" s="31" t="str">
        <f>'DATOS FLOTA'!E118</f>
        <v>ORIENTAL DE TRANSPORTES S.A</v>
      </c>
      <c r="D11" s="24">
        <f>'DATOS FLOTA'!I118</f>
        <v>11775.75</v>
      </c>
      <c r="E11" s="32">
        <f t="shared" si="0"/>
        <v>2896834.5</v>
      </c>
      <c r="F11" s="32">
        <f t="shared" si="1"/>
        <v>436880.32499999995</v>
      </c>
      <c r="G11" s="32">
        <f t="shared" si="2"/>
        <v>244935.6</v>
      </c>
      <c r="H11" s="32">
        <f t="shared" si="3"/>
        <v>49458.15</v>
      </c>
      <c r="I11" s="33">
        <f t="shared" si="4"/>
        <v>3628108.5750000002</v>
      </c>
    </row>
    <row r="12" spans="3:9" x14ac:dyDescent="0.25">
      <c r="C12" s="31" t="str">
        <f>'DATOS FLOTA'!E119</f>
        <v>TRANSPORTES VIILA DE SAN CARLOS S.A</v>
      </c>
      <c r="D12" s="24">
        <f>'DATOS FLOTA'!I119</f>
        <v>1746.5786839954549</v>
      </c>
      <c r="E12" s="32">
        <f t="shared" si="0"/>
        <v>429658.35626288189</v>
      </c>
      <c r="F12" s="32">
        <f t="shared" si="1"/>
        <v>64798.069176231365</v>
      </c>
      <c r="G12" s="32">
        <f t="shared" si="2"/>
        <v>36328.836627105462</v>
      </c>
      <c r="H12" s="32">
        <f t="shared" si="3"/>
        <v>7335.6304727809102</v>
      </c>
      <c r="I12" s="33">
        <f t="shared" si="4"/>
        <v>538120.89253899967</v>
      </c>
    </row>
    <row r="13" spans="3:9" x14ac:dyDescent="0.25">
      <c r="C13" s="31" t="str">
        <f>'DATOS FLOTA'!E120</f>
        <v>METROPOLITANA DE SERVICIOS S.A</v>
      </c>
      <c r="D13" s="24">
        <f>'DATOS FLOTA'!I120</f>
        <v>7873.5999999999985</v>
      </c>
      <c r="E13" s="32">
        <f t="shared" si="0"/>
        <v>1936905.5999999996</v>
      </c>
      <c r="F13" s="32">
        <f t="shared" si="1"/>
        <v>292110.55999999994</v>
      </c>
      <c r="G13" s="32">
        <f t="shared" si="2"/>
        <v>163770.88</v>
      </c>
      <c r="H13" s="32">
        <f t="shared" si="3"/>
        <v>33069.119999999995</v>
      </c>
      <c r="I13" s="33">
        <f t="shared" si="4"/>
        <v>2425856.1599999997</v>
      </c>
    </row>
    <row r="14" spans="3:9" x14ac:dyDescent="0.25">
      <c r="C14" s="31" t="str">
        <f>'DATOS FLOTA'!E121</f>
        <v>TRANSPORTES SAN JUAN S.A</v>
      </c>
      <c r="D14" s="24">
        <f>'DATOS FLOTA'!I121</f>
        <v>8100.5501026738566</v>
      </c>
      <c r="E14" s="32">
        <f t="shared" si="0"/>
        <v>1992735.3252577686</v>
      </c>
      <c r="F14" s="32">
        <f t="shared" si="1"/>
        <v>300530.40880920005</v>
      </c>
      <c r="G14" s="32">
        <f t="shared" si="2"/>
        <v>168491.44213561621</v>
      </c>
      <c r="H14" s="32">
        <f t="shared" si="3"/>
        <v>34022.310431230195</v>
      </c>
      <c r="I14" s="33">
        <f t="shared" si="4"/>
        <v>2495779.4866338153</v>
      </c>
    </row>
    <row r="15" spans="3:9" x14ac:dyDescent="0.25">
      <c r="C15" s="31" t="str">
        <f>'DATOS FLOTA'!E122</f>
        <v>COOTRAGAS CTA</v>
      </c>
      <c r="D15" s="24">
        <f>'DATOS FLOTA'!I122</f>
        <v>2041.2</v>
      </c>
      <c r="E15" s="32">
        <f t="shared" si="0"/>
        <v>502135.2</v>
      </c>
      <c r="F15" s="32">
        <f t="shared" si="1"/>
        <v>75728.52</v>
      </c>
      <c r="G15" s="32">
        <f t="shared" si="2"/>
        <v>42456.960000000006</v>
      </c>
      <c r="H15" s="32">
        <f t="shared" si="3"/>
        <v>8573.0399999999991</v>
      </c>
      <c r="I15" s="33">
        <f t="shared" si="4"/>
        <v>628893.72</v>
      </c>
    </row>
    <row r="16" spans="3:9" x14ac:dyDescent="0.25">
      <c r="C16" s="31" t="str">
        <f>'DATOS FLOTA'!E123</f>
        <v>COTRANDER LTDA</v>
      </c>
      <c r="D16" s="24">
        <f>'DATOS FLOTA'!I123</f>
        <v>21484.618874978802</v>
      </c>
      <c r="E16" s="32">
        <f t="shared" si="0"/>
        <v>5285216.2432447849</v>
      </c>
      <c r="F16" s="32">
        <f t="shared" si="1"/>
        <v>797079.3602617135</v>
      </c>
      <c r="G16" s="32">
        <f t="shared" si="2"/>
        <v>446880.07259955909</v>
      </c>
      <c r="H16" s="32">
        <f t="shared" si="3"/>
        <v>90235.39927491096</v>
      </c>
      <c r="I16" s="33">
        <f t="shared" si="4"/>
        <v>6619411.0753809679</v>
      </c>
    </row>
    <row r="17" spans="3:9" x14ac:dyDescent="0.25">
      <c r="C17" s="31" t="str">
        <f>'DATOS FLOTA'!E124</f>
        <v>TRANSPORTES PIEDECUESTA S.A</v>
      </c>
      <c r="D17" s="24">
        <f>'DATOS FLOTA'!I124</f>
        <v>31128.304546664021</v>
      </c>
      <c r="E17" s="32">
        <f t="shared" si="0"/>
        <v>7657562.9184793495</v>
      </c>
      <c r="F17" s="32">
        <f t="shared" si="1"/>
        <v>1154860.098681235</v>
      </c>
      <c r="G17" s="32">
        <f t="shared" si="2"/>
        <v>647468.73457061173</v>
      </c>
      <c r="H17" s="32">
        <f t="shared" si="3"/>
        <v>130738.87909598887</v>
      </c>
      <c r="I17" s="33">
        <f t="shared" si="4"/>
        <v>9590630.6308271848</v>
      </c>
    </row>
    <row r="18" spans="3:9" x14ac:dyDescent="0.25">
      <c r="C18" s="31" t="s">
        <v>91</v>
      </c>
      <c r="D18" s="34">
        <f>'DATOS FLOTA'!I125</f>
        <v>172227.45410256411</v>
      </c>
      <c r="E18" s="35">
        <f>SUM(E7:E17)</f>
        <v>42367953.709230766</v>
      </c>
      <c r="F18" s="35">
        <f t="shared" ref="F18:H18" si="5">SUM(F7:F17)</f>
        <v>6389638.5472051268</v>
      </c>
      <c r="G18" s="35">
        <f t="shared" si="5"/>
        <v>3582331.0453333333</v>
      </c>
      <c r="H18" s="35">
        <f t="shared" si="5"/>
        <v>723355.30723076919</v>
      </c>
      <c r="I18" s="36">
        <f t="shared" si="4"/>
        <v>53063278.608999997</v>
      </c>
    </row>
    <row r="19" spans="3:9" x14ac:dyDescent="0.25">
      <c r="C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5727-69D8-45A0-9EF5-EDB6BEF4B3DF}">
  <sheetPr codeName="Hoja3"/>
  <dimension ref="C6:L18"/>
  <sheetViews>
    <sheetView topLeftCell="B4" workbookViewId="0">
      <selection activeCell="E7" sqref="E7"/>
    </sheetView>
  </sheetViews>
  <sheetFormatPr baseColWidth="10" defaultRowHeight="15" x14ac:dyDescent="0.25"/>
  <cols>
    <col min="3" max="3" width="36.42578125" customWidth="1"/>
    <col min="4" max="4" width="16.28515625" bestFit="1" customWidth="1"/>
    <col min="5" max="5" width="20.42578125" customWidth="1"/>
    <col min="6" max="6" width="22.140625" customWidth="1"/>
    <col min="7" max="7" width="29.5703125" customWidth="1"/>
    <col min="8" max="8" width="16.7109375" customWidth="1"/>
    <col min="9" max="9" width="10.140625" customWidth="1"/>
    <col min="10" max="10" width="5.7109375" hidden="1" customWidth="1"/>
    <col min="11" max="11" width="7.28515625" hidden="1" customWidth="1"/>
    <col min="12" max="12" width="36.7109375" hidden="1" customWidth="1"/>
  </cols>
  <sheetData>
    <row r="6" spans="3:8" x14ac:dyDescent="0.25">
      <c r="C6" s="39" t="str">
        <f>'RECORRIDO ANUAL'!C6</f>
        <v>EMPRESAS</v>
      </c>
      <c r="D6" s="25" t="str">
        <f>'RECORRIDO ANUAL'!I6</f>
        <v>RPA (KM)</v>
      </c>
      <c r="E6" s="39" t="s">
        <v>94</v>
      </c>
      <c r="F6" s="39" t="s">
        <v>95</v>
      </c>
      <c r="G6" s="39" t="s">
        <v>96</v>
      </c>
      <c r="H6" s="39" t="s">
        <v>97</v>
      </c>
    </row>
    <row r="7" spans="3:8" x14ac:dyDescent="0.25">
      <c r="C7" s="40" t="str">
        <f>'RECORRIDO ANUAL'!C7</f>
        <v>LUSITANIA S.A</v>
      </c>
      <c r="D7" s="32">
        <f>'RECORRIDO ANUAL'!I7</f>
        <v>3936983.9600000004</v>
      </c>
      <c r="E7" s="37">
        <v>9075.5300000000007</v>
      </c>
      <c r="F7" s="14">
        <f>'FACTOR RENDIMIENTO'!M50</f>
        <v>8.242464885114865</v>
      </c>
      <c r="G7" s="65">
        <f>E7/F7</f>
        <v>1101.0699016006213</v>
      </c>
      <c r="H7" s="38">
        <f>D7*G7</f>
        <v>4334894541.4404249</v>
      </c>
    </row>
    <row r="8" spans="3:8" x14ac:dyDescent="0.25">
      <c r="C8" s="40" t="str">
        <f>'RECORRIDO ANUAL'!C8</f>
        <v>TRANSCOLOMBIA S.A</v>
      </c>
      <c r="D8" s="32">
        <f>'RECORRIDO ANUAL'!I8</f>
        <v>7427921.56308934</v>
      </c>
      <c r="E8" s="37">
        <v>9075.5300000000007</v>
      </c>
      <c r="F8" s="14">
        <f>$F$7</f>
        <v>8.242464885114865</v>
      </c>
      <c r="G8" s="65">
        <f t="shared" ref="G8:G18" si="0">E8/F8</f>
        <v>1101.0699016006213</v>
      </c>
      <c r="H8" s="38">
        <f t="shared" ref="H8:H18" si="1">D8*G8</f>
        <v>8178660864.5679131</v>
      </c>
    </row>
    <row r="9" spans="3:8" x14ac:dyDescent="0.25">
      <c r="C9" s="40" t="str">
        <f>'RECORRIDO ANUAL'!C9</f>
        <v>TRANSPORTES GIRON S.A</v>
      </c>
      <c r="D9" s="32">
        <f>'RECORRIDO ANUAL'!I9</f>
        <v>3484405.5999999996</v>
      </c>
      <c r="E9" s="37">
        <v>9075.5300000000007</v>
      </c>
      <c r="F9" s="14">
        <f t="shared" ref="F9:F18" si="2">$F$7</f>
        <v>8.242464885114865</v>
      </c>
      <c r="G9" s="65">
        <f>E9/F9</f>
        <v>1101.0699016006213</v>
      </c>
      <c r="H9" s="38">
        <f t="shared" si="1"/>
        <v>3836574131.1286535</v>
      </c>
    </row>
    <row r="10" spans="3:8" x14ac:dyDescent="0.25">
      <c r="C10" s="40" t="str">
        <f>'RECORRIDO ANUAL'!C10</f>
        <v>UNITRANSA S.A</v>
      </c>
      <c r="D10" s="32">
        <f>'RECORRIDO ANUAL'!I10</f>
        <v>12287166.945529692</v>
      </c>
      <c r="E10" s="37">
        <v>9075.5300000000007</v>
      </c>
      <c r="F10" s="14">
        <f t="shared" si="2"/>
        <v>8.242464885114865</v>
      </c>
      <c r="G10" s="65">
        <f t="shared" si="0"/>
        <v>1101.0699016006213</v>
      </c>
      <c r="H10" s="38">
        <f t="shared" si="1"/>
        <v>13529029699.664783</v>
      </c>
    </row>
    <row r="11" spans="3:8" x14ac:dyDescent="0.25">
      <c r="C11" s="40" t="str">
        <f>'RECORRIDO ANUAL'!C11</f>
        <v>ORIENTAL DE TRANSPORTES S.A</v>
      </c>
      <c r="D11" s="32">
        <f>'RECORRIDO ANUAL'!I11</f>
        <v>3628108.5750000002</v>
      </c>
      <c r="E11" s="37">
        <v>9075.5300000000007</v>
      </c>
      <c r="F11" s="14">
        <f t="shared" si="2"/>
        <v>8.242464885114865</v>
      </c>
      <c r="G11" s="65">
        <f t="shared" si="0"/>
        <v>1101.0699016006213</v>
      </c>
      <c r="H11" s="38">
        <f t="shared" si="1"/>
        <v>3994801151.6716204</v>
      </c>
    </row>
    <row r="12" spans="3:8" x14ac:dyDescent="0.25">
      <c r="C12" s="40" t="str">
        <f>'RECORRIDO ANUAL'!C12</f>
        <v>TRANSPORTES VIILA DE SAN CARLOS S.A</v>
      </c>
      <c r="D12" s="32">
        <f>'RECORRIDO ANUAL'!I12</f>
        <v>538120.89253899967</v>
      </c>
      <c r="E12" s="37">
        <v>9075.5300000000007</v>
      </c>
      <c r="F12" s="14">
        <f t="shared" si="2"/>
        <v>8.242464885114865</v>
      </c>
      <c r="G12" s="65">
        <f t="shared" si="0"/>
        <v>1101.0699016006213</v>
      </c>
      <c r="H12" s="38">
        <f t="shared" si="1"/>
        <v>592508718.19715488</v>
      </c>
    </row>
    <row r="13" spans="3:8" x14ac:dyDescent="0.25">
      <c r="C13" s="40" t="str">
        <f>'RECORRIDO ANUAL'!C13</f>
        <v>METROPOLITANA DE SERVICIOS S.A</v>
      </c>
      <c r="D13" s="32">
        <f>'RECORRIDO ANUAL'!I13</f>
        <v>2425856.1599999997</v>
      </c>
      <c r="E13" s="37">
        <v>9075.5300000000007</v>
      </c>
      <c r="F13" s="14">
        <f t="shared" si="2"/>
        <v>8.242464885114865</v>
      </c>
      <c r="G13" s="65">
        <f t="shared" si="0"/>
        <v>1101.0699016006213</v>
      </c>
      <c r="H13" s="38">
        <f t="shared" si="1"/>
        <v>2671037203.3884606</v>
      </c>
    </row>
    <row r="14" spans="3:8" x14ac:dyDescent="0.25">
      <c r="C14" s="40" t="str">
        <f>'RECORRIDO ANUAL'!C14</f>
        <v>TRANSPORTES SAN JUAN S.A</v>
      </c>
      <c r="D14" s="32">
        <f>'RECORRIDO ANUAL'!I14</f>
        <v>2495779.4866338153</v>
      </c>
      <c r="E14" s="37">
        <v>9075.5300000000007</v>
      </c>
      <c r="F14" s="14">
        <f t="shared" si="2"/>
        <v>8.242464885114865</v>
      </c>
      <c r="G14" s="65">
        <f t="shared" si="0"/>
        <v>1101.0699016006213</v>
      </c>
      <c r="H14" s="38">
        <f t="shared" si="1"/>
        <v>2748027673.7647443</v>
      </c>
    </row>
    <row r="15" spans="3:8" x14ac:dyDescent="0.25">
      <c r="C15" s="40" t="str">
        <f>'RECORRIDO ANUAL'!C15</f>
        <v>COOTRAGAS CTA</v>
      </c>
      <c r="D15" s="32">
        <f>'RECORRIDO ANUAL'!I15</f>
        <v>628893.72</v>
      </c>
      <c r="E15" s="37">
        <v>9075.5300000000007</v>
      </c>
      <c r="F15" s="14">
        <f t="shared" si="2"/>
        <v>8.242464885114865</v>
      </c>
      <c r="G15" s="65">
        <f t="shared" si="0"/>
        <v>1101.0699016006213</v>
      </c>
      <c r="H15" s="38">
        <f t="shared" si="1"/>
        <v>692455946.39764869</v>
      </c>
    </row>
    <row r="16" spans="3:8" x14ac:dyDescent="0.25">
      <c r="C16" s="40" t="str">
        <f>'RECORRIDO ANUAL'!C16</f>
        <v>COTRANDER LTDA</v>
      </c>
      <c r="D16" s="32">
        <f>'RECORRIDO ANUAL'!I16</f>
        <v>6619411.0753809679</v>
      </c>
      <c r="E16" s="37">
        <v>9075.5300000000007</v>
      </c>
      <c r="F16" s="14">
        <f t="shared" si="2"/>
        <v>8.242464885114865</v>
      </c>
      <c r="G16" s="65">
        <f t="shared" si="0"/>
        <v>1101.0699016006213</v>
      </c>
      <c r="H16" s="38">
        <f t="shared" si="1"/>
        <v>7288434301.4237852</v>
      </c>
    </row>
    <row r="17" spans="3:8" x14ac:dyDescent="0.25">
      <c r="C17" s="40" t="str">
        <f>'RECORRIDO ANUAL'!C17</f>
        <v>TRANSPORTES PIEDECUESTA S.A</v>
      </c>
      <c r="D17" s="32">
        <f>'RECORRIDO ANUAL'!I17</f>
        <v>9590630.6308271848</v>
      </c>
      <c r="E17" s="37">
        <v>9075.5300000000007</v>
      </c>
      <c r="F17" s="14">
        <f t="shared" si="2"/>
        <v>8.242464885114865</v>
      </c>
      <c r="G17" s="65">
        <f t="shared" si="0"/>
        <v>1101.0699016006213</v>
      </c>
      <c r="H17" s="38">
        <f t="shared" si="1"/>
        <v>10559954724.972794</v>
      </c>
    </row>
    <row r="18" spans="3:8" x14ac:dyDescent="0.25">
      <c r="C18" s="40" t="str">
        <f>'RECORRIDO ANUAL'!C18</f>
        <v>TOTAL</v>
      </c>
      <c r="D18" s="62">
        <f>'RECORRIDO ANUAL'!I18</f>
        <v>53063278.608999997</v>
      </c>
      <c r="E18" s="63">
        <v>9075.5300000000007</v>
      </c>
      <c r="F18" s="61">
        <f t="shared" si="2"/>
        <v>8.242464885114865</v>
      </c>
      <c r="G18" s="66">
        <f t="shared" si="0"/>
        <v>1101.0699016006213</v>
      </c>
      <c r="H18" s="64">
        <f t="shared" si="1"/>
        <v>58426378956.617981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03EF-0C60-4B06-88C5-9EBB90CE736E}">
  <sheetPr codeName="Hoja4"/>
  <dimension ref="B3:AK73"/>
  <sheetViews>
    <sheetView topLeftCell="A13" workbookViewId="0">
      <selection activeCell="M47" sqref="M47"/>
    </sheetView>
  </sheetViews>
  <sheetFormatPr baseColWidth="10" defaultRowHeight="15" x14ac:dyDescent="0.25"/>
  <cols>
    <col min="4" max="4" width="24" customWidth="1"/>
    <col min="5" max="5" width="13.85546875" customWidth="1"/>
    <col min="13" max="13" width="13.5703125" customWidth="1"/>
    <col min="19" max="19" width="13.28515625" customWidth="1"/>
    <col min="23" max="24" width="13.140625" customWidth="1"/>
    <col min="26" max="26" width="11.85546875" customWidth="1"/>
    <col min="34" max="34" width="13.140625" customWidth="1"/>
    <col min="35" max="35" width="15.42578125" customWidth="1"/>
  </cols>
  <sheetData>
    <row r="3" spans="2:25" x14ac:dyDescent="0.25">
      <c r="C3" s="44" t="s">
        <v>102</v>
      </c>
      <c r="D3" s="44" t="s">
        <v>103</v>
      </c>
    </row>
    <row r="4" spans="2:25" x14ac:dyDescent="0.25">
      <c r="B4" s="44" t="s">
        <v>101</v>
      </c>
      <c r="C4" s="2">
        <v>0.5</v>
      </c>
      <c r="D4" s="2">
        <v>1</v>
      </c>
    </row>
    <row r="5" spans="2:25" x14ac:dyDescent="0.25">
      <c r="B5" s="44" t="s">
        <v>104</v>
      </c>
      <c r="C5" s="2">
        <v>7.5</v>
      </c>
      <c r="D5" s="2">
        <v>0.8</v>
      </c>
    </row>
    <row r="16" spans="2:25" x14ac:dyDescent="0.25">
      <c r="U16" s="54"/>
      <c r="V16" s="54"/>
      <c r="W16" s="54"/>
      <c r="X16" s="54"/>
      <c r="Y16" s="54"/>
    </row>
    <row r="18" spans="2:37" x14ac:dyDescent="0.25"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</row>
    <row r="19" spans="2:37" x14ac:dyDescent="0.25">
      <c r="B19" s="43" t="s">
        <v>105</v>
      </c>
      <c r="C19" s="43" t="s">
        <v>102</v>
      </c>
      <c r="D19" s="43" t="s">
        <v>106</v>
      </c>
      <c r="E19" s="43" t="s">
        <v>107</v>
      </c>
      <c r="F19" s="43" t="s">
        <v>108</v>
      </c>
      <c r="G19" s="43" t="s">
        <v>109</v>
      </c>
      <c r="H19" s="43" t="s">
        <v>110</v>
      </c>
      <c r="I19" s="43" t="s">
        <v>111</v>
      </c>
      <c r="K19" s="43" t="s">
        <v>105</v>
      </c>
      <c r="L19" s="43" t="s">
        <v>112</v>
      </c>
      <c r="M19" s="43" t="s">
        <v>113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56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56"/>
    </row>
    <row r="20" spans="2:37" x14ac:dyDescent="0.25">
      <c r="B20" s="2">
        <v>2023</v>
      </c>
      <c r="C20" s="2">
        <v>0</v>
      </c>
      <c r="D20" s="2">
        <v>1</v>
      </c>
      <c r="E20" s="49">
        <f>6*D20</f>
        <v>6</v>
      </c>
      <c r="F20" s="49">
        <f>8*D20</f>
        <v>8</v>
      </c>
      <c r="G20" s="49">
        <f>10*D20</f>
        <v>10</v>
      </c>
      <c r="H20" s="48">
        <f>14.5*D20</f>
        <v>14.5</v>
      </c>
      <c r="I20" s="48">
        <f>14.5*D20</f>
        <v>14.5</v>
      </c>
      <c r="K20" s="2">
        <v>2000</v>
      </c>
      <c r="L20" s="2">
        <v>3</v>
      </c>
      <c r="M20" s="24">
        <f>K20*L20</f>
        <v>6000</v>
      </c>
      <c r="N20" s="57"/>
      <c r="O20" s="57"/>
      <c r="P20" s="57"/>
      <c r="Q20" s="57"/>
      <c r="R20" s="57"/>
      <c r="S20" s="58"/>
      <c r="T20" s="58"/>
      <c r="U20" s="58"/>
      <c r="V20" s="58"/>
      <c r="W20" s="58"/>
      <c r="X20" s="58"/>
      <c r="Y20" s="57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6"/>
    </row>
    <row r="21" spans="2:37" x14ac:dyDescent="0.25">
      <c r="B21" s="2">
        <v>2022</v>
      </c>
      <c r="C21" s="2">
        <v>1</v>
      </c>
      <c r="D21" s="46">
        <f>-(1/35)*C21+1.0143</f>
        <v>0.9857285714285714</v>
      </c>
      <c r="E21" s="47">
        <f t="shared" ref="E21:E43" si="0">6*D21</f>
        <v>5.9143714285714282</v>
      </c>
      <c r="F21" s="47">
        <f t="shared" ref="F21:F43" si="1">8*D21</f>
        <v>7.8858285714285712</v>
      </c>
      <c r="G21" s="47">
        <f t="shared" ref="G21:G43" si="2">10*D21</f>
        <v>9.8572857142857142</v>
      </c>
      <c r="H21" s="46">
        <f t="shared" ref="H21:H43" si="3">14.5*D21</f>
        <v>14.293064285714285</v>
      </c>
      <c r="I21" s="46">
        <f t="shared" ref="I21:I43" si="4">14.5*D21</f>
        <v>14.293064285714285</v>
      </c>
      <c r="K21" s="2">
        <v>2001</v>
      </c>
      <c r="L21" s="2">
        <v>26</v>
      </c>
      <c r="M21" s="24">
        <f t="shared" ref="M21:M43" si="5">K21*L21</f>
        <v>52026</v>
      </c>
      <c r="N21" s="15"/>
      <c r="O21" s="15"/>
      <c r="P21" s="15"/>
      <c r="Q21" s="15"/>
      <c r="R21" s="15"/>
      <c r="S21" s="50"/>
      <c r="T21" s="50"/>
      <c r="U21" s="50"/>
      <c r="V21" s="50"/>
      <c r="W21" s="50"/>
      <c r="X21" s="50"/>
      <c r="Y21" s="15"/>
    </row>
    <row r="22" spans="2:37" x14ac:dyDescent="0.25">
      <c r="B22" s="2">
        <v>2021</v>
      </c>
      <c r="C22" s="2">
        <v>2</v>
      </c>
      <c r="D22" s="46">
        <f t="shared" ref="D22:D43" si="6">-(1/35)*C22+1.0143</f>
        <v>0.95715714285714282</v>
      </c>
      <c r="E22" s="47">
        <f t="shared" si="0"/>
        <v>5.7429428571428573</v>
      </c>
      <c r="F22" s="47">
        <f t="shared" si="1"/>
        <v>7.6572571428571425</v>
      </c>
      <c r="G22" s="47">
        <f t="shared" si="2"/>
        <v>9.5715714285714277</v>
      </c>
      <c r="H22" s="46">
        <f t="shared" si="3"/>
        <v>13.878778571428571</v>
      </c>
      <c r="I22" s="46">
        <f t="shared" si="4"/>
        <v>13.878778571428571</v>
      </c>
      <c r="K22" s="2">
        <v>2002</v>
      </c>
      <c r="L22" s="2">
        <v>46</v>
      </c>
      <c r="M22" s="24">
        <f t="shared" si="5"/>
        <v>92092</v>
      </c>
      <c r="N22" s="15"/>
      <c r="O22" s="15"/>
      <c r="P22" s="15"/>
      <c r="Q22" s="15"/>
      <c r="R22" s="15"/>
      <c r="S22" s="50"/>
      <c r="T22" s="50"/>
      <c r="U22" s="50"/>
      <c r="V22" s="50"/>
      <c r="W22" s="50"/>
      <c r="X22" s="50"/>
      <c r="Y22" s="15"/>
    </row>
    <row r="23" spans="2:37" x14ac:dyDescent="0.25">
      <c r="B23" s="2">
        <v>2020</v>
      </c>
      <c r="C23" s="2">
        <v>3</v>
      </c>
      <c r="D23" s="46">
        <f t="shared" si="6"/>
        <v>0.92858571428571424</v>
      </c>
      <c r="E23" s="47">
        <f t="shared" si="0"/>
        <v>5.5715142857142856</v>
      </c>
      <c r="F23" s="47">
        <f t="shared" si="1"/>
        <v>7.4286857142857139</v>
      </c>
      <c r="G23" s="47">
        <f t="shared" si="2"/>
        <v>9.285857142857143</v>
      </c>
      <c r="H23" s="46">
        <f t="shared" si="3"/>
        <v>13.464492857142856</v>
      </c>
      <c r="I23" s="46">
        <f t="shared" si="4"/>
        <v>13.464492857142856</v>
      </c>
      <c r="K23" s="2">
        <v>2003</v>
      </c>
      <c r="L23" s="2">
        <v>50</v>
      </c>
      <c r="M23" s="24">
        <f t="shared" si="5"/>
        <v>100150</v>
      </c>
      <c r="N23" s="15"/>
      <c r="O23" s="15"/>
      <c r="P23" s="15"/>
      <c r="Q23" s="15"/>
      <c r="R23" s="15"/>
      <c r="S23" s="50"/>
      <c r="T23" s="50"/>
      <c r="U23" s="50"/>
      <c r="V23" s="50"/>
      <c r="W23" s="50"/>
      <c r="X23" s="50"/>
      <c r="Y23" s="15"/>
    </row>
    <row r="24" spans="2:37" x14ac:dyDescent="0.25">
      <c r="B24" s="2">
        <v>2019</v>
      </c>
      <c r="C24" s="2">
        <v>4</v>
      </c>
      <c r="D24" s="46">
        <f t="shared" si="6"/>
        <v>0.90001428571428566</v>
      </c>
      <c r="E24" s="47">
        <f t="shared" si="0"/>
        <v>5.4000857142857139</v>
      </c>
      <c r="F24" s="47">
        <f t="shared" si="1"/>
        <v>7.2001142857142852</v>
      </c>
      <c r="G24" s="47">
        <f t="shared" si="2"/>
        <v>9.0001428571428566</v>
      </c>
      <c r="H24" s="46">
        <f t="shared" si="3"/>
        <v>13.050207142857142</v>
      </c>
      <c r="I24" s="46">
        <f t="shared" si="4"/>
        <v>13.050207142857142</v>
      </c>
      <c r="K24" s="2">
        <v>2004</v>
      </c>
      <c r="L24" s="2">
        <v>87</v>
      </c>
      <c r="M24" s="24">
        <f t="shared" si="5"/>
        <v>174348</v>
      </c>
      <c r="N24" s="15"/>
      <c r="O24" s="15"/>
      <c r="P24" s="15"/>
      <c r="Q24" s="15"/>
      <c r="R24" s="15"/>
      <c r="S24" s="50"/>
      <c r="T24" s="50"/>
      <c r="U24" s="50"/>
      <c r="V24" s="50"/>
      <c r="W24" s="50"/>
      <c r="X24" s="50"/>
      <c r="Y24" s="15"/>
    </row>
    <row r="25" spans="2:37" x14ac:dyDescent="0.25">
      <c r="B25" s="2">
        <v>2018</v>
      </c>
      <c r="C25" s="2">
        <v>5</v>
      </c>
      <c r="D25" s="46">
        <f t="shared" si="6"/>
        <v>0.87144285714285719</v>
      </c>
      <c r="E25" s="47">
        <f t="shared" si="0"/>
        <v>5.2286571428571431</v>
      </c>
      <c r="F25" s="47">
        <f t="shared" si="1"/>
        <v>6.9715428571428575</v>
      </c>
      <c r="G25" s="47">
        <f t="shared" si="2"/>
        <v>8.7144285714285719</v>
      </c>
      <c r="H25" s="46">
        <f t="shared" si="3"/>
        <v>12.635921428571429</v>
      </c>
      <c r="I25" s="46">
        <f t="shared" si="4"/>
        <v>12.635921428571429</v>
      </c>
      <c r="K25" s="2">
        <v>2005</v>
      </c>
      <c r="L25" s="2">
        <v>108</v>
      </c>
      <c r="M25" s="24">
        <f t="shared" si="5"/>
        <v>216540</v>
      </c>
      <c r="N25" s="15"/>
      <c r="O25" s="15"/>
      <c r="P25" s="15"/>
      <c r="Q25" s="15"/>
      <c r="R25" s="15"/>
      <c r="S25" s="50"/>
      <c r="T25" s="50"/>
      <c r="U25" s="50"/>
      <c r="V25" s="50"/>
      <c r="W25" s="50"/>
      <c r="X25" s="50"/>
      <c r="Y25" s="15"/>
    </row>
    <row r="26" spans="2:37" x14ac:dyDescent="0.25">
      <c r="B26" s="2">
        <v>2017</v>
      </c>
      <c r="C26" s="2">
        <v>6</v>
      </c>
      <c r="D26" s="46">
        <f t="shared" si="6"/>
        <v>0.84287142857142849</v>
      </c>
      <c r="E26" s="47">
        <f t="shared" si="0"/>
        <v>5.0572285714285705</v>
      </c>
      <c r="F26" s="47">
        <f t="shared" si="1"/>
        <v>6.7429714285714279</v>
      </c>
      <c r="G26" s="47">
        <f t="shared" si="2"/>
        <v>8.4287142857142854</v>
      </c>
      <c r="H26" s="46">
        <f t="shared" si="3"/>
        <v>12.221635714285712</v>
      </c>
      <c r="I26" s="46">
        <f t="shared" si="4"/>
        <v>12.221635714285712</v>
      </c>
      <c r="K26" s="2">
        <v>2006</v>
      </c>
      <c r="L26" s="2">
        <v>97</v>
      </c>
      <c r="M26" s="24">
        <f t="shared" si="5"/>
        <v>194582</v>
      </c>
      <c r="N26" s="15"/>
      <c r="O26" s="15"/>
      <c r="P26" s="15"/>
      <c r="Q26" s="15"/>
      <c r="R26" s="15"/>
      <c r="S26" s="50"/>
      <c r="T26" s="50"/>
      <c r="U26" s="50"/>
      <c r="V26" s="50"/>
      <c r="W26" s="50"/>
      <c r="X26" s="50"/>
      <c r="Y26" s="15"/>
    </row>
    <row r="27" spans="2:37" x14ac:dyDescent="0.25">
      <c r="B27" s="2">
        <v>2016</v>
      </c>
      <c r="C27" s="2">
        <v>7</v>
      </c>
      <c r="D27" s="46">
        <f t="shared" si="6"/>
        <v>0.81430000000000002</v>
      </c>
      <c r="E27" s="47">
        <f t="shared" si="0"/>
        <v>4.8857999999999997</v>
      </c>
      <c r="F27" s="47">
        <f t="shared" si="1"/>
        <v>6.5144000000000002</v>
      </c>
      <c r="G27" s="47">
        <f t="shared" si="2"/>
        <v>8.1430000000000007</v>
      </c>
      <c r="H27" s="46">
        <f t="shared" si="3"/>
        <v>11.80735</v>
      </c>
      <c r="I27" s="46">
        <f t="shared" si="4"/>
        <v>11.80735</v>
      </c>
      <c r="K27" s="2">
        <v>2007</v>
      </c>
      <c r="L27" s="2">
        <v>103</v>
      </c>
      <c r="M27" s="24">
        <f t="shared" si="5"/>
        <v>206721</v>
      </c>
      <c r="N27" s="15"/>
      <c r="O27" s="15"/>
      <c r="P27" s="15"/>
      <c r="Q27" s="15"/>
      <c r="R27" s="15"/>
      <c r="S27" s="50"/>
      <c r="T27" s="50"/>
      <c r="U27" s="50"/>
      <c r="V27" s="50"/>
      <c r="W27" s="50"/>
      <c r="X27" s="50"/>
      <c r="Y27" s="15"/>
    </row>
    <row r="28" spans="2:37" x14ac:dyDescent="0.25">
      <c r="B28" s="2">
        <v>2015</v>
      </c>
      <c r="C28" s="2">
        <v>8</v>
      </c>
      <c r="D28" s="46">
        <f t="shared" si="6"/>
        <v>0.78572857142857144</v>
      </c>
      <c r="E28" s="47">
        <f t="shared" si="0"/>
        <v>4.7143714285714289</v>
      </c>
      <c r="F28" s="47">
        <f t="shared" si="1"/>
        <v>6.2858285714285715</v>
      </c>
      <c r="G28" s="47">
        <f t="shared" si="2"/>
        <v>7.8572857142857142</v>
      </c>
      <c r="H28" s="46">
        <f t="shared" si="3"/>
        <v>11.393064285714287</v>
      </c>
      <c r="I28" s="46">
        <f t="shared" si="4"/>
        <v>11.393064285714287</v>
      </c>
      <c r="K28" s="2">
        <v>2008</v>
      </c>
      <c r="L28" s="2">
        <v>52</v>
      </c>
      <c r="M28" s="24">
        <f t="shared" si="5"/>
        <v>104416</v>
      </c>
      <c r="N28" s="15"/>
      <c r="O28" s="15"/>
      <c r="P28" s="15"/>
      <c r="Q28" s="15"/>
      <c r="R28" s="15"/>
      <c r="S28" s="50"/>
      <c r="T28" s="50"/>
      <c r="U28" s="50"/>
      <c r="V28" s="50"/>
      <c r="W28" s="50"/>
      <c r="X28" s="50"/>
      <c r="Y28" s="15"/>
    </row>
    <row r="29" spans="2:37" x14ac:dyDescent="0.25">
      <c r="B29" s="2">
        <v>2014</v>
      </c>
      <c r="C29" s="2">
        <v>9</v>
      </c>
      <c r="D29" s="46">
        <f t="shared" si="6"/>
        <v>0.75715714285714286</v>
      </c>
      <c r="E29" s="47">
        <f t="shared" si="0"/>
        <v>4.5429428571428572</v>
      </c>
      <c r="F29" s="47">
        <f t="shared" si="1"/>
        <v>6.0572571428571429</v>
      </c>
      <c r="G29" s="47">
        <f t="shared" si="2"/>
        <v>7.5715714285714286</v>
      </c>
      <c r="H29" s="46">
        <f t="shared" si="3"/>
        <v>10.978778571428572</v>
      </c>
      <c r="I29" s="46">
        <f t="shared" si="4"/>
        <v>10.978778571428572</v>
      </c>
      <c r="K29" s="2">
        <v>2009</v>
      </c>
      <c r="L29" s="2">
        <v>85</v>
      </c>
      <c r="M29" s="24">
        <f t="shared" si="5"/>
        <v>170765</v>
      </c>
      <c r="N29" s="15"/>
      <c r="O29" s="15"/>
      <c r="P29" s="15"/>
      <c r="Q29" s="15"/>
      <c r="R29" s="15"/>
      <c r="S29" s="50"/>
      <c r="T29" s="50"/>
      <c r="U29" s="50"/>
      <c r="V29" s="50"/>
      <c r="W29" s="50"/>
      <c r="X29" s="50"/>
      <c r="Y29" s="15"/>
    </row>
    <row r="30" spans="2:37" x14ac:dyDescent="0.25">
      <c r="B30" s="2">
        <v>2013</v>
      </c>
      <c r="C30" s="2">
        <v>10</v>
      </c>
      <c r="D30" s="46">
        <f t="shared" si="6"/>
        <v>0.72858571428571428</v>
      </c>
      <c r="E30" s="47">
        <f t="shared" si="0"/>
        <v>4.3715142857142855</v>
      </c>
      <c r="F30" s="47">
        <f t="shared" si="1"/>
        <v>5.8286857142857142</v>
      </c>
      <c r="G30" s="47">
        <f t="shared" si="2"/>
        <v>7.285857142857143</v>
      </c>
      <c r="H30" s="46">
        <f t="shared" si="3"/>
        <v>10.564492857142858</v>
      </c>
      <c r="I30" s="46">
        <f t="shared" si="4"/>
        <v>10.564492857142858</v>
      </c>
      <c r="K30" s="2">
        <v>2010</v>
      </c>
      <c r="L30" s="2">
        <v>44</v>
      </c>
      <c r="M30" s="24">
        <f t="shared" si="5"/>
        <v>88440</v>
      </c>
      <c r="N30" s="15"/>
      <c r="O30" s="15"/>
      <c r="P30" s="15"/>
      <c r="Q30" s="15"/>
      <c r="R30" s="15"/>
      <c r="S30" s="50"/>
      <c r="T30" s="50"/>
      <c r="U30" s="50"/>
      <c r="V30" s="50"/>
      <c r="W30" s="50"/>
      <c r="X30" s="50"/>
      <c r="Y30" s="15"/>
    </row>
    <row r="31" spans="2:37" x14ac:dyDescent="0.25">
      <c r="B31" s="2">
        <v>2012</v>
      </c>
      <c r="C31" s="2">
        <v>11</v>
      </c>
      <c r="D31" s="46">
        <f t="shared" si="6"/>
        <v>0.7000142857142857</v>
      </c>
      <c r="E31" s="47">
        <f t="shared" si="0"/>
        <v>4.2000857142857146</v>
      </c>
      <c r="F31" s="47">
        <f t="shared" si="1"/>
        <v>5.6001142857142856</v>
      </c>
      <c r="G31" s="47">
        <f t="shared" si="2"/>
        <v>7.0001428571428566</v>
      </c>
      <c r="H31" s="46">
        <f t="shared" si="3"/>
        <v>10.150207142857143</v>
      </c>
      <c r="I31" s="46">
        <f t="shared" si="4"/>
        <v>10.150207142857143</v>
      </c>
      <c r="K31" s="2">
        <v>2011</v>
      </c>
      <c r="L31" s="2">
        <v>16</v>
      </c>
      <c r="M31" s="24">
        <f t="shared" si="5"/>
        <v>32176</v>
      </c>
      <c r="N31" s="15"/>
      <c r="O31" s="15"/>
      <c r="P31" s="15"/>
      <c r="Q31" s="15"/>
      <c r="R31" s="15"/>
      <c r="S31" s="50"/>
      <c r="T31" s="50"/>
      <c r="U31" s="50"/>
      <c r="V31" s="50"/>
      <c r="W31" s="50"/>
      <c r="X31" s="50"/>
      <c r="Y31" s="15"/>
    </row>
    <row r="32" spans="2:37" x14ac:dyDescent="0.25">
      <c r="B32" s="2">
        <v>2011</v>
      </c>
      <c r="C32" s="2">
        <v>12</v>
      </c>
      <c r="D32" s="46">
        <f t="shared" si="6"/>
        <v>0.67144285714285712</v>
      </c>
      <c r="E32" s="47">
        <f t="shared" si="0"/>
        <v>4.0286571428571429</v>
      </c>
      <c r="F32" s="47">
        <f t="shared" si="1"/>
        <v>5.371542857142857</v>
      </c>
      <c r="G32" s="47">
        <f t="shared" si="2"/>
        <v>6.714428571428571</v>
      </c>
      <c r="H32" s="46">
        <f t="shared" si="3"/>
        <v>9.7359214285714284</v>
      </c>
      <c r="I32" s="46">
        <f t="shared" si="4"/>
        <v>9.7359214285714284</v>
      </c>
      <c r="K32" s="2">
        <v>2012</v>
      </c>
      <c r="L32" s="2">
        <v>13</v>
      </c>
      <c r="M32" s="24">
        <f t="shared" si="5"/>
        <v>26156</v>
      </c>
      <c r="N32" s="15"/>
      <c r="O32" s="15"/>
      <c r="P32" s="15"/>
      <c r="Q32" s="15"/>
      <c r="R32" s="15"/>
      <c r="S32" s="50"/>
      <c r="T32" s="50"/>
      <c r="U32" s="50"/>
      <c r="V32" s="50"/>
      <c r="W32" s="50"/>
      <c r="X32" s="50"/>
      <c r="Y32" s="15"/>
    </row>
    <row r="33" spans="2:25" x14ac:dyDescent="0.25">
      <c r="B33" s="2">
        <v>2010</v>
      </c>
      <c r="C33" s="2">
        <v>13</v>
      </c>
      <c r="D33" s="46">
        <f t="shared" si="6"/>
        <v>0.64287142857142854</v>
      </c>
      <c r="E33" s="47">
        <f t="shared" si="0"/>
        <v>3.8572285714285712</v>
      </c>
      <c r="F33" s="47">
        <f t="shared" si="1"/>
        <v>5.1429714285714283</v>
      </c>
      <c r="G33" s="47">
        <f t="shared" si="2"/>
        <v>6.4287142857142854</v>
      </c>
      <c r="H33" s="46">
        <f t="shared" si="3"/>
        <v>9.3216357142857138</v>
      </c>
      <c r="I33" s="46">
        <f t="shared" si="4"/>
        <v>9.3216357142857138</v>
      </c>
      <c r="K33" s="2">
        <v>2013</v>
      </c>
      <c r="L33" s="2">
        <v>27</v>
      </c>
      <c r="M33" s="24">
        <f t="shared" si="5"/>
        <v>54351</v>
      </c>
      <c r="N33" s="15"/>
      <c r="O33" s="15"/>
      <c r="P33" s="15"/>
      <c r="Q33" s="15"/>
      <c r="R33" s="15"/>
      <c r="S33" s="50"/>
      <c r="T33" s="50"/>
      <c r="U33" s="50"/>
      <c r="V33" s="50"/>
      <c r="W33" s="50"/>
      <c r="X33" s="50"/>
      <c r="Y33" s="15"/>
    </row>
    <row r="34" spans="2:25" x14ac:dyDescent="0.25">
      <c r="B34" s="2">
        <v>2009</v>
      </c>
      <c r="C34" s="2">
        <v>14</v>
      </c>
      <c r="D34" s="46">
        <f t="shared" si="6"/>
        <v>0.61430000000000007</v>
      </c>
      <c r="E34" s="47">
        <f t="shared" si="0"/>
        <v>3.6858000000000004</v>
      </c>
      <c r="F34" s="47">
        <f t="shared" si="1"/>
        <v>4.9144000000000005</v>
      </c>
      <c r="G34" s="47">
        <f t="shared" si="2"/>
        <v>6.1430000000000007</v>
      </c>
      <c r="H34" s="46">
        <f t="shared" si="3"/>
        <v>8.907350000000001</v>
      </c>
      <c r="I34" s="46">
        <f t="shared" si="4"/>
        <v>8.907350000000001</v>
      </c>
      <c r="K34" s="2">
        <v>2014</v>
      </c>
      <c r="L34" s="2">
        <v>19</v>
      </c>
      <c r="M34" s="24">
        <f t="shared" si="5"/>
        <v>38266</v>
      </c>
      <c r="N34" s="15"/>
      <c r="O34" s="15"/>
      <c r="P34" s="15"/>
      <c r="Q34" s="15"/>
      <c r="R34" s="15"/>
      <c r="S34" s="50"/>
      <c r="T34" s="50"/>
      <c r="U34" s="50"/>
      <c r="V34" s="50"/>
      <c r="W34" s="50"/>
      <c r="X34" s="50"/>
      <c r="Y34" s="15"/>
    </row>
    <row r="35" spans="2:25" x14ac:dyDescent="0.25">
      <c r="B35" s="2">
        <v>2008</v>
      </c>
      <c r="C35" s="2">
        <v>15</v>
      </c>
      <c r="D35" s="46">
        <f t="shared" si="6"/>
        <v>0.58572857142857138</v>
      </c>
      <c r="E35" s="47">
        <f t="shared" si="0"/>
        <v>3.5143714285714283</v>
      </c>
      <c r="F35" s="47">
        <f t="shared" si="1"/>
        <v>4.685828571428571</v>
      </c>
      <c r="G35" s="47">
        <f t="shared" si="2"/>
        <v>5.8572857142857142</v>
      </c>
      <c r="H35" s="46">
        <f t="shared" si="3"/>
        <v>8.4930642857142846</v>
      </c>
      <c r="I35" s="46">
        <f t="shared" si="4"/>
        <v>8.4930642857142846</v>
      </c>
      <c r="K35" s="2">
        <v>2015</v>
      </c>
      <c r="L35" s="2">
        <v>38</v>
      </c>
      <c r="M35" s="24">
        <f t="shared" si="5"/>
        <v>76570</v>
      </c>
      <c r="N35" s="15"/>
      <c r="O35" s="15"/>
      <c r="P35" s="15"/>
      <c r="Q35" s="15"/>
      <c r="R35" s="15"/>
      <c r="S35" s="50"/>
      <c r="T35" s="50"/>
      <c r="U35" s="50"/>
      <c r="V35" s="50"/>
      <c r="W35" s="50"/>
      <c r="X35" s="50"/>
      <c r="Y35" s="15"/>
    </row>
    <row r="36" spans="2:25" x14ac:dyDescent="0.25">
      <c r="B36" s="2">
        <v>2007</v>
      </c>
      <c r="C36" s="2">
        <v>16</v>
      </c>
      <c r="D36" s="46">
        <f t="shared" si="6"/>
        <v>0.55715714285714291</v>
      </c>
      <c r="E36" s="47">
        <f t="shared" si="0"/>
        <v>3.3429428571428574</v>
      </c>
      <c r="F36" s="47">
        <f t="shared" si="1"/>
        <v>4.4572571428571433</v>
      </c>
      <c r="G36" s="47">
        <f t="shared" si="2"/>
        <v>5.5715714285714295</v>
      </c>
      <c r="H36" s="46">
        <f t="shared" si="3"/>
        <v>8.0787785714285718</v>
      </c>
      <c r="I36" s="46">
        <f t="shared" si="4"/>
        <v>8.0787785714285718</v>
      </c>
      <c r="K36" s="2">
        <v>2016</v>
      </c>
      <c r="L36" s="2">
        <v>22</v>
      </c>
      <c r="M36" s="24">
        <f t="shared" si="5"/>
        <v>44352</v>
      </c>
      <c r="N36" s="15"/>
      <c r="O36" s="15"/>
      <c r="P36" s="15"/>
      <c r="Q36" s="15"/>
      <c r="R36" s="15"/>
      <c r="S36" s="50"/>
      <c r="T36" s="50"/>
      <c r="U36" s="50"/>
      <c r="V36" s="50"/>
      <c r="W36" s="50"/>
      <c r="X36" s="50"/>
      <c r="Y36" s="15"/>
    </row>
    <row r="37" spans="2:25" x14ac:dyDescent="0.25">
      <c r="B37" s="2">
        <v>2006</v>
      </c>
      <c r="C37" s="2">
        <v>17</v>
      </c>
      <c r="D37" s="46">
        <f t="shared" si="6"/>
        <v>0.52858571428571421</v>
      </c>
      <c r="E37" s="47">
        <f t="shared" si="0"/>
        <v>3.1715142857142853</v>
      </c>
      <c r="F37" s="47">
        <f t="shared" si="1"/>
        <v>4.2286857142857137</v>
      </c>
      <c r="G37" s="47">
        <f t="shared" si="2"/>
        <v>5.2858571428571421</v>
      </c>
      <c r="H37" s="46">
        <f t="shared" si="3"/>
        <v>7.6644928571428563</v>
      </c>
      <c r="I37" s="46">
        <f t="shared" si="4"/>
        <v>7.6644928571428563</v>
      </c>
      <c r="K37" s="2">
        <v>2017</v>
      </c>
      <c r="L37" s="2">
        <v>13</v>
      </c>
      <c r="M37" s="24">
        <f t="shared" si="5"/>
        <v>26221</v>
      </c>
      <c r="N37" s="15"/>
      <c r="O37" s="15"/>
      <c r="P37" s="15"/>
      <c r="Q37" s="15"/>
      <c r="R37" s="15"/>
      <c r="S37" s="50"/>
      <c r="T37" s="50"/>
      <c r="U37" s="50"/>
      <c r="V37" s="50"/>
      <c r="W37" s="50"/>
      <c r="X37" s="50"/>
      <c r="Y37" s="15"/>
    </row>
    <row r="38" spans="2:25" x14ac:dyDescent="0.25">
      <c r="B38" s="2">
        <v>2005</v>
      </c>
      <c r="C38" s="2">
        <v>18</v>
      </c>
      <c r="D38" s="46">
        <f t="shared" si="6"/>
        <v>0.50001428571428574</v>
      </c>
      <c r="E38" s="47">
        <f t="shared" si="0"/>
        <v>3.0000857142857145</v>
      </c>
      <c r="F38" s="47">
        <f t="shared" si="1"/>
        <v>4.000114285714286</v>
      </c>
      <c r="G38" s="47">
        <f t="shared" si="2"/>
        <v>5.0001428571428574</v>
      </c>
      <c r="H38" s="46">
        <f t="shared" si="3"/>
        <v>7.2502071428571435</v>
      </c>
      <c r="I38" s="46">
        <f t="shared" si="4"/>
        <v>7.2502071428571435</v>
      </c>
      <c r="K38" s="2">
        <v>2018</v>
      </c>
      <c r="L38" s="2">
        <v>2</v>
      </c>
      <c r="M38" s="24">
        <f t="shared" si="5"/>
        <v>4036</v>
      </c>
      <c r="N38" s="15"/>
      <c r="O38" s="15"/>
      <c r="P38" s="15"/>
      <c r="Q38" s="15"/>
      <c r="R38" s="15"/>
      <c r="S38" s="50"/>
      <c r="T38" s="50"/>
      <c r="U38" s="50"/>
      <c r="V38" s="50"/>
      <c r="W38" s="50"/>
      <c r="X38" s="50"/>
      <c r="Y38" s="15"/>
    </row>
    <row r="39" spans="2:25" x14ac:dyDescent="0.25">
      <c r="B39" s="2">
        <v>2004</v>
      </c>
      <c r="C39" s="2">
        <v>19</v>
      </c>
      <c r="D39" s="46">
        <f t="shared" si="6"/>
        <v>0.47144285714285716</v>
      </c>
      <c r="E39" s="47">
        <f t="shared" si="0"/>
        <v>2.8286571428571428</v>
      </c>
      <c r="F39" s="47">
        <f t="shared" si="1"/>
        <v>3.7715428571428573</v>
      </c>
      <c r="G39" s="47">
        <f t="shared" si="2"/>
        <v>4.7144285714285719</v>
      </c>
      <c r="H39" s="46">
        <f t="shared" si="3"/>
        <v>6.8359214285714289</v>
      </c>
      <c r="I39" s="46">
        <f t="shared" si="4"/>
        <v>6.8359214285714289</v>
      </c>
      <c r="K39" s="2">
        <v>2019</v>
      </c>
      <c r="L39" s="2">
        <v>3</v>
      </c>
      <c r="M39" s="24">
        <f t="shared" si="5"/>
        <v>6057</v>
      </c>
      <c r="N39" s="15"/>
      <c r="O39" s="15"/>
      <c r="P39" s="15"/>
      <c r="Q39" s="15"/>
      <c r="R39" s="15"/>
      <c r="S39" s="50"/>
      <c r="T39" s="50"/>
      <c r="U39" s="50"/>
      <c r="V39" s="50"/>
      <c r="W39" s="50"/>
      <c r="X39" s="50"/>
      <c r="Y39" s="15"/>
    </row>
    <row r="40" spans="2:25" x14ac:dyDescent="0.25">
      <c r="B40" s="2">
        <v>2003</v>
      </c>
      <c r="C40" s="2">
        <v>20</v>
      </c>
      <c r="D40" s="46">
        <f t="shared" si="6"/>
        <v>0.44287142857142858</v>
      </c>
      <c r="E40" s="47">
        <f t="shared" si="0"/>
        <v>2.6572285714285715</v>
      </c>
      <c r="F40" s="47">
        <f t="shared" si="1"/>
        <v>3.5429714285714287</v>
      </c>
      <c r="G40" s="47">
        <f t="shared" si="2"/>
        <v>4.4287142857142854</v>
      </c>
      <c r="H40" s="46">
        <f t="shared" si="3"/>
        <v>6.4216357142857143</v>
      </c>
      <c r="I40" s="46">
        <f t="shared" si="4"/>
        <v>6.4216357142857143</v>
      </c>
      <c r="K40" s="2">
        <v>2020</v>
      </c>
      <c r="L40" s="2">
        <v>4</v>
      </c>
      <c r="M40" s="24">
        <f t="shared" si="5"/>
        <v>8080</v>
      </c>
      <c r="N40" s="15"/>
      <c r="O40" s="15"/>
      <c r="P40" s="15"/>
      <c r="Q40" s="15"/>
      <c r="R40" s="15"/>
      <c r="S40" s="50"/>
      <c r="T40" s="50"/>
      <c r="U40" s="50"/>
      <c r="V40" s="50"/>
      <c r="W40" s="50"/>
      <c r="X40" s="50"/>
      <c r="Y40" s="15"/>
    </row>
    <row r="41" spans="2:25" x14ac:dyDescent="0.25">
      <c r="B41" s="2">
        <v>2002</v>
      </c>
      <c r="C41" s="2">
        <v>21</v>
      </c>
      <c r="D41" s="46">
        <f t="shared" si="6"/>
        <v>0.4143</v>
      </c>
      <c r="E41" s="47">
        <f t="shared" si="0"/>
        <v>2.4858000000000002</v>
      </c>
      <c r="F41" s="47">
        <f t="shared" si="1"/>
        <v>3.3144</v>
      </c>
      <c r="G41" s="47">
        <f t="shared" si="2"/>
        <v>4.1429999999999998</v>
      </c>
      <c r="H41" s="46">
        <f t="shared" si="3"/>
        <v>6.0073499999999997</v>
      </c>
      <c r="I41" s="46">
        <f t="shared" si="4"/>
        <v>6.0073499999999997</v>
      </c>
      <c r="K41" s="2">
        <v>2021</v>
      </c>
      <c r="L41" s="2">
        <v>0</v>
      </c>
      <c r="M41" s="24">
        <f t="shared" si="5"/>
        <v>0</v>
      </c>
      <c r="N41" s="15"/>
      <c r="O41" s="15"/>
      <c r="P41" s="15"/>
      <c r="Q41" s="15"/>
      <c r="R41" s="15"/>
      <c r="S41" s="50"/>
      <c r="T41" s="50"/>
      <c r="U41" s="50"/>
      <c r="V41" s="50"/>
      <c r="W41" s="50"/>
      <c r="X41" s="50"/>
      <c r="Y41" s="15"/>
    </row>
    <row r="42" spans="2:25" x14ac:dyDescent="0.25">
      <c r="B42" s="2">
        <v>2001</v>
      </c>
      <c r="C42" s="2">
        <v>22</v>
      </c>
      <c r="D42" s="46">
        <f t="shared" si="6"/>
        <v>0.38572857142857142</v>
      </c>
      <c r="E42" s="47">
        <f t="shared" si="0"/>
        <v>2.3143714285714285</v>
      </c>
      <c r="F42" s="47">
        <f t="shared" si="1"/>
        <v>3.0858285714285714</v>
      </c>
      <c r="G42" s="47">
        <f t="shared" si="2"/>
        <v>3.8572857142857142</v>
      </c>
      <c r="H42" s="46">
        <f t="shared" si="3"/>
        <v>5.593064285714286</v>
      </c>
      <c r="I42" s="46">
        <f t="shared" si="4"/>
        <v>5.593064285714286</v>
      </c>
      <c r="K42" s="2">
        <v>2022</v>
      </c>
      <c r="L42" s="2">
        <v>0</v>
      </c>
      <c r="M42" s="24">
        <f t="shared" si="5"/>
        <v>0</v>
      </c>
      <c r="N42" s="15"/>
      <c r="O42" s="15"/>
      <c r="P42" s="15"/>
      <c r="Q42" s="15"/>
      <c r="R42" s="15"/>
      <c r="S42" s="50"/>
      <c r="T42" s="50"/>
      <c r="U42" s="50"/>
      <c r="V42" s="50"/>
      <c r="W42" s="50"/>
      <c r="X42" s="50"/>
      <c r="Y42" s="15"/>
    </row>
    <row r="43" spans="2:25" x14ac:dyDescent="0.25">
      <c r="B43" s="2">
        <v>2000</v>
      </c>
      <c r="C43" s="2">
        <v>23</v>
      </c>
      <c r="D43" s="46">
        <f t="shared" si="6"/>
        <v>0.35715714285714284</v>
      </c>
      <c r="E43" s="47">
        <f t="shared" si="0"/>
        <v>2.1429428571428568</v>
      </c>
      <c r="F43" s="47">
        <f t="shared" si="1"/>
        <v>2.8572571428571427</v>
      </c>
      <c r="G43" s="47">
        <f t="shared" si="2"/>
        <v>3.5715714285714286</v>
      </c>
      <c r="H43" s="46">
        <f t="shared" si="3"/>
        <v>5.1787785714285715</v>
      </c>
      <c r="I43" s="46">
        <f t="shared" si="4"/>
        <v>5.1787785714285715</v>
      </c>
      <c r="K43" s="2">
        <v>2023</v>
      </c>
      <c r="L43" s="2">
        <v>0</v>
      </c>
      <c r="M43" s="24">
        <f t="shared" si="5"/>
        <v>0</v>
      </c>
      <c r="N43" s="15"/>
      <c r="O43" s="15"/>
      <c r="P43" s="15"/>
      <c r="Q43" s="15"/>
      <c r="R43" s="15"/>
      <c r="S43" s="50"/>
      <c r="T43" s="50"/>
      <c r="U43" s="50"/>
      <c r="V43" s="50"/>
      <c r="W43" s="50"/>
      <c r="X43" s="50"/>
      <c r="Y43" s="15"/>
    </row>
    <row r="44" spans="2:25" x14ac:dyDescent="0.25">
      <c r="L44" s="43">
        <f>SUM(L20:L43)</f>
        <v>858</v>
      </c>
      <c r="M44" s="43">
        <f>SUM(M20:M43)</f>
        <v>1722345</v>
      </c>
      <c r="N44" s="15"/>
      <c r="Y44" s="15"/>
    </row>
    <row r="47" spans="2:25" x14ac:dyDescent="0.25">
      <c r="L47" s="44" t="s">
        <v>114</v>
      </c>
      <c r="M47" s="60">
        <f>M44/L44</f>
        <v>2007.3951048951049</v>
      </c>
      <c r="S47" s="25" t="s">
        <v>64</v>
      </c>
      <c r="T47" s="25" t="s">
        <v>84</v>
      </c>
      <c r="U47" s="25" t="s">
        <v>73</v>
      </c>
    </row>
    <row r="48" spans="2:25" x14ac:dyDescent="0.25">
      <c r="K48" s="55"/>
      <c r="L48" s="43" t="s">
        <v>102</v>
      </c>
      <c r="M48" s="60">
        <f>2023-M47</f>
        <v>15.604895104895149</v>
      </c>
      <c r="S48" s="26" t="s">
        <v>27</v>
      </c>
      <c r="T48" s="24">
        <v>70.400000000000006</v>
      </c>
      <c r="U48" s="52">
        <f t="shared" ref="U48:U59" si="7">(T48)/$T$59</f>
        <v>8.050314465408806E-2</v>
      </c>
    </row>
    <row r="49" spans="7:21" x14ac:dyDescent="0.25">
      <c r="K49" s="55"/>
      <c r="L49" s="43" t="s">
        <v>106</v>
      </c>
      <c r="M49" s="60">
        <f>-(1/35)*M48+1.0143</f>
        <v>0.5684458541458528</v>
      </c>
      <c r="S49" s="26" t="s">
        <v>2</v>
      </c>
      <c r="T49" s="24">
        <v>125.0374102767498</v>
      </c>
      <c r="U49" s="52">
        <f t="shared" si="7"/>
        <v>0.14298160123127479</v>
      </c>
    </row>
    <row r="50" spans="7:21" x14ac:dyDescent="0.25">
      <c r="K50" s="55"/>
      <c r="L50" s="43" t="s">
        <v>111</v>
      </c>
      <c r="M50" s="45">
        <f>14.5*M49</f>
        <v>8.242464885114865</v>
      </c>
      <c r="S50" s="26" t="s">
        <v>32</v>
      </c>
      <c r="T50" s="24">
        <v>61.600000000000009</v>
      </c>
      <c r="U50" s="52">
        <f t="shared" si="7"/>
        <v>7.0440251572327056E-2</v>
      </c>
    </row>
    <row r="51" spans="7:21" x14ac:dyDescent="0.25">
      <c r="K51" s="55"/>
      <c r="L51" s="51"/>
      <c r="M51" s="55"/>
      <c r="S51" s="26" t="s">
        <v>1</v>
      </c>
      <c r="T51" s="24">
        <v>206.83518551697392</v>
      </c>
      <c r="U51" s="52">
        <f t="shared" si="7"/>
        <v>0.23651822243221718</v>
      </c>
    </row>
    <row r="52" spans="7:21" x14ac:dyDescent="0.25">
      <c r="K52" s="55"/>
      <c r="L52" s="51"/>
      <c r="M52" s="55"/>
      <c r="S52" s="26" t="s">
        <v>30</v>
      </c>
      <c r="T52" s="24">
        <v>62.7</v>
      </c>
      <c r="U52" s="52">
        <f t="shared" si="7"/>
        <v>7.1698113207547168E-2</v>
      </c>
    </row>
    <row r="53" spans="7:21" x14ac:dyDescent="0.25">
      <c r="K53" s="55"/>
      <c r="L53" s="51"/>
      <c r="M53" s="55"/>
      <c r="S53" s="26" t="s">
        <v>55</v>
      </c>
      <c r="T53" s="24">
        <v>8.1847623646478276</v>
      </c>
      <c r="U53" s="52">
        <f t="shared" si="7"/>
        <v>9.3593623380764188E-3</v>
      </c>
    </row>
    <row r="54" spans="7:21" x14ac:dyDescent="0.25">
      <c r="K54" s="55"/>
      <c r="L54" s="51"/>
      <c r="M54" s="55"/>
      <c r="S54" s="26" t="s">
        <v>40</v>
      </c>
      <c r="T54" s="24">
        <v>25.3</v>
      </c>
      <c r="U54" s="52">
        <f t="shared" si="7"/>
        <v>2.8930817610062894E-2</v>
      </c>
    </row>
    <row r="55" spans="7:21" x14ac:dyDescent="0.25">
      <c r="K55" s="55"/>
      <c r="L55" s="51"/>
      <c r="M55" s="55"/>
      <c r="S55" s="26" t="s">
        <v>48</v>
      </c>
      <c r="T55" s="24">
        <v>43.310743167883743</v>
      </c>
      <c r="U55" s="52">
        <f t="shared" si="7"/>
        <v>4.9526292930684668E-2</v>
      </c>
    </row>
    <row r="56" spans="7:21" x14ac:dyDescent="0.25">
      <c r="K56" s="55"/>
      <c r="L56" s="51"/>
      <c r="M56" s="55"/>
      <c r="S56" s="26" t="s">
        <v>44</v>
      </c>
      <c r="T56" s="24">
        <v>14.300000000000002</v>
      </c>
      <c r="U56" s="52">
        <f t="shared" si="7"/>
        <v>1.6352201257861639E-2</v>
      </c>
    </row>
    <row r="57" spans="7:21" x14ac:dyDescent="0.25">
      <c r="K57" s="55"/>
      <c r="L57" s="51"/>
      <c r="M57" s="55"/>
      <c r="S57" s="26" t="s">
        <v>3</v>
      </c>
      <c r="T57" s="29">
        <v>111.42740420627634</v>
      </c>
      <c r="U57" s="52">
        <f t="shared" si="7"/>
        <v>0.1274184153302188</v>
      </c>
    </row>
    <row r="58" spans="7:21" x14ac:dyDescent="0.25">
      <c r="K58" s="55"/>
      <c r="L58" s="51"/>
      <c r="M58" s="55"/>
      <c r="S58" s="26" t="s">
        <v>38</v>
      </c>
      <c r="T58" s="24">
        <v>145.40449446746845</v>
      </c>
      <c r="U58" s="52">
        <f t="shared" si="7"/>
        <v>0.16627157743564144</v>
      </c>
    </row>
    <row r="59" spans="7:21" x14ac:dyDescent="0.25">
      <c r="K59" s="55"/>
      <c r="L59" s="51"/>
      <c r="M59" s="55"/>
      <c r="T59" s="30">
        <v>874.5</v>
      </c>
      <c r="U59" s="53">
        <f t="shared" si="7"/>
        <v>1</v>
      </c>
    </row>
    <row r="60" spans="7:21" x14ac:dyDescent="0.25">
      <c r="K60" s="55"/>
      <c r="L60" s="51"/>
      <c r="M60" s="55"/>
    </row>
    <row r="61" spans="7:21" x14ac:dyDescent="0.25">
      <c r="K61" s="55"/>
      <c r="L61" s="51"/>
      <c r="M61" s="55"/>
    </row>
    <row r="62" spans="7:21" x14ac:dyDescent="0.25">
      <c r="K62" s="55"/>
      <c r="L62" s="51"/>
      <c r="M62" s="55"/>
    </row>
    <row r="63" spans="7:21" x14ac:dyDescent="0.25">
      <c r="G63" s="17"/>
      <c r="K63" s="55"/>
      <c r="L63" s="51"/>
      <c r="M63" s="55"/>
    </row>
    <row r="64" spans="7:21" x14ac:dyDescent="0.25">
      <c r="K64" s="55"/>
      <c r="L64" s="51"/>
      <c r="M64" s="55"/>
    </row>
    <row r="65" spans="11:13" x14ac:dyDescent="0.25">
      <c r="K65" s="55"/>
      <c r="L65" s="51"/>
      <c r="M65" s="55"/>
    </row>
    <row r="66" spans="11:13" x14ac:dyDescent="0.25">
      <c r="K66" s="55"/>
      <c r="L66" s="51"/>
      <c r="M66" s="55"/>
    </row>
    <row r="67" spans="11:13" x14ac:dyDescent="0.25">
      <c r="K67" s="55"/>
      <c r="L67" s="51"/>
      <c r="M67" s="55"/>
    </row>
    <row r="68" spans="11:13" x14ac:dyDescent="0.25">
      <c r="K68" s="55"/>
      <c r="L68" s="51"/>
      <c r="M68" s="55"/>
    </row>
    <row r="69" spans="11:13" x14ac:dyDescent="0.25">
      <c r="K69" s="55"/>
      <c r="L69" s="51"/>
      <c r="M69" s="55"/>
    </row>
    <row r="70" spans="11:13" x14ac:dyDescent="0.25">
      <c r="K70" s="55"/>
      <c r="L70" s="51"/>
      <c r="M70" s="55"/>
    </row>
    <row r="73" spans="11:13" x14ac:dyDescent="0.25">
      <c r="M73">
        <f>M69/L44</f>
        <v>0</v>
      </c>
    </row>
  </sheetData>
  <dataValidations disablePrompts="1" count="1">
    <dataValidation type="list" allowBlank="1" showInputMessage="1" showErrorMessage="1" sqref="S48:S58" xr:uid="{3CA92C9F-865A-40CC-9BEB-F6256543E613}">
      <formula1>EMPRESAS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221B-BFC9-41A9-ACD6-97E7BDC2EF8C}">
  <sheetPr codeName="Hoja5"/>
  <dimension ref="C8:C19"/>
  <sheetViews>
    <sheetView workbookViewId="0">
      <selection activeCell="C9" sqref="C9"/>
    </sheetView>
  </sheetViews>
  <sheetFormatPr baseColWidth="10" defaultRowHeight="15" x14ac:dyDescent="0.25"/>
  <cols>
    <col min="3" max="3" width="35.85546875" customWidth="1"/>
  </cols>
  <sheetData>
    <row r="8" spans="3:3" x14ac:dyDescent="0.25">
      <c r="C8" t="s">
        <v>0</v>
      </c>
    </row>
    <row r="9" spans="3:3" x14ac:dyDescent="0.25">
      <c r="C9" t="s">
        <v>27</v>
      </c>
    </row>
    <row r="10" spans="3:3" x14ac:dyDescent="0.25">
      <c r="C10" t="s">
        <v>2</v>
      </c>
    </row>
    <row r="11" spans="3:3" x14ac:dyDescent="0.25">
      <c r="C11" t="s">
        <v>32</v>
      </c>
    </row>
    <row r="12" spans="3:3" x14ac:dyDescent="0.25">
      <c r="C12" t="s">
        <v>1</v>
      </c>
    </row>
    <row r="13" spans="3:3" x14ac:dyDescent="0.25">
      <c r="C13" t="s">
        <v>30</v>
      </c>
    </row>
    <row r="14" spans="3:3" x14ac:dyDescent="0.25">
      <c r="C14" t="s">
        <v>55</v>
      </c>
    </row>
    <row r="15" spans="3:3" x14ac:dyDescent="0.25">
      <c r="C15" t="s">
        <v>40</v>
      </c>
    </row>
    <row r="16" spans="3:3" x14ac:dyDescent="0.25">
      <c r="C16" t="s">
        <v>48</v>
      </c>
    </row>
    <row r="17" spans="3:3" x14ac:dyDescent="0.25">
      <c r="C17" t="s">
        <v>44</v>
      </c>
    </row>
    <row r="18" spans="3:3" x14ac:dyDescent="0.25">
      <c r="C18" t="s">
        <v>3</v>
      </c>
    </row>
    <row r="19" spans="3:3" x14ac:dyDescent="0.25">
      <c r="C19" t="s">
        <v>38</v>
      </c>
    </row>
  </sheetData>
  <dataValidations count="1">
    <dataValidation type="list" allowBlank="1" showInputMessage="1" showErrorMessage="1" sqref="C9:C19" xr:uid="{86D74600-CE2B-44B8-9922-122BC858CC81}">
      <formula1>EMPRESAS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1C1B-E1FE-4380-92D7-851DC07F5F68}">
  <sheetPr codeName="Hoja6"/>
  <dimension ref="D7:M10"/>
  <sheetViews>
    <sheetView workbookViewId="0">
      <selection activeCell="M12" sqref="M12"/>
    </sheetView>
  </sheetViews>
  <sheetFormatPr baseColWidth="10" defaultRowHeight="15" x14ac:dyDescent="0.25"/>
  <cols>
    <col min="9" max="9" width="18.28515625" customWidth="1"/>
    <col min="11" max="11" width="15" bestFit="1" customWidth="1"/>
  </cols>
  <sheetData>
    <row r="7" spans="4:13" x14ac:dyDescent="0.25">
      <c r="D7" t="s">
        <v>80</v>
      </c>
      <c r="E7" t="s">
        <v>79</v>
      </c>
      <c r="F7" t="s">
        <v>78</v>
      </c>
      <c r="G7" t="s">
        <v>77</v>
      </c>
      <c r="H7" t="s">
        <v>81</v>
      </c>
      <c r="I7" t="s">
        <v>82</v>
      </c>
      <c r="J7" t="s">
        <v>83</v>
      </c>
      <c r="K7" t="s">
        <v>76</v>
      </c>
      <c r="L7" t="s">
        <v>72</v>
      </c>
      <c r="M7" t="s">
        <v>72</v>
      </c>
    </row>
    <row r="8" spans="4:13" x14ac:dyDescent="0.25">
      <c r="D8">
        <v>17.5</v>
      </c>
      <c r="E8">
        <v>16</v>
      </c>
      <c r="F8">
        <v>10</v>
      </c>
      <c r="G8">
        <v>15</v>
      </c>
      <c r="H8">
        <f>(E8*60)/F8</f>
        <v>96</v>
      </c>
      <c r="I8">
        <f>H8*D8</f>
        <v>1680</v>
      </c>
      <c r="J8" s="15">
        <f>D8/G8</f>
        <v>1.1666666666666667</v>
      </c>
      <c r="K8">
        <f>E8/J8</f>
        <v>13.714285714285714</v>
      </c>
      <c r="L8">
        <f>I8/(D8*K8)</f>
        <v>7</v>
      </c>
      <c r="M8">
        <f>(J8*60/F8)*1.1</f>
        <v>7.7000000000000011</v>
      </c>
    </row>
    <row r="9" spans="4:13" x14ac:dyDescent="0.25">
      <c r="D9">
        <v>19.2</v>
      </c>
      <c r="E9">
        <v>16</v>
      </c>
      <c r="F9">
        <v>5</v>
      </c>
      <c r="G9">
        <v>18</v>
      </c>
      <c r="H9">
        <f t="shared" ref="H9:H10" si="0">(E9*60)/F9</f>
        <v>192</v>
      </c>
      <c r="I9">
        <f t="shared" ref="I9:I10" si="1">H9*D9</f>
        <v>3686.3999999999996</v>
      </c>
      <c r="J9" s="15">
        <f t="shared" ref="J9:J10" si="2">D9/G9</f>
        <v>1.0666666666666667</v>
      </c>
      <c r="K9">
        <f t="shared" ref="K9:K10" si="3">E9/J9</f>
        <v>15</v>
      </c>
      <c r="L9">
        <f t="shared" ref="L9:L10" si="4">I9/(D9*K9)</f>
        <v>12.799999999999999</v>
      </c>
      <c r="M9">
        <f t="shared" ref="M9:M10" si="5">(J9*60/F9)*1.1</f>
        <v>14.080000000000002</v>
      </c>
    </row>
    <row r="10" spans="4:13" x14ac:dyDescent="0.25">
      <c r="D10">
        <v>14.9</v>
      </c>
      <c r="E10">
        <v>18</v>
      </c>
      <c r="F10">
        <v>8</v>
      </c>
      <c r="G10">
        <v>12</v>
      </c>
      <c r="H10">
        <f t="shared" si="0"/>
        <v>135</v>
      </c>
      <c r="I10">
        <f t="shared" si="1"/>
        <v>2011.5</v>
      </c>
      <c r="J10" s="15">
        <f t="shared" si="2"/>
        <v>1.2416666666666667</v>
      </c>
      <c r="K10">
        <f t="shared" si="3"/>
        <v>14.496644295302014</v>
      </c>
      <c r="L10">
        <f t="shared" si="4"/>
        <v>9.3125</v>
      </c>
      <c r="M10">
        <f t="shared" si="5"/>
        <v>10.24375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DATOS FLOTA</vt:lpstr>
      <vt:lpstr>RECORRIDO ANUAL</vt:lpstr>
      <vt:lpstr>GASTO DE COMBUSTIBLE</vt:lpstr>
      <vt:lpstr>FACTOR RENDIMIENTO</vt:lpstr>
      <vt:lpstr>Hoja2</vt:lpstr>
      <vt:lpstr>Hoja3</vt:lpstr>
      <vt:lpstr>EMPRESAS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2022-06-15T15:38:22Z</dcterms:created>
  <dcterms:modified xsi:type="dcterms:W3CDTF">2022-08-17T20:17:10Z</dcterms:modified>
</cp:coreProperties>
</file>