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style5.xml" ContentType="application/vnd.ms-office.chartstyle+xml"/>
  <Override PartName="/xl/charts/colors5.xml" ContentType="application/vnd.ms-office.chartcolorstyle+xml"/>
  <Override PartName="/xl/charts/chart10.xml" ContentType="application/vnd.openxmlformats-officedocument.drawingml.chart+xml"/>
  <Override PartName="/xl/charts/style6.xml" ContentType="application/vnd.ms-office.chartstyle+xml"/>
  <Override PartName="/xl/charts/colors6.xml" ContentType="application/vnd.ms-office.chartcolorstyle+xml"/>
  <Override PartName="/xl/charts/chart11.xml" ContentType="application/vnd.openxmlformats-officedocument.drawingml.chart+xml"/>
  <Override PartName="/xl/charts/style7.xml" ContentType="application/vnd.ms-office.chartstyle+xml"/>
  <Override PartName="/xl/charts/colors7.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style8.xml" ContentType="application/vnd.ms-office.chartstyle+xml"/>
  <Override PartName="/xl/charts/colors8.xml" ContentType="application/vnd.ms-office.chartcolorstyle+xml"/>
  <Override PartName="/xl/charts/chart22.xml" ContentType="application/vnd.openxmlformats-officedocument.drawingml.chart+xml"/>
  <Override PartName="/xl/charts/style9.xml" ContentType="application/vnd.ms-office.chartstyle+xml"/>
  <Override PartName="/xl/charts/colors9.xml" ContentType="application/vnd.ms-office.chartcolorstyle+xml"/>
  <Override PartName="/xl/charts/chart23.xml" ContentType="application/vnd.openxmlformats-officedocument.drawingml.chart+xml"/>
  <Override PartName="/xl/charts/style10.xml" ContentType="application/vnd.ms-office.chartstyle+xml"/>
  <Override PartName="/xl/charts/colors10.xml" ContentType="application/vnd.ms-office.chartcolorstyle+xml"/>
  <Override PartName="/xl/charts/chart2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Lenovo\Downloads\Monografía\6_Cargue biblioteca\"/>
    </mc:Choice>
  </mc:AlternateContent>
  <xr:revisionPtr revIDLastSave="0" documentId="13_ncr:1_{8643850F-42E1-4EE7-8B18-DCF1847CDB7B}" xr6:coauthVersionLast="47" xr6:coauthVersionMax="47" xr10:uidLastSave="{00000000-0000-0000-0000-000000000000}"/>
  <bookViews>
    <workbookView xWindow="-108" yWindow="-108" windowWidth="23256" windowHeight="12576" tabRatio="629" xr2:uid="{0F9A656B-BDAE-422E-8FC3-FA57871F8E0C}"/>
  </bookViews>
  <sheets>
    <sheet name="Introducción" sheetId="8" r:id="rId1"/>
    <sheet name="Diagnóstico" sheetId="5" r:id="rId2"/>
    <sheet name="Hallazgos y Recomendaciones" sheetId="1" r:id="rId3"/>
    <sheet name="Mapa de Riesgo y Madurez" sheetId="10" r:id="rId4"/>
    <sheet name="Datos" sheetId="6" state="hidden" r:id="rId5"/>
    <sheet name="Listas" sheetId="7"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03" i="10" l="1"/>
  <c r="O215" i="10"/>
  <c r="Q215" i="10"/>
  <c r="E232" i="1"/>
  <c r="E244" i="1"/>
  <c r="E228" i="1"/>
  <c r="E243" i="1"/>
  <c r="H78" i="6"/>
  <c r="H69" i="6" s="1"/>
  <c r="H44" i="6"/>
  <c r="H117" i="6"/>
  <c r="H111" i="6" s="1"/>
  <c r="H65" i="6"/>
  <c r="H56" i="6" s="1"/>
  <c r="H45" i="6"/>
  <c r="H41" i="6"/>
  <c r="H38" i="6"/>
  <c r="Q159" i="10"/>
  <c r="E181" i="1"/>
  <c r="F50" i="6"/>
  <c r="F87" i="6"/>
  <c r="P73" i="7"/>
  <c r="P72" i="7"/>
  <c r="P71" i="7"/>
  <c r="Q108" i="10"/>
  <c r="M100" i="10"/>
  <c r="S104" i="10"/>
  <c r="Q100" i="10"/>
  <c r="S100" i="10"/>
  <c r="S96" i="10"/>
  <c r="E139" i="1"/>
  <c r="E138" i="1"/>
  <c r="E136" i="1"/>
  <c r="E128" i="1"/>
  <c r="E127" i="1"/>
  <c r="E126" i="1"/>
  <c r="D107" i="6"/>
  <c r="D104" i="6"/>
  <c r="D97" i="6"/>
  <c r="D72" i="6"/>
  <c r="D69" i="6"/>
  <c r="D66" i="6"/>
  <c r="D84" i="6"/>
  <c r="J22" i="7"/>
  <c r="J21" i="7"/>
  <c r="J28" i="7"/>
  <c r="D44" i="6"/>
  <c r="D41" i="6"/>
  <c r="D38" i="6"/>
  <c r="D35" i="6"/>
  <c r="D32" i="6"/>
  <c r="D29" i="6"/>
  <c r="I42" i="7"/>
  <c r="I28" i="7"/>
  <c r="I22" i="7"/>
  <c r="I14" i="7"/>
  <c r="I5" i="7"/>
  <c r="I51" i="7"/>
  <c r="I39" i="7"/>
  <c r="I31" i="7"/>
  <c r="E86" i="1"/>
  <c r="M55" i="10"/>
  <c r="O55" i="10"/>
  <c r="Q55" i="10"/>
  <c r="S55" i="10"/>
  <c r="H51" i="6" l="1"/>
  <c r="D101" i="6"/>
  <c r="M6" i="6" s="1"/>
  <c r="D174" i="7"/>
  <c r="D173" i="7"/>
  <c r="D172" i="7"/>
  <c r="D136" i="7"/>
  <c r="D142" i="7"/>
  <c r="D149" i="7"/>
  <c r="D156" i="7"/>
  <c r="C142" i="7"/>
  <c r="C119" i="7"/>
  <c r="C104" i="7"/>
  <c r="C96" i="7"/>
  <c r="C84" i="7"/>
  <c r="C75" i="7"/>
  <c r="C50" i="7"/>
  <c r="C42" i="7"/>
  <c r="B194" i="6"/>
  <c r="B90" i="6"/>
  <c r="B208" i="6"/>
  <c r="B205" i="6"/>
  <c r="B202" i="6"/>
  <c r="B86" i="6"/>
  <c r="B83" i="6"/>
  <c r="B80" i="6"/>
  <c r="E90" i="1"/>
  <c r="E89" i="1"/>
  <c r="E88" i="1"/>
  <c r="D167" i="7"/>
  <c r="D163" i="7"/>
  <c r="D159" i="7"/>
  <c r="V30" i="7"/>
  <c r="V26" i="7"/>
  <c r="V22" i="7"/>
  <c r="O42" i="7"/>
  <c r="O38" i="7"/>
  <c r="D75" i="7"/>
  <c r="D93" i="7"/>
  <c r="D84" i="7"/>
  <c r="D72" i="7"/>
  <c r="D66" i="7"/>
  <c r="D57" i="7"/>
  <c r="D53" i="7"/>
  <c r="D50" i="7"/>
  <c r="D42" i="7"/>
  <c r="D129" i="7"/>
  <c r="D122" i="7"/>
  <c r="D119" i="7"/>
  <c r="D111" i="7"/>
  <c r="D104" i="7"/>
  <c r="D96" i="7"/>
  <c r="C31" i="7"/>
  <c r="C129" i="7"/>
  <c r="C111" i="7"/>
  <c r="C9" i="7"/>
  <c r="C149" i="7"/>
  <c r="B199" i="6" l="1"/>
  <c r="K8" i="6" s="1"/>
  <c r="M215" i="10"/>
  <c r="O211" i="10"/>
  <c r="S215" i="10"/>
  <c r="Q211" i="10"/>
  <c r="O207" i="10"/>
  <c r="S211" i="10"/>
  <c r="O203" i="10"/>
  <c r="Q207" i="10"/>
  <c r="S207" i="10"/>
  <c r="Q203" i="10"/>
  <c r="S203" i="10"/>
  <c r="K155" i="10"/>
  <c r="M159" i="10"/>
  <c r="S163" i="10"/>
  <c r="M155" i="10"/>
  <c r="O155" i="10"/>
  <c r="M151" i="10"/>
  <c r="M147" i="10"/>
  <c r="S159" i="10"/>
  <c r="O151" i="10"/>
  <c r="O147" i="10"/>
  <c r="Q155" i="10"/>
  <c r="Q151" i="10"/>
  <c r="Q147" i="10"/>
  <c r="S155" i="10"/>
  <c r="S151" i="10"/>
  <c r="S147" i="10"/>
  <c r="M108" i="10"/>
  <c r="O108" i="10"/>
  <c r="K104" i="10"/>
  <c r="K100" i="10"/>
  <c r="Q104" i="10"/>
  <c r="M104" i="10"/>
  <c r="O104" i="10"/>
  <c r="O100" i="10"/>
  <c r="Q96" i="10"/>
  <c r="M92" i="10"/>
  <c r="O92" i="10"/>
  <c r="Q92" i="10"/>
  <c r="S92" i="10"/>
  <c r="K39" i="10"/>
  <c r="K35" i="10"/>
  <c r="K47" i="10"/>
  <c r="M51" i="10"/>
  <c r="K51" i="10"/>
  <c r="Q51" i="10"/>
  <c r="M43" i="10"/>
  <c r="S43" i="10"/>
  <c r="S51" i="10"/>
  <c r="M47" i="10"/>
  <c r="S47" i="10"/>
  <c r="Q47" i="10"/>
  <c r="O51" i="10"/>
  <c r="K43" i="10"/>
  <c r="O47" i="10"/>
  <c r="O43" i="10"/>
  <c r="O39" i="10"/>
  <c r="Q43" i="10"/>
  <c r="M39" i="10"/>
  <c r="M35" i="10"/>
  <c r="O35" i="10"/>
  <c r="Q39" i="10"/>
  <c r="Q35" i="10" l="1"/>
  <c r="S39" i="10"/>
  <c r="S35" i="10"/>
  <c r="D6" i="7" l="1"/>
  <c r="E241" i="1"/>
  <c r="E239" i="1"/>
  <c r="E238" i="1"/>
  <c r="E236" i="1"/>
  <c r="E235" i="1"/>
  <c r="E234" i="1"/>
  <c r="E231" i="1"/>
  <c r="E230" i="1"/>
  <c r="E227" i="1"/>
  <c r="E226" i="1"/>
  <c r="E192" i="1"/>
  <c r="E191" i="1"/>
  <c r="E190" i="1"/>
  <c r="E188" i="1"/>
  <c r="E187" i="1"/>
  <c r="E186" i="1"/>
  <c r="E184" i="1"/>
  <c r="E183" i="1"/>
  <c r="E180" i="1"/>
  <c r="E179" i="1"/>
  <c r="E178" i="1"/>
  <c r="E176" i="1"/>
  <c r="E175" i="1"/>
  <c r="E174" i="1"/>
  <c r="E173" i="1"/>
  <c r="E135" i="1"/>
  <c r="E134" i="1"/>
  <c r="E132" i="1"/>
  <c r="E131" i="1"/>
  <c r="E130" i="1"/>
  <c r="E125" i="1"/>
  <c r="E124" i="1"/>
  <c r="E123" i="1"/>
  <c r="E85" i="1"/>
  <c r="E84" i="1"/>
  <c r="E83" i="1"/>
  <c r="E82" i="1"/>
  <c r="E80" i="1"/>
  <c r="E79" i="1"/>
  <c r="E78" i="1"/>
  <c r="E77" i="1"/>
  <c r="E76" i="1"/>
  <c r="E75" i="1"/>
  <c r="E73" i="1"/>
  <c r="E72" i="1"/>
  <c r="E71" i="1"/>
  <c r="E70" i="1"/>
  <c r="E69" i="1"/>
  <c r="E68" i="1"/>
  <c r="E67" i="1"/>
  <c r="E66" i="1"/>
  <c r="E65" i="1"/>
  <c r="E63" i="1"/>
  <c r="E62" i="1"/>
  <c r="E61" i="1"/>
  <c r="E60" i="1"/>
  <c r="E58" i="1"/>
  <c r="E57" i="1"/>
  <c r="H114" i="6"/>
  <c r="Q8" i="6" s="1"/>
  <c r="H107" i="6"/>
  <c r="H104" i="6" s="1"/>
  <c r="Q7" i="6" s="1"/>
  <c r="V38" i="7"/>
  <c r="H100" i="6"/>
  <c r="H98" i="6"/>
  <c r="V42" i="7"/>
  <c r="V34" i="7"/>
  <c r="H91" i="6"/>
  <c r="H88" i="6"/>
  <c r="H85" i="6"/>
  <c r="H75" i="6"/>
  <c r="H72" i="6"/>
  <c r="H62" i="6"/>
  <c r="H59" i="6"/>
  <c r="F123" i="6"/>
  <c r="F120" i="6"/>
  <c r="F117" i="6"/>
  <c r="P66" i="7"/>
  <c r="P62" i="7"/>
  <c r="P58" i="7"/>
  <c r="F110" i="6"/>
  <c r="F107" i="6"/>
  <c r="F104" i="6"/>
  <c r="P54" i="7"/>
  <c r="P50" i="7"/>
  <c r="P46" i="7"/>
  <c r="F97" i="6"/>
  <c r="F94" i="6"/>
  <c r="P42" i="7"/>
  <c r="P38" i="7"/>
  <c r="F84" i="6"/>
  <c r="P30" i="7"/>
  <c r="F81" i="6" s="1"/>
  <c r="P29" i="7"/>
  <c r="P28" i="7"/>
  <c r="P23" i="7"/>
  <c r="F78" i="6" s="1"/>
  <c r="P22" i="7"/>
  <c r="P21" i="7"/>
  <c r="P17" i="7"/>
  <c r="F71" i="6" s="1"/>
  <c r="P13" i="7"/>
  <c r="F68" i="6" s="1"/>
  <c r="P9" i="7"/>
  <c r="F65" i="6" s="1"/>
  <c r="P5" i="7"/>
  <c r="F62" i="6" s="1"/>
  <c r="D94" i="6"/>
  <c r="J37" i="7"/>
  <c r="J36" i="7"/>
  <c r="D91" i="6"/>
  <c r="J50" i="7"/>
  <c r="J49" i="7"/>
  <c r="J48" i="7"/>
  <c r="J47" i="7"/>
  <c r="J51" i="7"/>
  <c r="J20" i="7"/>
  <c r="D78" i="6" s="1"/>
  <c r="J19" i="7"/>
  <c r="J18" i="7"/>
  <c r="J27" i="7"/>
  <c r="D81" i="6" s="1"/>
  <c r="J26" i="7"/>
  <c r="D63" i="6"/>
  <c r="D57" i="6"/>
  <c r="D60" i="6"/>
  <c r="J12" i="7"/>
  <c r="J11" i="7"/>
  <c r="J10" i="7"/>
  <c r="B191" i="6"/>
  <c r="B188" i="6"/>
  <c r="B185" i="6"/>
  <c r="B182" i="6"/>
  <c r="D155" i="7"/>
  <c r="D154" i="7"/>
  <c r="D153" i="7"/>
  <c r="D148" i="7"/>
  <c r="D147" i="7"/>
  <c r="D146" i="7"/>
  <c r="D141" i="7"/>
  <c r="D140" i="7"/>
  <c r="D135" i="7"/>
  <c r="D134" i="7"/>
  <c r="D133" i="7"/>
  <c r="B175" i="6"/>
  <c r="B172" i="6"/>
  <c r="B169" i="6"/>
  <c r="B166" i="6"/>
  <c r="B163" i="6"/>
  <c r="B160" i="6"/>
  <c r="D128" i="7"/>
  <c r="D127" i="7"/>
  <c r="D115" i="7"/>
  <c r="D118" i="7"/>
  <c r="D117" i="7"/>
  <c r="D116" i="7"/>
  <c r="D110" i="7"/>
  <c r="D109" i="7"/>
  <c r="D108" i="7"/>
  <c r="D103" i="7"/>
  <c r="D102" i="7"/>
  <c r="D101" i="7"/>
  <c r="B150" i="6"/>
  <c r="B147" i="6"/>
  <c r="B135" i="6"/>
  <c r="B129" i="6"/>
  <c r="D92" i="7"/>
  <c r="D91" i="7"/>
  <c r="D90" i="7"/>
  <c r="D89" i="7"/>
  <c r="D88" i="7"/>
  <c r="B153" i="6"/>
  <c r="D83" i="7"/>
  <c r="D82" i="7"/>
  <c r="D81" i="7"/>
  <c r="D80" i="7"/>
  <c r="D71" i="7"/>
  <c r="D70" i="7"/>
  <c r="B144" i="6" s="1"/>
  <c r="D65" i="7"/>
  <c r="D64" i="7"/>
  <c r="B141" i="6" s="1"/>
  <c r="D63" i="7"/>
  <c r="D62" i="7"/>
  <c r="B138" i="6"/>
  <c r="D49" i="7"/>
  <c r="D48" i="7"/>
  <c r="D47" i="7"/>
  <c r="B132" i="6" s="1"/>
  <c r="B122" i="6"/>
  <c r="B119" i="6"/>
  <c r="B116" i="6"/>
  <c r="B113" i="6"/>
  <c r="D39" i="7"/>
  <c r="D38" i="7"/>
  <c r="D37" i="7"/>
  <c r="D36" i="7"/>
  <c r="D31" i="7"/>
  <c r="D27" i="7"/>
  <c r="D26" i="7"/>
  <c r="D25" i="7"/>
  <c r="D28" i="7"/>
  <c r="D20" i="7"/>
  <c r="B106" i="6"/>
  <c r="B103" i="6"/>
  <c r="D16" i="7"/>
  <c r="D15" i="7"/>
  <c r="D14" i="7"/>
  <c r="D8" i="7"/>
  <c r="D7" i="7"/>
  <c r="D17" i="7"/>
  <c r="D9" i="7"/>
  <c r="H35" i="6"/>
  <c r="H32" i="6"/>
  <c r="H29" i="6"/>
  <c r="H26" i="6"/>
  <c r="H23" i="6"/>
  <c r="F47" i="6"/>
  <c r="F44" i="6"/>
  <c r="F41" i="6"/>
  <c r="F38" i="6"/>
  <c r="F35" i="6"/>
  <c r="F32" i="6"/>
  <c r="F29" i="6"/>
  <c r="F26" i="6"/>
  <c r="D26" i="6"/>
  <c r="D23" i="6"/>
  <c r="D20" i="6"/>
  <c r="B68" i="6"/>
  <c r="B65" i="6"/>
  <c r="B62" i="6"/>
  <c r="B59" i="6"/>
  <c r="B56" i="6"/>
  <c r="B53" i="6"/>
  <c r="B50" i="6"/>
  <c r="B29" i="6"/>
  <c r="B23" i="6"/>
  <c r="B20" i="6"/>
  <c r="B17" i="6"/>
  <c r="B14" i="6"/>
  <c r="B11" i="6"/>
  <c r="U46" i="7"/>
  <c r="U30" i="7"/>
  <c r="U26" i="7"/>
  <c r="H20" i="6" s="1"/>
  <c r="H17" i="6"/>
  <c r="U18" i="7"/>
  <c r="H14" i="6" s="1"/>
  <c r="H11" i="6"/>
  <c r="H8" i="6"/>
  <c r="H5" i="6"/>
  <c r="O66" i="7"/>
  <c r="B179" i="6" l="1"/>
  <c r="K7" i="6" s="1"/>
  <c r="D54" i="6"/>
  <c r="M3" i="6" s="1"/>
  <c r="D88" i="6"/>
  <c r="M5" i="6" s="1"/>
  <c r="F75" i="6"/>
  <c r="O4" i="6" s="1"/>
  <c r="H95" i="6"/>
  <c r="Q6" i="6" s="1"/>
  <c r="Q4" i="6"/>
  <c r="Q3" i="6"/>
  <c r="B126" i="6"/>
  <c r="K5" i="6" s="1"/>
  <c r="B110" i="6"/>
  <c r="K4" i="6" s="1"/>
  <c r="B100" i="6"/>
  <c r="K3" i="6" s="1"/>
  <c r="B157" i="6"/>
  <c r="K6" i="6" s="1"/>
  <c r="H82" i="6"/>
  <c r="Q5" i="6" s="1"/>
  <c r="F114" i="6"/>
  <c r="O7" i="6" s="1"/>
  <c r="F101" i="6"/>
  <c r="O6" i="6" s="1"/>
  <c r="F91" i="6"/>
  <c r="O5" i="6" s="1"/>
  <c r="F59" i="6"/>
  <c r="O3" i="6" s="1"/>
  <c r="D75" i="6"/>
  <c r="M4" i="6" s="1"/>
  <c r="O46" i="7"/>
  <c r="O34" i="7"/>
  <c r="F23" i="6" s="1"/>
  <c r="O30" i="7"/>
  <c r="F20" i="6" s="1"/>
  <c r="O29" i="7"/>
  <c r="O28" i="7"/>
  <c r="O31" i="7"/>
  <c r="O23" i="7"/>
  <c r="F17" i="6" s="1"/>
  <c r="O22" i="7"/>
  <c r="O24" i="7"/>
  <c r="F14" i="6"/>
  <c r="F11" i="6"/>
  <c r="O10" i="7"/>
  <c r="O9" i="7"/>
  <c r="F8" i="6" s="1"/>
  <c r="O6" i="7"/>
  <c r="O5" i="7"/>
  <c r="F5" i="6" s="1"/>
  <c r="F54" i="6" s="1"/>
  <c r="I50" i="7"/>
  <c r="I49" i="7"/>
  <c r="I48" i="7"/>
  <c r="I47" i="7"/>
  <c r="I46" i="7"/>
  <c r="I43" i="7"/>
  <c r="I38" i="7"/>
  <c r="I37" i="7"/>
  <c r="I36" i="7"/>
  <c r="I35" i="7"/>
  <c r="I32" i="7"/>
  <c r="D17" i="6"/>
  <c r="I27" i="7"/>
  <c r="D14" i="6" s="1"/>
  <c r="I26" i="7"/>
  <c r="I25" i="7"/>
  <c r="I21" i="7"/>
  <c r="I20" i="7"/>
  <c r="D11" i="6" s="1"/>
  <c r="I19" i="7"/>
  <c r="I18" i="7"/>
  <c r="I17" i="7"/>
  <c r="I13" i="7"/>
  <c r="D8" i="6" s="1"/>
  <c r="I12" i="7"/>
  <c r="I11" i="7"/>
  <c r="I10" i="7"/>
  <c r="D5" i="6"/>
  <c r="D49" i="6" s="1"/>
  <c r="C155" i="7" l="1"/>
  <c r="C154" i="7"/>
  <c r="C153" i="7"/>
  <c r="C156" i="7"/>
  <c r="C152" i="7"/>
  <c r="B77" i="6" s="1"/>
  <c r="C148" i="7"/>
  <c r="C147" i="7"/>
  <c r="C146" i="7"/>
  <c r="C145" i="7"/>
  <c r="B74" i="6" s="1"/>
  <c r="C141" i="7"/>
  <c r="C140" i="7"/>
  <c r="B71" i="6" s="1"/>
  <c r="C139" i="7"/>
  <c r="C135" i="7"/>
  <c r="C134" i="7"/>
  <c r="C133" i="7"/>
  <c r="C136" i="7"/>
  <c r="C128" i="7"/>
  <c r="C127" i="7"/>
  <c r="C122" i="7"/>
  <c r="C118" i="7"/>
  <c r="C117" i="7"/>
  <c r="C116" i="7"/>
  <c r="C115" i="7"/>
  <c r="C110" i="7"/>
  <c r="C109" i="7"/>
  <c r="C108" i="7"/>
  <c r="C103" i="7"/>
  <c r="C102" i="7"/>
  <c r="C101" i="7"/>
  <c r="C92" i="7"/>
  <c r="C91" i="7"/>
  <c r="C90" i="7"/>
  <c r="C89" i="7"/>
  <c r="C88" i="7"/>
  <c r="C93" i="7"/>
  <c r="B47" i="6" s="1"/>
  <c r="C83" i="7"/>
  <c r="C82" i="7"/>
  <c r="C81" i="7"/>
  <c r="C80" i="7"/>
  <c r="B44" i="6"/>
  <c r="B41" i="6"/>
  <c r="C71" i="7"/>
  <c r="C70" i="7"/>
  <c r="B38" i="6" s="1"/>
  <c r="C72" i="7"/>
  <c r="C65" i="7"/>
  <c r="C64" i="7"/>
  <c r="B35" i="6" s="1"/>
  <c r="C63" i="7"/>
  <c r="C62" i="7"/>
  <c r="C66" i="7"/>
  <c r="C57" i="7"/>
  <c r="B32" i="6" s="1"/>
  <c r="C53" i="7"/>
  <c r="C49" i="7"/>
  <c r="C48" i="7"/>
  <c r="C47" i="7"/>
  <c r="B26" i="6" s="1"/>
  <c r="C38" i="7"/>
  <c r="C37" i="7"/>
  <c r="C36" i="7"/>
  <c r="C39" i="7"/>
  <c r="C27" i="7"/>
  <c r="C26" i="7"/>
  <c r="C25" i="7"/>
  <c r="C28" i="7"/>
  <c r="B8" i="6"/>
  <c r="C17" i="7"/>
  <c r="C16" i="7"/>
  <c r="C15" i="7"/>
  <c r="C14" i="7"/>
  <c r="B5" i="6" l="1"/>
  <c r="B95" i="6" s="1"/>
  <c r="C8" i="7"/>
  <c r="C7" i="7"/>
  <c r="C6" i="7"/>
  <c r="F1007" i="10" l="1"/>
  <c r="I1011" i="10" s="1"/>
  <c r="F1034" i="10"/>
  <c r="I1038" i="10" s="1"/>
  <c r="C1000" i="1" l="1"/>
  <c r="O20" i="1" s="1"/>
  <c r="R1010" i="10"/>
  <c r="F31" i="10" s="1"/>
  <c r="C1003" i="1"/>
  <c r="L5" i="1" s="1"/>
  <c r="R1037" i="10"/>
  <c r="F199" i="10" s="1"/>
  <c r="I1013" i="10"/>
  <c r="I1012" i="10"/>
  <c r="F1025" i="10"/>
  <c r="I1029" i="10" s="1"/>
  <c r="F1016" i="10"/>
  <c r="I1020" i="10" s="1"/>
  <c r="R1012" i="10" l="1"/>
  <c r="C1002" i="1"/>
  <c r="M10" i="1" s="1"/>
  <c r="R1028" i="10"/>
  <c r="F143" i="10" s="1"/>
  <c r="R1039" i="10"/>
  <c r="I1040" i="10"/>
  <c r="I1039" i="10"/>
  <c r="C1001" i="1"/>
  <c r="N15" i="1" s="1"/>
  <c r="R1019" i="10"/>
  <c r="F88" i="10" s="1"/>
  <c r="R1030" i="10" l="1"/>
  <c r="R1021" i="10"/>
  <c r="I1022" i="10"/>
  <c r="I1021" i="10"/>
  <c r="I1031" i="10"/>
  <c r="I1030" i="10"/>
</calcChain>
</file>

<file path=xl/sharedStrings.xml><?xml version="1.0" encoding="utf-8"?>
<sst xmlns="http://schemas.openxmlformats.org/spreadsheetml/2006/main" count="1118" uniqueCount="729">
  <si>
    <t>INTRODUCCIÓN</t>
  </si>
  <si>
    <t>Jhoan Sebastián Rodríguez Díaz</t>
  </si>
  <si>
    <t>APLICACIÓN DE PRACTICAS DE GESTIÓN DE CONFIABILIDAD EN ACTIVOS</t>
  </si>
  <si>
    <t>Sí</t>
  </si>
  <si>
    <t>No</t>
  </si>
  <si>
    <t>Análisis de Criticidad</t>
  </si>
  <si>
    <t>1% - 20%</t>
  </si>
  <si>
    <t>21% - 40%</t>
  </si>
  <si>
    <t>41% - 60%</t>
  </si>
  <si>
    <t>61% - 80%</t>
  </si>
  <si>
    <t>81% - 100%</t>
  </si>
  <si>
    <t>APLICACIÓN DE PRACTICAS DE GESTIÓN DE CONFIABILIDAD EN SISTEMAS DE ACTIVOS</t>
  </si>
  <si>
    <t>No se actualiza</t>
  </si>
  <si>
    <t>No se gestiona</t>
  </si>
  <si>
    <t>No se aplica un método sistemático; el monitoreo depende de eventos o fallas</t>
  </si>
  <si>
    <t>APLICACIÓN DE PRACTICAS DE GESTIÓN DE CONFIABILIDAD EN PROCESOS ORGANIZACIONALES QUE GESTIONAN ESTRATEGIAS DE CONFIABILIDAD DE LOS ACTIVOS</t>
  </si>
  <si>
    <t>1-	¿Se tiene claras las funciones de los procesos que gestionan los activos, respecto a la confiabilidad de los activos?</t>
  </si>
  <si>
    <t>2-	¿Se tienen claros los objetivos de los procesos que gestionan los activos, respecto a la confiabilidad de los activos?</t>
  </si>
  <si>
    <t xml:space="preserve">6-	¿Qué metodologías aplican los procesos para mantener la confiabilidad de los activos? </t>
  </si>
  <si>
    <t>APLICACIÓN DE PRACTICAS DE GESTIÓN DE CONFIABILIDAD EN LA ORGANIZACIÓN</t>
  </si>
  <si>
    <t>HERRAMIENTA DIAGNOSTICA DEL NIVEL DE APLICACIÓN DE PRÁCTICAS DE GESTIÓN INTEGRAL DE  CONFIABILIDAD</t>
  </si>
  <si>
    <t>APLICACIÓN DE PRÁCTICAS DE GESTIÓN DE CONFIABILIDAD EN ACTIVOS</t>
  </si>
  <si>
    <t>GESTIÓN DE PRACTICAS DE DE CONFIABILIDAD EN LA ORGANIZACIÓN</t>
  </si>
  <si>
    <t>TOTAL</t>
  </si>
  <si>
    <t>PÍRAMIDE DE MADUREZ - APLICACIÓN DE PRÁCTICAS DE GESTIÓN DE CONFIABILIDAD</t>
  </si>
  <si>
    <t>Recomendaciones</t>
  </si>
  <si>
    <t>A</t>
  </si>
  <si>
    <t>SA</t>
  </si>
  <si>
    <t>PGA</t>
  </si>
  <si>
    <t>O</t>
  </si>
  <si>
    <t>1-	¿Qué metodologías se aplican durante la fase de diseño e incorporación de nuevos activos para asegurar su confiabilidad y optimizar su ciclo de vida?</t>
  </si>
  <si>
    <t>No se aplican metodologías específicas durante la fase de diseño e incorporación de activos. Las decisiones se basan principalmente en criterios de costo inicial</t>
  </si>
  <si>
    <t>Se considera el costo inicial y la experiencia previa, pero no se realizan análisis formales de ciclo de vida (LCC) ni de confiabilidad (RCM)</t>
  </si>
  <si>
    <t>Se realiza un análisis básico de costo del ciclo de vida (LCC) y/o se aplican principios básicos de RCM de manera informal, pero sin documentación ni procesos estandarizados</t>
  </si>
  <si>
    <t>Se aplica una metodología formal de análisis de costo del ciclo de vida (LCC) y/o se utiliza RCM para definir las estrategias de mantenimiento iniciales, pero con una alineación parcial a normativas internacionales y sin un proceso estandarizado en la organización</t>
  </si>
  <si>
    <t>Se aplican metodologías robustas y formalizadas de análisis de costo del ciclo de vida (LCC) y RCM (siguiendo normativas como SAE JA1012) durante la fase de diseño e incorporación de activos, con procedimientos documentados y aplicados sistemáticamente para asegurar la confiabilidad y optimizar el costo total de propiedad</t>
  </si>
  <si>
    <t>2-	¿Cómo se realiza la clasificación taxonómica de los activos en la organización?</t>
  </si>
  <si>
    <t>No se realiza una clasificación taxonómica de los activos</t>
  </si>
  <si>
    <t>La clasificación se basa en criterios empíricos o experiencia del personal, sin un enfoque estructurado</t>
  </si>
  <si>
    <t>Se utiliza una clasificación básica (por ejemplo, por tipo de equipo o ubicación), pero no se sigue un estándar definido</t>
  </si>
  <si>
    <t>Se aplica una clasificación taxonómica basada en estándares internacionales (como ISO 14224), pero no está completamente integrada en los procesos de gestión de activos</t>
  </si>
  <si>
    <t>La clasificación taxonómica se realiza siguiendo estándares internacionales (como ISO 14224), con un proceso formalizado y alineado con la estrategia de gestión de activos de la organización</t>
  </si>
  <si>
    <t>3-	¿Se ha identificado y documentado cuáles activos siguen una estrategia de mantenimiento correctivo (operar hasta la falla)?</t>
  </si>
  <si>
    <t>4-	¿Bajo qué metodología se determinó la clasificación de activos que operan hasta la falla?</t>
  </si>
  <si>
    <t>No se ha definido una metodología específica para clasificar los activos que operan hasta la falla</t>
  </si>
  <si>
    <t>La clasificación se realiza con base en criterios empíricos o experiencia del personal, sin un enfoque estructurado</t>
  </si>
  <si>
    <t>Se ha aplicado ocasionalmente alguna metodología, como RCM (SAE JA1012), pero sin un procedimiento formalizado ni documentación clara</t>
  </si>
  <si>
    <t>Se emplea una metodología reconocida, como criticidad, con alineación parcial a normativas internacionales, aunque sin un proceso estandarizado dentro de la organización</t>
  </si>
  <si>
    <t>La clasificación se realiza mediante una metodología basada en la criticidad de los activos (NORZOK Z-008), que considera factores como el impacto operativo, los costos de falla, los riesgos de seguridad y el cumplimiento normativo. Este enfoque está formalizado, documentado y se aplica sistemáticamente en toda la empresa para priorizar recursos y estrategias de mantenimiento</t>
  </si>
  <si>
    <t>5-	¿Se han identificado y documentado los activos que están incluidos en el plan de mantenimiento preventivo?</t>
  </si>
  <si>
    <t>6-	¿Bajo qué metodología se determinó los activos que están incluidos en el plan de mantenimiento preventivo?</t>
  </si>
  <si>
    <t>No se ha definido una metodología específica para determinar los activos incluidos en el plan de mantenimiento preventivo</t>
  </si>
  <si>
    <t>Se determina con base en criterios empíricos o experiencia del personal, sin un enfoque estructurado</t>
  </si>
  <si>
    <t>Se ha aplicado ocasionalmente alguna metodología, como análisis de criticidad o FMECA (IEC 60812), pero sin un procedimiento formalizado ni documentación clara</t>
  </si>
  <si>
    <t>Se emplea una metodología reconocida, como análisis de criticidad o FMEA (IEC 60812), con alineación parcial a normativas internacionales, aunque sin un proceso estandarizado dentro de la organización</t>
  </si>
  <si>
    <t>Se determina mediante una metodología basada en normativas internacionales, como análisis de criticidad (NORZOK Z-008) o FMEA (IEC 60812), con procedimientos formalizados y aplicados sistemáticamente en la empresa</t>
  </si>
  <si>
    <t>7-	¿Se tiene una clasificación de los activos en función de su criticidad?</t>
  </si>
  <si>
    <t>8-	¿Bajo qué metodología se determinó la criticidad de los activos?</t>
  </si>
  <si>
    <t>No se emplea ninguna metodología estructurada para definir la criticidad de los activos</t>
  </si>
  <si>
    <t>Se utiliza un criterio subjetivo sin respaldo en una metodología formalmente establecida</t>
  </si>
  <si>
    <t>Se aplican metodologías de manera ocasional, pero sin un proceso documentado ni estandarizado</t>
  </si>
  <si>
    <t>Se emplea una metodología alineada con normativas internacionales (NORZOK Z-008), pero sin un procedimiento formalizado dentro de la organización</t>
  </si>
  <si>
    <t>Se aplica de manera sistemática una metodología basada en normativas internacionales (NORZOK Z-008), con un procedimiento formalizado y documentado en la organización</t>
  </si>
  <si>
    <t>9-	¿Se tiene una ponderación por nivel de criticidad de los activos (Muy alto, Alto, Medio, Bajo)?</t>
  </si>
  <si>
    <t>10-	¿Se tienen identificados en el análisis de criticidad los equipos críticos por Seguridad de procesos?</t>
  </si>
  <si>
    <t>11-	¿Qué porcentaje de activos cuentan con un análisis de criticidad?</t>
  </si>
  <si>
    <t>12-	¿En qué condiciones se actualiza el análisis de criticidad de los activos?</t>
  </si>
  <si>
    <t>No se cuenta con criterios definidos para su actualización</t>
  </si>
  <si>
    <t>Se revisa ocasionalmente ante cambios evidentes en la operación, pero sin criterios formalizados</t>
  </si>
  <si>
    <t>Se actualiza en función de cambios en el contexto operacional</t>
  </si>
  <si>
    <t>Se actualiza de manera estructurada conforme a eventos definidos, como cambios en la matriz RAM, variaciones en los análisis de riesgos, incorporación de nuevos activos o modificaciones normativas, siguiendo un procedimiento formalizado y alineado con estándares corporativos</t>
  </si>
  <si>
    <t>13-	¿Se priorizan los activos críticos en los planes de mantenimiento?</t>
  </si>
  <si>
    <t>14-	  ¿Qué criterios se usan para priorizar los activos críticos en los planes de mantenimiento?</t>
  </si>
  <si>
    <t>Sin un Criterio Formal</t>
  </si>
  <si>
    <t>Se priorizan aquellos activos para los cuales los repuestos o materiales son críticos</t>
  </si>
  <si>
    <t>Los activos con mayor costo asociado al tiempo fuera de servicio tienen mayor prioridad</t>
  </si>
  <si>
    <t>Se priorizan aquellos activos cuya falla tendría un impacto significativo en la operación general o en la seguridad</t>
  </si>
  <si>
    <t>Los activos con mayor historial de fallas reciben prioridad en los planes de mantenimiento</t>
  </si>
  <si>
    <t>Según factores como impacto en seguridad, medioambiente, producción y costos</t>
  </si>
  <si>
    <t>15-	¿Con que fin se utiliza el análisis de criticidad?</t>
  </si>
  <si>
    <t>No se tiene un propósito definido para el análisis de criticidad</t>
  </si>
  <si>
    <t>Focalizar esfuerzos en activos críticos para evitar interrupciones inesperadas en la operación</t>
  </si>
  <si>
    <t>Determinar el momento adecuado para reemplazar o renovar activos</t>
  </si>
  <si>
    <t>Justificar inversiones en modernización, reemplazo o mejora de activos críticos</t>
  </si>
  <si>
    <t>Identificar y mitigar los riesgos asociados a la falla de activos críticos en seguridad, producción o medioambiente</t>
  </si>
  <si>
    <t>Optimizar el uso de recursos humanos, técnicos y financieros en función de la importancia de los activos</t>
  </si>
  <si>
    <t>Identificar qué activos deben recibir mantenimiento preventivo o predictivo con mayor periodicidad</t>
  </si>
  <si>
    <t>16-	¿Se calcula la confiabilidad de los activos?</t>
  </si>
  <si>
    <t>17-	¿Bajo qué metodología se selecciona la distribución de probabilidad para calcular la confiabilidad de los activos reparables?</t>
  </si>
  <si>
    <t>No se utiliza una metodología formal para seleccionar la distribución</t>
  </si>
  <si>
    <t>Se calcula la confiabilidad con un enfoque basado en el tiempo medio entre fallas (MTBF), pero no se aplica ninguna distribución de probabilidad específica</t>
  </si>
  <si>
    <t>Se utiliza una distribución estándar (por ejemplo, Weibull o Exponencial) para todos los activos, sin tener en cuenta las variaciones en los datos</t>
  </si>
  <si>
    <t>La selección de la distribución se realiza de manera flexible, según la naturaleza del activo y los datos disponibles, sin seguir un proceso estructurado</t>
  </si>
  <si>
    <t>Se utiliza un proceso estructurado basado en la recopilación de datos históricos de fallas y se selecciona la distribución más adecuada (como Weibull, Exponencial, etc.) según el comportamiento observado</t>
  </si>
  <si>
    <t>18-	¿Bajo qué metodología se selecciona la distribución de probabilidad para calcular la confiabilidad de los activos no reparables?</t>
  </si>
  <si>
    <t>No se utiliza una metodología formal para seleccionar la distribución de probabilidad</t>
  </si>
  <si>
    <t>Se calcula la confiabilidad con un enfoque basado en el tiempo medio hasta la falla (MTTF), pero no se aplica ninguna distribución de probabilidad específica</t>
  </si>
  <si>
    <t>Se utiliza una distribución estándar (por ejemplo, Weibull o Exponencial) para todos los activos no reparables, sin tener en cuenta las variaciones en los datos o el comportamiento específico de cada activo</t>
  </si>
  <si>
    <t>La selección de la distribución se realiza de manera flexible, según la naturaleza del activo no reparable y los datos disponibles, pero sin seguir un proceso estructurado o documentado</t>
  </si>
  <si>
    <t>Se utiliza un proceso estructurado basado en la recopilación de datos históricos de fallas y se selecciona la distribución más adecuada (como Weibull, Exponencial, Lognormal, etc.) según el comportamiento observado y las características específicas de los activos no reparables</t>
  </si>
  <si>
    <t>19-	¿Cómo integran el análisis de confiabilidad en las decisiones de mantenimiento o reposición de activos?</t>
  </si>
  <si>
    <t>La confiabilidad no se considera en las decisiones de mantenimiento o reposición</t>
  </si>
  <si>
    <t>Respaldando decisiones de reemplazo de activos con alto costo de mantenimiento o bajo desempeño</t>
  </si>
  <si>
    <t>Priorizando recursos en función de los análisis de confiabilidad para maximizar la efectividad de las intervenciones</t>
  </si>
  <si>
    <t>Utilizando el análisis de confiabilidad para predecir el tiempo hasta la falla y planificar reemplazos con anticipación</t>
  </si>
  <si>
    <t>Basando las decisiones de mantenimiento en los activos con menor confiabilidad o mayor impacto en la operación</t>
  </si>
  <si>
    <t>Utilizando los datos de confiabilidad para determinar intervalos óptimos de mantenimiento preventivo o predictivo</t>
  </si>
  <si>
    <t>20-	¿Se calculan los tiempos operativos de los activos?</t>
  </si>
  <si>
    <t>21-	¿Cómo calculan los tiempos operativos de los activos?</t>
  </si>
  <si>
    <t>No se recolecta</t>
  </si>
  <si>
    <t>De forma manual</t>
  </si>
  <si>
    <t>Semiautomatizado</t>
  </si>
  <si>
    <t>Automatizado</t>
  </si>
  <si>
    <t>22-	¿Qué métodos utilizan para monitorear la condición de los activos?</t>
  </si>
  <si>
    <t>Se realizan inspecciones visuales periódicas de forma limitada</t>
  </si>
  <si>
    <t>Se utilizan algunas técnicas básicas de monitoreo (ej. análisis de vibraciones puntuales, termografía ocasional) de forma aislada</t>
  </si>
  <si>
    <t>Se implementan diversas técnicas de monitoreo de condición (CBM) de forma regular, pero no están integradas ni optimizadas</t>
  </si>
  <si>
    <t>Se utiliza un enfoque integral de monitoreo de condición basado en múltiples técnicas (ej. vibraciones, termografía, análisis de aceite) integradas con sistemas SCADA y se explotan herramientas avanzadas como IoT, Big Data y Machine Learning para el análisis predictivo</t>
  </si>
  <si>
    <t>23-	¿Se aplican metodologías como RCM o PMO en la fase de operación y mantenimiento de los activos?</t>
  </si>
  <si>
    <t>No se aplican metodologías estructuradas de confiabilidad</t>
  </si>
  <si>
    <t>Se aplican ocasionalmente RCM o PMO en activos críticos, pero sin una política estandarizada</t>
  </si>
  <si>
    <t>Se implementan análisis RCM o PMO de manera regular, pero con aplicación limitada a ciertos procesos</t>
  </si>
  <si>
    <t>Se cuenta con una metodología estructurada y sistemática de RCM y/o PMO para optimizar la confiabilidad de los activos en operación y mantenimiento</t>
  </si>
  <si>
    <t>24-	¿Cómo se gestiona la información relacionada con los activos (historial de mantenimiento, datos de rendimiento, especificaciones técnicas, etc.)?</t>
  </si>
  <si>
    <t>No se gestiona la información relacionada con los activos de forma sistemática. La información se guarda de forma dispersa y no está accesible</t>
  </si>
  <si>
    <t>La información se registra de forma básica en hojas de cálculo o documentos dispersos, pero no está centralizada ni se utiliza para la toma de decisiones</t>
  </si>
  <si>
    <t>Se utiliza un software de gestión de mantenimiento (CMMS) para registrar el historial de mantenimiento, pero su uso es limitado y la información no está completa ni actualizada</t>
  </si>
  <si>
    <t>Se utiliza un CMMS o un sistema de gestión de activos (EAM) para gestionar la información de los activos, pero la integración con otros sistemas es limitada y el análisis de datos es básico</t>
  </si>
  <si>
    <t>Se utiliza un sistema EAM integral que centraliza toda la información relacionada con los activos (historial de mantenimiento, datos de rendimiento, especificaciones técnicas, etc.), con integración con otros sistemas (ej. SCADA, ERP) y herramientas de análisis de datos (ej. Business Intelligence) para la toma de decisiones proactiva y la optimización del rendimiento de los activos</t>
  </si>
  <si>
    <t>25-	 ¿Cómo se evalúa la efectividad de las metodologías RCM, PMO y LCC en la organización?</t>
  </si>
  <si>
    <t>No se realiza una evaluación formal de la efectividad de estas metodologías</t>
  </si>
  <si>
    <t>La evaluación se basa en criterios subjetivos o experiencia del personal, sin métricas definidas</t>
  </si>
  <si>
    <t>Se realizan evaluaciones ocasionales, pero sin un proceso estructurado ni documentación clara</t>
  </si>
  <si>
    <t>Se evalúa la efectividad de manera sistemática, utilizando métricas definidas, pero sin alineación completa con estándares internacionales</t>
  </si>
  <si>
    <t>La efectividad se evalúa de manera integral, con métricas alineadas a estándares internacionales, revisiones periódicas y planes de mejora continua</t>
  </si>
  <si>
    <t>1-	¿Se realiza modelamiento RBD a los sistemas complejos?</t>
  </si>
  <si>
    <t xml:space="preserve">2-	¿Qué tanto porcentaje de la planta se tiene modelado en RBD? </t>
  </si>
  <si>
    <t>3-	¿Mediante que fuentes de información se construye los diagramas (RBD) de confiabilidad?</t>
  </si>
  <si>
    <t>No se cuenta con una fuente de información estructurada para construir los diagramas RBD</t>
  </si>
  <si>
    <t>Análisis gráficos que relacionan las fallas potenciales con sus consecuencias en el sistema</t>
  </si>
  <si>
    <t>Representaciones esquemáticas de los procesos y sus principales equipos</t>
  </si>
  <si>
    <t>Documentos que describen los principios operacionales de los activos y sistemas</t>
  </si>
  <si>
    <t>Representaciones detalladas de los sistemas de procesos y sus interconexiones</t>
  </si>
  <si>
    <t>Datos obtenidos de sistemas de supervisión, control y adquisición de datos en tiempo real</t>
  </si>
  <si>
    <t>4-	¿Mediante que herramienta se actualiza los diagramas (RBD) de confiabilidad?</t>
  </si>
  <si>
    <t>Actualización de diagramas RBD de forma manual, utilizando herramientas de dibujo y edición, lo cual puede ser adecuado para sistemas simples o cuando se requiere una alta personalización</t>
  </si>
  <si>
    <t>Hoja de cálculo utilizada para la gestión y análisis de datos relacionados con la confiabilidad, permitiendo realizar cálculos y gráficos básicos para visualizar el rendimiento del sistema</t>
  </si>
  <si>
    <t>Herramientas diseñadas específicamente para la creación, análisis y actualización de diagramas RBD, ofreciendo funcionalidades avanzadas para la simulación y modelado de la confiabilidad</t>
  </si>
  <si>
    <t>5-	¿Se utilizan metodologías para calcular la confiabilidad de los sistemas de activo?</t>
  </si>
  <si>
    <t>6-	¿Qué metodologías se utilizan para determinar la confiabilidad de los sistemas de activos?</t>
  </si>
  <si>
    <t>No se utiliza ninguna metodología formal para analizar la confiabilidad de los sistemas de activos</t>
  </si>
  <si>
    <t>Se aplican metodologías básicas de manera ocasional, como el Análisis de Modos de Fallo y Efectos (FMEA - IEC 60812), pero sin un proceso estructurado ni documentación clara</t>
  </si>
  <si>
    <t>Se utilizan metodologías como el Mantenimiento Basado en Confiabilidad (RCM, SAE JA1012) o el Análisis de Árbol de Fallos (FTA - IEC 61025), pero solo para sistemas críticos y sin un enfoque integral</t>
  </si>
  <si>
    <t>Se aplican metodologías avanzadas, como el Análisis de la Confiabilidad Operativa (Reliability Block Diagram - RBD) o el Análisis de Confiabilidad y Disponibilidad (RAMS), de manera sistemática, pero sin alineación completa con estándares internacionales</t>
  </si>
  <si>
    <t>Se implementa un enfoque integral que combina metodologías como RCM (SAE JA1012), FMEA (IEC 60812), FTA (IEC 61025), RBD (IEC 61508) y RAMS, con procesos formalizados, alineados a estándares internacionales y soportados por herramientas avanzadas de análisis</t>
  </si>
  <si>
    <t>7-	¿Se hace modelamiento RAM de los sistemas de activos?</t>
  </si>
  <si>
    <t>8-	¿Cómo gestionan los datos históricos de desempeño de los sistemas de activos?</t>
  </si>
  <si>
    <t>Manuales de registros donde se documenta el desempeño y las intervenciones realizadas en los activos</t>
  </si>
  <si>
    <t>Hojas de cálculo utilizadas para registrar y analizar datos históricos (por ejemplo, Excel)</t>
  </si>
  <si>
    <t>Herramientas que permiten la visualización y análisis avanzado de datos históricos (por ejemplo, Power BI, Spotfire, etc.)</t>
  </si>
  <si>
    <t>Sistemas informáticos que ayudan a gestionar el mantenimiento y la operación de activos (por ejemplo, CMMS), almacenando datos históricos sobre el rendimiento y el mantenimiento realizado</t>
  </si>
  <si>
    <t>Sistemas que permiten la supervisión y control en tiempo real de procesos industriales (por ejemplo; SCADA), recopilando datos históricos sobre el desempeño de los activos</t>
  </si>
  <si>
    <t>3-	¿Se han establecido objetivos de confiabilidad alineados con los objetivos organizacionales?</t>
  </si>
  <si>
    <t>4-	¿Se establecen objetivos de confiabilidad en los planes estratégicos y operativos de los procesos que gestionan la confiabilidad de los activos?</t>
  </si>
  <si>
    <t xml:space="preserve">5-	¿Qué procesos participan en la gestión de confiabilidad de los activos? </t>
  </si>
  <si>
    <t>Únicamente los procesos de Planeación y Ejecución del Mantenimiento; y Operación</t>
  </si>
  <si>
    <t>Planeación y Ejecución del Mantenimiento; Operación; Ingeniería y/o proyectos</t>
  </si>
  <si>
    <t>Planeación y Ejecución del Mantenimiento; Operación; Abastecimiento y/o compras</t>
  </si>
  <si>
    <t>Planeación y Ejecución del Mantenimiento; Operación; Ingeniería y/o proyectos; Abastecimiento y/o compras</t>
  </si>
  <si>
    <t>Se ha utilizado ocasionalmente alguna metodología: Se han aplicado metodologías como el Mantenimiento Centrado en Confiabilidad (RCM) o el Análisis de Modos y Efectos de Falla (FMEA/FMECA), pero sin un procedimiento formalizado ni documentación clara que respalde su uso</t>
  </si>
  <si>
    <t>Se emplea una metodología reconocida, pero sin estandarización: La utiliza organización metodologías como Inspección Basada en Riesgo (RBI) o Análisis de Árbol de Fallos (FTA), con alineación parcial a normativas internacionales, aunque carece de un proceso estandarizado dentro de la empresa</t>
  </si>
  <si>
    <t>La clasificación y el mantenimiento se realizan mediante metodologías formales: Se aplica una metodología basada en la criticidad de los activos, como el Mantenimiento Centrado en Confiabilidad (RCM) o el Análisis de Confiabilidad y Disponibilidad (RAMS), que considera factores como el impacto operativo, los costos de falla y los riesgos asociados. Este enfoque está formalizado, documentado y se aplica sistemáticamente en toda la organización para priorizar recursos y estrategias de mantenimiento</t>
  </si>
  <si>
    <t>7-	¿Existe un plan o planes desde los procesos para implementar estrategias de confiabilidad de los activos?</t>
  </si>
  <si>
    <t>8-	¿Los equipos de confiabilidad colaboran activamente con áreas de producción, planeación y ejecución de mantenimiento, operación, proyectos, entre otros?</t>
  </si>
  <si>
    <t>9-	¿La gestión de confiabilidad está alineada con otros procesos organizacionales como gestión de riesgos, aseguramiento de calidad, y seguridad de procesos?</t>
  </si>
  <si>
    <t>10-	¿Se realizan reuniones periódicas de revisión de desempeño de confiabilidad entre las áreas operativas y de mantenimiento?</t>
  </si>
  <si>
    <t xml:space="preserve">11-	¿Cómo se mide la generación de valor de los procesos en la gestión de confiabilidad? </t>
  </si>
  <si>
    <t xml:space="preserve">12-	¿Se mide la confiabilidad humana hacía el cumplimiento de los indicadores de confiabilidad? </t>
  </si>
  <si>
    <t>13-	¿Se lleva a cabo una evaluación periódica de la efectividad de las estrategias de confiabilidad implementadas?</t>
  </si>
  <si>
    <t>14-	¿Se cuenta con un proceso de mejora continua de procedimientos y herramientas de gestión confiabilidad?</t>
  </si>
  <si>
    <t>15-	¿Los planes asociados a los análisis de confiabilidad se revisan y ajustan periódicamente por un equipo interdisciplinario?</t>
  </si>
  <si>
    <t>1-	¿La estrategia corporativa incluye la confiabilidad como un pilar clave en la gestión de activos?</t>
  </si>
  <si>
    <t>2-	¿La organización cuenta con una política de gestión de activos y/o mantenimiento con lineamientos encaminados hacía la gestión de confiabilidad?</t>
  </si>
  <si>
    <t>3-	¿Existen áreas o equipos especializados en la gestión de confiabilidad dentro de la organización?</t>
  </si>
  <si>
    <t>4-	¿Los procesos cuentas con una matriz de roles y responsabilidades claras para la gestión de confiabilidad de los activos?</t>
  </si>
  <si>
    <t>5-	¿Se han definido competencias específicas en confiabilidad para los diferentes roles dentro de la organización?</t>
  </si>
  <si>
    <t>6-	¿El personal clave recibe capacitación periódica en metodologías y herramientas de gestión de confiabilidad?</t>
  </si>
  <si>
    <t>7-	¿Se tienen procesos estandarizados para la transferencia de conocimiento sobre confiabilidad entre diferentes áreas de la organización?</t>
  </si>
  <si>
    <t>8-	¿La organización cuenta con una estrategia de cambio cultural que soporte la mejoras en estrategias de confiabilidad de los activos?</t>
  </si>
  <si>
    <t>9-	¿La organización apoya la implementación de nuevas tecnologías de la industria 4,0 encaminadas en la gestión de confiabilidad de activos y procesos?</t>
  </si>
  <si>
    <t>10-	¿Se documentan las mejores prácticas y lecciones aprendidas en la gestión de confiabilidad dentro de la organización?</t>
  </si>
  <si>
    <t>11-	¿Se realizan auditorías internas para medir el nivel de aplicación de prácticas de confiabilidad en la organización?</t>
  </si>
  <si>
    <t>Diseño y Taxonomía de Activos</t>
  </si>
  <si>
    <t>Mantenimiento Correctivo y Preventivo</t>
  </si>
  <si>
    <t>Análisis de Confiabilidad y Tiempos Operativos</t>
  </si>
  <si>
    <t>Monitoreo, Metodologías y Gestión de Información</t>
  </si>
  <si>
    <t xml:space="preserve"> Modelamiento y Análisis de Confiabilidad</t>
  </si>
  <si>
    <t>Fuentes de Información y Herramientas</t>
  </si>
  <si>
    <t>Metodologías de Cálculo de Confiabilidad</t>
  </si>
  <si>
    <t>Mantenimiento Mayor y su Impacto</t>
  </si>
  <si>
    <t>Definición de Objetivos y Estrategia de Confiabilidad</t>
  </si>
  <si>
    <t>Procesos y Métodos para la Gestión de Confiabilidad</t>
  </si>
  <si>
    <t>Colaboración y Alineación Organizacional</t>
  </si>
  <si>
    <t>Seguimiento y Evaluación del Desempeño</t>
  </si>
  <si>
    <t>Mejora Continua y Optimización</t>
  </si>
  <si>
    <t>No se aplica ninguna metodología formal: La organización no ha implementado un enfoque estructurado para el mantenimiento de la confiabilidad de los activos.</t>
  </si>
  <si>
    <t>Se aplican criterios empíricos o experiencia del personal: La clasificación y el mantenimiento de los activos se basan en la experiencia del personal, sin un enfoque sistemático ni documentación formal.</t>
  </si>
  <si>
    <t>Estrategia y Política de Confiabilidad</t>
  </si>
  <si>
    <t>Estructura Organizacional y Roles</t>
  </si>
  <si>
    <t>Desarrollo de Competencias y Transferencia de Conocimiento</t>
  </si>
  <si>
    <t>Cultura Organizacional y Mejora Continua</t>
  </si>
  <si>
    <t>Innovación y Transformación Digital</t>
  </si>
  <si>
    <t>Evaluación y Auditoría de Prácticas de Confiabilidad</t>
  </si>
  <si>
    <t>Modelamiento y Análisis de Confiabilidad</t>
  </si>
  <si>
    <t>Implementar un proceso formal de análisis de costo del ciclo de vida (LCC) y Mantenimiento Centrado en Confiabilidad (RCM) durante la fase de diseño e incorporación de activos, alineado con estándares normativos, para optimizar la confiabilidad y reducir los costos totales de propiedad a lo largo del ciclo de vida.</t>
  </si>
  <si>
    <t>Desarrollar e implementar un proceso documentado para la evaluación del ciclo de vida (LCC) y la aplicación de principios de Mantenimiento Centrado en Confiabilidad (RCM), incluyendo la capacitación del personal en estas metodologías, para asegurar la consideración de la confiabilidad y los costos a largo plazo en las decisiones de adquisición de activos.</t>
  </si>
  <si>
    <t>Formalizar los procesos de análisis de costo del ciclo de vida (LCC) y Mantenimiento Centrado en Confiabilidad (RCM) mediante la documentación de procedimientos, la asignación de responsabilidades y la capacitación del personal, con el fin de asegurar una aplicación consistente y efectiva de estas metodologías.</t>
  </si>
  <si>
    <t>Estandarizar la aplicación de las metodologías de análisis de costo del ciclo de vida (LCC) y Mantenimiento Centrado en Confiabilidad (RCM) en toda la organización, asegurando la alineación con normativas internacionales reconocidas (como SAE JA1012) y estableciendo métricas de desempeño para evaluar su efectividad.</t>
  </si>
  <si>
    <t>Mantener y mejorar continuamente los procesos de análisis de costo del ciclo de vida (LCC) y Mantenimiento Centrado en Confiabilidad (RCM), asegurando la actualización periódica de los procedimientos, la capacitación del personal y la evaluación de la efectividad de las estrategias implementadas, con el fin de garantizar la optimización continua de la confiabilidad y el costo total de propiedad de los activos.</t>
  </si>
  <si>
    <t>Implementar un proceso formal para desarrollar una clasificación taxonómica de los activos, alineado con estándares internacionales como ISO 14224, para mejorar la gestión y el análisis de datos de confiabilidad.</t>
  </si>
  <si>
    <t>Establecer un enfoque estructurado para la clasificación de activos, utilizando estándares reconocidos como ISO 14224, y proporcionar capacitación al personal para asegurar una comprensión uniforme del proceso.</t>
  </si>
  <si>
    <t>Adoptar y documentar un estándar definido para la clasificación taxonómica de activos, como ISO 14224, que permita una mejor organización y comparación de datos a nivel interno y externo.</t>
  </si>
  <si>
    <t>Asegurar que la clasificación taxonómica esté completamente integrada en los procesos de gestión de activos mediante la creación de procedimientos documentados y la capacitación del personal sobre su aplicación en las operaciones diarias.</t>
  </si>
  <si>
    <t>Establecer un proceso formal para identificar y documentar los activos que siguen una estrategia de mantenimiento correctivo (operar hasta la falla), incluyendo un análisis de riesgos y costos asociados, para asegurar que esta estrategia se aplique de manera consciente y justificada.</t>
  </si>
  <si>
    <t>Revisar periódicamente la documentación de los activos que siguen una estrategia de mantenimiento correctivo, asegurando que el análisis de riesgos y costos se mantenga actualizado y que la decisión de operar hasta la falla siga siendo la más adecuada en términos de seguridad, costos y disponibilidad operativa.</t>
  </si>
  <si>
    <t>Desarrollar e implementar una metodología formal para la clasificación de activos que operan hasta la falla, asegurando que se alineen con las mejores prácticas y estándares internacionales, como el Análisis de Modos y Efectos de Falla (FMEA) y el Mantenimiento Centrado en Confiabilidad (RCM).</t>
  </si>
  <si>
    <t>Establecer un enfoque estructurado para la clasificación de activos, utilizando metodologías reconocidas como RCM o FMEA, y proporcionar capacitación al personal para asegurar una comprensión uniforme y efectiva del proceso.</t>
  </si>
  <si>
    <t>Formalizar el uso de metodologías como RCM mediante la creación de procedimientos documentados y la capacitación del personal, asegurando que se utilicen de manera consistente y efectiva en la clasificación de activos.</t>
  </si>
  <si>
    <t>Estandarizar el proceso de clasificación basado en metodologías reconocidas, asegurando su alineación completa con normativas internacionales como ISO 55000 y estableciendo métricas para evaluar su efectividad en la gestión de activos.</t>
  </si>
  <si>
    <t xml:space="preserve">Realizar revisiones periódicas del inventario de activos incluidos en el plan de mantenimiento preventivo para asegurar que la documentación esté actualizada y refleje con precisión el estado actual de los activos. </t>
  </si>
  <si>
    <t xml:space="preserve"> Implementar una metodología formal para determinar qué activos deben incluirse en el plan de mantenimiento preventivo, utilizando herramientas como el análisis de criticidad o FMEA (Análisis de Modos de Falla y Efectos), con el objetivo de priorizar los activos más importantes y optimizar los recursos de mantenimiento.</t>
  </si>
  <si>
    <t>Establecer un enfoque estructurado para seleccionar los activos incluidos en el plan de mantenimiento preventivo, utilizando metodologías reconocidas como el análisis de criticidad o FMECA (Análisis de Modos de Falla, Efectos y Análisis de Criticidad), y proporcionar capacitación al personal para asegurar una aplicación uniforme y efectiva del proceso.</t>
  </si>
  <si>
    <t>Formalizar el uso de metodologías como el análisis de criticidad o FMECA mediante la creación de procedimientos documentados y la capacitación del personal, asegurando que se utilicen de manera consistente y efectiva en la selección de activos para el plan de mantenimiento preventivo.</t>
  </si>
  <si>
    <t>Estandarizar el proceso de selección de activos basado en metodologías reconocidas, asegurando su alineación completa con normativas internacionales como IEC 60812 y estableciendo métricas para evaluar su efectividad en la gestión de activos.</t>
  </si>
  <si>
    <t>Implementar un análisis de criticidad para clasificar los activos, priorizando aquellos que puedan generar un mayor impacto en la producción, seguridad, costos y medio ambiente. Utilizar una metodología que considere tanto el impacto potencial de la falla como la probabilidad de ocurrencia. Establecer una matriz de criticidad que permita jerarquizar los equipos en niveles según el riesgo que representan para la organización</t>
  </si>
  <si>
    <t>Evaluar periódicamente la clasificación de criticidad de los activos, asegurando que se ajusta a las condiciones operativas actuales y a los objetivos de la organización</t>
  </si>
  <si>
    <t>Desarrollar e implementar una metodología estructurada para la evaluación de la criticidad de los activos, utilizando enfoques como el análisis de criticidad integral que considere tanto la probabilidad de fallo como el impacto potencial. Esto permitirá una mejor priorización y gestión de los activos.</t>
  </si>
  <si>
    <t>Establecer un enfoque objetivo y basado en datos para la clasificación de la criticidad, utilizando metodologías reconocidas como el análisis de criticidad (NORZOK Z-008) o FMEA (IEC 60812). Proporcionar capacitación al personal para asegurar una aplicación uniforme y consistente.</t>
  </si>
  <si>
    <t xml:space="preserve"> Formalizar el uso de metodologías para determinar la criticidad, asegurando que haya procedimientos documentados y estandarizados. Implementar un sistema que permita realizar evaluaciones periódicas y actualizaciones basadas en datos concretos.</t>
  </si>
  <si>
    <t>Estandarizar el proceso de evaluación de criticidad alineado con normativas internacionales, asegurando que esté formalmente documentado y que se implementen procedimientos claros para su aplicación. Realizar auditorías internas para verificar su efectividad y cumplimiento.</t>
  </si>
  <si>
    <t xml:space="preserve">Mantener el proceso formalizado para la evaluación de criticidad, asegurando su continua alineación con las mejores prácticas y normas internacionales. </t>
  </si>
  <si>
    <t>Mantener  el proceso formalizado para la selección de activos basada en normativas internacionales, asegurando su continua alineación con las mejores prácticas y estándares, así como evaluar su impacto en la eficiencia operativa y la gestión del riesgo.</t>
  </si>
  <si>
    <t>Mantener el proceso formalizado para la clasificación taxonómica basado en la criticidad, asegurando su continua alineación con las mejores prácticas y estándares internacionales, así como evaluando su impacto en la eficiencia operativa y la gestión del riesgo.</t>
  </si>
  <si>
    <t>Mantener el proceso formalizado para la clasificación taxonómica, asegurando su alineación continua con las mejores prácticas y estándares internacionales, así como evaluar su efectividad en la mejora del rendimiento operativo y la toma de decisiones.</t>
  </si>
  <si>
    <t>Establecer una ponderación clara y diferenciada para cada nivel de criticidad (Muy Alto, Alto, Medio, Bajo) que refleje el impacto relativo de los activos en las operaciones, la seguridad y los costos. Documentar los criterios utilizados para la ponderación y comunicarlos a todas las partes interesadas para asegurar una comprensión común y una aplicación consistente.</t>
  </si>
  <si>
    <t xml:space="preserve"> Integrar la Seguridad de Procesos en el análisis de criticidad para identificar aquellos equipos cuya falla podría tener un impacto significativo en la seguridad del proceso y la prevención de incidentes mayores. Desarrollar criterios específicos para evaluar la criticidad en términos de seguridad y asegurar que se consideren en la clasificación de los activos.</t>
  </si>
  <si>
    <t xml:space="preserve">Validar periódicamente la identificación de equipos críticos por Seguridad de Procesos mediante la revisión de datos de incidentes, auditorías de seguridad y análisis de riesgos. </t>
  </si>
  <si>
    <t>Priorizar la realización de un análisis de criticidad de activos para identificar y clasificar los activos más críticos en las operaciones, lo que permitirá gestionar edificios, equipos, inventarios y riesgos de manera más efectiva. Esto ayudará a los equipos de mantenimiento y fiabilidad a enfocar sus esfuerzos donde más se necesiten y justificar gastos de capital y proyectos.</t>
  </si>
  <si>
    <t>Ampliar el alcance del análisis de criticidad para cubrir un mayor porcentaje de activos, priorizando aquellos que tengan un impacto significativo en la producción, seguridad y costos. Considerar la realización de un taller de criticidad de activos para aprovechar datos y mejores prácticas en el análisis.</t>
  </si>
  <si>
    <t>Continuar expandiendo el análisis de criticidad a un mayor número de activos, asegurando que se incluyan aquellos que puedan representar un riesgo importante para las operaciones. Revisar y ajustar la matriz de criticidad existente para asegurar que las jerarquías sigan siendo precisas</t>
  </si>
  <si>
    <t xml:space="preserve"> Consolidar y validar los análisis de criticidad existentes, asegurando que se estén utilizando para guiar las decisiones de mantenimiento y asignación de recursos. Identificar áreas donde se pueda mejorar la precisión y utilidad de los análisis.</t>
  </si>
  <si>
    <t>Enfocarse en completar el análisis de criticidad para el resto de los activos, asegurando que se mantenga la estabilidad y previsibilidad a largo plazo de los equipos, sistemas y operaciones. Establecer un proceso de revisión continua para asegurar que las clasificaciones sigan siendo precisas y relevantes</t>
  </si>
  <si>
    <t>Mantener un enfoque proactivo en la revisión y mejora continua del análisis de criticidad.</t>
  </si>
  <si>
    <t>Establecer criterios claros y documentados para la actualización del análisis de criticidad, incluyendo la frecuencia de revisión y los eventos que desencadenan una actualización, tales como cambios en los procesos operativos, incidentes de seguridad, modificaciones en las normativas aplicables o fallos recurrentes.</t>
  </si>
  <si>
    <t>Formalizar el proceso de revisión del análisis de criticidad, definiendo los roles y responsabilidades, la metodología a utilizar y los indicadores que señalen la necesidad de una actualización. Esto permitirá asegurar que el análisis se mantiene relevante y útil para la toma de decisiones.</t>
  </si>
  <si>
    <t>Desarrollar un procedimiento documentado que especifique cómo y cuándo se debe actualizar el análisis de criticidad en respuesta a cambios en el contexto operacional. Incluir criterios cuantitativos y cualitativos para evaluar el impacto de estos cambios en la criticidad de los activos.</t>
  </si>
  <si>
    <t>Mantener y mejorar continuamente el procedimiento formalizado para la actualización del análisis de criticidad.</t>
  </si>
  <si>
    <t>Incorporar la criticidad de los activos como un factor clave en la planificación del mantenimiento, asegurando que los activos más críticos reciban la atención prioritaria en términos de recursos, frecuencia de mantenimiento y tipo de estrategias aplicadas (preventivo, predictivo, etc.).</t>
  </si>
  <si>
    <t>Evaluar la efectividad de la priorización de activos críticos en los planes de mantenimiento, analizando si las estrategias implementadas están logrando reducir los riesgos asociados a la falla de estos activos y mejorar su disponibilidad operativa.</t>
  </si>
  <si>
    <t xml:space="preserve"> Establecer criterios formales y documentados para la priorización de activos críticos en los planes de mantenimiento. Utilizar metodologías como el análisis de criticidad o el análisis de riesgos para evaluar el impacto potencial de las fallas en la seguridad, el medio ambiente, la producción y los costos.</t>
  </si>
  <si>
    <t>Ampliar los criterios de priorización de activos críticos para incluir también el impacto potencial de las fallas en la seguridad, el medio ambiente, la producción y los costos. Asegurarse de que la disponibilidad de repuestos sea solo uno de los factores considerados en la priorización.</t>
  </si>
  <si>
    <t>Considerar también el impacto potencial de las fallas en la seguridad y el medio ambiente de los activos críticps, además de los costos asociados al tiempo fuera de servicio. Realizar un análisis de criticidad integral que evalúe todos estos factores.</t>
  </si>
  <si>
    <t>Formalizar y documentar los criterios utilizados para evaluar el impacto en la operación y la seguridad de los activos críticos, asegurando que se consideren todos los riesgos relevantes. Utilizar metodologías como el análisis de modos de falla y efectos (FMEA) para identificar los posibles fallos y sus consecuencias.</t>
  </si>
  <si>
    <t>Asegurarse de que estos factores de impacto de los activos críticos se evalúen de manera sistemática y documentada, utilizando metodologías reconocidas como el análisis de criticidad y el análisis de riesgos.</t>
  </si>
  <si>
    <t xml:space="preserve">Complementar los criterios de clasificación de activos críticos con una evaluación del impacto potencial de las fallas en la seguridad, el medio ambiente, la producción y los costos. </t>
  </si>
  <si>
    <t>Definir y documentar claramente los objetivos del análisis de criticidad para asegurar que se utilice de manera efectiva en la gestión de activos. Esto incluye establecer metas específicas relacionadas con la seguridad, la eficiencia operativa y la optimización de recursos.</t>
  </si>
  <si>
    <t>Asegurar que el análisis de criticidad se utilice sistemáticamente para priorizar los activos más críticos en los planes de mantenimiento, minimizando así el riesgo de fallos inesperados y mejorando la continuidad operativa.</t>
  </si>
  <si>
    <t xml:space="preserve"> Integrar el análisis de criticidad en la planificación del ciclo de vida de los activos, utilizando los resultados para informar decisiones sobre renovación y reemplazo, asegurando que se realicen en momentos óptimos para maximizar la eficiencia y minimizar costos.</t>
  </si>
  <si>
    <t>Asegurar que el análisis de criticidad esté formalmente documentado y utilizado como insumo clave en la planificación financiera y la gestión del portafolio de activos.</t>
  </si>
  <si>
    <t>Asegurar que el análisis de criticidad incluya una evaluación exhaustiva de los riesgos asociados a la falla de activos críticos, implementando estrategias proactivas para mitigar estos riesgos y proteger tanto la seguridad como el rendimiento operativo.</t>
  </si>
  <si>
    <t>Garantizar la integración del análisis de criticidad en la planificación de mantenimiento y en la priorización de recursos, asegurando su actualización periódica.</t>
  </si>
  <si>
    <t>Utilizar el análisis de criticidad para guiar las decisiones sobre la frecuencia y tipo de mantenimiento aplicado a cada activo, asegurando que aquellos con mayor impacto potencial reciban atención adecuada mediante mantenimiento preventivo o predictivo.</t>
  </si>
  <si>
    <t>Implementar un sistema para calcular la confiabilidad de los activos, utilizando datos históricos de fallas y métricas clave . Esto permitirá evaluar el rendimiento de los activos, identificar áreas de mejora y tomar decisiones informadas sobre mantenimiento y reemplazo.</t>
  </si>
  <si>
    <t xml:space="preserve"> Evaluar la precisión y validez de los cálculos de confiabilidad existentes, asegurando que se basen en datos precisos y se utilicen metodologías adecuadas.</t>
  </si>
  <si>
    <t>Implementar una metodología formal para seleccionar la distribución de probabilidad más adecuada para calcular la confiabilidad de los activos reparables, considerando las características de los datos de fallas y los objetivos del análisis. Es importante capacitar al personal para asegurar una aplicación uniforme y efectiva del proceso.</t>
  </si>
  <si>
    <t>Evaluar si la distribución de probabilidad para calcular la confiabilidad de los activos reparables utilizada es adecuada para todos los activos, considerando que diferentes activos pueden tener diferentes patrones de falla. Realizar pruebas de bondad de ajuste para verificar si la distribución seleccionada se ajusta bien a los datos.</t>
  </si>
  <si>
    <t>Formalizar el proceso de selección de la distribución de probabilidad para calcular la confiabilidad de los activos reparables, estableciendo criterios claros y documentados para elegir la distribución más apropiada según las características de los datos y el tipo de activo. Esto puede incluir el uso del método de máxima verosimilitud para estimar los parámetros de la distribución.</t>
  </si>
  <si>
    <t>Mantener y mejorar continuamente el proceso estructurado para la selección de la distribución  de probabilidad para calcular la confiabilidad de los activos reparables, asegurando que se basa en datos precisos y actualizados.</t>
  </si>
  <si>
    <t xml:space="preserve"> Implementar una metodología formal para seleccionar la distribución de probabilidad que mejor se ajuste a los datos de falla de los activos no reparables. Esto puede incluir el uso de pruebas de bondad de ajuste y la consideración de datos censados para evitar cálculos pesimistas de la confiabilidad.</t>
  </si>
  <si>
    <t>Considerar la aplicación de distribuciones de probabilidad paramétricas para modelar los tiempos de falla y obtener estimaciones más precisas de la confiabilidad de los activos no reparables, ya que el MTTF por sí solo puede no ser suficiente para capturar la variabilidad en los datos</t>
  </si>
  <si>
    <t>Evaluar si la distribución estándar utilizada para calcular la confiabilidad de los activos no reparables es adecuada, considerando que diferentes activos pueden tener diferentes patrones de falla. Realizar pruebas de bondad de ajuste para verificar si la distribución seleccionada se ajusta bien a los datos</t>
  </si>
  <si>
    <t>Formalizar el proceso de selección de la distribución de probabilidad para calcular la confiabilidad de los activos no reparables, estableciendo criterios claros y documentados para elegir la distribución más apropiada según las características de los datos y el tipo de activo.</t>
  </si>
  <si>
    <t xml:space="preserve">Mantener y mejorar continuamente el proceso estructurado para la selección de la distribución de probabilidad para calcular la confiabilidad de los activos no reparables, asegurando que se basa en datos precisos y actualizados. </t>
  </si>
  <si>
    <t>Utilizar una combinación de KPIs, como confiabilidad, disponibilidad y mantenibilidad, para tomar decisiones informadas sobre las estrategias de mantenimiento y la asignación de recursos</t>
  </si>
  <si>
    <t>Adoptar un enfoque estratégico y multifacético para fortalecer la confiabilidad y el mantenimiento de los activos físicos, implementando metodologías como el Mantenimiento Centrado en la Confiabilidad (RCM)</t>
  </si>
  <si>
    <t>Fortalecer la aplicación de metodologías predictivas como Weibull y análisis estadísticos para mejorar la gestión proactiva del ciclo de vida de los activos.</t>
  </si>
  <si>
    <t>Establecer criterios claros para evaluar la criticidad de los activos en función de su impacto en la producción, seguridad y costos. Esto ayudará a priorizar los recursos y las actividades de mantenimiento en los activos más críticos.</t>
  </si>
  <si>
    <t xml:space="preserve">La organización demuestra una práctica proactiva y eficiente en la gestión de activos al emplear datos de confiabilidad para establecer intervalos óptimos de mantenimiento preventivo y predictivo. </t>
  </si>
  <si>
    <t xml:space="preserve">Implementar un sistema para el registro y cálculo de los tiempos operativos de los activos, incluyendo tanto el tiempo de funcionamiento como el tiempo de inactividad. </t>
  </si>
  <si>
    <t>La organización demuestra un enfoque sólido en la gestión de activos al calcular de manera activa los tiempos operativos. Esta práctica proporciona una base firme para el análisis del rendimiento, la optimización de la eficiencia y la toma de decisiones informadas, lo que contribuye a maximizar la productividad y el valor de los activos.</t>
  </si>
  <si>
    <t>Implementar un sistema de recolección de datos para los tiempos operativos de los activos, ya que esta información es fundamental para el cálculo de indicadores clave de rendimiento (KPIs) y la toma de decisiones informadas sobre mantenimiento y gestión de activos.</t>
  </si>
  <si>
    <t xml:space="preserve"> Considerar la implementación de un sistema semiautomatizado o automatizado para la recolección de tiempos operativos, ya que los métodos manuales pueden ser propensos a errores y consumir mucho tiempo. Explorar herramientas digitales que agilicen el proceso de control de tiempo y mejoren la eficiencia</t>
  </si>
  <si>
    <t xml:space="preserve"> Evaluar la posibilidad de implementar un sistema completamente automatizado para la recolección de tiempos operativos, lo que puede eliminar el riesgo de error humano y proporcionar datos en tiempo real para la toma de decisiones</t>
  </si>
  <si>
    <t>La organización demuestra un enfoque de vanguardia en la gestión de activos al utilizar un sistema automatizado para el cálculo de los tiempos operativos. Este enfoque optimiza la precisión de los datos, reduce el riesgo de errores humanos y proporciona información en tiempo real para una toma de decisiones proactiva, lo que contribuye a la eficiencia operativa y la maximización del valor de los activo</t>
  </si>
  <si>
    <t>Implementar un programa de monitoreo de condición sistemático para detectar fallas en los equipos de forma proactiva. Esto puede incluir inspecciones visuales periódicas, análisis de vibraciones, termografía, análisis de aceite y otras técnicas</t>
  </si>
  <si>
    <t>Ampliar el programa de monitoreo de condición para incluir técnicas más avanzadas, como análisis de vibraciones, termografía y análisis de aceite. Esto permitirá detectar fallas en una etapa más temprana y evitar paradas no planificadas.</t>
  </si>
  <si>
    <t>Integrar las diferentes técnicas de monitoreo de condición en un sistema centralizado. Esto permitirá correlacionar los datos de diferentes fuentes y obtener una visión más completa del estado de los activos.</t>
  </si>
  <si>
    <t>Optimizar la integración de las técnicas de monitoreo de condición con sistemas SCADA y explorar el uso de herramientas avanzadas como IoT, Big Data y Machine Learning para el análisis predictivo. Esto permitirá mejorar la precisión de las predicciones y optimizar las estrategias de mantenimiento.</t>
  </si>
  <si>
    <t>La organización demuestra un enfoque de vanguardia en la gestión de activos al implementar un sistema integral de monitoreo de condición que integra múltiples técnicas con sistemas SCADA y explota herramientas avanzadas como IoT, Big Data y Machine Learning para el análisis predictivo. Este enfoque permite una detección temprana de fallas, una optimización de las estrategias de mantenimiento y una mejora continua de la confiabilidad y disponibilidad de los activo.</t>
  </si>
  <si>
    <t xml:space="preserve"> Implementar metodologías estructuradas de confiabilidad como RCM (Mantenimiento Centrado en Confiabilidad) o PMO (Optimización del Mantenimiento Preventivo) para mejorar la gestión de activos y maximizar su rendimiento.</t>
  </si>
  <si>
    <t>Desarrollar una política estandarizada para la aplicación de RCM y PMO en todos los activos, no solo en los críticos, para asegurar un enfoque más coherente y efectivo en la gestión del mantenimiento.</t>
  </si>
  <si>
    <t>Ampliar la aplicación de RCM y PMO a todos los procesos relevantes dentro de la organización para maximizar los beneficios de estas metodologías y mejorar la confiabilidad general de los activos.</t>
  </si>
  <si>
    <t>La organización ha adoptado un enfoque proactivo y sistemático al implementar metodologías estructuradas como RCM y PMO en la fase de operación y mantenimiento. Este compromiso no solo optimiza la confiabilidad de los activos, sino que también mejora la eficiencia operativa, reduce costos y minimiza el riesgo de fallas, asegurando así un rendimiento óptimo a lo largo del ciclo de vida de los activos</t>
  </si>
  <si>
    <t>Mantener la ponderación de criticidad y revisar periódicamente  para asegurar que sigue siendo adecuada y refleja con precisión el impacto relativo de los activos en las operaciones.</t>
  </si>
  <si>
    <t xml:space="preserve"> Implementar un sistema de gestión de activos que centralice la información para mejorar el acceso y la toma de decisiones.</t>
  </si>
  <si>
    <t>Desarrollar un sistema centralizado que permita una gestión más efectiva y un uso adecuado de la información para la toma de decisiones estratégicas.</t>
  </si>
  <si>
    <t>Ampliar el uso del CMMS para asegurar que toda la información relevante esté registrada y actualizada, facilitando así un análisis más efectivo del rendimiento de los activos.</t>
  </si>
  <si>
    <t>Mejorar la integración del CMMS/EAM con otros sistemas operativos (como SCADA o ERP) para obtener una visión más completa y realizar análisis más profundos que respalden decisiones informadas.</t>
  </si>
  <si>
    <t>La organización ha adoptado un enfoque ejemplar en la gestión de activos al implementar un sistema EAM integral que centraliza toda la información relevante. Esta práctica no solo asegura que el historial de mantenimiento, los datos de rendimiento y las especificaciones técnicas estén fácilmente accesibles, sino que también permite una integración eficiente con otros sistemas como SCADA y ERP.</t>
  </si>
  <si>
    <t>Implementar un proceso formal para evaluar la efectividad de las metodologías RCM (Mantenimiento Centrado en la Confiabilidad), PMO (Optimización del Mantenimiento Planificado) y LCC (Costo del Ciclo de Vida), con el fin de asegurar que se están cumpliendo los objetivos de mejora en la confiabilidad, reducción de costos y optimización del mantenimiento.</t>
  </si>
  <si>
    <t>Establecer métricas claras y objetivas para evaluar la efectividad de las metodologías RCM, PMO y LCC, tales como el MTBF (Tiempo Medio Entre Fallas), MTTR (Tiempo Medio de Reparación), reducción de costos de mantenimiento, aumento de la disponibilidad de los activos, entre otros.</t>
  </si>
  <si>
    <t>Formalizar el proceso de evaluación de la efectividad de las metodologías RCM, PMO y LCC, estableciendo una frecuencia de revisión, un responsable de la evaluación, un método de análisis de los datos y un sistema de documentación de los resultados.</t>
  </si>
  <si>
    <t>Alinear las métricas utilizadas para evaluar la efectividad de las metodologías RCM, PMO y LCC con estándares internacionales, como la norma SAE, para asegurar la comparabilidad de los resultados con otras organizaciones y la adopción de mejores prácticas.</t>
  </si>
  <si>
    <t>La organización demuestra un compromiso con la mejora continua y la excelencia en la gestión de activos al evaluar de manera integral la efectividad de las metodologías RCM, PMO y LCC. El uso de métricas alineadas a estándares internacionales, las revisiones periódicas y los planes de mejora continua aseguran que estas metodologías estén optimizando la confiabilidad, reduciendo los costos y mejorando el rendimiento de los activos de manera efectiva</t>
  </si>
  <si>
    <t xml:space="preserve"> Implementar el modelamiento RBD (Diagrama de Bloques de Confiabilidad) para los sistemas complejos. Esta técnica permite analizar la confiabilidad del sistema, identificar los componentes críticos y optimizar las estrategias de mantenimiento.</t>
  </si>
  <si>
    <t>La organización demuestra un enfoque en la gestión de la confiabilidad al realizar el modelamiento RBD (Diagrama de Bloques de Confiabilidad) de sus sistemas complejos. Esta práctica permite comprender a fondo la estructura de confiabilidad, identificar cuellos de botella y tomar decisiones estratégicas para optimizar el rendimiento y la disponibilidad de los sistemas.</t>
  </si>
  <si>
    <t xml:space="preserve"> Implementar el modelamiento RBD (Diagrama de Bloques de Confiabilidad) para la planta. La metodología RBD permite diagramar cualquier tipo de planta compleja. Esta práctica permite comprender a fondo la estructura de confiabilidad, identificar cuellos de botella y tomar decisiones estratégicas para optimizar el rendimiento y la disponibilidad de los sistemas</t>
  </si>
  <si>
    <t xml:space="preserve">Ampliar el modelamiento RBD a un mayor porcentaje de la planta, priorizando los sistemas más críticos. </t>
  </si>
  <si>
    <t>Continuar expandiendo el modelamiento RBD para cubrir una mayor parte de la planta, asegurando que se incluyan los sistemas que tengan un impacto significativo en la producción, la seguridad o el medio ambiente.</t>
  </si>
  <si>
    <t>Avanzar en la cobertura del modelamiento RBD para alcanzar una mayor parte de la planta, priorizando aquellos sistemas que aún no han sido modelados y que puedan representar un riesgo importante para las operaciones.</t>
  </si>
  <si>
    <t xml:space="preserve">La organización demuestra un enfoque proactivo y completo en la gestión de la confiabilidad al tener modelado en RBD (Diagrama de Bloques de Confiabilidad) entre el 81% y el 100% de la planta. </t>
  </si>
  <si>
    <t xml:space="preserve"> Establecer un sistema de gestión de información que centralice y estructure los datos necesarios para la construcción de diagramas RBD, asegurando que se utilicen fuentes confiables y actualizadas.</t>
  </si>
  <si>
    <t>Complementar los análisis gráficos con datos cuantitativos y cualitativos para mejorar la precisión y utilidad de los diagramas RBD en la identificación de modos de falla y sus impactos.</t>
  </si>
  <si>
    <t xml:space="preserve">La organización demuestra un enfoque claro al utilizar representaciones detalladas de los sistemas de procesos y sus interconexiones como base para construir diagramas RBD. </t>
  </si>
  <si>
    <t>La organización ha adoptado un enfoque innovador al integrar datos obtenidos de sistemas de supervisión, control y adquisición de datos en tiempo real en la construcción de diagramas RBD.</t>
  </si>
  <si>
    <t>Ampliar el uso de información operativa que construye los diagramas (RBD) de confiabilidad con datos reales de desempeño y análisis de fallas, para mejorar la representatividad de los diagramas RBD en la toma de decisiones.</t>
  </si>
  <si>
    <t>Implementar un estándar de modelado que complemente los esquemas con información estructurada, como el uso de P&amp;ID (Piping and Instrumentation Diagrams) o diagramas de flujo funcionales, asegurando coherencia en la representación de los sistemas.</t>
  </si>
  <si>
    <t xml:space="preserve">Implementar un proceso de actualización periódica de los diagramas RBD para reflejar los cambios en el sistema, las modificaciones en los componentes y la nueva información sobre las tasas de falla. </t>
  </si>
  <si>
    <t xml:space="preserve">Evaluar la posibilidad de utilizar herramientas de software especializadas para la creación y actualización de diagramas RBD, especialmente si se gestionan sistemas complejos. </t>
  </si>
  <si>
    <t>Considerar el uso de software especializado en análisis de confiabilidad de giagramas RBD, como ReliaSoft BlockSim, para complementar las hojas de cálculo.</t>
  </si>
  <si>
    <t>La organización ha adoptado un enfoque avanzado y eficiente al utilizar herramientas diseñadas específicamente para la creación, análisis y actualización de diagramas RBD.</t>
  </si>
  <si>
    <t xml:space="preserve"> Implementar metodologías para calcular la confiabilidad de los sistemas de activos.</t>
  </si>
  <si>
    <t xml:space="preserve">La organización demuestra un enfoque proactivo y fundamentado en datos para la gestión de activos al utilizar metodologías para calcular la confiabilidad de sus sistemas. </t>
  </si>
  <si>
    <t xml:space="preserve"> Implementar metodologías formales para analizar la confiabilidad de los sistemas de activos, ya que es crucial  asegurar la continuidad operativa, maximizar la producción y optimizar la rentabilidad.</t>
  </si>
  <si>
    <t>Ampliar el uso de metodologías como RCM (Mantenimiento Centrado en la Confiabilidad) y FTA (Análisis de Árbol de Fallos) a todos los sistemas relevantes, no solo a los críticos, para asegurar un enfoque más coherente y efectivo en la gestión del mantenimiento.</t>
  </si>
  <si>
    <t>Alinear las metodologías utilizadas, como RBD (Diagrama de Bloques de Confiabilidad) y RAMS (Análisis de Confiabilidad y Disponibilidad), con estándares internacionales para asegurar la comparabilidad de los resultados con otras organizaciones y la adopción de mejores práctica.</t>
  </si>
  <si>
    <t xml:space="preserve">La organización demuestra un enfoque proactivo y de vanguardia en la gestión de la confiabilidad al implementar un enfoque integral que combina metodologías como RCM, FMEA, FTA, RBD y RAMS, con procesos formalizados, alineados a estándares internacionales y soportados por herramientas avanzadas de análisis. </t>
  </si>
  <si>
    <t>Implementar un proceso de modelamiento RAM (Confiabilidad, Disponibilidad y Mantenibilidad) para los sistemas de activos. Este modelamiento es crucial para comprender el comportamiento del sistema, identificar áreas de mejora y optimizar las estrategias de mantenimiento.</t>
  </si>
  <si>
    <t xml:space="preserve">La organización demuestra un compromiso excepcional con la gestión de la confiabilidad al realizar modelamiento RAM (Confiabilidad, Disponibilidad y Mantenibilidad) de sus sistemas de activos. </t>
  </si>
  <si>
    <t>Implementar un sistema para la gestión de datos históricos de desempeño de los activos. Los datos precisos y actualizados son esenciales para tomar decisiones informadas sobre el rendimiento de los activos.</t>
  </si>
  <si>
    <t>Considerar la transición hacia sistemas digitales para la gestión de datos históricos de los activos, ya que estos permiten un análisis más eficiente y una mejor toma de decisiones</t>
  </si>
  <si>
    <t xml:space="preserve"> Explorar herramientas más avanzadas para la visualización y análisis de datos históricos de los activos, como Power BI o Spotfire, para identificar tendencias y patrones que puedan ayudar a mejorar el rendimiento de los activos</t>
  </si>
  <si>
    <t>Integrar las herramientas de datos hístoricos de activos con sistemas de gestión de mantenimiento (CMMS) o sistemas de supervisión y control (SCADA) para obtener una visión más completa del rendimiento de los activos</t>
  </si>
  <si>
    <t>Asegurar que el CMMS esté integrado con otras herramientas de análisis de datos y sistemas de supervisión para maximizar el valor de la información recopilada y optimizar la toma de decisiones.</t>
  </si>
  <si>
    <t>La organización demuestra un enfoque proactivo y tecnológicamente avanzado en la gestión de activos al utilizar sistemas SCADA para la supervisión y control en tiempo real de procesos industriales, recopilando datos históricos sobre el desempeño de los activos.</t>
  </si>
  <si>
    <t>Evaluar la necesidad de implementar mantenimientos mayores para los activos críticos. Estos mantenimientos pueden prolongar la vida útil de los activos, mejorar su rendimiento y reducir el riesgo de fallas inesperadas.</t>
  </si>
  <si>
    <t>La organización demuestra un enfoque proactivo y estratégico en la gestión de activos al realizar Mantenimientos Mayores.</t>
  </si>
  <si>
    <t>Desarrollar un plan de actividades para los mantenimientos mayores que incluya la identificación de activos críticos, el alcance de las tareas, la asignación de recursos y un cronograma claro.</t>
  </si>
  <si>
    <t>La organización demuestra un enfoque proactivo al contar con un plan de actividades bien estructurado para los Mantenimientos Mayores, lo que asegura una ejecución eficiente y sistemática de las tareas necesarias para mantener la confiabilidad y disponibilidad de sus activos.</t>
  </si>
  <si>
    <t>La organización demuestra un enfoque riguroso y basado en datos al evaluar el impacto del mantenimiento mayor en la confiabilidad del equipo, lo que permite una mejora continua de las estrategias de mantenimiento y una optimización del rendimiento de los activos.</t>
  </si>
  <si>
    <t>Definir y comunicar claramente las funciones y responsabilidades de cada proceso relacionado con la gestión de activos y su impacto en la confiabilidad. Esto implica documentar los roles clave, establecer métricas de rendimiento específicas para cada proceso y asegurar que el personal comprenda cómo su trabajo contribuye a la confiabilidad general de los activos.</t>
  </si>
  <si>
    <t>La organización demuestra una sólida comprensión de la gestión de activos al tener claramente definidas las funciones de los procesos en relación con la confiabilidad, lo que permite una asignación efectiva de responsabilidades y una coordinación optimizada para asegurar el máximo rendimiento de los activos.</t>
  </si>
  <si>
    <t>Establecer objetivos claros, medibles, alcanzables, relevantes y con plazos definidos (SMART) para cada proceso relacionado con la gestión de activos y su impacto en la confiabilidad. Estos objetivos deben estar alineados con las metas generales de la organización y ser comunicados a todo el personal involucrado. Revisar periódicamente el progreso hacia estos objetivos y realizar ajustes según sea necesario.</t>
  </si>
  <si>
    <t>La organización demuestra un enfoque estratégico y orientado a resultados al tener claramente definidos los objetivos de los procesos en relación con la confiabilidad de los activos, lo que facilita la medición del rendimiento y la mejora continua en la gestión de activos.</t>
  </si>
  <si>
    <t xml:space="preserve"> Definir objetivos de confiabilidad específicos que estén directamente relacionados con los objetivos generales de la organización, como el aumento de la producción, la reducción de costos o la mejora de la seguridad. Estos objetivos deben ser realistas, medibles y comunicados a todos los niveles de la organización para asegurar un compromiso generalizado con la mejora de la confiabilidad de los activos.</t>
  </si>
  <si>
    <t>La organización demuestra un enfoque estratégico y cohesivo al haber establecido objetivos de confiabilidad alineados con los objetivos organizacionales, lo que asegura que las acciones de mantenimiento y gestión de activos contribuyan directamente al éxito general de la empresa.</t>
  </si>
  <si>
    <t>Integrar objetivos de confiabilidad específicos y medibles en los planes estratégicos y operativos de los procesos relacionados con la gestión de la confiabilidad de los activos. Esto implica incluir indicadores clave de rendimiento (KPIs) de confiabilidad, establecer metas claras para mejorar la disponibilidad y reducir las fallas, y asignar recursos adecuados para alcanzar estos objetivos.</t>
  </si>
  <si>
    <t>La organización demuestra un compromiso sólido con la gestión de la confiabilidad al integrar objetivos claros en los planes estratégicos y operativos de los procesos que gestionan la confiabilidad de los activos, lo que facilita la asignación efectiva de recursos y el seguimiento del progreso hacia metas clave.</t>
  </si>
  <si>
    <t>Ampliar la participación de procesos que getsionan la confiabilidad de los activos, como Abastecimiento y Compras, para garantizar que la selección y adquisición de componentes y materiales también se alineen con los objetivos de confiabilidad.</t>
  </si>
  <si>
    <t>La organización demuestra un enfoque integral al involucrar múltiples procesos en la gestión de confiabilidad de los activos, lo que permite una colaboración efectiva entre diferentes áreas. Como recomendación, se sugiere evaluar qué otros procesos podrían integrarse para optimizar aún más la confiabilidad y el rendimiento de los activos.</t>
  </si>
  <si>
    <t>Evaluar la inclusión de procesos adicionales en la participación de la gestión de confiabilidad de los activos, como Ingeniería o Proyectos, para asegurar un enfoque más holístico en la gestión de confiabilidad que contemple todas las fases del ciclo de vida del activo.</t>
  </si>
  <si>
    <t>Formalizar el proceso de clasificación y mantenimiento de activos mediante una metodología estructurada como RCM. Esto debe incluir la documentación de los procedimientos y la capacitación del personal para asegurar la consistencia en la gestión. Es clave adoptar una visión estratégica basada en buenas prácticas de liderazgo y gestión de activos</t>
  </si>
  <si>
    <t>Formalizar el uso de metodologías como RCM o FMEA/FMECA mediante la creación de procedimientos documentados y la capacitación del personal. Esto permitirá una aplicación consistente de estas metodologías y un mejor análisis de los datos históricos. La estrategia RCM debe ser flexible y adaptable, revisándose y actualizándose periódicamente</t>
  </si>
  <si>
    <t>Estandarizar el uso de metodologías como RBI o FTA dentro de la organización, alineándolas completamente con normativas internacionales. Esto implica desarrollar procesos claros, documentados y aplicados de manera consistente en toda la empresa</t>
  </si>
  <si>
    <t>La organización demuestra un enfoque proactivo y estructurado en la gestión de la confiabilidad al aplicar metodologías formales basadas en la criticidad de los activos, como RCM o RAMS, priorizando recursos y estrategias de mantenimiento de manera sistemática.</t>
  </si>
  <si>
    <t>Desarrollar un plan estratégico para implementar estrategias de confiabilidad de los activos que incluya objetivos claros, acciones específicas y un cronograma definido. Este plan debe abordar la identificación de activos críticos, la evaluación de riesgos, y la implementación de metodologías adecuadas como RCM o FMEA. Además, es fundamental asignar recursos y establecer responsabilidades para asegurar la efectividad del plan.</t>
  </si>
  <si>
    <t>La organización demuestra un compromiso sólido con la gestión de la confiabilidad al contar con planes bien definidos para implementar estrategias de confiabilidad de los activos, lo que asegura una dirección clara y un enfoque sistemático en la mejora continua del rendimiento y la disponibilidad de los activos.</t>
  </si>
  <si>
    <t>Fomentar la colaboración activa entre los equipos de confiabilidad y otras áreas clave como producción, mantenimiento y proyectos. Esto puede lograrse mediante la creación de equipos multidisciplinarios, reuniones regulares para compartir información y la implementación de procesos que integren las perspectivas de confiabilidad en la planificación y ejecución de actividades en todas las áreas. La comunicación abierta y el trabajo en equipo son esenciales para mejorar la confiabilidad general de los activos.</t>
  </si>
  <si>
    <t>La organización demuestra un enfoque colaborativo ejemplar al permitir que los equipos de confiabilidad trabajen activamente con áreas como producción, mantenimiento y proyectos. Esta sinergia asegura que se integren las mejores prácticas en todas las etapas del ciclo de vida del activo, optimizando así su rendimiento y confiabilidad.</t>
  </si>
  <si>
    <t>Integrar la gestión de confiabilidad con otros procesos organizacionales clave, como la gestión de riesgos, el aseguramiento de calidad y la seguridad de procesos. Esto implica establecer objetivos y métricas comunes, compartir información relevante entre los procesos y coordinar las actividades para asegurar que la confiabilidad se considere en todas las decisiones y operaciones. La alineación con las normas ISO 55001 puede proporcionar un marco útil para esta integración.</t>
  </si>
  <si>
    <t>La organización demuestra un enfoque estratégico y coherente al alinear la gestión de confiabilidad con otros procesos organizacionales clave como la gestión de riesgos, el aseguramiento de calidad y la seguridad de procesos. Esta integración garantiza que la confiabilidad se considere de manera integral en todas las actividades y decisiones, optimizando así el rendimiento y la seguridad de los activos.</t>
  </si>
  <si>
    <t>Establecer un programa de reuniones periódicas entre las áreas operativas y de mantenimiento para revisar el desempeño de la confiabilidad. Estas reuniones deben enfocarse en analizar los indicadores clave de rendimiento (KPIs) de confiabilidad, identificar problemas y desarrollar planes de acción para mejorar el rendimiento. Es importante documentar las discusiones y los acuerdos alcanzados en estas reuniones para asegurar el seguimiento adecuado.</t>
  </si>
  <si>
    <t>La organización demuestra un compromiso con la mejora continua al realizar reuniones periódicas de revisión de desempeño de confiabilidad entre las áreas operativas y de mantenimiento, lo que facilita la identificación temprana de problemas y la implementación de acciones correctivas efectivas para optimizar el rendimiento de los activos.</t>
  </si>
  <si>
    <t xml:space="preserve">11-	¿Se mide la generación de valor de los procesos en la gestión de confiabilidad? </t>
  </si>
  <si>
    <t xml:space="preserve"> Implementar un sistema para medir la confiabilidad humana en relación con el cumplimiento de los indicadores de confiabilidad. Esto puede incluir la evaluación de la capacitación del personal, la adherencia a los procedimientos, la identificación de errores humanos y la implementación de medidas para prevenirlos. Considerar el uso de herramientas como el análisis de factores humanos y la gestión del error para mejorar la confiabilidad humana.</t>
  </si>
  <si>
    <t>La organización demuestra un enfoque integral y proactivo al medir la confiabilidad humana en relación con el cumplimiento de los indicadores de confiabilidad, lo que permite identificar áreas de mejora en la capacitación, los procedimientos y la gestión del error humano para optimizar el rendimiento de los activos.</t>
  </si>
  <si>
    <t>Establecer un sistema para medir la generación de valor de los procesos de gestión de confiabilidad. Esto implica identificar los beneficios clave que se esperan de estos procesos, como la reducción de costos de mantenimiento, el aumento de la disponibilidad de los activos o la mejora de la seguridad. Luego, desarrollar indicadores clave de rendimiento (KPIs) que permitan medir el progreso hacia estos beneficios y realizar un seguimiento regular de los mismos.</t>
  </si>
  <si>
    <t>"La organización demuestra un enfoque orientado a resultados al medir la generación de valor de los procesos en la gestión de confiabilidad, lo que permite una evaluación continua del impacto de estos procesos en el rendimiento general de la organización y una toma de decisiones informada para optimizar la asignación de recursos.</t>
  </si>
  <si>
    <t>Establecer un proceso para evaluar periódicamente la efectividad de las estrategias de confiabilidad implementadas. Esto implica definir criterios de evaluación claros, recopilar datos relevantes sobre el rendimiento de los activos y analizar estos datos para determinar si las estrategias están cumpliendo con los objetivos establecidos. Los resultados de esta evaluación deben utilizarse para ajustar las estrategias y mejorar continuamente la gestión de la confiabilidad.</t>
  </si>
  <si>
    <t>La organización demuestra un compromiso con la mejora continua al llevar a cabo una evaluación periódica de la efectividad de las estrategias de confiabilidad implementadas, lo que permite identificar áreas de mejora y ajustar las estrategias para optimizar el rendimiento de los activos.</t>
  </si>
  <si>
    <t>Implementar un proceso formal de mejora continua para los procedimientos y herramientas de gestión de confiabilidad. Este proceso debe incluir la recopilación de retroalimentación de los usuarios, el análisis de las tendencias de rendimiento, la identificación de áreas de mejora y la implementación de cambios para optimizar la efectividad de los procedimientos y herramientas. Es fundamental documentar este proceso y asignar responsabilidades claras para su gestión.</t>
  </si>
  <si>
    <t>La organización demuestra un compromiso con la excelencia al contar con un proceso de mejora continua para los procedimientos y herramientas de gestión de confiabilidad, lo que asegura una adaptación constante a las mejores prácticas y una optimización continua del rendimiento de los activos.</t>
  </si>
  <si>
    <t>Establecer un proceso para revisar y ajustar periódicamente los planes asociados a los análisis de confiabilidad, involucrando a un equipo interdisciplinario que incluya representantes de diferentes áreas, como mantenimiento, operaciones e ingeniería. Estas revisiones deben basarse en los resultados del desempeño de los activos, los cambios en las condiciones operativas y las nuevas tecnologías disponibles. Es importante documentar las revisiones y los ajustes realizados para asegurar el seguimiento adecuado.</t>
  </si>
  <si>
    <t>La organización demuestra un enfoque proactivo y colaborativo al revisar y ajustar periódicamente los planes asociados a los análisis de confiabilidad con un equipo interdisciplinario, lo que asegura que se consideren diferentes perspectivas y que los planes se adapten a las necesidades cambiantes para optimizar el rendimiento de los activos.</t>
  </si>
  <si>
    <t>Integrar la confiabilidad como un pilar clave en la estrategia corporativa de gestión de activos. Esto implica definir objetivos de confiabilidad claros y medibles que estén alineados con los objetivos generales de la organización, y comunicar la importancia de la confiabilidad a todos los niveles de la empresa. La alta dirección debe demostrar un compromiso visible con la confiabilidad y asignar los recursos necesarios para su gestión efectiva.</t>
  </si>
  <si>
    <t>La organización demuestra un enfoque estratégico y visionario al incluir la confiabilidad como un pilar clave en la gestión de activos dentro de su estrategia corporativa, lo que asegura que la confiabilidad se considere en todas las decisiones y operaciones, optimizando así el rendimiento y la sostenibilidad de los activos.</t>
  </si>
  <si>
    <t>Desarrollar e implementar una política de gestión de activos y/o mantenimiento que incluya lineamientos claros y específicos para la gestión de la confiabilidad. Esta política debe definir los objetivos de confiabilidad, las responsabilidades de cada área en relación con la confiabilidad y los procedimientos para asegurar el cumplimiento de los objetivos. Es importante comunicar esta política a todo el personal y asegurarse de que se comprenda y se aplique correctamente.</t>
  </si>
  <si>
    <t>La organización demuestra un compromiso sólido con la gestión de la confiabilidad al contar con una política de gestión de activos y/o mantenimiento con lineamientos claros y específicos para la gestión de la confiabilidad, lo que asegura una dirección clara y un enfoque sistemático en la mejora continua del rendimiento y la disponibilidad de los activos.</t>
  </si>
  <si>
    <t>Crear áreas o equipos especializados en la gestión de confiabilidad dentro de la organización. Estos equipos deben tener la responsabilidad de desarrollar e implementar estrategias de confiabilidad, realizar análisis de fallas, coordinar actividades de mantenimiento preventivo y predictivo, y capacitar al personal en temas de confiabilidad. Es importante asignar recursos adecuados a estos equipos y asegurar que tengan la autoridad necesaria para influir en las decisiones relacionadas con la gestión de activos.</t>
  </si>
  <si>
    <t>La organización demuestra un compromiso firme con la gestión de la confiabilidad al contar con áreas o equipos especializados dedicados a esta función, lo que asegura que se dediquen recursos y conocimientos especializados para optimizar el rendimiento y la disponibilidad de los activos.</t>
  </si>
  <si>
    <t>La organización demuestra un enfoque organizado y estructurado al contar con matrices de roles y responsabilidades claras para la gestión de confiabilidad de los activos en todos los procesos relevantes, lo que asegura una asignación efectiva de responsabilidades y una coordinación optimizada para maximizar el rendimiento de los activos.</t>
  </si>
  <si>
    <t>Definir competencias específicas en confiabilidad para los diferentes roles dentro de la organización, incluyendo habilidades técnicas, conocimientos y aptitudes necesarias para desempeñar las tareas relacionadas con la confiabilidad de los activos. Esto permite asegurar que el personal cuente con la capacitación y el desarrollo necesarios para cumplir con sus responsabilidades en la gestión de la confiabilidad.</t>
  </si>
  <si>
    <t>La organización demuestra un compromiso con el desarrollo de su personal al haber definido competencias específicas en confiabilidad para los diferentes roles dentro de la organización, lo que asegura que el personal cuente con la capacitación y el desarrollo necesarios para cumplir con sus responsabilidades en la gestión de la confiabilidad.</t>
  </si>
  <si>
    <t>Establecer un programa de capacitación periódica en metodologías y herramientas de gestión de confiabilidad para el personal clave. Este programa debe cubrir temas como RCM (Reliability Centered Maintenance), FMEA (Failure Mode and Effects Analysis), análisis de causa raíz, análisis de datos de confiabilidad y el uso de software de gestión de mantenimiento. Es importante evaluar la efectividad de la capacitación y ajustar el programa según sea necesario.</t>
  </si>
  <si>
    <t>La organización demuestra un compromiso con el desarrollo continuo de su personal al proporcionar capacitación periódica en metodologías y herramientas de gestión de confiabilidad al personal clave, lo que asegura que estén actualizados con las últimas técnicas y mejores prácticas para optimizar el rendimiento de los activos.</t>
  </si>
  <si>
    <t>Desarrollar e implementar procesos estandarizados para la transferencia de conocimiento sobre confiabilidad entre diferentes áreas de la organización. Esto puede incluir la creación de comunidades de práctica, la realización de talleres y seminarios, la documentación de las lecciones aprendidas y el uso de plataformas de colaboración en línea. El objetivo es asegurar que el conocimiento sobre confiabilidad se comparta y se aplique de manera efectiva en toda la organización.</t>
  </si>
  <si>
    <t>La organización demuestra un enfoque colaborativo y un compromiso con el aprendizaje organizacional al contar con procesos estandarizados para la transferencia de conocimiento sobre confiabilidad entre diferentes áreas, lo que asegura que las mejores prácticas se compartan y se apliquen de manera efectiva en toda la organización.</t>
  </si>
  <si>
    <t>Desarrollar e implementar una estrategia de cambio cultural que apoye las mejoras en las estrategias de confiabilidad de los activos. Esta estrategia debe incluir la comunicación clara de la importancia de la confiabilidad, la capacitación del personal en nuevas prácticas y la promoción de un ambiente que valore la mejora continua y la colaboración. También es fundamental involucrar a la alta dirección para que actúe como modelo a seguir en el fomento de una cultura orientada a la confiabilidad.</t>
  </si>
  <si>
    <t>La organización demuestra un compromiso sólido con la mejora continua al contar con una estrategia de cambio cultural que apoya las mejoras en las estrategias de confiabilidad de los activos, lo que fomenta un entorno donde se valoran la colaboración, la innovación y el aprendizaje continuo para optimizar el rendimiento y la sostenibilidad de los activos.</t>
  </si>
  <si>
    <t>Fomentar el apoyo a la implementación de nuevas tecnologías de la industria 4.0 que puedan mejorar la gestión de confiabilidad de activos y procesos. Esto incluye la evaluación de tecnologías como el Internet de las Cosas (IoT), análisis de datos, inteligencia artificial y mantenimiento predictivo. La organización debe asignar recursos para investigar, capacitar al personal y realizar pruebas piloto que demuestren el valor de estas tecnologías en la mejora de la confiabilidad.</t>
  </si>
  <si>
    <t>La organización demuestra un enfoque proactivo y visionario al apoyar la implementación de nuevas tecnologías de la industria 4.0 en la gestión de confiabilidad de activos y procesos, lo que permite optimizar el rendimiento, aumentar la eficiencia operativa y asegurar una ventaja competitiva en un entorno industrial en constante evolución.</t>
  </si>
  <si>
    <t>Establecer un proceso para documentar sistemáticamente las mejores prácticas y las lecciones aprendidas en la gestión de confiabilidad. Esto puede incluir la creación de una base de datos centralizada, la realización de reuniones periódicas para compartir experiencias y la elaboración de informes que resuman las principales conclusiones. Es fundamental asegurar que esta documentación sea accesible a todo el personal relevante y que se utilice para mejorar continuamente las prácticas de gestión de confiabilidad.</t>
  </si>
  <si>
    <t>La organización demuestra un compromiso con el aprendizaje continuo y la mejora de procesos al documentar las mejores prácticas y lecciones aprendidas en la gestión de confiabilidad, lo que facilita la transferencia de conocimiento y asegura que las experiencias valiosas se utilicen para optimizar el rendimiento de los activos a largo plazo.</t>
  </si>
  <si>
    <t xml:space="preserve"> Implementar un programa de auditorías internas que evalúe el nivel de aplicación de las prácticas de confiabilidad en la organización. Estas auditorías deben ser programadas regularmente y enfocarse en verificar el cumplimiento de los procedimientos establecidos, identificar áreas de mejora y asegurar que se sigan las mejores prácticas. Los resultados de las auditorías deben ser documentados y utilizados para impulsar acciones correctivas y mejorar continuamente la gestión de confiabilidad.</t>
  </si>
  <si>
    <t>La organización demuestra un compromiso sólido con la mejora continua al realizar auditorías internas para medir el nivel de aplicación de prácticas de confiabilidad, lo que permite identificar oportunidades de mejora y asegurar que se mantengan altos estándares en la gestión de activos.</t>
  </si>
  <si>
    <t>NIVEL DE MADUREZ -  APLICACIÓN DE PRÁCTICAS DE GESTIÓN DE CONFIABILIDAD EN ACTIVOS</t>
  </si>
  <si>
    <t>Diseño y Taxonomía de Activos:</t>
  </si>
  <si>
    <t>Mantenimiento Correctivo y Preventivo:</t>
  </si>
  <si>
    <t>Análisis de Criticidad:</t>
  </si>
  <si>
    <t>Análisis de Confiabilidad y Tiempos Operativos:</t>
  </si>
  <si>
    <t>Monitoreo, Metodologías y Gestión de Información:</t>
  </si>
  <si>
    <t>NIVEL DE MADUREZ -  APLICACIÓN DE PRÁCTICAS DE GESTIÓN DE CONFIABILIDAD EN SISTEMAS DE ACTIVOS</t>
  </si>
  <si>
    <t xml:space="preserve"> Modelamiento y Análisis de Confiabilidad:</t>
  </si>
  <si>
    <t>Fuentes de Información y Herramientas:</t>
  </si>
  <si>
    <t>Metodologías de Cálculo de Confiabilidad:</t>
  </si>
  <si>
    <t>Mantenimiento Mayor y su Impacto:</t>
  </si>
  <si>
    <t>NIVEL DE MADUREZ -  APLICACIÓN DE PRÁCTICAS DE GESTIÓN DE CONFIABILIDAD EN PROCESOS ORGANIZACIONALES QUE GESTIONAN ESTRATEGIAS DE CONFIABILIDAD DE LOS ACTIVOS</t>
  </si>
  <si>
    <t>Definición de Objetivos y Estrategia de Confiabilidad:</t>
  </si>
  <si>
    <t>Procesos y Métodos para la Gestión de Confiabilidad:</t>
  </si>
  <si>
    <t>Colaboración y Alineación Organizacional:</t>
  </si>
  <si>
    <t>Seguimiento y Evaluación del Desempeño:</t>
  </si>
  <si>
    <t>Mejora Continua y Optimización:</t>
  </si>
  <si>
    <t>NIVEL DE MADUREZ -  APLICACIÓN DE PRÁCTICAS DE GESTIÓN DE CONFIABILIDAD EN LA ORGANIZACIÓN</t>
  </si>
  <si>
    <t>Estrategia y Política de Confiabilidad:</t>
  </si>
  <si>
    <t>Estructura Organizacional y Roles:</t>
  </si>
  <si>
    <t>Desarrollo de Competencias y Transferencia de Conocimiento:</t>
  </si>
  <si>
    <t>Cultura Organizacional y Mejora Continua:</t>
  </si>
  <si>
    <t>Innovación y Transformación Digital:</t>
  </si>
  <si>
    <t>Evaluación y Auditoría de Prácticas de Confiabilidad:</t>
  </si>
  <si>
    <t>La confiabilidad es un pilar esencial para garantizar la sostenibilidad, eficiencia y competitividad de cualquier organización. En este contexto, la Herramienta de Diagnóstico de Apliación de Prácticas de Confiabilidad Organizacional ha sido diseñada para evaluar de manera integral el nivel de confiabilidad de una organización, identificando fortalezas, debilidades y oportunidades de mejora en cuatro áreas fundamentales:
- Confiabilidad de Activos: Evalúa el desempeño, disponibilidad y mantenimiento de los activos individuales, considerando su impacto en la operación general.
- Confiabilidad de Sistemas: Analiza el comportamiento colectivo de grupos de activos, incluyendo su interdependencia funcional y capacidad de tolerancia a fallas.
- Confiabilidad de Procesos Organizacionales: Examina la efectividad de los procesos internos, la adherencia a estándares y la capacidad de respuesta ante fallas.
- Confiabilidad de la Organización: Considera aspectos estratégicos, como la cultura organizacional, la toma de decisiones y la relación con los stakeholders.</t>
  </si>
  <si>
    <t>Esta herramienta ha sido diseñada para ayudar a las organizaciones a evaluar y mejorar su nivel de madurez en la aplicación de prácticas de gestión de confiabilidad. A través de un proceso de diágnostico y un análisis de resultados, podrá identificar fortalezas, áreas de oportunidad y obtener recomendaciones para optimizar la gestión de sus activos.</t>
  </si>
  <si>
    <t>Pestaña "Diagnóstico": Autoevaluación del Nivel de Madurez</t>
  </si>
  <si>
    <t>INTRODUCCIÓN A LA HERRAMIENTA</t>
  </si>
  <si>
    <t>En esta pestaña encontrará un cuestionario detallado que cubre los aspectos clave de la gestión de confiabilidad. Las preguntas están diseñadas para reflejar el nivel de implementación de prácticas de confiabilidad en su organización, y se dividen en cuatro fases progresivas, que abarcan desde la aplicación básica hasta la gestión estratégica de la confiabilidad:</t>
  </si>
  <si>
    <r>
      <rPr>
        <sz val="11"/>
        <color rgb="FF000080"/>
        <rFont val="Avenir book"/>
      </rPr>
      <t>1- Aplicación de prácticas de gestión de confiabilidad en activos:</t>
    </r>
    <r>
      <rPr>
        <sz val="11"/>
        <color theme="1"/>
        <rFont val="Avenir book"/>
      </rPr>
      <t xml:space="preserve"> Evalúa la implementación de técnicas de confiabilidad a nivel de activos.</t>
    </r>
  </si>
  <si>
    <r>
      <rPr>
        <sz val="11"/>
        <color rgb="FF000080"/>
        <rFont val="Avenir book"/>
      </rPr>
      <t>2- Aplicación de prácticas de gestión de confiabilidad en sistemas de activos:</t>
    </r>
    <r>
      <rPr>
        <sz val="11"/>
        <color theme="1"/>
        <rFont val="Avenir book"/>
      </rPr>
      <t xml:space="preserve"> Evalúa cómo se aplican las prácticas de confiabilidad a nivel de sistemas, considerando las interdependencias entre los activos.</t>
    </r>
  </si>
  <si>
    <r>
      <rPr>
        <sz val="11"/>
        <color rgb="FF000080"/>
        <rFont val="Avenir book"/>
      </rPr>
      <t xml:space="preserve">3- Aplicación de prácticas de gestión de confiabilidad en procesos organizacionales que gestionan estrategias de confiabilidad de los activos: </t>
    </r>
    <r>
      <rPr>
        <sz val="11"/>
        <color theme="1"/>
        <rFont val="Avenir book"/>
      </rPr>
      <t>Analiza cómo se integran las estrategias de confiabilidad en los procesos clave de la organización, como el mantenimiento, prácticas y herramientas de gestión de confiabilidad</t>
    </r>
  </si>
  <si>
    <r>
      <rPr>
        <sz val="11"/>
        <color rgb="FF000080"/>
        <rFont val="Avenir book"/>
      </rPr>
      <t xml:space="preserve">4- Gestión de prácticas de confiabilidad en la organización: </t>
    </r>
    <r>
      <rPr>
        <sz val="11"/>
        <color theme="1"/>
        <rFont val="Avenir book"/>
      </rPr>
      <t>Evalúa el nivel de compromiso y la cultura organizacional en torno a la confiabilidad, incluyendo la capacitación, la comunicación y la mejora continua.</t>
    </r>
  </si>
  <si>
    <t>Responda las preguntas con sinceridad y precisión para obtener una evaluación realista de su nivel de madurez actual.</t>
  </si>
  <si>
    <r>
      <rPr>
        <sz val="11"/>
        <color rgb="FF000080"/>
        <rFont val="Avenir book"/>
      </rPr>
      <t>Gráficas radiales:</t>
    </r>
    <r>
      <rPr>
        <sz val="11"/>
        <color theme="1"/>
        <rFont val="Avenir book"/>
      </rPr>
      <t xml:space="preserve"> Para cada una de las cuatro fases, se presenta una gráfica radial que desglosa los principales temas evaluados en esa fase. Esto brinda una comprensión de las fortalezas y debilidades en cada área específica de la gestión de confiabilidad.</t>
    </r>
  </si>
  <si>
    <r>
      <rPr>
        <sz val="11"/>
        <color rgb="FF000080"/>
        <rFont val="Avenir book"/>
      </rPr>
      <t xml:space="preserve">Recomendaciones: </t>
    </r>
    <r>
      <rPr>
        <sz val="11"/>
        <color theme="1"/>
        <rFont val="Avenir book"/>
      </rPr>
      <t>Basándose en su nivel de madurez identificado, la herramienta generará una serie de recomendaciones específicas y accionables para ayudarle a mejorar sus prácticas de gestión de confiabilidad. Estas recomendaciones están diseñadas para guiarle en la implementación de las estrategias, tácticas y operaciones más efectivas para su organización.</t>
    </r>
  </si>
  <si>
    <t>Rojo</t>
  </si>
  <si>
    <t>Amarillo</t>
  </si>
  <si>
    <t>Verde</t>
  </si>
  <si>
    <t>R1</t>
  </si>
  <si>
    <t>R2</t>
  </si>
  <si>
    <t>ACTIVOS</t>
  </si>
  <si>
    <t>SISTEMAS DE ACTIVOS</t>
  </si>
  <si>
    <t>PROCESOS</t>
  </si>
  <si>
    <t>ORGANIZACIONAL</t>
  </si>
  <si>
    <t>SEMAFORO</t>
  </si>
  <si>
    <t>RIESGO</t>
  </si>
  <si>
    <t>% Indicador</t>
  </si>
  <si>
    <t>Barra</t>
  </si>
  <si>
    <t>Indicador</t>
  </si>
  <si>
    <t>Nivel de Riesgo:</t>
  </si>
  <si>
    <t>Consecuencia</t>
  </si>
  <si>
    <t>Probabilidad</t>
  </si>
  <si>
    <t>Importancia estratégica de implementación*</t>
  </si>
  <si>
    <t>Materialización efectos no deseados*</t>
  </si>
  <si>
    <t>Priorización de acciones - Matriz de criticidad</t>
  </si>
  <si>
    <t>APLICACIÓN DE PRÁCTICAS DE GESTIÓN DE CONFIABILIDAD EN SISTEMAS DE ACTIVOS</t>
  </si>
  <si>
    <t>APLICACIÓN DE PRÁCTICAS DE GESTIÓN DE CONFIABILIDAD EN PROCESOS ORGANIZACIONALES QUE GESTIONAN ESTRATEGIAS DE CONFIABILIDAD DE LOS ACTIVOS</t>
  </si>
  <si>
    <t>APLICACIÓN DE PRÁCTICAS DE GESTIÓN DE CONFIABILIDAD EN LA ORGANIZACIÓN</t>
  </si>
  <si>
    <t>NIVEL DE MADUREZ - ALERTAS - NIVEL DE RIESGOS -  PRIORIZACIÓN DE ACCIONES: APLICACIÓN DE PRÁCTICAS DE GESTIÓN DE CONFIABILIDAD</t>
  </si>
  <si>
    <t>Semáforo alertas</t>
  </si>
  <si>
    <t>Desarrollar e implementar un proceso documentado para la evaluación del LCC y la aplicación de principios de RCM, incluyendo la capacitación del personal en estas metodologías</t>
  </si>
  <si>
    <t>Implementar un proceso formal para desarrollar una clasificación taxonómica de los activos</t>
  </si>
  <si>
    <t>Establecer un enfoque estructurado para la clasificación de activos, utilizando estándares reconocidos como ISO 14224</t>
  </si>
  <si>
    <t>Desarrollar e implementar una metodología formal para la clasificación de activos que operan hasta la falla</t>
  </si>
  <si>
    <t>Establecer un enfoque estructurado para la clasificación de activos, utilizando metodologías reconocidas como RCM o FMEA,</t>
  </si>
  <si>
    <t>Incorporar la criticidad de los activos como un factor clave en la planificación del mantenimiento</t>
  </si>
  <si>
    <t xml:space="preserve"> Establecer criterios formales y documentados para la priorización de activos críticos en los planes de mantenimiento</t>
  </si>
  <si>
    <t xml:space="preserve">Ampliar los criterios de priorización de activos críticos para incluir también el impacto potencial de las fallas en la seguridad, el medio ambiente, la producción y los costos. </t>
  </si>
  <si>
    <t>Implementar una metodología formal para seleccionar la distribución de probabilidad más adecuada para calcular la confiabilidad de los activos reparables</t>
  </si>
  <si>
    <t>Implementar un sistema para el registro y cálculo de los tiempos operativos de los activos</t>
  </si>
  <si>
    <t>Implementar un sistema de recolección de datos para los tiempos operativos de los activos</t>
  </si>
  <si>
    <t xml:space="preserve"> Considerar la implementación de un sistema semiautomatizado o automatizado para la recolección de tiempos operativos</t>
  </si>
  <si>
    <t xml:space="preserve">Implementar un programa de monitoreo de condición sistemático para detectar fallas en los equipos de forma proactiva. </t>
  </si>
  <si>
    <t xml:space="preserve">Ampliar el programa de monitoreo de condición para incluir técnicas más avanzadas, como análisis de vibraciones, termografía y análisis de aceite. </t>
  </si>
  <si>
    <t xml:space="preserve">Implementar un proceso formal para evaluar la efectividad de las metodologías RCM , PMO  y LCC </t>
  </si>
  <si>
    <t>Establecer métricas claras y objetivas para evaluar la efectividad de las metodologías RCM, PMO y LCC</t>
  </si>
  <si>
    <t>Calcular la confiabilidad de los activos, utilizando datos históricos de fallas.</t>
  </si>
  <si>
    <t>Implementar un análisis de criticidad para clasificar los activos, priorizando los de mayor impacto</t>
  </si>
  <si>
    <t xml:space="preserve"> Implementar metodologías de confiabilidad como RCM o PMO </t>
  </si>
  <si>
    <t>Desarrollar una política  para la aplicación de RCM y PMO en todos los activos</t>
  </si>
  <si>
    <t>Desarrollar e implementar una metodología para la evaluación de la criticidad de los activos</t>
  </si>
  <si>
    <t>Desarrollar un análisis de criticidad  utilizando metodologías como el análisis de criticidad (NORZOK Z-008) o FMEA (IEC 60812)</t>
  </si>
  <si>
    <t>Implementar KPIs como: confiabilidad, disponibilidad y mantenibilidad, para tomar decisiones.</t>
  </si>
  <si>
    <t>Integrar el análisis de confiabilidad (indicadores de confiabilidad, disponibilidad, mantenibilidad )en las decisiones de mantenimiento y reposición, ya que la mejora de la confiabilidad debe ser uno de los principales objetivos de la gestión de mantenimiento. Se debe tener en cuenta que lo que no se mide, no se puede mejorar.</t>
  </si>
  <si>
    <t>Integrar indicadores de confiabilidad en las decisiones de mantenimiento y reposición</t>
  </si>
  <si>
    <t xml:space="preserve">Aplicar distribuciones de probabilidad como Weibull o Exponencial para modelar los tiempos de falla y obtener estimaciones más precisas de la confiabilidad. </t>
  </si>
  <si>
    <t>Considerar la aplicación de distribuciones de probabilidad como Weibull o Exponencial para modelar los tiempos de falla y obtener estimaciones más precisas de la confiabilidad. El MTBF por sí solo puede no ser suficiente para capturar la variabilidad en los datos.</t>
  </si>
  <si>
    <t xml:space="preserve"> Implementar una metodología para seleccionar la distribución de probabilidad que mejor se ajuste a los datos de falla de los activos no reparables. </t>
  </si>
  <si>
    <t>Aplicar distribuciones de probabilidad para modelar los tiempos de falla de los activos no reparables</t>
  </si>
  <si>
    <t xml:space="preserve"> Establecer un proceso formal para identificar y documentar todos los activos incluidos en las rutinas de mantenimiento preventivo. </t>
  </si>
  <si>
    <t xml:space="preserve"> Establecer un proceso formal para identificar y documentar todos los activos incluidos en las rutinas de mantenimiento preventivo. Esto debe incluir la creación de un inventario detallado que contemple la frecuencia de mantenimiento, las tareas específicas a realizar y la asignación de responsabilidades, asegurando así una gestión más eficaz y proactiva del mantenimiento.</t>
  </si>
  <si>
    <t>Establecer una ponderación clara y diferenciada para cada nivel de criticidad de los activos</t>
  </si>
  <si>
    <t xml:space="preserve"> Integrar la SP en el análisis de criticidad </t>
  </si>
  <si>
    <t>Priorizar el análisis de criticidad de activos</t>
  </si>
  <si>
    <t>Ampliar el alcance del análisis de criticidad para cubrir un mayor porcentaje de activos</t>
  </si>
  <si>
    <t>Establecer criterios claros y documentados para la actualización del análisis de criticidad</t>
  </si>
  <si>
    <t>Formalizar el proceso de revisión del análisis de criticidad, definiendo los roles y responsabilidades</t>
  </si>
  <si>
    <t>Definir y documentar claramente los objetivos del análisis de criticidad.</t>
  </si>
  <si>
    <t>Asegurar que el análisis de criticidad se utilice sistemáticamente para priorizar los activos más críticos .</t>
  </si>
  <si>
    <t xml:space="preserve"> Implementar un sistema de gestión de activos que centralice la información para la toma de decisiones.</t>
  </si>
  <si>
    <t xml:space="preserve">Establecer un proceso para identificar y documentar los activos que siguen una estrategia de mantenimiento correctivo </t>
  </si>
  <si>
    <t>Implementar un proceso formal deLCC y RCM durante la fase de diseño e incorporación de activos</t>
  </si>
  <si>
    <t xml:space="preserve"> Implementar una metodología para determinar qué activos deben incluirse en el PM preventivo, utilizando metodologías como el análisis de criticidad o FMEA </t>
  </si>
  <si>
    <t>Establecer un enfoque estructurado para seleccionar los activos incluidos en el PM preventivo, utilizando metodologías como análisis de criticidad o FMECA</t>
  </si>
  <si>
    <t xml:space="preserve"> Implementar el modelamiento RBD a los sistemas complejos. </t>
  </si>
  <si>
    <t xml:space="preserve"> Implementar el modelamiento RBD (Diagrama de Bloques de Confiabilidad) para la planta. </t>
  </si>
  <si>
    <t>Continuar expandiendo el modelamiento RBD para cubrir una mayor parte de la planta.</t>
  </si>
  <si>
    <t>Avanzar en la cobertura del modelamiento RBD para alcanzar una mayor parte de la planta.</t>
  </si>
  <si>
    <t xml:space="preserve"> Establecer un sistema de gestión de información que centralice y estructure los datos necesarios para la construcción de diagramas RBD.</t>
  </si>
  <si>
    <t>Complementar los análisis gráficos con datos cuantitativos y cualitativos para mejorar la precisión y utilidad de los diagramas RBD.</t>
  </si>
  <si>
    <t>Implementar un estándar de modelado que complemente los esquemas con información estructurada, como el uso de P&amp;ID o diagramas de flujo funcionales.</t>
  </si>
  <si>
    <t>Ampliar el uso de información operativa que construye los diagramas (RBD) de confiabilidad con datos reales de desempeño y análisis de fallas.</t>
  </si>
  <si>
    <t>Implementar un proceso de actualización periódica de los diagramas RBD para reflejar los cambios en el sistema.</t>
  </si>
  <si>
    <t xml:space="preserve"> Implementar metodologías formales para analizar la confiabilidad de los sistemas de activos.</t>
  </si>
  <si>
    <t>Ampliar el uso de metodologías como RCM y FTA a todos los sistemas relevantes.</t>
  </si>
  <si>
    <t>Alinear las metodologías utilizadas, como RBD y RAMS, con estándares internacionales para asegurar la comparabilidad de los resultados con otras organizaciones y la adopción de mejores práctica.</t>
  </si>
  <si>
    <t xml:space="preserve">Implementar un proceso de modelamiento RAM (Confiabilidad, Disponibilidad y Mantenibilidad) para los sistemas de activos. </t>
  </si>
  <si>
    <t>Implementar un sistema para la gestión de datos históricos de desempeño de los activos</t>
  </si>
  <si>
    <t>Considerar la transición hacia sistemas digitales para la gestión de datos históricos de los activos.</t>
  </si>
  <si>
    <t xml:space="preserve"> Explorar herramientas más avanzadas para la visualización y análisis de datos históricos de los activos, como Power BI o Spotfire.</t>
  </si>
  <si>
    <t>Integrar las herramientas de datos hístoricos de activos con sistemas de gestión de mantenimiento (CMMS) o sistemas de supervisión y control (SCADA).</t>
  </si>
  <si>
    <t>Evaluar la necesidad de implementar mantenimientos mayores para los activos críticos.</t>
  </si>
  <si>
    <t>Desarrollar un plan de actividades para los mantenimientos mayores que incluya la identificación de activos críticos.</t>
  </si>
  <si>
    <t>Desarrollar un proceso estructurado y documentado para la aplicación de metodologías de confiabilidad como FMEA (Análisis de Modos de Fallo y Efectos), para identificar posibles fallas en componentes o activos, evaluar su impacto y eliminar errores para maximizar el desempeño</t>
  </si>
  <si>
    <t>Desarrollar un proceso estructurado y documentado para la aplicación de metodologías de confiabilidad como FMEA.</t>
  </si>
  <si>
    <t xml:space="preserve">Implementar un proceso para evaluar el impacto del mantenimiento mayor en la confiabilidad de los equipos. </t>
  </si>
  <si>
    <t>Implementar un proceso para evaluar el impacto del mantenimiento mayor en la confiabilidad de los equipos. Este proceso debe incluir la recopilación de datos de rendimiento antes y después del mantenimiento, el análisis de las tendencias de confiabilidad y la comparación con los objetivos establecidos.</t>
  </si>
  <si>
    <t>Definir y comunicar claramente las funciones y responsabilidades de cada proceso relacionado con la gestión de activos y su impacto en la confiabilidad.</t>
  </si>
  <si>
    <t xml:space="preserve">Establecer objetivos claros, medibles, alcanzables, relevantes y con plazos definidos (SMART) para cada proceso relacionado con la gestión de activos y su impacto en la confiabilidad. </t>
  </si>
  <si>
    <t>Involucrar otros procesos que impactan y gestionen  la confiabilidad de los activos, como la Ingeniería y los Proyectos, para asegurar que se consideren todos los aspectos que afectan el rendimiento y la durabilidad de los activos.</t>
  </si>
  <si>
    <t>Involucrar otros procesos que impactan y gestionen  la confiabilidad de los activos.</t>
  </si>
  <si>
    <t>Ampliar la participación de procesos que gestionan la confiabilidad de los activos.</t>
  </si>
  <si>
    <t xml:space="preserve">Formalizar el proceso de clasificación y mantenimiento de activos mediante una metodología estructurada como RCM. Esto debe incluir la documentación de los procedimientos y la capacitación del personal para asegurar la consistencia en la gestión. </t>
  </si>
  <si>
    <t xml:space="preserve">Formalizar el uso de metodologías como RCM o FMEA/FMECA mediante la creación de procedimientos documentados y la capacitación del personal. </t>
  </si>
  <si>
    <t xml:space="preserve">Estandarizar el uso de metodologías como RBI o FTA dentro de la organización, alineándolas completamente con normativas internacionales. </t>
  </si>
  <si>
    <t xml:space="preserve">Desarrollar un plan estratégico para implementar estrategias de confiabilidad de los activos que incluya objetivos claros, acciones específicas y un cronograma definido. </t>
  </si>
  <si>
    <t xml:space="preserve">Fomentar la colaboración activa entre los equipos de confiabilidad y otras áreas clave como producción, mantenimiento y proyectos. </t>
  </si>
  <si>
    <t xml:space="preserve">Integrar la gestión de confiabilidad con otros procesos organizacionales clave, como la gestión de riesgos, el aseguramiento de calidad y la seguridad de procesos. </t>
  </si>
  <si>
    <t xml:space="preserve">Establecer un programa de reuniones periódicas entre las áreas operativas y de mantenimiento para revisar el desempeño de la confiabilidad. </t>
  </si>
  <si>
    <t xml:space="preserve">Establecer un sistema para medir la generación de valor de los procesos de gestión de confiabilidad. </t>
  </si>
  <si>
    <t xml:space="preserve"> Implementar un sistema para medir la confiabilidad humana en relación con el cumplimiento de los indicadores de confiabilidad. </t>
  </si>
  <si>
    <t xml:space="preserve">Implementar un proceso formal de mejora continua para los procedimientos y herramientas de gestión de confiabilidad. </t>
  </si>
  <si>
    <t>Establecer un proceso para revisar y ajustar periódicamente los planes asociados a los análisis de confiabilidad, involucrando a un equipo interdisciplinario que incluya representantes de diferentes áreas.</t>
  </si>
  <si>
    <t xml:space="preserve"> Definir objetivos de confiabilidad específicos que estén alineados con los objetivos generales de la organización, como el aumento de la producción, la reducción de costos o la mejora de la seguridad..</t>
  </si>
  <si>
    <t>Integrar objetivos de confiabilidad específicos y medibles en los planes estratégicos y operativos de los procesos relacionados con la gestión de la confiabilidad de los activos.</t>
  </si>
  <si>
    <t>Establecer un proceso para evaluar periódicamente la efectividad de las estrategias de confiabilidad implementadas. Esto implica definir criterios de evaluación claros y recopilar datos relevantes del rendimiento de los activos y analizar estos datos.</t>
  </si>
  <si>
    <t xml:space="preserve"> Implementar una metodología de confiabilidad, como el Mantenimiento Centrado en Confiabilidad (RCM). Esto implica identificar los activos críticos, analizar sus modos de falla y desarrollar estrategias de mantenimiento predictivas, preventivas o correctivas. También se recomienda capacitar al personal en metodologías como FMEA (Failure Modes and Effects Analysis) para el análisis de fallos</t>
  </si>
  <si>
    <t xml:space="preserve"> Implementar una metodología de confiabilidad, como el RCM. Esto implica identificar los activos críticos, analizar sus modos de falla y desarrollar estrategias de mantenimiento predictivas, preventivas o correctivas.</t>
  </si>
  <si>
    <t xml:space="preserve">Integrar la confiabilidad como un pilar clave en la estrategia corporativa de gestión de activos. </t>
  </si>
  <si>
    <t xml:space="preserve">Desarrollar e implementar una política de gestión de activos y/o mantenimiento que incluya lineamientos claros y específicos para la gestión de la confiabilidad. </t>
  </si>
  <si>
    <t>Crear áreas o equipos especializados en la gestión de confiabilidad dentro de la organización. Estos equipos deben tener la responsabilidad de desarrollar e implementar estrategias de confiabilidad.</t>
  </si>
  <si>
    <t>Desarrollar e implementar matrices de roles y responsabilidades claras para la gestión de confiabilidad de los activos en todos los procesos relevantes asociados al mantenimiento. Estas matrices deben definir quién es responsable de cada tarea relacionada con la confiabilidad, quién es responsable de aprobar las decisiones, quién debe ser consultado y quién debe ser informado. Es importante comunicar estas matrices a todo el personal involucrado y asegurarse de que se comprendan y se apliquen correctamente.</t>
  </si>
  <si>
    <t xml:space="preserve">Desarrollar e implementar matrices de roles y responsabilidades claras para la gestión de confiabilidad de los activos en todos los procesos relevantes asociados al mantenimiento. </t>
  </si>
  <si>
    <t>Definir competencias específicas en confiabilidad para los diferentes roles dentro de la organización, incluyendo habilidades técnicas, conocimientos y aptitudes necesarias para desempeñar las tareas relacionadas con la confiabilidad de los activos.</t>
  </si>
  <si>
    <t xml:space="preserve">Establecer un programa de capacitación periódica en metodologías y herramientas de gestión de confiabilidad para el personal clave. </t>
  </si>
  <si>
    <t xml:space="preserve">Desarrollar e implementar procesos estandarizados para la transferencia de conocimiento sobre confiabilidad entre diferentes áreas de la organización relacionadas al mantenimiento. </t>
  </si>
  <si>
    <t xml:space="preserve">Desarrollar e implementar una estrategia de cambio cultural que apoye las mejoras en las estrategias de confiabilidad de los activos. </t>
  </si>
  <si>
    <t xml:space="preserve">Fomentar el apoyo a la implementación de nuevas tecnologías de la industria 4.0 que puedan mejorar la gestión de confiabilidad de activos y procesos. </t>
  </si>
  <si>
    <t xml:space="preserve">Establecer un proceso para documentar sistemáticamente las mejores prácticas y las lecciones aprendidas en la gestión de confiabilidad. </t>
  </si>
  <si>
    <t xml:space="preserve"> Implementar un programa de auditorías internas que evalúe el nivel de aplicación de las prácticas de mantenimiento y confiabilidad en la organización. </t>
  </si>
  <si>
    <t>NIVEL DE MADUREZ DE APLICACIÓN DE PRACTICAS DE GESTIÓN DE CONFIABILIDAD EN PROCESOS ORGANIZACIONALES QUE GESTIONAN ESTRATEGIAS DE CONFIABILIDAD DE LOS ACTIVOS</t>
  </si>
  <si>
    <r>
      <t>Una vez completado el cuestionario de la pestaña "</t>
    </r>
    <r>
      <rPr>
        <i/>
        <sz val="11"/>
        <color theme="1"/>
        <rFont val="Avenir book"/>
      </rPr>
      <t>Diagnóstico</t>
    </r>
    <r>
      <rPr>
        <sz val="11"/>
        <color theme="1"/>
        <rFont val="Avenir book"/>
      </rPr>
      <t>", en la pestaña "</t>
    </r>
    <r>
      <rPr>
        <i/>
        <sz val="11"/>
        <color theme="1"/>
        <rFont val="Avenir book"/>
      </rPr>
      <t>Hallazgos y Recomendaciones</t>
    </r>
    <r>
      <rPr>
        <sz val="11"/>
        <color theme="1"/>
        <rFont val="Avenir book"/>
      </rPr>
      <t>" le proporcionará una visión clara y concisa de su nivel de madurez en gestión de confiabilidad. En esta encontrará:</t>
    </r>
  </si>
  <si>
    <t xml:space="preserve">Pestaña "Hallazgos y Recomendaciones": </t>
  </si>
  <si>
    <t xml:space="preserve">Pestaña "Mapa de Riesgo y Madurez": </t>
  </si>
  <si>
    <t>En esta pestaña encontrará una representacióin gráfica que muestra el porcentaje de madurez global alcanzado en cada fase. Esto le permitirá identificar en qué etapa de madurez se encuentra la organización: Inocencia, Conciencia, Entendimiento, Competencia o Excelencia; según lo muestra la pirámide.</t>
  </si>
  <si>
    <t>Asimismo, encontrará una gráfica de barras verticales que muestra el nivel de riesgo en el que se ubica su organización, en función del grado de madurez alcanzado y las prácticas, metodologías y acciones actualmente implementadas.</t>
  </si>
  <si>
    <t>Se incluye un semáforo que le indicará el nivel de alerta en el cual se encuentra actualmente la organización.</t>
  </si>
  <si>
    <t>Por último, contará con una matriz de criticidad y priorización de acciones, diseñada para orientar y jerarquizar de manera más efectiva las actividades necesarias para el cierre de brechas identificadas.</t>
  </si>
  <si>
    <r>
      <rPr>
        <sz val="11"/>
        <color rgb="FF000080"/>
        <rFont val="Avenir book"/>
      </rPr>
      <t>Pirámide de Madurez:</t>
    </r>
    <r>
      <rPr>
        <sz val="11"/>
        <color theme="1"/>
        <rFont val="Avenir book"/>
      </rPr>
      <t xml:space="preserve"> Una representación gráfica que muestra el porcentaje de madurez global alcanzado en cada una de las cuatro fases evaluadas. </t>
    </r>
  </si>
  <si>
    <t>26-	¿Se realizan Mantenimientos Mayores?</t>
  </si>
  <si>
    <t>27-	¿Se cuenta con un plan de actividades para Mantenimientos Mayores?</t>
  </si>
  <si>
    <t>28-	¿Se evalúa el impacto del mantenimiento mayor en la confiabilidad del equipo?</t>
  </si>
  <si>
    <t>9-	 ¿Cómo se aplica el análisis RAM de los sistemas de activos en la organización?</t>
  </si>
  <si>
    <t>Se realizan modelos con proyección en el tiempo, usados para toma de decisiones.</t>
  </si>
  <si>
    <t>Se combina análisis estático con algunos modelos de proyección.</t>
  </si>
  <si>
    <t>Se aplican cálculos estáticos de indicadores en un tiempo específico.</t>
  </si>
  <si>
    <t>No se realiza análisis RAM.</t>
  </si>
  <si>
    <t>10-	 ¿En qué medida el modelamiento RAM de los sistemas de activos considera costos y riesgos?</t>
  </si>
  <si>
    <t>El modelamiento RAM integra costos y riesgos, y sus resultados se usan para optimizar decisiones estratégicas y de inversión.</t>
  </si>
  <si>
    <t>Se incluyen tanto costos como riesgos en los modelos RAM de forma regular.</t>
  </si>
  <si>
    <t>Se incluye de manera parcial el análisis de costos o riesgos, pero no ambos.</t>
  </si>
  <si>
    <t>Se realiza modelamiento RAM sin incluir costos ni riesgos.</t>
  </si>
  <si>
    <t>No se realiza modelamiento RAM.</t>
  </si>
  <si>
    <t>11-	 ¿Cómo se aplica el modelamiento RAM en la selección de equipos durante proyectos?</t>
  </si>
  <si>
    <t>El modelamiento RAM se integra de manera sistemática en todos los proyectos, vinculando criterios de confiabilidad, disponibilidad, mantenibilidad y costo de ciclo de vida.</t>
  </si>
  <si>
    <t>El modelamiento RAM se aplica regularmente en la selección de equipos de proyectos relevantes.</t>
  </si>
  <si>
    <t>El modelamiento RAM se aplica solo en equipos o sistemas críticos de algunos proyectos.</t>
  </si>
  <si>
    <t>Se realizan evaluaciones cualitativas básicas sin modelamiento formal RAM.</t>
  </si>
  <si>
    <t>No se realiza modelamiento RAM en la selección de equipos.</t>
  </si>
  <si>
    <t>12-	 ¿Cómo se gestionan los KPI’s de confiabilidad por sistemas de activos en la organización?</t>
  </si>
  <si>
    <t>Los KPI’s se calculan en todos los niveles taxonómicos y se integran para análisis comparativo y soporte de decisiones estratégicas.</t>
  </si>
  <si>
    <t>Se calculan KPI’s en múltiples niveles taxonómicos (activo, subsistema y sistema).</t>
  </si>
  <si>
    <t>Se calculan KPI’s en un único nivel taxonómico (ej. activo o sistema principal).</t>
  </si>
  <si>
    <t>Se calculan solo indicadores globales de confiabilidad, sin desglose por sistemas.</t>
  </si>
  <si>
    <t>No se calculan KPI’s de confiabilidad.</t>
  </si>
  <si>
    <t>13-	  ¿Cómo se gestionan las probabilidades de falla conjunta de equipos que comparten un mismo repuesto?</t>
  </si>
  <si>
    <t>El análisis estadístico (Poisson, binomial, u otros modelos probabilísticos avanzados) se integra de forma sistemática en la planificación de repuestos y la gestión de riesgos operativos.</t>
  </si>
  <si>
    <t>Se aplican regularmente metodologías estadísticas como distribuciones Poisson o binomial para equipos críticos.</t>
  </si>
  <si>
    <t>Se aplican cálculos básicos con metodologías estadísticas simples, aunque no de manera consistente.</t>
  </si>
  <si>
    <t>Se realizan estimaciones cualitativas sin métodos estadísticos formales.</t>
  </si>
  <si>
    <t>No se realizan cálculos de probabilidad conjunta de falla.</t>
  </si>
  <si>
    <t>14- ¿De qué manera se administran las rotaciones de los equipos en stand by?</t>
  </si>
  <si>
    <t>13- ¿Cómo se gestionan las probabilidades de falla conjunta de equipos que comparten un mismo repuesto?</t>
  </si>
  <si>
    <t>Se integran rotaciones escalonadas en un programa formal, con análisis de confiabilidad y monitoreo de desempeño para optimizar la vida útil de los equipos.</t>
  </si>
  <si>
    <t>Se aplican rotaciones escalonadas de manera planificada para asegurar disponibilidad y confiabilidad.</t>
  </si>
  <si>
    <t>Se programan rotaciones regulares, pero sin un criterio estandarizado (a veces simultáneo, a veces escalonado).</t>
  </si>
  <si>
    <t>Se realizan rotaciones esporádicas, sin un procedimiento formal.</t>
  </si>
  <si>
    <t>No se realizan rotaciones; los equipos en stand by permanecen inactivos.</t>
  </si>
  <si>
    <t>29-	¿Cómo se determina la estrategia de reaprovisionamiento de repuestos en la organización?</t>
  </si>
  <si>
    <t>29- ¿Cómo se determina la estrategia de reaprovisionamiento de repuestos en la organización?</t>
  </si>
  <si>
    <t>El reaprovisionamiento se define en base al de análisis de riesgo, criticidad de activos, impacto operativo y costos de ciclo de vida.</t>
  </si>
  <si>
    <t>La estrategia se basa parcialmente en análisis de riesgo, aplicada a repuestos críticos.</t>
  </si>
  <si>
    <t>Se consideran niveles de inventario y criterios económicos básicos, sin incluir riesgo.</t>
  </si>
  <si>
    <t>El reaprovisionamiento se hace de forma reactiva o basado solo en experiencia histórica.</t>
  </si>
  <si>
    <t>No existe una estrategia formal de reaprovisionamiento.</t>
  </si>
  <si>
    <t>12- ¿Cómo se gestiona la dirección estratégica y el plan de mantenimiento y confiabilidad en la organización?</t>
  </si>
  <si>
    <t>Mediante un plan estratégico, que integra elementos como: visión/misión, metas SMART, roles y recursos, benchmarks del sector, tableros de seguimiento y ajustes periódicos basados en desempeño.</t>
  </si>
  <si>
    <t>Mediante un plan estratégico formal con metas medibles, roles definidos y revisiones periódicas.</t>
  </si>
  <si>
    <t>Hay plan estratégico con metas y responsables, pero sin alineación ni revisión periódica.</t>
  </si>
  <si>
    <t>Existen lineamientos básicos (visión o metas generales) sin metas medibles ni responsables definidos.</t>
  </si>
  <si>
    <t>13- ¿Cómo se gestionan las mediciones de desempeño en confiabilidad dentro de la organización?</t>
  </si>
  <si>
    <t>Existe un sistema de gestión de desempeño en confiabilidad, con indicadores, retroalimentación periódica, participación de toda la organización y uso de benchmarks del sector para impulsar excelencia.</t>
  </si>
  <si>
    <t>Se aplican KPIs, alineados con la estrategia, con roles definidos y seguimiento regular para impulsar la mejora continua.</t>
  </si>
  <si>
    <t>Existen KPIs básicos de mantenimiento y confiabilidad, alineados parcialmente con la estrategia, pero sin roles definidos ni retroalimentación sistemática.</t>
  </si>
  <si>
    <t>Se miden algunos indicadores de manera aislada, sin alineación con los objetivos estratégicos.</t>
  </si>
  <si>
    <t>No se miden indicadores de desempeño en confiabilidad.</t>
  </si>
  <si>
    <t>14- ¿Cómo gestiona la organización los cambios que impactan la confiabilidad (procesos, equipos, roles, tecnologías y datos)?</t>
  </si>
  <si>
    <t>Existe un MoC formal y estandarizado, con criterios claros, análisis de impacto (HSE/operación/confiabilidad/tecnología), roles y aprobaciones definidos, actualización de documentación (P&amp;ID, PM, FMEA, repuestos) y comunicación al personal.</t>
  </si>
  <si>
    <t>Existe un proceso de MoC definido con pasos mínimos (evaluación de riesgos, aprobaciones), pero con cobertura parcial y baja trazabilidad.</t>
  </si>
  <si>
    <t>Hay lineamientos básicos de MoC, aplicados esporádicamente y sin roles definidos ni registros.</t>
  </si>
  <si>
    <t>No existe un proceso formal de manejo del cambio (MoC); los cambios se ejecutan de forma ad-hoc.</t>
  </si>
  <si>
    <t>16- ¿Cómo aseguran los procesos organizacionales el cumplimiento de estándares y regulaciones aplicables?</t>
  </si>
  <si>
    <t>Mediante una evaluación documentada de brechas, planes de cierre con responsables y plazos, actualización de procedimientos y verificación del cumplimiento normativos vigentes.</t>
  </si>
  <si>
    <t>Mediante auditorías internas regulares,  publicación/retroalimentación de resultados, lecciones aprendidas, mejora continua alineada con mejores prácticas del sector y verificación del cumplimiento normativos vigentes.</t>
  </si>
  <si>
    <t>Existe inventario de normas y una evaluación periódica de brechas con planes de acción parciales y seguimiento limitado.</t>
  </si>
  <si>
    <t>Se conocen requisitos básicos, pero sin evaluación sistemática de brechas ni planes formales de cumplimiento.</t>
  </si>
  <si>
    <t>No se identifican ni gestionan estándares/regulaciones aplicables.</t>
  </si>
  <si>
    <t>Mantener y fortalecer la estartegia de reaprovisionamiento, complementándola con herramientas digitales de predicción de demanda y análisis de confiabilidad para optimizar aún más el balance entre disponibilidad y costo de inventario.</t>
  </si>
  <si>
    <t>Ampliar la metodología de análisis de riesgo a un espectro mayor de repuestos, incorporando criterios de ciclo de vida y costo total, de manera que la estrategia sea integral y no solo enfocada en los activos más críticos.</t>
  </si>
  <si>
    <t>Evolucionar hacia una estrategia basada en riesgo y criticidad de activos, que permita priorizar repuestos con mayor impacto operativo, reduciendo tanto el exceso de inventario como el riesgo de paradas no planificadas.</t>
  </si>
  <si>
    <t>Migrar de la gestión reactiva a un enfoque preventivo mediante la incorporación de análisis de criticidad y herramientas de gestión de inventarios, asegurando que las decisiones de reaprovisionamiento estén respaldadas por datos y no únicamente por la experiencia.</t>
  </si>
  <si>
    <t>Diseñar e implementar de manera prioritaria una estrategia estructurada de reaprovisionamiento que contemple riesgo, criticidad y costos de ciclo de vida, con el fin de garantizar continuidad operativa y control financiero.</t>
  </si>
  <si>
    <t>Implementar un enfoque preventivo, incorporando análisis de criticidad y herramientas de gestión de inventarios para que las decisiones de reaprovisionamiento se basen en datos objetivos</t>
  </si>
  <si>
    <t>Implementar una estrategia de reaprovisionamiento basada en riesgo, criticidad y costos de ciclo de vida para asegurar continuidad operativa y control financiero.</t>
  </si>
  <si>
    <t>Gestión Operativa y Medición del Desempeño</t>
  </si>
  <si>
    <t>Consolidar el análisis RAM como estándar en la organización, integrándolo  con datos de monitoreo en línea y análisis de confiabilidad para reforzar la precisión de las proyecciones y la efectividad en la toma de decisiones estratégicas.</t>
  </si>
  <si>
    <t>Avanzar hacia la consolidación de modelos dinámicos y predictivos, de manera que el análisis RAM no solo represente escenarios puntuales, sino que permita anticipar variaciones de desempeño a lo largo del ciclo de vida de los activos.</t>
  </si>
  <si>
    <t>Evolucionar hacia modelos dinámicos que incluyan proyecciones en el tiempo para el análisis RAM, incorporando variables de confiabilidad y disponibilidad, de forma que los resultados sirvan como soporte efectivo para la planeación operativa y estratégica.</t>
  </si>
  <si>
    <t>Implementar progresivamente la aplicación del análisis RAM, iniciando con cálculos básicos de confiabilidad, disponibilidad y mantenibilidad en los sistemas críticos, para luego escalar hacia modelos dinámicos que soporten decisiones de inversión y gestión de riesgos.</t>
  </si>
  <si>
    <t>Mantener y fortalecer el análisis RAM, integrándolo a los procesos de planeación estratégica y de gestión del ciclo de vida de los activos, asegurando que los resultados se vinculen de manera directa con la priorización de inversiones y la gestión de riesgos.</t>
  </si>
  <si>
    <t>Avanzar hacia la optimización del uso de resultados del RAM en la toma de decisiones estratégicas, garantizando que los análisis no se limiten a lo técnico, sino que estén alineados con los objetivos financieros y de gestión de riesgos de la organización.</t>
  </si>
  <si>
    <t>Ampliar el alcance del modelamiento RAM para integrar de manera conjunta costos y riesgos, de modo que el análisis refleje una visión integral del impacto en la confiabilidad y en la sostenibilidad financiera de los activos.</t>
  </si>
  <si>
    <t>Incorporar progresivamente la evaluación de costos y riesgos en el modelamiento RAM, comenzando con sistemas críticos, con el fin de evolucionar hacia un enfoque integral que permita sustentar las decisiones de inversión y operación en criterios de costo-beneficio y gestión de riesgos.</t>
  </si>
  <si>
    <t>Iniciar la implementación del modelamiento RAM en sistemas de activos críticos, como herramienta base para evaluar desempeño, y posteriormente ampliar su alcance integrando costos y riesgos, con el propósito de robustecer la toma de decisiones estratégicas y operativas.</t>
  </si>
  <si>
    <t>Evolucionar hacia modelos dinámicos que incluyan proyecciones en el tiempo para el análisis RAM, incorporando variables de confiabilidad y disponibilidad.</t>
  </si>
  <si>
    <t>Implementar progresivamente la aplicación del análisis RAM, iniciando con cálculos básicos de confiabilidad, disponibilidad y mantenibilidad en los sistemas críticos.</t>
  </si>
  <si>
    <t>Ampliar el alcance del modelamiento RAM para integrar de manera conjunta costos y riesgos.</t>
  </si>
  <si>
    <t>Incorporar progresivamente la evaluación de costos y riesgos en el modelamiento RAM, comenzando con sistemas críticos.</t>
  </si>
  <si>
    <t>Iniciar la implementación del modelamiento RAM en sistemas de activos críticos.</t>
  </si>
  <si>
    <t>Consolidar  el modelamiento RAM  como estándar organizacional, asegurando que los resultados del  se documenten y se utilicen como criterio obligatorio en la toma de decisiones de inversión y en la gestión del ciclo de vida de los activos.</t>
  </si>
  <si>
    <t>Ampliar progresivamente la aplicación del modelamiento RAM a todos los proyectos, no solo a los más relevantes, de manera que se garantice la homogeneidad en la evaluación de confiabilidad, mantenibilidad y costos en la toma de decisiones.</t>
  </si>
  <si>
    <t>Establecer lineamientos claros para ampliar la aplicación del modelamiento RAM más allá de los equipos críticos, integrando progresivamente criterios de disponibilidad, riesgos y costo del ciclo de vida en las decisiones de selección de equipos.</t>
  </si>
  <si>
    <t>Iniciar la adopción del modelamiento RAM en proyectos de alto impacto o en activos de mayor criticidad, evolucionando desde análisis cualitativos hacia modelos cuantitativos que permitan sustentar las decisiones con mayor rigor técnico y económico.</t>
  </si>
  <si>
    <t>Desarrollar capacidades y metodologías para incorporar el modelamiento RAM como parte del proceso de selección de equipos, comenzando con proyectos piloto en sistemas críticos y escalando su uso como práctica estándar en la organización.</t>
  </si>
  <si>
    <t>Establecer lineamientos claros para ampliar la aplicación del modelamiento RAM más allá de los equipos críticos.</t>
  </si>
  <si>
    <t>Iniciar la adopción del modelamiento RAM en proyectos de alto impacto o en activos de mayor criticidad</t>
  </si>
  <si>
    <t>Desarrollar capacidades y metodologías para incorporar el modelamiento RAM como parte del proceso de selección de equipos, comenzando con proyectos piloto en sistemas críticos.</t>
  </si>
  <si>
    <t>Mantener y fortalecer la gestión de KPI's de confiabilidad como un estándar de gestión, asegurando la trazabilidad de los datos, la periodicidad de los cálculos y el uso sistemático de los indicadores en la planeación estratégica y la gestión del ciclo de vida de los activos.</t>
  </si>
  <si>
    <t>Consolidar la integración de los resultados en una visión organizacional completa, de modo que los KPI’s permitan comparaciones entre niveles, faciliten la priorización de recursos y fortalezcan la alineación con los objetivos estratégicos.</t>
  </si>
  <si>
    <t>Ampliar progresivamente el alcance del cálculo de KPI’s hacia otros niveles taxonómicos, lo que permitirá contar con una visión más granular y robusta para la toma de decisiones y la identificación de brechas de confiabilidad.</t>
  </si>
  <si>
    <t>Evolucionar hacia el cálculo de KPI’s específicos por niveles taxonómicos, iniciando con sistemas o activos críticos, con el fin de obtener información más detallada que sirva como base para orientar mejoras específicas.</t>
  </si>
  <si>
    <t>Diseñar e implementar un sistema de gestión de KPI’s de confiabilidad, comenzando por indicadores básicos a nivel de activo crítico y escalando hacia múltiples niveles taxonómicos, de forma que se establezca una cultura de gestión basada en datos y evidencia.</t>
  </si>
  <si>
    <t>Ampliar progresivamente el alcance del cálculo de KPI’s hacia otros niveles taxonómicos.</t>
  </si>
  <si>
    <t>Evolucionar hacia el cálculo de KPI’s específicos por niveles taxonómicos, iniciando con sistemas o activos críticos.</t>
  </si>
  <si>
    <t>Diseñar e implementar un sistema de gestión de KPI’s de confiabilidad, comenzando por indicadores básicos a nivel de activo crítico.</t>
  </si>
  <si>
    <t>Mantener y estandarizar el análisis estadístico de equipos que comparten un mismo repuesto, asegurando que los modelos estadísticos sean revisados y actualizados con datos reales de fallas. Esto permitirá fortalecer la planificación de repuestos y la gestión integral de riesgos operativos.</t>
  </si>
  <si>
    <t>Ampliar la aplicación de análisis estadístico de equipos que comparten un mismo repuesto a más categorías de equipos y repuestos, integrándolas en una estrategia formal de gestión de inventarios y confiabilidad.</t>
  </si>
  <si>
    <t>Formalizar y sistematizar el uso de métodos probabilísticos y estadísticos a equipos que comparten un mismo repuesto, asegurando la capacitación del personal y la integración de estas técnicas en herramientas digitales de apoyo a la decisión.</t>
  </si>
  <si>
    <t>Evolucionar hacia la aplicación de metodologías estadísticas cuantitativas para equipos que comparten un mismo repuesto, comenzando con modelos básicos (ej. Poisson o binomial), con el fin de obtener resultados más confiables y precisos en la planificación de repuestos.</t>
  </si>
  <si>
    <t>Implementar un esquema básico de gestión de probabilidades conjuntas para equipos que comparten un mismo repuesto, partiendo de datos históricos de fallas y avanzando hacia modelos más robustos. Esto permitirá a la organización anticipar riesgos y optimizar el stock de repuestos.</t>
  </si>
  <si>
    <t xml:space="preserve">Implementar un esquema básico de gestión de probabilidades conjuntas para equipos que comparten un mismo repuesto, partiendo de datos históricos de fallas y avanzando hacia modelos más robustos. </t>
  </si>
  <si>
    <t>Evolucionar hacia la aplicación de metodologías estadísticas cuantitativas para equipos que comparten un mismo repuesto, comenzando con modelos básicos (ej. Poisson o binomial).</t>
  </si>
  <si>
    <t>Mantener las rotaciones escalonada de equipos en Stand By, reforzando la trazabilidad de los resultados y ajustando los planes de rotación según los datos de confiabilidad y desempeño.</t>
  </si>
  <si>
    <t>Fortalecer el esquema de rotaciones escalonadas de equipos en Stand By incluyendo métricas de desempeño y análisis de confiabilidad, de modo que las rotaciones no solo garanticen disponibilidad, sino que también optimicen la vida útil de los equipos.</t>
  </si>
  <si>
    <t>Estandarizar un procedimiento formal para las rotaciones de equipos en Stand By, priorizando la modalidad escalonada y respaldándola con criterios técnicos de confiabilidad. Esto permitirá uniformidad y mayor efectividad en la gestión.</t>
  </si>
  <si>
    <t>Diseñar e implementar un programa formal de rotaciones escalonadas de equipos en Stand By, con seguimiento periódico, para prevenir degradación por inactividad y asegurar que los equipos mantengan su disponibilidad.</t>
  </si>
  <si>
    <t>Iniciar un plan básico de rotaciones preventivas para equipos en Stand By, comenzando con equipos más críticos, para evitar fallas al momento de requerir su operación y reducir riesgos por falta de uso.</t>
  </si>
  <si>
    <t xml:space="preserve">Estandarizar un procedimiento formal para las rotaciones de equipos en Stand By, priorizando la modalidad escalonada y respaldándola con criterios técnicos de confiabilidad. </t>
  </si>
  <si>
    <t>Diseñar e implementar un programa formal de rotaciones escalonadas de equipos en Stand By, con seguimiento periódico.</t>
  </si>
  <si>
    <t>Iniciar un plan básico de rotaciones preventivas para equipos en Stand By, comenzando con equipos más críticos.</t>
  </si>
  <si>
    <t>Gestión Operativa y Medición del Desempeño:</t>
  </si>
  <si>
    <t>Iniciar con la identificación y documentación de todos los estándares y regulaciones aplicables, y avanzar hacia un plan de gestión normativa que contemple responsables, plazos y mecanismos de verificación.</t>
  </si>
  <si>
    <t>Desarrollar un inventario formal de normas aplicables y establecer un proceso estructurado de evaluación de brechas con planes de acción, priorizando los estándares más críticos para la operación.</t>
  </si>
  <si>
    <t>Actualmente la organización asegura el cumplimiento normativo mediante auditorías internas regulares, publicación y retroalimentación de resultados, lecciones aprendidas y mejora continua alineada con mejores prácticas. Mantener este enfoque como práctica de excelencia, reforzando la trazabilidad de resultados y asegurando que las lecciones aprendidas se integren de forma sistemática en los procesos estratégicos.</t>
  </si>
  <si>
    <t>En este momento se cuenta con una evaluación documentada de brechas, planes de cierre con responsables y plazos, actualización de procedimientos y verificación de cumplimiento normativo. Complementar esta práctica con auditorías internas sistemáticas y mecanismos de retroalimentación, de manera que el ciclo de mejora continua quede totalmente integrado y permita detectar nuevas oportunidades de optimización.</t>
  </si>
  <si>
    <t>La organización dispone de un inventario de normas y realiza una evaluación periódica de brechas, aunque los planes de acción son parciales y el seguimiento es limitado. Fortalecer el proceso mediante la asignación de responsables claros, cronogramas definidos de cierre de brechas y la inclusión de auditorías de verificación, garantizando así un cumplimiento más robusto y sostenible.</t>
  </si>
  <si>
    <t>Fortalecer el proceso de gestión de normas asignando responsables, definiendo cronogramas de cierre de brechas e incorporando auditorías de verificación para asegurar un cumplimiento sólido y sostenible.</t>
  </si>
  <si>
    <t>Actualmente la organización gestiona la dirección estratégica y el plan de mantenimiento y confiabilidad mediante un plan integral que articula visión, misión, metas SMART, roles y recursos, comparaciones con referentes del sector, tableros de seguimiento y ajustes periódicos basados en el desempeño.Mantener este enfoque como una práctica de excelencia, asegurando la continuidad en la revisión de benchmarks, la actualización de tableros de control y la retroalimentación con otras áreas estratégicas para garantizar que el plan siga alineado con los objetivos corporativos.</t>
  </si>
  <si>
    <t>La organización cuenta con un plan estratégico formal que establece metas medibles, define roles y realiza revisiones periódicas. Potenciar esta práctica incorporando indicadores de referencia del sector (benchmarks) y mecanismos de ajuste dinámico con base en el desempeño, lo que permitirá evolucionar hacia una gestión estratégica de clase mundial.</t>
  </si>
  <si>
    <t>En este momento existe un plan estratégico con metas y responsables asignados, aunque carece de alineación con los objetivos corporativos y no se realizan revisiones periódicas. Reestructurar el plan para garantizar su alineación con la estrategia organizacional y establecer un esquema formal de seguimiento y retroalimentación periódica, que permita ajustar acciones y optimizar la gestión de mantenimiento y confiabilidad.</t>
  </si>
  <si>
    <t>La gestión estratégica de mantenimiento y confiabilidad se basa en lineamientos generales (visión o metas globales), sin metas específicas ni responsables definidos.Desarrollar un plan estratégico formal que incluya metas medibles, responsables claros, plazos definidos y un esquema de seguimiento, de manera que se logre pasar de la intención general a una gestión planificada y controlada.</t>
  </si>
  <si>
    <t>Actualmente no se gestiona la dirección estratégica ni existe un plan formal de mantenimiento y confiabilidad en la organización. Implementar desde cero un plan estratégico de mantenimiento y confiabilidad, definiendo misión, visión, metas SMART, responsables, recursos, indicadores de seguimiento y un mecanismo de revisión periódica, para establecer las bases de una gestión estructurada y sostenible.</t>
  </si>
  <si>
    <t>Reestructurar el plan estratégico para alinearlo con los objetivos corporativos y establecer un seguimiento periódico que permita ajustes y optimice la gestión de mantenimiento y confiabilidad.</t>
  </si>
  <si>
    <t>Desarrollar un plan estratégico formal con metas medibles, responsables, plazos y seguimiento, para pasar de lineamientos generales a una gestión planificada y controlada.</t>
  </si>
  <si>
    <t>Implementar un plan estratégico de mantenimiento y confiabilidad desde cero, con misión, visión, metas SMART, responsables, recursos, indicadores y revisión periódica, para establecer una gestión estructurada y sostenible.</t>
  </si>
  <si>
    <t>La organización cuenta con un sistema de gestión de desempeño en confiabilidad robusto, con indicadores claros, retroalimentación periódica, participación transversal de la organización y comparación con benchmarks del sector. Mantener este nivel de madurez como práctica de excelencia, asegurando la actualización continua de indicadores y el fortalecimiento de la cultura organizacional en torno a la confiabilidad, de manera que se consolide como un referente en el sector.</t>
  </si>
  <si>
    <t>Se aplican indicadores clave de desempeño (KPIs) alineados con la estrategia, con roles definidos y un esquema de seguimiento regular para impulsar la mejora continua. Complementar esta práctica mediante la incorporación de comparaciones con benchmarks del sector y el involucramiento de más áreas organizacionales, con el fin de fortalecer la toma de decisiones estratégicas y la búsqueda de excelencia.</t>
  </si>
  <si>
    <t>Existen KPIs básicos de mantenimiento y confiabilidad, que se encuentran alineados parcialmente con la estrategia, pero carecen de roles definidos y retroalimentación sistemática. Fortalecer la gestión de indicadores estableciendo responsables claros, ampliando el alcance de los KPIs hacia todos los objetivos estratégicos y generando mecanismos formales de retroalimentación, de modo que se promueva la mejora continua.</t>
  </si>
  <si>
    <t>Actualmente se miden algunos indicadores de manera aislada, sin alineación con los objetivos estratégicos de la organización. Diseñar un sistema de medición integral que incluya indicadores estratégicos, roles definidos, seguimiento regular y procesos de retroalimentación, con el fin de lograr coherencia entre la medición del desempeño y los objetivos corporativos.</t>
  </si>
  <si>
    <t>No se miden indicadores de desempeño en confiabilidad dentro de la organización. Implementar desde cero un sistema de gestión de desempeño en confiabilidad, definiendo KPIs estratégicos, responsables, frecuencias de medición, retroalimentación periódica y comparación con referentes del sector, para establecer una cultura orientada a resultados.</t>
  </si>
  <si>
    <t>Fortalecer la gestión de indicadores asignando responsables, ampliando su alineación con los objetivos estratégicos y estableciendo mecanismos formales de retroalimentación para impulsar la mejora continua.</t>
  </si>
  <si>
    <t>Diseñar un sistema integral de indicadores con roles definidos, seguimiento y retroalimentación, alineado a los objetivos estratégicos de la organización.</t>
  </si>
  <si>
    <t>Implementar un sistema de gestión de desempeño en confiabilidad con KPIs estratégicos, responsables, seguimiento y retroalimentación periódica, comparado con referentes del sector para fomentar una cultura orientada a resultados.</t>
  </si>
  <si>
    <t>La organización cuenta con un proceso de Manejo del Cambio (MoC) plenamente integrado, que aplica a todo tipo de cambios —incluidos los temporales—, con métricas de eficacia, lecciones aprendidas y retroalimentación hacia planes y KPI de confiabilidad. Mantener y consolidar este nivel de madurez, asegurando la actualización continua de métricas y la integración de las lecciones aprendidas en los procesos estratégicos, de manera que se preserve la excelencia en gestión del cambio y su impacto positivo en la confiabilidad.</t>
  </si>
  <si>
    <t>La organización tiene un proceso de MoC formal y estandarizado, con criterios claros, análisis de impacto (HSE, operación, confiabilidad, tecnología), roles y aprobaciones definidos, actualización documental (P&amp;ID, PM, FMEA, repuestos) y comunicación efectiva al personal.
 Potenciar este sistema incorporando métricas de eficacia y retroalimentación a KPI estratégicos, de modo que el MoC no solo asegure el control de riesgos, sino que también impulse el aprendizaje organizacional y la mejora continua.</t>
  </si>
  <si>
    <t>La organización dispone de un proceso de MoC definido con pasos mínimos (evaluación de riesgos, aprobaciones), pero con cobertura parcial y trazabilidad limitada. Ampliar el alcance del proceso de MoC a todos los tipos de cambios, asegurar registros formales y definir roles y responsabilidades claras, fortaleciendo así la trazabilidad y reduciendo riesgos asociados a modificaciones no controladas.</t>
  </si>
  <si>
    <t>Actualmente existen lineamientos básicos de MoC, aplicados de forma esporádica, sin roles definidos ni registros adecuados. Formalizar el proceso de MoC mediante la definición de un procedimiento estandarizado, con roles asignados, registros obligatorios y comunicación estructurada, asegurando que todo cambio sea evaluado y aprobado antes de su implementación.</t>
  </si>
  <si>
    <t>No existe un proceso formal de Manejo del Cambio (MoC); los cambios se ejecutan de forma ad-hoc. Implementar desde cero un proceso formal de MoC, documentado y estandarizado, que incluya análisis de impacto (operacional, técnico y de confiabilidad), aprobaciones, actualización documental y métricas de seguimiento, con el fin de controlar riesgos y garantizar la sostenibilidad del sistema.</t>
  </si>
  <si>
    <t>Ampliar el alcance del proceso de MoC a todos los cambios, con registros formales, roles definidos y trazabilidad robusta para reducir riesgos de modificaciones no controladas.</t>
  </si>
  <si>
    <t>Formalizar el proceso de MoC con un procedimiento estandarizado, roles definidos, registros obligatorios y comunicación estructurada para asegurar la evaluación y aprobación previa de los cambios.</t>
  </si>
  <si>
    <t>Implementar un proceso formal de MoC desde cero, con análisis de impacto, aprobaciones, actualización documental y métricas de seguimiento para controlar riesgos y garantizar sostenibilidad.</t>
  </si>
  <si>
    <t>No se gestiona la dirección estratégica de la organización, ni existe un plan de mantenimiento y confiabilidad.</t>
  </si>
  <si>
    <t>Existe un MoC integrado organizacionalmente: aplica a todos los cambios (incluidos temporales), con métricas de eficacia, lecciones aprendidas y retroalimentación a planes y KPIS asociados a confiabilidad.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</si>
</sst>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000%"/>
    <numFmt numFmtId="167" formatCode="0.00000%"/>
    <numFmt numFmtId="168" formatCode="0.00000000%"/>
  </numFmts>
  <fonts count="32">
    <font>
      <sz val="11"/>
      <color theme="1"/>
      <name val="Aptos Narrow"/>
      <family val="2"/>
      <scheme val="minor"/>
    </font>
    <font>
      <sz val="8"/>
      <name val="Segoe UI"/>
      <family val="2"/>
    </font>
    <font>
      <sz val="10"/>
      <name val="Arial"/>
      <family val="2"/>
    </font>
    <font>
      <sz val="20"/>
      <color rgb="FFBF2833"/>
      <name val="Avenir Black"/>
      <family val="2"/>
    </font>
    <font>
      <sz val="40"/>
      <color rgb="FFE2E2E2"/>
      <name val="Avenir Book"/>
    </font>
    <font>
      <sz val="11"/>
      <color theme="1"/>
      <name val="Aptos Narrow"/>
      <family val="2"/>
      <scheme val="minor"/>
    </font>
    <font>
      <b/>
      <sz val="11"/>
      <color theme="0"/>
      <name val="Aptos Narrow"/>
      <family val="2"/>
      <scheme val="minor"/>
    </font>
    <font>
      <b/>
      <sz val="11"/>
      <color theme="1"/>
      <name val="Aptos Narrow"/>
      <family val="2"/>
      <scheme val="minor"/>
    </font>
    <font>
      <b/>
      <sz val="11"/>
      <color theme="1"/>
      <name val="Avenir black"/>
    </font>
    <font>
      <sz val="12"/>
      <color theme="1"/>
      <name val="Aptos Narrow"/>
      <family val="2"/>
      <scheme val="minor"/>
    </font>
    <font>
      <sz val="12"/>
      <name val="Avenir Book"/>
    </font>
    <font>
      <b/>
      <sz val="20"/>
      <color rgb="FF000080"/>
      <name val="Avenir Black"/>
    </font>
    <font>
      <sz val="14"/>
      <color rgb="FF000080"/>
      <name val="Avenir Black"/>
    </font>
    <font>
      <b/>
      <sz val="14"/>
      <color rgb="FF000080"/>
      <name val="Avenir Black"/>
    </font>
    <font>
      <sz val="26"/>
      <color rgb="FF092E3F"/>
      <name val="Avenir Book"/>
    </font>
    <font>
      <sz val="10"/>
      <color theme="1"/>
      <name val="Segoe UI"/>
      <family val="2"/>
    </font>
    <font>
      <b/>
      <i/>
      <sz val="11"/>
      <color rgb="FFBF2833"/>
      <name val="Aptos Narrow"/>
      <family val="2"/>
      <scheme val="minor"/>
    </font>
    <font>
      <b/>
      <sz val="14"/>
      <color theme="1"/>
      <name val="Aptos Narrow"/>
      <family val="2"/>
      <scheme val="minor"/>
    </font>
    <font>
      <b/>
      <sz val="11"/>
      <color rgb="FFFF0000"/>
      <name val="Aptos Narrow"/>
      <family val="2"/>
      <scheme val="minor"/>
    </font>
    <font>
      <b/>
      <sz val="11"/>
      <color rgb="FF000080"/>
      <name val="Avenir Black"/>
    </font>
    <font>
      <sz val="11"/>
      <color theme="1"/>
      <name val="Avenir book"/>
    </font>
    <font>
      <b/>
      <sz val="12"/>
      <color rgb="FF000080"/>
      <name val="Avenir Black"/>
    </font>
    <font>
      <sz val="11"/>
      <color rgb="FF000080"/>
      <name val="Avenir book"/>
    </font>
    <font>
      <i/>
      <sz val="11"/>
      <color theme="1"/>
      <name val="Avenir book"/>
    </font>
    <font>
      <sz val="48"/>
      <color theme="1"/>
      <name val="Aptos Narrow"/>
      <family val="2"/>
      <scheme val="minor"/>
    </font>
    <font>
      <b/>
      <sz val="11"/>
      <color rgb="FFFFFFFF"/>
      <name val="Aptos Narrow"/>
      <family val="2"/>
      <scheme val="minor"/>
    </font>
    <font>
      <b/>
      <sz val="11"/>
      <name val="Aptos Narrow"/>
      <family val="2"/>
      <scheme val="minor"/>
    </font>
    <font>
      <b/>
      <sz val="16"/>
      <color theme="1"/>
      <name val="Aptos Narrow"/>
      <family val="2"/>
      <scheme val="minor"/>
    </font>
    <font>
      <sz val="11"/>
      <name val="Aptos Narrow"/>
      <family val="2"/>
      <scheme val="minor"/>
    </font>
    <font>
      <b/>
      <sz val="9"/>
      <color theme="1"/>
      <name val="Aptos Narrow"/>
      <family val="2"/>
      <scheme val="minor"/>
    </font>
    <font>
      <b/>
      <sz val="18"/>
      <color theme="1"/>
      <name val="Aptos Narrow"/>
      <family val="2"/>
      <scheme val="minor"/>
    </font>
    <font>
      <sz val="9"/>
      <color theme="1"/>
      <name val="Aptos Narrow"/>
      <family val="2"/>
      <scheme val="minor"/>
    </font>
  </fonts>
  <fills count="26">
    <fill>
      <patternFill patternType="none"/>
    </fill>
    <fill>
      <patternFill patternType="gray125"/>
    </fill>
    <fill>
      <gradientFill degree="90">
        <stop position="0">
          <color theme="0"/>
        </stop>
        <stop position="1">
          <color rgb="FF092E3F"/>
        </stop>
      </gradientFill>
    </fill>
    <fill>
      <gradientFill type="path" left="1" right="1" top="1" bottom="1">
        <stop position="0">
          <color rgb="FF092E3F"/>
        </stop>
        <stop position="1">
          <color theme="0"/>
        </stop>
      </gradientFill>
    </fill>
    <fill>
      <gradientFill type="path" top="1" bottom="1">
        <stop position="0">
          <color rgb="FF092E3F"/>
        </stop>
        <stop position="1">
          <color theme="0"/>
        </stop>
      </gradientFill>
    </fill>
    <fill>
      <gradientFill>
        <stop position="0">
          <color theme="0"/>
        </stop>
        <stop position="1">
          <color rgb="FF092E3F"/>
        </stop>
      </gradientFill>
    </fill>
    <fill>
      <gradientFill degree="180">
        <stop position="0">
          <color theme="0"/>
        </stop>
        <stop position="1">
          <color rgb="FF092E3F"/>
        </stop>
      </gradientFill>
    </fill>
    <fill>
      <patternFill patternType="solid">
        <fgColor theme="3" tint="0.89999084444715716"/>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theme="3"/>
        <bgColor indexed="64"/>
      </patternFill>
    </fill>
    <fill>
      <gradientFill type="path" left="1" right="1">
        <stop position="0">
          <color rgb="FF092E3F"/>
        </stop>
        <stop position="1">
          <color theme="0"/>
        </stop>
      </gradientFill>
    </fill>
    <fill>
      <gradientFill type="path">
        <stop position="0">
          <color rgb="FF092E3F"/>
        </stop>
        <stop position="1">
          <color theme="0"/>
        </stop>
      </gradientFill>
    </fill>
    <fill>
      <gradientFill degree="270">
        <stop position="0">
          <color theme="0"/>
        </stop>
        <stop position="1">
          <color rgb="FF092E3F"/>
        </stop>
      </gradientFill>
    </fill>
    <fill>
      <patternFill patternType="solid">
        <fgColor theme="3" tint="0.499984740745262"/>
        <bgColor indexed="64"/>
      </patternFill>
    </fill>
    <fill>
      <patternFill patternType="solid">
        <fgColor rgb="FFC46464"/>
        <bgColor indexed="64"/>
      </patternFill>
    </fill>
    <fill>
      <patternFill patternType="solid">
        <fgColor rgb="FFC4C464"/>
        <bgColor indexed="64"/>
      </patternFill>
    </fill>
    <fill>
      <patternFill patternType="solid">
        <fgColor rgb="FF649CC4"/>
        <bgColor indexed="64"/>
      </patternFill>
    </fill>
    <fill>
      <patternFill patternType="solid">
        <fgColor rgb="FF64C48C"/>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283C73"/>
      </left>
      <right/>
      <top/>
      <bottom/>
      <diagonal/>
    </border>
    <border>
      <left/>
      <right style="medium">
        <color rgb="FF283C73"/>
      </right>
      <top/>
      <bottom/>
      <diagonal/>
    </border>
    <border>
      <left style="thin">
        <color indexed="64"/>
      </left>
      <right style="thin">
        <color indexed="64"/>
      </right>
      <top style="double">
        <color rgb="FF324632"/>
      </top>
      <bottom style="double">
        <color rgb="FF324632"/>
      </bottom>
      <diagonal/>
    </border>
    <border>
      <left style="medium">
        <color rgb="FF324632"/>
      </left>
      <right style="thin">
        <color indexed="64"/>
      </right>
      <top style="double">
        <color rgb="FF324632"/>
      </top>
      <bottom style="double">
        <color rgb="FF324632"/>
      </bottom>
      <diagonal/>
    </border>
    <border>
      <left style="thin">
        <color indexed="64"/>
      </left>
      <right style="medium">
        <color rgb="FF324632"/>
      </right>
      <top style="double">
        <color rgb="FF324632"/>
      </top>
      <bottom style="double">
        <color rgb="FF324632"/>
      </bottom>
      <diagonal/>
    </border>
    <border>
      <left style="medium">
        <color rgb="FF324632"/>
      </left>
      <right style="thin">
        <color indexed="64"/>
      </right>
      <top style="double">
        <color rgb="FF324632"/>
      </top>
      <bottom style="thin">
        <color rgb="FF324632"/>
      </bottom>
      <diagonal/>
    </border>
    <border>
      <left style="thin">
        <color indexed="64"/>
      </left>
      <right style="thin">
        <color indexed="64"/>
      </right>
      <top style="double">
        <color rgb="FF324632"/>
      </top>
      <bottom style="thin">
        <color rgb="FF324632"/>
      </bottom>
      <diagonal/>
    </border>
    <border>
      <left style="thin">
        <color indexed="64"/>
      </left>
      <right style="medium">
        <color rgb="FF324632"/>
      </right>
      <top style="double">
        <color rgb="FF324632"/>
      </top>
      <bottom style="thin">
        <color rgb="FF324632"/>
      </bottom>
      <diagonal/>
    </border>
    <border>
      <left/>
      <right/>
      <top/>
      <bottom style="medium">
        <color rgb="FF092E3F"/>
      </bottom>
      <diagonal/>
    </border>
    <border>
      <left/>
      <right/>
      <top style="thin">
        <color rgb="FF324632"/>
      </top>
      <bottom style="double">
        <color rgb="FF324632"/>
      </bottom>
      <diagonal/>
    </border>
    <border>
      <left style="medium">
        <color rgb="FF324632"/>
      </left>
      <right/>
      <top style="double">
        <color rgb="FF324632"/>
      </top>
      <bottom style="double">
        <color rgb="FF324632"/>
      </bottom>
      <diagonal/>
    </border>
    <border>
      <left/>
      <right/>
      <top style="double">
        <color rgb="FF324632"/>
      </top>
      <bottom style="double">
        <color rgb="FF324632"/>
      </bottom>
      <diagonal/>
    </border>
    <border>
      <left/>
      <right style="medium">
        <color rgb="FF324632"/>
      </right>
      <top style="double">
        <color rgb="FF324632"/>
      </top>
      <bottom style="double">
        <color rgb="FF324632"/>
      </bottom>
      <diagonal/>
    </border>
    <border>
      <left style="medium">
        <color rgb="FF092E3F"/>
      </left>
      <right style="medium">
        <color rgb="FF092E3F"/>
      </right>
      <top style="medium">
        <color rgb="FF092E3F"/>
      </top>
      <bottom style="thin">
        <color indexed="64"/>
      </bottom>
      <diagonal/>
    </border>
    <border>
      <left style="medium">
        <color rgb="FF092E3F"/>
      </left>
      <right style="medium">
        <color rgb="FF092E3F"/>
      </right>
      <top/>
      <bottom/>
      <diagonal/>
    </border>
    <border>
      <left style="medium">
        <color rgb="FF092E3F"/>
      </left>
      <right style="medium">
        <color rgb="FF092E3F"/>
      </right>
      <top style="thin">
        <color indexed="64"/>
      </top>
      <bottom style="thin">
        <color indexed="64"/>
      </bottom>
      <diagonal/>
    </border>
    <border>
      <left style="medium">
        <color rgb="FF092E3F"/>
      </left>
      <right style="medium">
        <color rgb="FF092E3F"/>
      </right>
      <top/>
      <bottom style="medium">
        <color rgb="FF092E3F"/>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slantDashDot">
        <color rgb="FF004953"/>
      </left>
      <right/>
      <top/>
      <bottom/>
      <diagonal/>
    </border>
    <border>
      <left/>
      <right style="slantDashDot">
        <color rgb="FF004953"/>
      </right>
      <top/>
      <bottom/>
      <diagonal/>
    </border>
    <border>
      <left style="slantDashDot">
        <color rgb="FF004953"/>
      </left>
      <right style="thin">
        <color indexed="64"/>
      </right>
      <top style="slantDashDot">
        <color rgb="FF004953"/>
      </top>
      <bottom style="slantDashDot">
        <color rgb="FF004953"/>
      </bottom>
      <diagonal/>
    </border>
    <border>
      <left style="thin">
        <color indexed="64"/>
      </left>
      <right style="thin">
        <color indexed="64"/>
      </right>
      <top style="slantDashDot">
        <color rgb="FF004953"/>
      </top>
      <bottom style="slantDashDot">
        <color rgb="FF004953"/>
      </bottom>
      <diagonal/>
    </border>
    <border>
      <left style="thin">
        <color indexed="64"/>
      </left>
      <right style="slantDashDot">
        <color rgb="FF004953"/>
      </right>
      <top style="slantDashDot">
        <color rgb="FF004953"/>
      </top>
      <bottom style="slantDashDot">
        <color rgb="FF004953"/>
      </bottom>
      <diagonal/>
    </border>
    <border>
      <left style="slantDashDot">
        <color rgb="FF004953"/>
      </left>
      <right/>
      <top/>
      <bottom style="slantDashDot">
        <color rgb="FF004953"/>
      </bottom>
      <diagonal/>
    </border>
    <border>
      <left/>
      <right/>
      <top style="slantDashDot">
        <color rgb="FF004953"/>
      </top>
      <bottom/>
      <diagonal/>
    </border>
    <border>
      <left/>
      <right/>
      <top/>
      <bottom style="slantDashDot">
        <color rgb="FF004953"/>
      </bottom>
      <diagonal/>
    </border>
    <border>
      <left/>
      <right style="slantDashDot">
        <color rgb="FF004953"/>
      </right>
      <top style="slantDashDot">
        <color rgb="FF004953"/>
      </top>
      <bottom/>
      <diagonal/>
    </border>
    <border>
      <left style="slantDashDot">
        <color rgb="FF004953"/>
      </left>
      <right/>
      <top style="slantDashDot">
        <color rgb="FF004953"/>
      </top>
      <bottom/>
      <diagonal/>
    </border>
    <border>
      <left style="medium">
        <color rgb="FF324632"/>
      </left>
      <right/>
      <top style="double">
        <color rgb="FF324632"/>
      </top>
      <bottom style="thin">
        <color rgb="FF324632"/>
      </bottom>
      <diagonal/>
    </border>
    <border>
      <left/>
      <right/>
      <top style="double">
        <color rgb="FF324632"/>
      </top>
      <bottom style="thin">
        <color rgb="FF324632"/>
      </bottom>
      <diagonal/>
    </border>
    <border>
      <left/>
      <right style="medium">
        <color rgb="FF324632"/>
      </right>
      <top style="double">
        <color rgb="FF324632"/>
      </top>
      <bottom style="thin">
        <color rgb="FF324632"/>
      </bottom>
      <diagonal/>
    </border>
    <border>
      <left/>
      <right style="thin">
        <color indexed="64"/>
      </right>
      <top style="thin">
        <color indexed="64"/>
      </top>
      <bottom style="thin">
        <color indexed="64"/>
      </bottom>
      <diagonal/>
    </border>
    <border>
      <left style="slantDashDot">
        <color indexed="64"/>
      </left>
      <right style="slantDashDot">
        <color indexed="64"/>
      </right>
      <top style="slantDashDot">
        <color indexed="64"/>
      </top>
      <bottom style="slantDashDot">
        <color indexed="64"/>
      </bottom>
      <diagonal/>
    </border>
    <border>
      <left style="slantDashDot">
        <color indexed="64"/>
      </left>
      <right style="slantDashDot">
        <color indexed="64"/>
      </right>
      <top style="slantDashDot">
        <color indexed="64"/>
      </top>
      <bottom/>
      <diagonal/>
    </border>
    <border>
      <left/>
      <right/>
      <top style="slantDashDot">
        <color indexed="64"/>
      </top>
      <bottom/>
      <diagonal/>
    </border>
    <border>
      <left style="slantDashDot">
        <color indexed="64"/>
      </left>
      <right/>
      <top style="slantDashDot">
        <color indexed="64"/>
      </top>
      <bottom/>
      <diagonal/>
    </border>
    <border>
      <left style="slantDashDot">
        <color indexed="64"/>
      </left>
      <right/>
      <top/>
      <bottom/>
      <diagonal/>
    </border>
    <border>
      <left style="slantDashDot">
        <color rgb="FF004953"/>
      </left>
      <right style="slantDashDot">
        <color indexed="64"/>
      </right>
      <top/>
      <bottom/>
      <diagonal/>
    </border>
    <border>
      <left/>
      <right style="slantDashDot">
        <color indexed="64"/>
      </right>
      <top/>
      <bottom style="slantDashDot">
        <color indexed="64"/>
      </bottom>
      <diagonal/>
    </border>
    <border>
      <left style="slantDashDot">
        <color indexed="64"/>
      </left>
      <right/>
      <top/>
      <bottom style="slantDashDot">
        <color indexed="64"/>
      </bottom>
      <diagonal/>
    </border>
    <border>
      <left/>
      <right/>
      <top/>
      <bottom style="slantDashDot">
        <color indexed="64"/>
      </bottom>
      <diagonal/>
    </border>
    <border>
      <left style="slantDashDot">
        <color indexed="64"/>
      </left>
      <right style="slantDashDot">
        <color rgb="FF004953"/>
      </right>
      <top/>
      <bottom/>
      <diagonal/>
    </border>
    <border>
      <left/>
      <right style="slantDashDot">
        <color indexed="64"/>
      </right>
      <top/>
      <bottom/>
      <diagonal/>
    </border>
    <border>
      <left/>
      <right style="slantDashDot">
        <color indexed="64"/>
      </right>
      <top style="slantDashDot">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double">
        <color indexed="64"/>
      </right>
      <top/>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rgb="FF324632"/>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s>
  <cellStyleXfs count="3">
    <xf numFmtId="0" fontId="0" fillId="0" borderId="0"/>
    <xf numFmtId="0" fontId="2" fillId="0" borderId="0"/>
    <xf numFmtId="9" fontId="5" fillId="0" borderId="0" applyFont="0" applyFill="0" applyBorder="0" applyAlignment="0" applyProtection="0"/>
  </cellStyleXfs>
  <cellXfs count="329">
    <xf numFmtId="0" fontId="0" fillId="0" borderId="0" xfId="0"/>
    <xf numFmtId="0" fontId="0" fillId="19" borderId="0" xfId="0" applyFill="1" applyAlignment="1" applyProtection="1">
      <alignment horizontal="left" vertical="center" wrapText="1"/>
      <protection hidden="1"/>
    </xf>
    <xf numFmtId="0" fontId="0" fillId="19" borderId="0" xfId="0" applyFill="1" applyAlignment="1" applyProtection="1">
      <alignment horizontal="center" vertical="center" wrapText="1"/>
      <protection hidden="1"/>
    </xf>
    <xf numFmtId="0" fontId="0" fillId="0" borderId="0" xfId="0" applyProtection="1">
      <protection hidden="1"/>
    </xf>
    <xf numFmtId="10" fontId="0" fillId="0" borderId="1" xfId="0" applyNumberFormat="1" applyBorder="1" applyAlignment="1" applyProtection="1">
      <alignment horizontal="center" vertical="center"/>
      <protection hidden="1"/>
    </xf>
    <xf numFmtId="0" fontId="6" fillId="8" borderId="2" xfId="0" applyFont="1" applyFill="1" applyBorder="1" applyAlignment="1" applyProtection="1">
      <alignment horizontal="center" vertical="center" wrapText="1"/>
      <protection hidden="1"/>
    </xf>
    <xf numFmtId="0" fontId="6" fillId="8" borderId="0" xfId="0" applyFont="1" applyFill="1" applyAlignment="1" applyProtection="1">
      <alignment horizontal="center" wrapText="1"/>
      <protection hidden="1"/>
    </xf>
    <xf numFmtId="10" fontId="0" fillId="0" borderId="0" xfId="2" applyNumberFormat="1" applyFont="1" applyAlignment="1" applyProtection="1">
      <alignment horizontal="center" vertical="center"/>
      <protection hidden="1"/>
    </xf>
    <xf numFmtId="0" fontId="0" fillId="0" borderId="0" xfId="0" applyAlignment="1" applyProtection="1">
      <alignment horizontal="left" vertical="center" wrapText="1"/>
      <protection hidden="1"/>
    </xf>
    <xf numFmtId="10" fontId="0" fillId="0" borderId="0" xfId="2" applyNumberFormat="1" applyFont="1" applyAlignment="1" applyProtection="1">
      <alignment horizontal="center" vertical="center" wrapText="1"/>
      <protection hidden="1"/>
    </xf>
    <xf numFmtId="0" fontId="6" fillId="8" borderId="0" xfId="0" applyFont="1" applyFill="1" applyAlignment="1" applyProtection="1">
      <alignment horizontal="center" vertical="center" wrapText="1"/>
      <protection hidden="1"/>
    </xf>
    <xf numFmtId="0" fontId="7" fillId="7" borderId="1" xfId="0" applyFont="1" applyFill="1" applyBorder="1" applyAlignment="1" applyProtection="1">
      <alignment horizontal="center" wrapText="1"/>
      <protection hidden="1"/>
    </xf>
    <xf numFmtId="12" fontId="0" fillId="0" borderId="0" xfId="0" applyNumberFormat="1" applyAlignment="1" applyProtection="1">
      <alignment horizontal="center" vertical="center" wrapText="1"/>
      <protection hidden="1"/>
    </xf>
    <xf numFmtId="0" fontId="7" fillId="7" borderId="1" xfId="0" applyFont="1" applyFill="1" applyBorder="1" applyAlignment="1" applyProtection="1">
      <alignment horizontal="center" vertical="center" wrapText="1"/>
      <protection hidden="1"/>
    </xf>
    <xf numFmtId="0" fontId="0" fillId="0" borderId="1" xfId="0" applyBorder="1" applyAlignment="1" applyProtection="1">
      <alignment horizontal="left" vertical="center" wrapText="1"/>
      <protection hidden="1"/>
    </xf>
    <xf numFmtId="10" fontId="0" fillId="0" borderId="1" xfId="2" applyNumberFormat="1" applyFont="1" applyBorder="1" applyAlignment="1" applyProtection="1">
      <alignment horizontal="center" vertical="center" wrapText="1"/>
      <protection hidden="1"/>
    </xf>
    <xf numFmtId="10" fontId="0" fillId="0" borderId="1" xfId="2" applyNumberFormat="1" applyFont="1" applyBorder="1" applyAlignment="1" applyProtection="1">
      <alignment horizontal="left" vertical="center" wrapText="1"/>
      <protection hidden="1"/>
    </xf>
    <xf numFmtId="0" fontId="0" fillId="19" borderId="1" xfId="0" applyFill="1" applyBorder="1" applyAlignment="1" applyProtection="1">
      <alignment horizontal="left" vertical="center" wrapText="1"/>
      <protection hidden="1"/>
    </xf>
    <xf numFmtId="10" fontId="0" fillId="0" borderId="1" xfId="2" applyNumberFormat="1" applyFont="1" applyBorder="1" applyAlignment="1" applyProtection="1">
      <alignment horizontal="center" vertical="center"/>
      <protection hidden="1"/>
    </xf>
    <xf numFmtId="10" fontId="0" fillId="0" borderId="1" xfId="0" applyNumberForma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wrapText="1"/>
      <protection hidden="1"/>
    </xf>
    <xf numFmtId="0" fontId="0" fillId="19" borderId="0" xfId="0" applyFill="1" applyAlignment="1" applyProtection="1">
      <alignment vertical="center" wrapText="1"/>
      <protection hidden="1"/>
    </xf>
    <xf numFmtId="9" fontId="0" fillId="0" borderId="1" xfId="0" applyNumberFormat="1" applyBorder="1" applyAlignment="1" applyProtection="1">
      <alignment horizontal="left" vertical="center" wrapText="1"/>
      <protection hidden="1"/>
    </xf>
    <xf numFmtId="10" fontId="0" fillId="0" borderId="0" xfId="0" applyNumberFormat="1" applyAlignment="1" applyProtection="1">
      <alignment horizontal="center" vertical="center" wrapText="1"/>
      <protection hidden="1"/>
    </xf>
    <xf numFmtId="10" fontId="0" fillId="0" borderId="0" xfId="2" applyNumberFormat="1" applyFont="1" applyBorder="1" applyAlignment="1" applyProtection="1">
      <alignment horizontal="center" vertical="center" wrapText="1"/>
      <protection hidden="1"/>
    </xf>
    <xf numFmtId="0" fontId="0" fillId="0" borderId="0" xfId="0" applyAlignment="1" applyProtection="1">
      <alignment wrapText="1"/>
      <protection hidden="1"/>
    </xf>
    <xf numFmtId="10" fontId="0" fillId="0" borderId="0" xfId="2" applyNumberFormat="1" applyFont="1" applyAlignment="1" applyProtection="1">
      <alignment horizontal="center"/>
      <protection hidden="1"/>
    </xf>
    <xf numFmtId="0" fontId="0" fillId="0" borderId="1" xfId="0" applyBorder="1" applyAlignment="1" applyProtection="1">
      <alignment vertical="center" wrapText="1"/>
      <protection hidden="1"/>
    </xf>
    <xf numFmtId="10" fontId="0" fillId="0" borderId="1" xfId="2" applyNumberFormat="1" applyFont="1" applyBorder="1" applyAlignment="1" applyProtection="1">
      <alignment vertical="center" wrapText="1"/>
      <protection hidden="1"/>
    </xf>
    <xf numFmtId="0" fontId="0" fillId="0" borderId="0" xfId="0" applyAlignment="1" applyProtection="1">
      <alignment vertical="center" wrapText="1"/>
      <protection hidden="1"/>
    </xf>
    <xf numFmtId="0" fontId="0" fillId="19" borderId="0" xfId="0" applyFill="1" applyAlignment="1" applyProtection="1">
      <alignment wrapText="1"/>
      <protection hidden="1"/>
    </xf>
    <xf numFmtId="0" fontId="0" fillId="19" borderId="1" xfId="0" applyFill="1" applyBorder="1" applyAlignment="1" applyProtection="1">
      <alignment vertical="center" wrapText="1"/>
      <protection hidden="1"/>
    </xf>
    <xf numFmtId="0" fontId="0" fillId="0" borderId="0" xfId="0" applyAlignment="1" applyProtection="1">
      <alignment horizontal="left" wrapText="1"/>
      <protection hidden="1"/>
    </xf>
    <xf numFmtId="0" fontId="0" fillId="19" borderId="1" xfId="0" applyFill="1" applyBorder="1" applyAlignment="1" applyProtection="1">
      <alignment horizontal="left" wrapText="1"/>
      <protection hidden="1"/>
    </xf>
    <xf numFmtId="9" fontId="0" fillId="0" borderId="1" xfId="2" applyFont="1" applyBorder="1" applyAlignment="1" applyProtection="1">
      <alignment horizontal="center" vertical="center"/>
      <protection hidden="1"/>
    </xf>
    <xf numFmtId="0" fontId="15" fillId="0" borderId="1" xfId="0" applyFont="1" applyBorder="1" applyAlignment="1" applyProtection="1">
      <alignment vertical="center" wrapText="1"/>
      <protection hidden="1"/>
    </xf>
    <xf numFmtId="0" fontId="0" fillId="19" borderId="0" xfId="0" applyFill="1" applyAlignment="1" applyProtection="1">
      <alignment horizontal="center" wrapText="1"/>
      <protection hidden="1"/>
    </xf>
    <xf numFmtId="0" fontId="15" fillId="0" borderId="1" xfId="0" applyFont="1" applyBorder="1" applyAlignment="1" applyProtection="1">
      <alignment horizontal="left" vertical="center" wrapText="1"/>
      <protection hidden="1"/>
    </xf>
    <xf numFmtId="10" fontId="0" fillId="0" borderId="1" xfId="0" applyNumberFormat="1" applyBorder="1" applyAlignment="1">
      <alignment horizontal="center" vertical="center"/>
    </xf>
    <xf numFmtId="0" fontId="6" fillId="8" borderId="20" xfId="0" applyFont="1" applyFill="1" applyBorder="1" applyAlignment="1">
      <alignment horizontal="center" vertical="center"/>
    </xf>
    <xf numFmtId="0" fontId="6" fillId="8" borderId="16" xfId="0" applyFont="1" applyFill="1" applyBorder="1" applyAlignment="1">
      <alignment horizontal="center" vertical="center"/>
    </xf>
    <xf numFmtId="0" fontId="0" fillId="0" borderId="21" xfId="0" applyBorder="1"/>
    <xf numFmtId="0" fontId="0" fillId="0" borderId="17" xfId="0" applyBorder="1"/>
    <xf numFmtId="0" fontId="0" fillId="0" borderId="1" xfId="0" applyBorder="1" applyAlignment="1">
      <alignment horizontal="center" vertical="center"/>
    </xf>
    <xf numFmtId="10" fontId="0" fillId="0" borderId="2" xfId="0" applyNumberFormat="1" applyBorder="1" applyAlignment="1">
      <alignment horizontal="center" vertical="center"/>
    </xf>
    <xf numFmtId="10" fontId="0" fillId="0" borderId="38" xfId="0" applyNumberFormat="1" applyBorder="1" applyAlignment="1">
      <alignment horizontal="center" vertical="center"/>
    </xf>
    <xf numFmtId="0" fontId="7" fillId="7" borderId="22" xfId="0" applyFont="1" applyFill="1" applyBorder="1" applyAlignment="1">
      <alignment horizontal="center"/>
    </xf>
    <xf numFmtId="0" fontId="7" fillId="7" borderId="18" xfId="0" applyFont="1" applyFill="1" applyBorder="1" applyAlignment="1">
      <alignment horizontal="center"/>
    </xf>
    <xf numFmtId="10" fontId="0" fillId="0" borderId="22" xfId="2" applyNumberFormat="1" applyFont="1" applyBorder="1" applyAlignment="1" applyProtection="1">
      <alignment horizontal="center"/>
    </xf>
    <xf numFmtId="10" fontId="0" fillId="0" borderId="18" xfId="2" applyNumberFormat="1" applyFont="1" applyBorder="1" applyAlignment="1" applyProtection="1">
      <alignment horizontal="center"/>
    </xf>
    <xf numFmtId="10" fontId="0" fillId="0" borderId="17" xfId="0" applyNumberFormat="1" applyBorder="1"/>
    <xf numFmtId="10" fontId="7" fillId="7" borderId="18" xfId="0" applyNumberFormat="1" applyFont="1" applyFill="1" applyBorder="1" applyAlignment="1">
      <alignment horizontal="center"/>
    </xf>
    <xf numFmtId="164" fontId="0" fillId="0" borderId="1" xfId="0" applyNumberFormat="1" applyBorder="1" applyAlignment="1">
      <alignment horizontal="center" vertical="center"/>
    </xf>
    <xf numFmtId="0" fontId="0" fillId="0" borderId="0" xfId="0" applyAlignment="1">
      <alignment horizontal="center" vertical="center"/>
    </xf>
    <xf numFmtId="10" fontId="0" fillId="0" borderId="22" xfId="2" applyNumberFormat="1" applyFont="1" applyFill="1" applyBorder="1" applyAlignment="1" applyProtection="1">
      <alignment horizontal="center"/>
    </xf>
    <xf numFmtId="10" fontId="0" fillId="0" borderId="0" xfId="0" applyNumberFormat="1" applyAlignment="1">
      <alignment horizontal="center" vertical="center"/>
    </xf>
    <xf numFmtId="0" fontId="0" fillId="0" borderId="21" xfId="0" applyBorder="1" applyAlignment="1">
      <alignment horizontal="center"/>
    </xf>
    <xf numFmtId="10" fontId="0" fillId="19" borderId="18" xfId="2" applyNumberFormat="1" applyFont="1" applyFill="1" applyBorder="1" applyAlignment="1" applyProtection="1">
      <alignment horizontal="center"/>
    </xf>
    <xf numFmtId="10" fontId="0" fillId="0" borderId="21" xfId="0" applyNumberFormat="1" applyBorder="1" applyAlignment="1">
      <alignment horizontal="center"/>
    </xf>
    <xf numFmtId="10" fontId="7" fillId="7" borderId="22" xfId="0" applyNumberFormat="1" applyFont="1" applyFill="1" applyBorder="1" applyAlignment="1">
      <alignment horizontal="center"/>
    </xf>
    <xf numFmtId="0" fontId="6" fillId="10" borderId="17" xfId="0" applyFont="1" applyFill="1" applyBorder="1" applyAlignment="1">
      <alignment horizontal="center"/>
    </xf>
    <xf numFmtId="10" fontId="6" fillId="10" borderId="19" xfId="0" applyNumberFormat="1" applyFont="1" applyFill="1" applyBorder="1" applyAlignment="1">
      <alignment horizontal="center" vertical="center"/>
    </xf>
    <xf numFmtId="0" fontId="7" fillId="14" borderId="20" xfId="0" applyFont="1" applyFill="1" applyBorder="1" applyAlignment="1">
      <alignment horizontal="center"/>
    </xf>
    <xf numFmtId="10" fontId="7" fillId="14" borderId="22" xfId="0" applyNumberFormat="1" applyFont="1" applyFill="1" applyBorder="1" applyAlignment="1">
      <alignment horizontal="center"/>
    </xf>
    <xf numFmtId="10" fontId="0" fillId="19" borderId="22" xfId="2" applyNumberFormat="1" applyFont="1" applyFill="1" applyBorder="1" applyAlignment="1" applyProtection="1">
      <alignment horizontal="center"/>
    </xf>
    <xf numFmtId="0" fontId="0" fillId="0" borderId="22" xfId="0" applyBorder="1"/>
    <xf numFmtId="10" fontId="0" fillId="19" borderId="22" xfId="2" applyNumberFormat="1" applyFont="1" applyFill="1" applyBorder="1" applyAlignment="1" applyProtection="1">
      <alignment horizontal="center" vertical="center"/>
    </xf>
    <xf numFmtId="10" fontId="0" fillId="0" borderId="22" xfId="0" applyNumberFormat="1" applyBorder="1"/>
    <xf numFmtId="0" fontId="0" fillId="0" borderId="24" xfId="0" applyBorder="1"/>
    <xf numFmtId="10" fontId="0" fillId="0" borderId="23" xfId="0" applyNumberFormat="1" applyBorder="1"/>
    <xf numFmtId="0" fontId="7" fillId="19" borderId="0" xfId="0" applyFont="1" applyFill="1" applyAlignment="1">
      <alignment horizontal="center"/>
    </xf>
    <xf numFmtId="10" fontId="0" fillId="0" borderId="21" xfId="0" applyNumberFormat="1" applyBorder="1"/>
    <xf numFmtId="10" fontId="0" fillId="0" borderId="24" xfId="0" applyNumberFormat="1" applyBorder="1"/>
    <xf numFmtId="164" fontId="7" fillId="14" borderId="22" xfId="0" applyNumberFormat="1" applyFont="1" applyFill="1" applyBorder="1" applyAlignment="1">
      <alignment horizontal="center"/>
    </xf>
    <xf numFmtId="10" fontId="6" fillId="10" borderId="19" xfId="2" applyNumberFormat="1" applyFont="1" applyFill="1" applyBorder="1" applyAlignment="1" applyProtection="1">
      <alignment horizontal="center"/>
    </xf>
    <xf numFmtId="0" fontId="0" fillId="0" borderId="23" xfId="0" applyBorder="1"/>
    <xf numFmtId="0" fontId="0" fillId="0" borderId="23" xfId="0" applyBorder="1" applyAlignment="1">
      <alignment horizontal="center"/>
    </xf>
    <xf numFmtId="0" fontId="0" fillId="0" borderId="22" xfId="0" applyBorder="1" applyAlignment="1">
      <alignment horizontal="center"/>
    </xf>
    <xf numFmtId="10" fontId="0" fillId="0" borderId="23" xfId="2" applyNumberFormat="1" applyFont="1" applyBorder="1" applyAlignment="1" applyProtection="1">
      <alignment horizontal="center"/>
    </xf>
    <xf numFmtId="10" fontId="0" fillId="0" borderId="22" xfId="0" applyNumberFormat="1" applyBorder="1" applyAlignment="1">
      <alignment horizontal="center"/>
    </xf>
    <xf numFmtId="10" fontId="0" fillId="0" borderId="23" xfId="0" applyNumberFormat="1" applyBorder="1" applyAlignment="1">
      <alignment horizontal="center"/>
    </xf>
    <xf numFmtId="0" fontId="0" fillId="0" borderId="0" xfId="0" applyProtection="1">
      <protection locked="0"/>
    </xf>
    <xf numFmtId="0" fontId="1" fillId="3" borderId="0" xfId="0" applyFont="1" applyFill="1" applyProtection="1">
      <protection locked="0"/>
    </xf>
    <xf numFmtId="0" fontId="1" fillId="2" borderId="0" xfId="0" applyFont="1" applyFill="1" applyProtection="1">
      <protection locked="0"/>
    </xf>
    <xf numFmtId="0" fontId="1" fillId="4" borderId="0" xfId="0" applyFont="1" applyFill="1" applyProtection="1">
      <protection locked="0"/>
    </xf>
    <xf numFmtId="0" fontId="1" fillId="5" borderId="0" xfId="0" applyFont="1" applyFill="1" applyProtection="1">
      <protection locked="0"/>
    </xf>
    <xf numFmtId="0" fontId="1" fillId="6" borderId="0" xfId="0" applyFont="1" applyFill="1" applyProtection="1">
      <protection locked="0"/>
    </xf>
    <xf numFmtId="0" fontId="0" fillId="0" borderId="0" xfId="0" applyAlignment="1" applyProtection="1">
      <alignment horizontal="left" vertical="center"/>
      <protection locked="0"/>
    </xf>
    <xf numFmtId="0" fontId="0" fillId="0" borderId="4"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4" fillId="0" borderId="11" xfId="0" applyFont="1" applyBorder="1" applyAlignment="1" applyProtection="1">
      <alignment horizontal="left" vertical="top"/>
      <protection locked="0"/>
    </xf>
    <xf numFmtId="0" fontId="1" fillId="11" borderId="0" xfId="0" applyFont="1" applyFill="1" applyProtection="1">
      <protection locked="0"/>
    </xf>
    <xf numFmtId="0" fontId="1" fillId="13" borderId="0" xfId="0" applyFont="1" applyFill="1" applyProtection="1">
      <protection locked="0"/>
    </xf>
    <xf numFmtId="0" fontId="1" fillId="12" borderId="0" xfId="0" applyFont="1" applyFill="1" applyProtection="1">
      <protection locked="0"/>
    </xf>
    <xf numFmtId="0" fontId="18" fillId="0" borderId="0" xfId="0" applyFont="1" applyAlignment="1" applyProtection="1">
      <alignment vertical="center"/>
      <protection locked="0"/>
    </xf>
    <xf numFmtId="0" fontId="1" fillId="3" borderId="0" xfId="0" applyFont="1" applyFill="1" applyProtection="1">
      <protection locked="0" hidden="1"/>
    </xf>
    <xf numFmtId="0" fontId="1" fillId="2" borderId="0" xfId="0" applyFont="1" applyFill="1" applyProtection="1">
      <protection locked="0" hidden="1"/>
    </xf>
    <xf numFmtId="0" fontId="1" fillId="4" borderId="0" xfId="0" applyFont="1" applyFill="1" applyProtection="1">
      <protection locked="0" hidden="1"/>
    </xf>
    <xf numFmtId="0" fontId="1" fillId="5" borderId="0" xfId="0" applyFont="1" applyFill="1" applyProtection="1">
      <protection locked="0" hidden="1"/>
    </xf>
    <xf numFmtId="0" fontId="1" fillId="6" borderId="0" xfId="0" applyFont="1" applyFill="1" applyProtection="1">
      <protection locked="0" hidden="1"/>
    </xf>
    <xf numFmtId="0" fontId="1" fillId="11" borderId="0" xfId="0" applyFont="1" applyFill="1" applyProtection="1">
      <protection locked="0" hidden="1"/>
    </xf>
    <xf numFmtId="0" fontId="1" fillId="13" borderId="0" xfId="0" applyFont="1" applyFill="1" applyProtection="1">
      <protection locked="0" hidden="1"/>
    </xf>
    <xf numFmtId="0" fontId="1" fillId="12" borderId="0" xfId="0" applyFont="1" applyFill="1" applyProtection="1">
      <protection locked="0" hidden="1"/>
    </xf>
    <xf numFmtId="0" fontId="0" fillId="0" borderId="1" xfId="0" applyBorder="1"/>
    <xf numFmtId="10" fontId="0" fillId="7" borderId="1" xfId="2" applyNumberFormat="1" applyFont="1" applyFill="1" applyBorder="1" applyAlignment="1" applyProtection="1">
      <alignment horizontal="left" vertical="center" wrapText="1"/>
      <protection hidden="1"/>
    </xf>
    <xf numFmtId="0" fontId="0" fillId="23" borderId="1" xfId="0" applyFill="1" applyBorder="1" applyAlignment="1" applyProtection="1">
      <alignment horizontal="left" vertical="center" wrapText="1"/>
      <protection hidden="1"/>
    </xf>
    <xf numFmtId="165" fontId="0" fillId="0" borderId="1" xfId="2" applyNumberFormat="1" applyFont="1" applyBorder="1" applyAlignment="1" applyProtection="1">
      <alignment horizontal="center" vertical="center" wrapText="1"/>
      <protection hidden="1"/>
    </xf>
    <xf numFmtId="167" fontId="0" fillId="0" borderId="1" xfId="2" applyNumberFormat="1" applyFont="1" applyBorder="1" applyAlignment="1" applyProtection="1">
      <alignment horizontal="center" vertical="center" wrapText="1"/>
      <protection hidden="1"/>
    </xf>
    <xf numFmtId="0" fontId="20" fillId="0" borderId="0" xfId="0" applyFont="1" applyAlignment="1" applyProtection="1">
      <alignment vertical="center" wrapText="1"/>
      <protection hidden="1"/>
    </xf>
    <xf numFmtId="0" fontId="0" fillId="0" borderId="0" xfId="0" applyAlignment="1" applyProtection="1">
      <alignment horizontal="center" vertical="center"/>
      <protection locked="0"/>
    </xf>
    <xf numFmtId="0" fontId="9" fillId="0" borderId="0" xfId="0" applyFont="1" applyAlignment="1" applyProtection="1">
      <alignment horizontal="left" vertical="center"/>
      <protection locked="0"/>
    </xf>
    <xf numFmtId="0" fontId="0" fillId="0" borderId="60" xfId="0" applyBorder="1" applyAlignment="1" applyProtection="1">
      <alignment horizontal="left" vertical="center"/>
      <protection locked="0"/>
    </xf>
    <xf numFmtId="0" fontId="7" fillId="24" borderId="1" xfId="0" applyFont="1" applyFill="1" applyBorder="1" applyAlignment="1" applyProtection="1">
      <alignment horizontal="center" vertical="center" wrapText="1"/>
      <protection hidden="1"/>
    </xf>
    <xf numFmtId="10" fontId="0" fillId="0" borderId="61" xfId="2" applyNumberFormat="1" applyFont="1" applyBorder="1" applyAlignment="1" applyProtection="1">
      <alignment horizontal="center"/>
    </xf>
    <xf numFmtId="0" fontId="0" fillId="0" borderId="63" xfId="0" applyBorder="1"/>
    <xf numFmtId="0" fontId="7" fillId="25" borderId="20" xfId="0" applyFont="1" applyFill="1" applyBorder="1" applyAlignment="1">
      <alignment horizontal="center"/>
    </xf>
    <xf numFmtId="10" fontId="7" fillId="25" borderId="18" xfId="0" applyNumberFormat="1" applyFont="1" applyFill="1" applyBorder="1" applyAlignment="1">
      <alignment horizontal="center"/>
    </xf>
    <xf numFmtId="10" fontId="7" fillId="24" borderId="62" xfId="0" applyNumberFormat="1" applyFont="1" applyFill="1" applyBorder="1" applyAlignment="1">
      <alignment horizontal="center"/>
    </xf>
    <xf numFmtId="10" fontId="0" fillId="0" borderId="0" xfId="2" applyNumberFormat="1" applyFont="1" applyFill="1" applyBorder="1" applyAlignment="1" applyProtection="1">
      <alignment horizontal="center" vertical="center"/>
      <protection hidden="1"/>
    </xf>
    <xf numFmtId="10" fontId="0" fillId="0" borderId="0" xfId="2" applyNumberFormat="1" applyFont="1" applyFill="1" applyBorder="1" applyAlignment="1" applyProtection="1">
      <alignment horizontal="center" vertical="center" wrapText="1"/>
      <protection hidden="1"/>
    </xf>
    <xf numFmtId="10" fontId="0" fillId="0" borderId="0" xfId="2" applyNumberFormat="1" applyFont="1" applyFill="1" applyBorder="1" applyAlignment="1" applyProtection="1">
      <alignment horizontal="left" vertical="center" wrapText="1"/>
      <protection hidden="1"/>
    </xf>
    <xf numFmtId="0" fontId="7" fillId="22" borderId="1" xfId="0" applyFont="1" applyFill="1" applyBorder="1" applyAlignment="1" applyProtection="1">
      <alignment horizontal="center" vertical="center" wrapText="1"/>
      <protection hidden="1"/>
    </xf>
    <xf numFmtId="10" fontId="0" fillId="0" borderId="1" xfId="2" applyNumberFormat="1" applyFont="1" applyFill="1" applyBorder="1" applyAlignment="1" applyProtection="1">
      <alignment horizontal="center" vertical="center"/>
      <protection hidden="1"/>
    </xf>
    <xf numFmtId="0" fontId="7" fillId="22" borderId="1" xfId="0" applyFont="1" applyFill="1" applyBorder="1" applyAlignment="1" applyProtection="1">
      <alignment horizontal="left" vertical="center" wrapText="1"/>
      <protection hidden="1"/>
    </xf>
    <xf numFmtId="0" fontId="0" fillId="0" borderId="52" xfId="0" applyBorder="1" applyAlignment="1" applyProtection="1">
      <alignment horizontal="left" vertical="center" wrapText="1"/>
      <protection hidden="1"/>
    </xf>
    <xf numFmtId="0" fontId="0" fillId="0" borderId="1" xfId="0" applyBorder="1" applyAlignment="1">
      <alignment horizontal="left" vertical="center" wrapText="1"/>
    </xf>
    <xf numFmtId="0" fontId="0" fillId="0" borderId="1" xfId="0" applyBorder="1" applyAlignment="1" applyProtection="1">
      <alignment wrapText="1"/>
      <protection hidden="1"/>
    </xf>
    <xf numFmtId="10" fontId="7" fillId="24" borderId="18" xfId="0" applyNumberFormat="1" applyFont="1" applyFill="1" applyBorder="1" applyAlignment="1">
      <alignment horizontal="center"/>
    </xf>
    <xf numFmtId="10" fontId="0" fillId="0" borderId="18" xfId="0" applyNumberFormat="1" applyBorder="1"/>
    <xf numFmtId="0" fontId="7" fillId="14" borderId="1" xfId="0" applyFont="1" applyFill="1" applyBorder="1" applyAlignment="1">
      <alignment horizontal="center"/>
    </xf>
    <xf numFmtId="168" fontId="7" fillId="14" borderId="1" xfId="0" applyNumberFormat="1" applyFont="1" applyFill="1" applyBorder="1" applyAlignment="1">
      <alignment horizontal="center"/>
    </xf>
    <xf numFmtId="0" fontId="7" fillId="7" borderId="1" xfId="0" applyFont="1" applyFill="1" applyBorder="1" applyAlignment="1">
      <alignment horizontal="center"/>
    </xf>
    <xf numFmtId="10" fontId="0" fillId="0" borderId="1" xfId="2" applyNumberFormat="1" applyFont="1" applyBorder="1" applyAlignment="1" applyProtection="1">
      <alignment horizontal="center"/>
    </xf>
    <xf numFmtId="10" fontId="0" fillId="0" borderId="1" xfId="0" applyNumberFormat="1" applyBorder="1"/>
    <xf numFmtId="10" fontId="7" fillId="7" borderId="1" xfId="0" applyNumberFormat="1" applyFont="1" applyFill="1" applyBorder="1" applyAlignment="1">
      <alignment horizontal="center"/>
    </xf>
    <xf numFmtId="10" fontId="7" fillId="24" borderId="22" xfId="0" applyNumberFormat="1" applyFont="1" applyFill="1" applyBorder="1" applyAlignment="1">
      <alignment horizontal="center"/>
    </xf>
    <xf numFmtId="10" fontId="7" fillId="0" borderId="0" xfId="0" applyNumberFormat="1" applyFont="1" applyAlignment="1">
      <alignment horizontal="center"/>
    </xf>
    <xf numFmtId="10" fontId="0" fillId="0" borderId="0" xfId="2" applyNumberFormat="1" applyFont="1" applyFill="1" applyBorder="1" applyAlignment="1" applyProtection="1">
      <alignment horizontal="center"/>
    </xf>
    <xf numFmtId="0" fontId="7" fillId="24" borderId="20" xfId="0" applyFont="1" applyFill="1" applyBorder="1" applyAlignment="1">
      <alignment horizontal="center"/>
    </xf>
    <xf numFmtId="164" fontId="7" fillId="24" borderId="22" xfId="0" applyNumberFormat="1" applyFont="1" applyFill="1" applyBorder="1" applyAlignment="1">
      <alignment horizontal="center"/>
    </xf>
    <xf numFmtId="0" fontId="7" fillId="24" borderId="18" xfId="0" applyFont="1" applyFill="1" applyBorder="1" applyAlignment="1">
      <alignment horizontal="center"/>
    </xf>
    <xf numFmtId="0" fontId="7" fillId="24" borderId="22" xfId="0" applyFont="1" applyFill="1" applyBorder="1" applyAlignment="1">
      <alignment horizontal="center"/>
    </xf>
    <xf numFmtId="0" fontId="0" fillId="9" borderId="0" xfId="0" applyFill="1" applyProtection="1">
      <protection locked="0"/>
    </xf>
    <xf numFmtId="0" fontId="3" fillId="9" borderId="0" xfId="1" applyFont="1" applyFill="1" applyProtection="1">
      <protection locked="0"/>
    </xf>
    <xf numFmtId="0" fontId="0" fillId="9" borderId="0" xfId="0" applyFill="1" applyAlignment="1" applyProtection="1">
      <alignment horizontal="left"/>
      <protection locked="0"/>
    </xf>
    <xf numFmtId="0" fontId="4" fillId="9" borderId="0" xfId="0" applyFont="1" applyFill="1" applyAlignment="1" applyProtection="1">
      <alignment horizontal="left" vertical="top"/>
      <protection locked="0"/>
    </xf>
    <xf numFmtId="0" fontId="4" fillId="9" borderId="11" xfId="0" applyFont="1" applyFill="1" applyBorder="1" applyAlignment="1" applyProtection="1">
      <alignment horizontal="left" vertical="top"/>
      <protection locked="0"/>
    </xf>
    <xf numFmtId="0" fontId="0" fillId="9" borderId="33" xfId="0" applyFill="1" applyBorder="1" applyProtection="1">
      <protection locked="0"/>
    </xf>
    <xf numFmtId="0" fontId="0" fillId="9" borderId="25" xfId="0" applyFill="1" applyBorder="1" applyProtection="1">
      <protection locked="0"/>
    </xf>
    <xf numFmtId="0" fontId="0" fillId="19" borderId="0" xfId="0" applyFill="1" applyProtection="1">
      <protection locked="0"/>
    </xf>
    <xf numFmtId="0" fontId="0" fillId="15" borderId="0" xfId="0" applyFill="1" applyProtection="1">
      <protection locked="0"/>
    </xf>
    <xf numFmtId="0" fontId="0" fillId="9" borderId="26" xfId="0" applyFill="1" applyBorder="1" applyProtection="1">
      <protection locked="0"/>
    </xf>
    <xf numFmtId="0" fontId="0" fillId="16" borderId="0" xfId="0" applyFill="1" applyProtection="1">
      <protection locked="0"/>
    </xf>
    <xf numFmtId="0" fontId="0" fillId="17" borderId="0" xfId="0" applyFill="1" applyProtection="1">
      <protection locked="0"/>
    </xf>
    <xf numFmtId="0" fontId="0" fillId="18" borderId="0" xfId="0" applyFill="1" applyProtection="1">
      <protection locked="0"/>
    </xf>
    <xf numFmtId="0" fontId="0" fillId="9" borderId="30" xfId="0" applyFill="1" applyBorder="1" applyProtection="1">
      <protection locked="0"/>
    </xf>
    <xf numFmtId="0" fontId="0" fillId="9" borderId="32" xfId="0" applyFill="1" applyBorder="1" applyProtection="1">
      <protection locked="0"/>
    </xf>
    <xf numFmtId="0" fontId="0" fillId="9" borderId="48" xfId="0" applyFill="1" applyBorder="1" applyProtection="1">
      <protection locked="0"/>
    </xf>
    <xf numFmtId="0" fontId="0" fillId="9" borderId="44" xfId="0" applyFill="1" applyBorder="1" applyProtection="1">
      <protection locked="0"/>
    </xf>
    <xf numFmtId="0" fontId="0" fillId="9" borderId="47" xfId="0" applyFill="1" applyBorder="1" applyProtection="1">
      <protection locked="0"/>
    </xf>
    <xf numFmtId="0" fontId="16" fillId="9" borderId="25" xfId="0" applyFont="1" applyFill="1" applyBorder="1" applyAlignment="1" applyProtection="1">
      <alignment horizontal="left" vertical="center"/>
      <protection locked="0"/>
    </xf>
    <xf numFmtId="0" fontId="16" fillId="9" borderId="0" xfId="0" applyFont="1" applyFill="1" applyAlignment="1" applyProtection="1">
      <alignment horizontal="left" vertical="center"/>
      <protection locked="0"/>
    </xf>
    <xf numFmtId="0" fontId="16" fillId="9" borderId="26" xfId="0" applyFont="1" applyFill="1" applyBorder="1" applyAlignment="1" applyProtection="1">
      <alignment horizontal="left" vertical="center"/>
      <protection locked="0"/>
    </xf>
    <xf numFmtId="0" fontId="0" fillId="9" borderId="25" xfId="0" applyFill="1" applyBorder="1" applyAlignment="1" applyProtection="1">
      <alignment horizontal="left" vertical="center" wrapText="1"/>
      <protection locked="0"/>
    </xf>
    <xf numFmtId="0" fontId="0" fillId="9" borderId="0" xfId="0" applyFill="1" applyAlignment="1" applyProtection="1">
      <alignment horizontal="left" vertical="center" wrapText="1"/>
      <protection locked="0"/>
    </xf>
    <xf numFmtId="0" fontId="0" fillId="9" borderId="26" xfId="0" applyFill="1" applyBorder="1" applyAlignment="1" applyProtection="1">
      <alignment horizontal="left" vertical="center" wrapText="1"/>
      <protection locked="0"/>
    </xf>
    <xf numFmtId="0" fontId="0" fillId="9" borderId="25" xfId="0" applyFill="1" applyBorder="1" applyAlignment="1" applyProtection="1">
      <alignment vertical="center" wrapText="1"/>
      <protection locked="0"/>
    </xf>
    <xf numFmtId="0" fontId="0" fillId="9" borderId="48" xfId="0" applyFill="1" applyBorder="1" applyAlignment="1" applyProtection="1">
      <alignment vertical="center" wrapText="1"/>
      <protection locked="0"/>
    </xf>
    <xf numFmtId="0" fontId="0" fillId="9" borderId="26" xfId="0" applyFill="1" applyBorder="1" applyAlignment="1" applyProtection="1">
      <alignment vertical="center" wrapText="1"/>
      <protection locked="0"/>
    </xf>
    <xf numFmtId="0" fontId="0" fillId="9" borderId="0" xfId="0" applyFill="1" applyAlignment="1" applyProtection="1">
      <alignment vertical="center" wrapText="1"/>
      <protection locked="0"/>
    </xf>
    <xf numFmtId="0" fontId="0" fillId="9" borderId="0" xfId="0" applyFill="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0" fontId="28" fillId="0" borderId="1" xfId="2" applyNumberFormat="1" applyFont="1" applyBorder="1" applyAlignment="1" applyProtection="1">
      <alignment horizontal="center" vertical="center" wrapText="1"/>
      <protection locked="0"/>
    </xf>
    <xf numFmtId="0" fontId="28" fillId="0" borderId="0" xfId="0" applyFont="1" applyProtection="1">
      <protection locked="0"/>
    </xf>
    <xf numFmtId="10" fontId="24" fillId="9" borderId="0" xfId="2" applyNumberFormat="1" applyFont="1" applyFill="1" applyBorder="1" applyAlignment="1" applyProtection="1">
      <alignment vertical="center"/>
      <protection locked="0"/>
    </xf>
    <xf numFmtId="10" fontId="0" fillId="9" borderId="0" xfId="0" applyNumberFormat="1" applyFill="1" applyAlignment="1" applyProtection="1">
      <alignment vertical="center"/>
      <protection locked="0"/>
    </xf>
    <xf numFmtId="0" fontId="0" fillId="9" borderId="0" xfId="0" applyFill="1" applyAlignment="1" applyProtection="1">
      <alignment vertical="center"/>
      <protection locked="0"/>
    </xf>
    <xf numFmtId="0" fontId="27" fillId="9" borderId="0" xfId="0" applyFont="1" applyFill="1" applyAlignment="1" applyProtection="1">
      <alignment horizontal="center" vertical="center"/>
      <protection locked="0"/>
    </xf>
    <xf numFmtId="0" fontId="29" fillId="9" borderId="0" xfId="0" applyFont="1" applyFill="1" applyAlignment="1" applyProtection="1">
      <alignment horizontal="right" vertical="center" textRotation="90" wrapText="1"/>
      <protection locked="0"/>
    </xf>
    <xf numFmtId="0" fontId="17" fillId="9" borderId="0" xfId="0" applyFont="1" applyFill="1" applyAlignment="1" applyProtection="1">
      <alignment horizontal="center" vertical="center" textRotation="90" wrapText="1"/>
      <protection locked="0"/>
    </xf>
    <xf numFmtId="0" fontId="0" fillId="0" borderId="0" xfId="0" applyAlignment="1" applyProtection="1">
      <alignment horizontal="center" vertical="center" wrapText="1"/>
      <protection locked="0"/>
    </xf>
    <xf numFmtId="2" fontId="0" fillId="0" borderId="0" xfId="0" applyNumberFormat="1" applyAlignment="1" applyProtection="1">
      <alignment horizontal="center" vertical="center" wrapText="1"/>
      <protection locked="0"/>
    </xf>
    <xf numFmtId="0" fontId="7" fillId="0" borderId="0" xfId="0" applyFont="1" applyAlignment="1" applyProtection="1">
      <alignment horizontal="center"/>
      <protection locked="0"/>
    </xf>
    <xf numFmtId="165" fontId="7" fillId="0" borderId="1" xfId="2" applyNumberFormat="1" applyFont="1" applyBorder="1" applyAlignment="1" applyProtection="1">
      <alignment horizontal="center" vertical="center"/>
      <protection locked="0"/>
    </xf>
    <xf numFmtId="0" fontId="26" fillId="0" borderId="0" xfId="0" applyFont="1" applyAlignment="1" applyProtection="1">
      <alignment horizontal="center"/>
      <protection locked="0"/>
    </xf>
    <xf numFmtId="0" fontId="0" fillId="0" borderId="1" xfId="0" applyBorder="1" applyAlignment="1" applyProtection="1">
      <alignment horizontal="center" vertical="center"/>
      <protection locked="0"/>
    </xf>
    <xf numFmtId="0" fontId="0" fillId="0" borderId="1" xfId="0" applyBorder="1" applyProtection="1">
      <protection locked="0"/>
    </xf>
    <xf numFmtId="10" fontId="0" fillId="0" borderId="1" xfId="0" applyNumberFormat="1" applyBorder="1" applyAlignment="1" applyProtection="1">
      <alignment horizontal="center" vertical="center"/>
      <protection locked="0"/>
    </xf>
    <xf numFmtId="10" fontId="25" fillId="20" borderId="0" xfId="0" applyNumberFormat="1" applyFont="1" applyFill="1" applyProtection="1">
      <protection locked="0"/>
    </xf>
    <xf numFmtId="9" fontId="0" fillId="0" borderId="1" xfId="2" applyFont="1" applyBorder="1" applyAlignment="1" applyProtection="1">
      <alignment horizontal="center" vertical="center"/>
      <protection locked="0"/>
    </xf>
    <xf numFmtId="0" fontId="26" fillId="21" borderId="0" xfId="0" applyFont="1" applyFill="1" applyProtection="1">
      <protection locked="0"/>
    </xf>
    <xf numFmtId="166" fontId="0" fillId="0" borderId="1" xfId="2" applyNumberFormat="1" applyFont="1" applyBorder="1" applyAlignment="1" applyProtection="1">
      <alignment horizontal="center" vertical="center"/>
      <protection locked="0"/>
    </xf>
    <xf numFmtId="0" fontId="25" fillId="22" borderId="0" xfId="0" applyFont="1" applyFill="1" applyProtection="1">
      <protection locked="0"/>
    </xf>
    <xf numFmtId="0" fontId="20" fillId="0" borderId="0" xfId="0" applyFont="1" applyAlignment="1" applyProtection="1">
      <alignment horizontal="left" vertical="center" wrapText="1"/>
      <protection hidden="1"/>
    </xf>
    <xf numFmtId="0" fontId="19" fillId="0" borderId="0" xfId="0" applyFont="1" applyAlignment="1" applyProtection="1">
      <alignment horizontal="left" wrapText="1"/>
      <protection hidden="1"/>
    </xf>
    <xf numFmtId="0" fontId="20" fillId="0" borderId="0" xfId="0" applyFont="1" applyAlignment="1" applyProtection="1">
      <alignment horizontal="left" wrapText="1"/>
      <protection hidden="1"/>
    </xf>
    <xf numFmtId="0" fontId="23" fillId="0" borderId="0" xfId="0" applyFont="1" applyAlignment="1" applyProtection="1">
      <alignment horizontal="left" vertical="center" wrapText="1"/>
      <protection hidden="1"/>
    </xf>
    <xf numFmtId="0" fontId="21" fillId="0" borderId="0" xfId="0" applyFont="1" applyAlignment="1" applyProtection="1">
      <alignment horizontal="center"/>
      <protection hidden="1"/>
    </xf>
    <xf numFmtId="0" fontId="11" fillId="9" borderId="0" xfId="1" applyFont="1" applyFill="1" applyAlignment="1" applyProtection="1">
      <alignment horizontal="center" vertical="center" wrapText="1"/>
      <protection locked="0"/>
    </xf>
    <xf numFmtId="0" fontId="13" fillId="9" borderId="0" xfId="1" applyFont="1" applyFill="1" applyAlignment="1" applyProtection="1">
      <alignment horizontal="left" vertical="center"/>
      <protection locked="0"/>
    </xf>
    <xf numFmtId="0" fontId="12" fillId="9" borderId="0" xfId="0" applyFont="1" applyFill="1" applyAlignment="1" applyProtection="1">
      <alignment horizontal="center"/>
      <protection locked="0"/>
    </xf>
    <xf numFmtId="0" fontId="10" fillId="9" borderId="0" xfId="0" applyFont="1" applyFill="1" applyAlignment="1" applyProtection="1">
      <alignment horizontal="left" vertical="center" wrapText="1"/>
      <protection locked="0"/>
    </xf>
    <xf numFmtId="0" fontId="8" fillId="9" borderId="6" xfId="0" applyFont="1" applyFill="1" applyBorder="1" applyAlignment="1" applyProtection="1">
      <alignment horizontal="left" vertical="center"/>
      <protection locked="0"/>
    </xf>
    <xf numFmtId="0" fontId="8" fillId="9" borderId="5" xfId="0" applyFont="1" applyFill="1" applyBorder="1" applyAlignment="1" applyProtection="1">
      <alignment horizontal="left" vertical="center"/>
      <protection locked="0"/>
    </xf>
    <xf numFmtId="0" fontId="8" fillId="9" borderId="7" xfId="0" applyFont="1" applyFill="1" applyBorder="1" applyAlignment="1" applyProtection="1">
      <alignment horizontal="left" vertical="center"/>
      <protection locked="0"/>
    </xf>
    <xf numFmtId="0" fontId="9" fillId="9" borderId="8" xfId="0" applyFont="1" applyFill="1" applyBorder="1" applyAlignment="1">
      <alignment horizontal="left" vertical="center" wrapText="1"/>
    </xf>
    <xf numFmtId="0" fontId="9" fillId="9" borderId="9" xfId="0" applyFont="1" applyFill="1" applyBorder="1" applyAlignment="1">
      <alignment horizontal="left" vertical="center" wrapText="1"/>
    </xf>
    <xf numFmtId="0" fontId="9" fillId="9" borderId="10" xfId="0" applyFont="1" applyFill="1" applyBorder="1" applyAlignment="1">
      <alignment horizontal="left" vertical="center" wrapText="1"/>
    </xf>
    <xf numFmtId="0" fontId="9" fillId="9" borderId="8" xfId="0" applyFont="1" applyFill="1" applyBorder="1" applyAlignment="1" applyProtection="1">
      <alignment horizontal="left" vertical="center"/>
      <protection locked="0"/>
    </xf>
    <xf numFmtId="0" fontId="9" fillId="9" borderId="9" xfId="0" applyFont="1" applyFill="1" applyBorder="1" applyAlignment="1" applyProtection="1">
      <alignment horizontal="left" vertical="center"/>
      <protection locked="0"/>
    </xf>
    <xf numFmtId="0" fontId="9" fillId="9" borderId="10" xfId="0" applyFont="1" applyFill="1" applyBorder="1" applyAlignment="1" applyProtection="1">
      <alignment horizontal="left" vertical="center"/>
      <protection locked="0"/>
    </xf>
    <xf numFmtId="0" fontId="0" fillId="0" borderId="0" xfId="0" applyAlignment="1" applyProtection="1">
      <alignment horizontal="center" vertical="center"/>
      <protection locked="0"/>
    </xf>
    <xf numFmtId="0" fontId="9" fillId="9" borderId="8" xfId="0" applyFont="1" applyFill="1" applyBorder="1" applyAlignment="1" applyProtection="1">
      <alignment horizontal="left" vertical="center" wrapText="1"/>
      <protection locked="0"/>
    </xf>
    <xf numFmtId="0" fontId="9" fillId="9" borderId="9" xfId="0" applyFont="1" applyFill="1" applyBorder="1" applyAlignment="1" applyProtection="1">
      <alignment horizontal="left" vertical="center" wrapText="1"/>
      <protection locked="0"/>
    </xf>
    <xf numFmtId="0" fontId="9" fillId="9" borderId="10" xfId="0" applyFont="1" applyFill="1" applyBorder="1" applyAlignment="1" applyProtection="1">
      <alignment horizontal="left" vertical="center" wrapText="1"/>
      <protection locked="0"/>
    </xf>
    <xf numFmtId="0" fontId="0" fillId="0" borderId="12" xfId="0"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8" fillId="9" borderId="13" xfId="0" applyFont="1" applyFill="1" applyBorder="1" applyAlignment="1" applyProtection="1">
      <alignment horizontal="left" vertical="center"/>
      <protection locked="0"/>
    </xf>
    <xf numFmtId="0" fontId="8" fillId="9" borderId="14" xfId="0" applyFont="1" applyFill="1" applyBorder="1" applyAlignment="1" applyProtection="1">
      <alignment horizontal="left" vertical="center"/>
      <protection locked="0"/>
    </xf>
    <xf numFmtId="0" fontId="8" fillId="9" borderId="15" xfId="0" applyFont="1" applyFill="1" applyBorder="1" applyAlignment="1" applyProtection="1">
      <alignment horizontal="left" vertical="center"/>
      <protection locked="0"/>
    </xf>
    <xf numFmtId="0" fontId="9" fillId="9" borderId="35" xfId="0" applyFont="1" applyFill="1" applyBorder="1" applyAlignment="1" applyProtection="1">
      <alignment horizontal="left" vertical="center"/>
      <protection locked="0"/>
    </xf>
    <xf numFmtId="0" fontId="9" fillId="9" borderId="36" xfId="0" applyFont="1" applyFill="1" applyBorder="1" applyAlignment="1" applyProtection="1">
      <alignment horizontal="left" vertical="center"/>
      <protection locked="0"/>
    </xf>
    <xf numFmtId="0" fontId="9" fillId="9" borderId="37" xfId="0" applyFont="1" applyFill="1" applyBorder="1" applyAlignment="1" applyProtection="1">
      <alignment horizontal="left" vertical="center"/>
      <protection locked="0"/>
    </xf>
    <xf numFmtId="0" fontId="14" fillId="9" borderId="39" xfId="0" applyFont="1" applyFill="1" applyBorder="1" applyAlignment="1" applyProtection="1">
      <alignment horizontal="center" vertical="center" textRotation="90"/>
      <protection locked="0"/>
    </xf>
    <xf numFmtId="0" fontId="14" fillId="9" borderId="39" xfId="0" applyFont="1" applyFill="1" applyBorder="1" applyAlignment="1" applyProtection="1">
      <alignment horizontal="center" vertical="center" textRotation="90" wrapText="1"/>
      <protection locked="0"/>
    </xf>
    <xf numFmtId="0" fontId="17" fillId="9" borderId="27" xfId="0" applyFont="1" applyFill="1" applyBorder="1" applyAlignment="1" applyProtection="1">
      <alignment horizontal="center"/>
      <protection locked="0"/>
    </xf>
    <xf numFmtId="0" fontId="17" fillId="9" borderId="28" xfId="0" applyFont="1" applyFill="1" applyBorder="1" applyAlignment="1" applyProtection="1">
      <alignment horizontal="center"/>
      <protection locked="0"/>
    </xf>
    <xf numFmtId="0" fontId="17" fillId="9" borderId="29" xfId="0" applyFont="1" applyFill="1" applyBorder="1" applyAlignment="1" applyProtection="1">
      <alignment horizontal="center"/>
      <protection locked="0"/>
    </xf>
    <xf numFmtId="0" fontId="0" fillId="19" borderId="43" xfId="0" applyFill="1" applyBorder="1" applyAlignment="1" applyProtection="1">
      <alignment horizontal="left" vertical="center" wrapText="1"/>
      <protection locked="0" hidden="1"/>
    </xf>
    <xf numFmtId="0" fontId="0" fillId="19" borderId="0" xfId="0" applyFill="1" applyAlignment="1" applyProtection="1">
      <alignment horizontal="left" vertical="center" wrapText="1"/>
      <protection locked="0" hidden="1"/>
    </xf>
    <xf numFmtId="0" fontId="0" fillId="19" borderId="49" xfId="0" applyFill="1" applyBorder="1" applyAlignment="1" applyProtection="1">
      <alignment horizontal="left" vertical="center" wrapText="1"/>
      <protection locked="0" hidden="1"/>
    </xf>
    <xf numFmtId="0" fontId="16" fillId="19" borderId="43" xfId="0" applyFont="1" applyFill="1" applyBorder="1" applyAlignment="1" applyProtection="1">
      <alignment horizontal="left" vertical="center" wrapText="1"/>
      <protection locked="0"/>
    </xf>
    <xf numFmtId="0" fontId="16" fillId="19" borderId="0" xfId="0" applyFont="1" applyFill="1" applyAlignment="1" applyProtection="1">
      <alignment horizontal="left" vertical="center" wrapText="1"/>
      <protection locked="0"/>
    </xf>
    <xf numFmtId="0" fontId="16" fillId="19" borderId="49" xfId="0" applyFont="1" applyFill="1" applyBorder="1" applyAlignment="1" applyProtection="1">
      <alignment horizontal="left" vertical="center" wrapText="1"/>
      <protection locked="0"/>
    </xf>
    <xf numFmtId="0" fontId="0" fillId="19" borderId="0" xfId="0" applyFill="1" applyAlignment="1" applyProtection="1">
      <alignment horizontal="left" vertical="center" wrapText="1"/>
      <protection locked="0"/>
    </xf>
    <xf numFmtId="0" fontId="0" fillId="19" borderId="43" xfId="0" applyFill="1" applyBorder="1" applyAlignment="1" applyProtection="1">
      <alignment horizontal="left" vertical="center" wrapText="1"/>
      <protection locked="0"/>
    </xf>
    <xf numFmtId="0" fontId="0" fillId="19" borderId="49" xfId="0" applyFill="1" applyBorder="1" applyAlignment="1" applyProtection="1">
      <alignment horizontal="left" vertical="center" wrapText="1"/>
      <protection locked="0"/>
    </xf>
    <xf numFmtId="0" fontId="17" fillId="9" borderId="39" xfId="0" applyFont="1" applyFill="1" applyBorder="1" applyAlignment="1" applyProtection="1">
      <alignment horizontal="center" vertical="center" wrapText="1"/>
      <protection locked="0"/>
    </xf>
    <xf numFmtId="0" fontId="16" fillId="9" borderId="25" xfId="0" applyFont="1" applyFill="1" applyBorder="1" applyAlignment="1" applyProtection="1">
      <alignment horizontal="left" vertical="center"/>
      <protection locked="0"/>
    </xf>
    <xf numFmtId="0" fontId="16" fillId="9" borderId="0" xfId="0" applyFont="1" applyFill="1" applyAlignment="1" applyProtection="1">
      <alignment horizontal="left" vertical="center"/>
      <protection locked="0"/>
    </xf>
    <xf numFmtId="0" fontId="16" fillId="9" borderId="26" xfId="0" applyFont="1" applyFill="1" applyBorder="1" applyAlignment="1" applyProtection="1">
      <alignment horizontal="left" vertical="center"/>
      <protection locked="0"/>
    </xf>
    <xf numFmtId="0" fontId="0" fillId="9" borderId="25" xfId="0" applyFill="1" applyBorder="1" applyAlignment="1" applyProtection="1">
      <alignment horizontal="left" vertical="center" wrapText="1"/>
      <protection locked="0"/>
    </xf>
    <xf numFmtId="0" fontId="0" fillId="9" borderId="0" xfId="0" applyFill="1" applyAlignment="1" applyProtection="1">
      <alignment horizontal="left" vertical="center" wrapText="1"/>
      <protection locked="0"/>
    </xf>
    <xf numFmtId="0" fontId="0" fillId="9" borderId="26" xfId="0" applyFill="1" applyBorder="1" applyAlignment="1" applyProtection="1">
      <alignment horizontal="left" vertical="center" wrapText="1"/>
      <protection locked="0"/>
    </xf>
    <xf numFmtId="0" fontId="7" fillId="19" borderId="40" xfId="0" applyFont="1" applyFill="1" applyBorder="1" applyAlignment="1" applyProtection="1">
      <alignment horizontal="center"/>
      <protection locked="0"/>
    </xf>
    <xf numFmtId="0" fontId="16" fillId="19" borderId="42" xfId="0" applyFont="1" applyFill="1" applyBorder="1" applyAlignment="1" applyProtection="1">
      <alignment horizontal="left" vertical="center" wrapText="1"/>
      <protection locked="0"/>
    </xf>
    <xf numFmtId="0" fontId="16" fillId="19" borderId="41" xfId="0" applyFont="1" applyFill="1" applyBorder="1" applyAlignment="1" applyProtection="1">
      <alignment horizontal="left" vertical="center" wrapText="1"/>
      <protection locked="0"/>
    </xf>
    <xf numFmtId="0" fontId="0" fillId="9" borderId="39" xfId="0" applyFill="1" applyBorder="1" applyAlignment="1" applyProtection="1">
      <alignment horizontal="center"/>
      <protection locked="0"/>
    </xf>
    <xf numFmtId="0" fontId="0" fillId="9" borderId="34" xfId="0" applyFill="1" applyBorder="1" applyAlignment="1" applyProtection="1">
      <alignment horizontal="center"/>
      <protection locked="0"/>
    </xf>
    <xf numFmtId="0" fontId="0" fillId="9" borderId="31" xfId="0" applyFill="1" applyBorder="1" applyAlignment="1" applyProtection="1">
      <alignment horizontal="center"/>
      <protection locked="0"/>
    </xf>
    <xf numFmtId="0" fontId="0" fillId="9" borderId="33" xfId="0" applyFill="1" applyBorder="1" applyAlignment="1" applyProtection="1">
      <alignment horizontal="center"/>
      <protection locked="0"/>
    </xf>
    <xf numFmtId="10" fontId="0" fillId="15" borderId="0" xfId="0" applyNumberFormat="1" applyFill="1" applyAlignment="1" applyProtection="1">
      <alignment horizontal="center" vertical="center" wrapText="1"/>
      <protection locked="0" hidden="1"/>
    </xf>
    <xf numFmtId="10" fontId="0" fillId="16" borderId="0" xfId="0" applyNumberFormat="1" applyFill="1" applyAlignment="1" applyProtection="1">
      <alignment horizontal="center" vertical="center" wrapText="1"/>
      <protection locked="0" hidden="1"/>
    </xf>
    <xf numFmtId="0" fontId="0" fillId="16" borderId="0" xfId="0" applyFill="1" applyAlignment="1" applyProtection="1">
      <alignment horizontal="center" vertical="center" wrapText="1"/>
      <protection locked="0" hidden="1"/>
    </xf>
    <xf numFmtId="10" fontId="0" fillId="17" borderId="0" xfId="0" applyNumberFormat="1" applyFill="1" applyAlignment="1" applyProtection="1">
      <alignment horizontal="center" vertical="center" wrapText="1"/>
      <protection locked="0" hidden="1"/>
    </xf>
    <xf numFmtId="0" fontId="0" fillId="17" borderId="0" xfId="0" applyFill="1" applyAlignment="1" applyProtection="1">
      <alignment horizontal="center" vertical="center" wrapText="1"/>
      <protection locked="0" hidden="1"/>
    </xf>
    <xf numFmtId="10" fontId="0" fillId="18" borderId="0" xfId="0" applyNumberFormat="1" applyFill="1" applyAlignment="1" applyProtection="1">
      <alignment horizontal="center" vertical="center" wrapText="1"/>
      <protection locked="0" hidden="1"/>
    </xf>
    <xf numFmtId="0" fontId="0" fillId="19" borderId="46" xfId="0" applyFill="1" applyBorder="1" applyAlignment="1" applyProtection="1">
      <alignment horizontal="left" vertical="center" wrapText="1"/>
      <protection locked="0" hidden="1"/>
    </xf>
    <xf numFmtId="0" fontId="0" fillId="19" borderId="47" xfId="0" applyFill="1" applyBorder="1" applyAlignment="1" applyProtection="1">
      <alignment horizontal="left" vertical="center" wrapText="1"/>
      <protection locked="0" hidden="1"/>
    </xf>
    <xf numFmtId="0" fontId="0" fillId="19" borderId="45" xfId="0" applyFill="1" applyBorder="1" applyAlignment="1" applyProtection="1">
      <alignment horizontal="left" vertical="center" wrapText="1"/>
      <protection locked="0" hidden="1"/>
    </xf>
    <xf numFmtId="0" fontId="16" fillId="0" borderId="43" xfId="0" applyFont="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6" fillId="0" borderId="49" xfId="0" applyFont="1" applyBorder="1" applyAlignment="1" applyProtection="1">
      <alignment horizontal="left" vertical="center" wrapText="1"/>
      <protection locked="0"/>
    </xf>
    <xf numFmtId="0" fontId="0" fillId="0" borderId="46" xfId="0" applyBorder="1" applyAlignment="1" applyProtection="1">
      <alignment horizontal="left" vertical="center" wrapText="1"/>
      <protection locked="0" hidden="1"/>
    </xf>
    <xf numFmtId="0" fontId="0" fillId="0" borderId="47" xfId="0" applyBorder="1" applyAlignment="1" applyProtection="1">
      <alignment horizontal="left" vertical="center" wrapText="1"/>
      <protection locked="0" hidden="1"/>
    </xf>
    <xf numFmtId="0" fontId="0" fillId="0" borderId="45" xfId="0" applyBorder="1" applyAlignment="1" applyProtection="1">
      <alignment horizontal="left" vertical="center" wrapText="1"/>
      <protection locked="0" hidden="1"/>
    </xf>
    <xf numFmtId="0" fontId="0" fillId="9" borderId="0" xfId="0" applyFill="1" applyAlignment="1" applyProtection="1">
      <alignment horizontal="center" vertical="center" wrapText="1"/>
      <protection locked="0"/>
    </xf>
    <xf numFmtId="0" fontId="7" fillId="19" borderId="39" xfId="0" applyFont="1" applyFill="1" applyBorder="1" applyAlignment="1" applyProtection="1">
      <alignment horizontal="center"/>
      <protection locked="0"/>
    </xf>
    <xf numFmtId="0" fontId="16" fillId="19" borderId="50" xfId="0" applyFont="1" applyFill="1" applyBorder="1" applyAlignment="1" applyProtection="1">
      <alignment horizontal="left" vertical="center" wrapText="1"/>
      <protection locked="0"/>
    </xf>
    <xf numFmtId="0" fontId="0" fillId="0" borderId="43" xfId="0" applyBorder="1" applyAlignment="1" applyProtection="1">
      <alignment horizontal="left" vertical="center" wrapText="1"/>
      <protection locked="0" hidden="1"/>
    </xf>
    <xf numFmtId="0" fontId="0" fillId="0" borderId="0" xfId="0" applyAlignment="1" applyProtection="1">
      <alignment horizontal="left" vertical="center" wrapText="1"/>
      <protection locked="0" hidden="1"/>
    </xf>
    <xf numFmtId="0" fontId="0" fillId="0" borderId="49" xfId="0" applyBorder="1" applyAlignment="1" applyProtection="1">
      <alignment horizontal="left" vertical="center" wrapText="1"/>
      <protection locked="0" hidden="1"/>
    </xf>
    <xf numFmtId="0" fontId="0" fillId="19" borderId="43" xfId="0" applyFill="1" applyBorder="1" applyAlignment="1" applyProtection="1">
      <alignment horizontal="center" vertical="center" wrapText="1"/>
      <protection locked="0" hidden="1"/>
    </xf>
    <xf numFmtId="0" fontId="0" fillId="19" borderId="0" xfId="0" applyFill="1" applyAlignment="1" applyProtection="1">
      <alignment horizontal="center" vertical="center" wrapText="1"/>
      <protection locked="0" hidden="1"/>
    </xf>
    <xf numFmtId="0" fontId="0" fillId="19" borderId="49" xfId="0" applyFill="1" applyBorder="1" applyAlignment="1" applyProtection="1">
      <alignment horizontal="center" vertical="center" wrapText="1"/>
      <protection locked="0" hidden="1"/>
    </xf>
    <xf numFmtId="0" fontId="0" fillId="19" borderId="46" xfId="0" applyFill="1" applyBorder="1" applyAlignment="1" applyProtection="1">
      <alignment horizontal="center" vertical="center" wrapText="1"/>
      <protection locked="0" hidden="1"/>
    </xf>
    <xf numFmtId="0" fontId="0" fillId="19" borderId="47" xfId="0" applyFill="1" applyBorder="1" applyAlignment="1" applyProtection="1">
      <alignment horizontal="center" vertical="center" wrapText="1"/>
      <protection locked="0" hidden="1"/>
    </xf>
    <xf numFmtId="0" fontId="0" fillId="19" borderId="45" xfId="0" applyFill="1" applyBorder="1" applyAlignment="1" applyProtection="1">
      <alignment horizontal="center" vertical="center" wrapText="1"/>
      <protection locked="0" hidden="1"/>
    </xf>
    <xf numFmtId="0" fontId="0" fillId="0" borderId="43" xfId="0" applyBorder="1" applyAlignment="1" applyProtection="1">
      <alignment horizontal="center" vertical="center" wrapText="1"/>
      <protection locked="0" hidden="1"/>
    </xf>
    <xf numFmtId="0" fontId="0" fillId="0" borderId="0" xfId="0" applyAlignment="1" applyProtection="1">
      <alignment horizontal="center" vertical="center" wrapText="1"/>
      <protection locked="0" hidden="1"/>
    </xf>
    <xf numFmtId="0" fontId="0" fillId="0" borderId="49" xfId="0" applyBorder="1" applyAlignment="1" applyProtection="1">
      <alignment horizontal="center" vertical="center" wrapText="1"/>
      <protection locked="0" hidden="1"/>
    </xf>
    <xf numFmtId="0" fontId="17" fillId="9" borderId="0" xfId="0" applyFont="1" applyFill="1" applyAlignment="1" applyProtection="1">
      <alignment horizontal="center"/>
      <protection locked="0"/>
    </xf>
    <xf numFmtId="0" fontId="17" fillId="9" borderId="0" xfId="0" applyFont="1" applyFill="1" applyAlignment="1" applyProtection="1">
      <alignment horizontal="center" vertical="center"/>
      <protection locked="0"/>
    </xf>
    <xf numFmtId="0" fontId="17" fillId="9" borderId="0" xfId="0" applyFont="1" applyFill="1" applyAlignment="1" applyProtection="1">
      <alignment horizontal="center" vertical="center" wrapText="1"/>
      <protection locked="0"/>
    </xf>
    <xf numFmtId="0" fontId="26" fillId="0" borderId="52" xfId="0" applyFont="1" applyBorder="1" applyAlignment="1" applyProtection="1">
      <alignment horizontal="center"/>
      <protection locked="0"/>
    </xf>
    <xf numFmtId="0" fontId="26" fillId="0" borderId="1" xfId="0" applyFont="1" applyBorder="1" applyAlignment="1" applyProtection="1">
      <alignment horizontal="center"/>
      <protection locked="0"/>
    </xf>
    <xf numFmtId="0" fontId="27" fillId="9" borderId="25" xfId="0" applyFont="1" applyFill="1" applyBorder="1" applyAlignment="1" applyProtection="1">
      <alignment horizontal="right" vertical="center"/>
      <protection locked="0"/>
    </xf>
    <xf numFmtId="0" fontId="27" fillId="9" borderId="0" xfId="0" applyFont="1" applyFill="1" applyAlignment="1" applyProtection="1">
      <alignment horizontal="right" vertical="center"/>
      <protection locked="0"/>
    </xf>
    <xf numFmtId="0" fontId="27" fillId="9" borderId="0" xfId="0" applyFont="1" applyFill="1" applyAlignment="1" applyProtection="1">
      <alignment horizontal="left" vertical="center"/>
      <protection locked="0"/>
    </xf>
    <xf numFmtId="0" fontId="7" fillId="0" borderId="2" xfId="0" applyFont="1" applyBorder="1" applyAlignment="1" applyProtection="1">
      <alignment horizontal="center"/>
      <protection locked="0"/>
    </xf>
    <xf numFmtId="0" fontId="7" fillId="0" borderId="51" xfId="0" applyFont="1" applyBorder="1" applyAlignment="1" applyProtection="1">
      <alignment horizontal="center"/>
      <protection locked="0"/>
    </xf>
    <xf numFmtId="0" fontId="7" fillId="0" borderId="38" xfId="0" applyFont="1" applyBorder="1" applyAlignment="1" applyProtection="1">
      <alignment horizontal="center"/>
      <protection locked="0"/>
    </xf>
    <xf numFmtId="0" fontId="6" fillId="20" borderId="55" xfId="0" applyFont="1" applyFill="1" applyBorder="1" applyAlignment="1" applyProtection="1">
      <alignment horizontal="left" vertical="top" wrapText="1"/>
      <protection locked="0" hidden="1"/>
    </xf>
    <xf numFmtId="0" fontId="6" fillId="20" borderId="56" xfId="0" applyFont="1" applyFill="1" applyBorder="1" applyAlignment="1" applyProtection="1">
      <alignment horizontal="left" vertical="top" wrapText="1"/>
      <protection locked="0" hidden="1"/>
    </xf>
    <xf numFmtId="0" fontId="6" fillId="20" borderId="57" xfId="0" applyFont="1" applyFill="1" applyBorder="1" applyAlignment="1" applyProtection="1">
      <alignment horizontal="left" vertical="top" wrapText="1"/>
      <protection locked="0" hidden="1"/>
    </xf>
    <xf numFmtId="0" fontId="6" fillId="20" borderId="53" xfId="0" applyFont="1" applyFill="1" applyBorder="1" applyAlignment="1" applyProtection="1">
      <alignment horizontal="left" vertical="top" wrapText="1"/>
      <protection locked="0" hidden="1"/>
    </xf>
    <xf numFmtId="0" fontId="6" fillId="20" borderId="58" xfId="0" applyFont="1" applyFill="1" applyBorder="1" applyAlignment="1" applyProtection="1">
      <alignment horizontal="left" vertical="top" wrapText="1"/>
      <protection locked="0" hidden="1"/>
    </xf>
    <xf numFmtId="0" fontId="6" fillId="20" borderId="59" xfId="0" applyFont="1" applyFill="1" applyBorder="1" applyAlignment="1" applyProtection="1">
      <alignment horizontal="left" vertical="top" wrapText="1"/>
      <protection locked="0" hidden="1"/>
    </xf>
    <xf numFmtId="0" fontId="26" fillId="21" borderId="55" xfId="0" applyFont="1" applyFill="1" applyBorder="1" applyAlignment="1" applyProtection="1">
      <alignment horizontal="left" vertical="top" wrapText="1"/>
      <protection locked="0" hidden="1"/>
    </xf>
    <xf numFmtId="0" fontId="26" fillId="21" borderId="56" xfId="0" applyFont="1" applyFill="1" applyBorder="1" applyAlignment="1" applyProtection="1">
      <alignment horizontal="left" vertical="top" wrapText="1"/>
      <protection locked="0" hidden="1"/>
    </xf>
    <xf numFmtId="0" fontId="26" fillId="21" borderId="57" xfId="0" applyFont="1" applyFill="1" applyBorder="1" applyAlignment="1" applyProtection="1">
      <alignment horizontal="left" vertical="top" wrapText="1"/>
      <protection locked="0" hidden="1"/>
    </xf>
    <xf numFmtId="0" fontId="26" fillId="21" borderId="53" xfId="0" applyFont="1" applyFill="1" applyBorder="1" applyAlignment="1" applyProtection="1">
      <alignment horizontal="left" vertical="top" wrapText="1"/>
      <protection locked="0" hidden="1"/>
    </xf>
    <xf numFmtId="0" fontId="26" fillId="21" borderId="58" xfId="0" applyFont="1" applyFill="1" applyBorder="1" applyAlignment="1" applyProtection="1">
      <alignment horizontal="left" vertical="top" wrapText="1"/>
      <protection locked="0" hidden="1"/>
    </xf>
    <xf numFmtId="0" fontId="26" fillId="21" borderId="59" xfId="0" applyFont="1" applyFill="1" applyBorder="1" applyAlignment="1" applyProtection="1">
      <alignment horizontal="left" vertical="top" wrapText="1"/>
      <protection locked="0" hidden="1"/>
    </xf>
    <xf numFmtId="0" fontId="7" fillId="0" borderId="1" xfId="0" applyFont="1" applyBorder="1" applyAlignment="1" applyProtection="1">
      <alignment horizontal="center"/>
      <protection locked="0"/>
    </xf>
    <xf numFmtId="0" fontId="29" fillId="9" borderId="0" xfId="0" applyFont="1" applyFill="1" applyAlignment="1" applyProtection="1">
      <alignment horizontal="right" vertical="center" textRotation="90" wrapText="1"/>
      <protection locked="0"/>
    </xf>
    <xf numFmtId="0" fontId="26" fillId="22" borderId="55" xfId="0" applyFont="1" applyFill="1" applyBorder="1" applyAlignment="1" applyProtection="1">
      <alignment horizontal="left" vertical="top" wrapText="1"/>
      <protection locked="0" hidden="1"/>
    </xf>
    <xf numFmtId="0" fontId="26" fillId="22" borderId="56" xfId="0" applyFont="1" applyFill="1" applyBorder="1" applyAlignment="1" applyProtection="1">
      <alignment horizontal="left" vertical="top" wrapText="1"/>
      <protection locked="0" hidden="1"/>
    </xf>
    <xf numFmtId="0" fontId="26" fillId="22" borderId="57" xfId="0" applyFont="1" applyFill="1" applyBorder="1" applyAlignment="1" applyProtection="1">
      <alignment horizontal="left" vertical="top" wrapText="1"/>
      <protection locked="0" hidden="1"/>
    </xf>
    <xf numFmtId="0" fontId="26" fillId="22" borderId="53" xfId="0" applyFont="1" applyFill="1" applyBorder="1" applyAlignment="1" applyProtection="1">
      <alignment horizontal="left" vertical="top" wrapText="1"/>
      <protection locked="0" hidden="1"/>
    </xf>
    <xf numFmtId="0" fontId="26" fillId="22" borderId="58" xfId="0" applyFont="1" applyFill="1" applyBorder="1" applyAlignment="1" applyProtection="1">
      <alignment horizontal="left" vertical="top" wrapText="1"/>
      <protection locked="0" hidden="1"/>
    </xf>
    <xf numFmtId="0" fontId="26" fillId="22" borderId="59" xfId="0" applyFont="1" applyFill="1" applyBorder="1" applyAlignment="1" applyProtection="1">
      <alignment horizontal="left" vertical="top" wrapText="1"/>
      <protection locked="0" hidden="1"/>
    </xf>
    <xf numFmtId="0" fontId="7" fillId="22" borderId="55" xfId="0" applyFont="1" applyFill="1" applyBorder="1" applyAlignment="1" applyProtection="1">
      <alignment horizontal="left" vertical="top" wrapText="1"/>
      <protection locked="0" hidden="1"/>
    </xf>
    <xf numFmtId="0" fontId="7" fillId="22" borderId="56" xfId="0" applyFont="1" applyFill="1" applyBorder="1" applyAlignment="1" applyProtection="1">
      <alignment horizontal="left" vertical="top" wrapText="1"/>
      <protection locked="0" hidden="1"/>
    </xf>
    <xf numFmtId="0" fontId="7" fillId="22" borderId="57" xfId="0" applyFont="1" applyFill="1" applyBorder="1" applyAlignment="1" applyProtection="1">
      <alignment horizontal="left" vertical="top" wrapText="1"/>
      <protection locked="0" hidden="1"/>
    </xf>
    <xf numFmtId="0" fontId="7" fillId="22" borderId="53" xfId="0" applyFont="1" applyFill="1" applyBorder="1" applyAlignment="1" applyProtection="1">
      <alignment horizontal="left" vertical="top" wrapText="1"/>
      <protection locked="0" hidden="1"/>
    </xf>
    <xf numFmtId="0" fontId="7" fillId="22" borderId="58" xfId="0" applyFont="1" applyFill="1" applyBorder="1" applyAlignment="1" applyProtection="1">
      <alignment horizontal="left" vertical="top" wrapText="1"/>
      <protection locked="0" hidden="1"/>
    </xf>
    <xf numFmtId="0" fontId="7" fillId="22" borderId="59" xfId="0" applyFont="1" applyFill="1" applyBorder="1" applyAlignment="1" applyProtection="1">
      <alignment horizontal="left" vertical="top" wrapText="1"/>
      <protection locked="0" hidden="1"/>
    </xf>
    <xf numFmtId="0" fontId="26" fillId="0" borderId="2" xfId="0" applyFont="1" applyBorder="1" applyAlignment="1" applyProtection="1">
      <alignment horizontal="center"/>
      <protection locked="0"/>
    </xf>
    <xf numFmtId="0" fontId="26" fillId="0" borderId="51" xfId="0" applyFont="1" applyBorder="1" applyAlignment="1" applyProtection="1">
      <alignment horizontal="center"/>
      <protection locked="0"/>
    </xf>
    <xf numFmtId="0" fontId="26" fillId="0" borderId="38" xfId="0" applyFont="1" applyBorder="1" applyAlignment="1" applyProtection="1">
      <alignment horizontal="center"/>
      <protection locked="0"/>
    </xf>
    <xf numFmtId="0" fontId="17" fillId="9" borderId="0" xfId="0" applyFont="1" applyFill="1" applyAlignment="1" applyProtection="1">
      <alignment horizontal="center" vertical="center" textRotation="90" wrapText="1"/>
      <protection locked="0"/>
    </xf>
    <xf numFmtId="0" fontId="29" fillId="9" borderId="0" xfId="0" applyFont="1" applyFill="1" applyAlignment="1" applyProtection="1">
      <alignment horizontal="center" vertical="center" wrapText="1"/>
      <protection locked="0"/>
    </xf>
    <xf numFmtId="0" fontId="31" fillId="9" borderId="54" xfId="0" applyFont="1" applyFill="1" applyBorder="1" applyAlignment="1" applyProtection="1">
      <alignment horizontal="center" vertical="center" wrapText="1"/>
      <protection locked="0"/>
    </xf>
    <xf numFmtId="0" fontId="31" fillId="9" borderId="53" xfId="0" applyFont="1" applyFill="1" applyBorder="1" applyAlignment="1" applyProtection="1">
      <alignment horizontal="right" vertical="center" textRotation="90" wrapText="1"/>
      <protection locked="0"/>
    </xf>
    <xf numFmtId="0" fontId="30" fillId="9" borderId="0" xfId="0" applyFont="1" applyFill="1" applyAlignment="1" applyProtection="1">
      <alignment horizontal="center" vertical="center"/>
      <protection locked="0"/>
    </xf>
    <xf numFmtId="0" fontId="31" fillId="9" borderId="54" xfId="0" applyFont="1" applyFill="1" applyBorder="1" applyAlignment="1" applyProtection="1">
      <alignment horizontal="center" vertical="center"/>
      <protection locked="0"/>
    </xf>
    <xf numFmtId="0" fontId="6" fillId="8" borderId="1" xfId="0" applyFont="1" applyFill="1" applyBorder="1" applyAlignment="1">
      <alignment horizontal="center" vertical="center" wrapText="1"/>
    </xf>
  </cellXfs>
  <cellStyles count="3">
    <cellStyle name="Normal" xfId="0" builtinId="0"/>
    <cellStyle name="Normal 2" xfId="1" xr:uid="{43D99293-EC1E-4A67-A313-B52B59E4154F}"/>
    <cellStyle name="Porcentaje" xfId="2" builtinId="5"/>
  </cellStyles>
  <dxfs count="103">
    <dxf>
      <font>
        <color rgb="FFFF0000"/>
      </font>
      <fill>
        <patternFill>
          <bgColor theme="0" tint="-4.9989318521683403E-2"/>
        </patternFill>
      </fill>
    </dxf>
    <dxf>
      <font>
        <color rgb="FFC00000"/>
      </font>
      <fill>
        <patternFill>
          <bgColor theme="0" tint="-4.9989318521683403E-2"/>
        </patternFill>
      </fill>
    </dxf>
    <dxf>
      <font>
        <color rgb="FFFFC000"/>
      </font>
      <fill>
        <patternFill>
          <bgColor theme="0" tint="-4.9989318521683403E-2"/>
        </patternFill>
      </fill>
    </dxf>
    <dxf>
      <font>
        <color rgb="FF00B050"/>
      </font>
      <fill>
        <patternFill>
          <bgColor theme="0" tint="-4.9989318521683403E-2"/>
        </patternFill>
      </fill>
    </dxf>
    <dxf>
      <font>
        <color rgb="FFC4C464"/>
      </font>
      <fill>
        <patternFill>
          <bgColor theme="0" tint="-4.9989318521683403E-2"/>
        </patternFill>
      </fill>
    </dxf>
    <dxf>
      <font>
        <color rgb="FFFF0000"/>
      </font>
      <fill>
        <patternFill>
          <bgColor theme="0" tint="-4.9989318521683403E-2"/>
        </patternFill>
      </fill>
    </dxf>
    <dxf>
      <font>
        <color rgb="FFC00000"/>
      </font>
      <fill>
        <patternFill>
          <bgColor theme="0" tint="-4.9989318521683403E-2"/>
        </patternFill>
      </fill>
    </dxf>
    <dxf>
      <font>
        <color rgb="FFFFC000"/>
      </font>
      <fill>
        <patternFill>
          <bgColor theme="0" tint="-4.9989318521683403E-2"/>
        </patternFill>
      </fill>
    </dxf>
    <dxf>
      <font>
        <color rgb="FF00B050"/>
      </font>
      <fill>
        <patternFill>
          <bgColor theme="0" tint="-4.9989318521683403E-2"/>
        </patternFill>
      </fill>
    </dxf>
    <dxf>
      <font>
        <color rgb="FFC4C464"/>
      </font>
      <fill>
        <patternFill>
          <bgColor theme="0" tint="-4.9989318521683403E-2"/>
        </patternFill>
      </fill>
    </dxf>
    <dxf>
      <font>
        <color rgb="FFFF0000"/>
      </font>
      <fill>
        <patternFill>
          <bgColor theme="0" tint="-4.9989318521683403E-2"/>
        </patternFill>
      </fill>
    </dxf>
    <dxf>
      <font>
        <color rgb="FFC00000"/>
      </font>
      <fill>
        <patternFill>
          <bgColor theme="0" tint="-4.9989318521683403E-2"/>
        </patternFill>
      </fill>
    </dxf>
    <dxf>
      <font>
        <color rgb="FFFFC000"/>
      </font>
      <fill>
        <patternFill>
          <bgColor theme="0" tint="-4.9989318521683403E-2"/>
        </patternFill>
      </fill>
    </dxf>
    <dxf>
      <font>
        <color rgb="FF00B050"/>
      </font>
      <fill>
        <patternFill>
          <bgColor theme="0" tint="-4.9989318521683403E-2"/>
        </patternFill>
      </fill>
    </dxf>
    <dxf>
      <font>
        <color rgb="FFC4C464"/>
      </font>
      <fill>
        <patternFill>
          <bgColor theme="0" tint="-4.9989318521683403E-2"/>
        </patternFill>
      </fill>
    </dxf>
    <dxf>
      <font>
        <color rgb="FFFF0000"/>
      </font>
      <fill>
        <patternFill>
          <bgColor theme="0" tint="-4.9989318521683403E-2"/>
        </patternFill>
      </fill>
    </dxf>
    <dxf>
      <font>
        <color rgb="FFC00000"/>
      </font>
      <fill>
        <patternFill>
          <bgColor theme="0" tint="-4.9989318521683403E-2"/>
        </patternFill>
      </fill>
    </dxf>
    <dxf>
      <font>
        <color rgb="FFFFC000"/>
      </font>
      <fill>
        <patternFill>
          <bgColor theme="0" tint="-4.9989318521683403E-2"/>
        </patternFill>
      </fill>
    </dxf>
    <dxf>
      <font>
        <color rgb="FF00B050"/>
      </font>
      <fill>
        <patternFill>
          <bgColor theme="0" tint="-4.9989318521683403E-2"/>
        </patternFill>
      </fill>
    </dxf>
    <dxf>
      <font>
        <color rgb="FFC4C464"/>
      </font>
      <fill>
        <patternFill>
          <bgColor theme="0" tint="-4.9989318521683403E-2"/>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9CC4"/>
        </patternFill>
      </fill>
    </dxf>
    <dxf>
      <fill>
        <patternFill>
          <bgColor rgb="FF649CC4"/>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9CC4"/>
        </patternFill>
      </fill>
    </dxf>
    <dxf>
      <fill>
        <patternFill>
          <bgColor rgb="FF649CC4"/>
        </patternFill>
      </fill>
    </dxf>
    <dxf>
      <fill>
        <patternFill>
          <bgColor rgb="FF649CC4"/>
        </patternFill>
      </fill>
    </dxf>
    <dxf>
      <fill>
        <patternFill>
          <bgColor rgb="FF649CC4"/>
        </patternFill>
      </fill>
    </dxf>
    <dxf>
      <fill>
        <patternFill>
          <bgColor rgb="FF649CC4"/>
        </patternFill>
      </fill>
    </dxf>
    <dxf>
      <fill>
        <patternFill>
          <bgColor rgb="FFC4C464"/>
        </patternFill>
      </fill>
    </dxf>
    <dxf>
      <fill>
        <patternFill>
          <bgColor rgb="FFC4C464"/>
        </patternFill>
      </fill>
    </dxf>
    <dxf>
      <fill>
        <patternFill>
          <bgColor rgb="FFC4C464"/>
        </patternFill>
      </fill>
    </dxf>
    <dxf>
      <fill>
        <patternFill>
          <bgColor rgb="FFC4C464"/>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9CC4"/>
        </patternFill>
      </fill>
    </dxf>
    <dxf>
      <fill>
        <patternFill>
          <bgColor rgb="FF649CC4"/>
        </patternFill>
      </fill>
    </dxf>
    <dxf>
      <fill>
        <patternFill>
          <bgColor rgb="FF649CC4"/>
        </patternFill>
      </fill>
    </dxf>
    <dxf>
      <fill>
        <patternFill>
          <bgColor rgb="FF649CC4"/>
        </patternFill>
      </fill>
    </dxf>
    <dxf>
      <fill>
        <patternFill>
          <bgColor rgb="FF649CC4"/>
        </patternFill>
      </fill>
    </dxf>
    <dxf>
      <fill>
        <patternFill>
          <bgColor rgb="FFC4C464"/>
        </patternFill>
      </fill>
    </dxf>
    <dxf>
      <fill>
        <patternFill>
          <bgColor rgb="FFC4C464"/>
        </patternFill>
      </fill>
    </dxf>
    <dxf>
      <fill>
        <patternFill>
          <bgColor rgb="FFC4C464"/>
        </patternFill>
      </fill>
    </dxf>
    <dxf>
      <fill>
        <patternFill>
          <bgColor rgb="FFC4C464"/>
        </patternFill>
      </fill>
    </dxf>
    <dxf>
      <fill>
        <patternFill>
          <bgColor rgb="FFC4C464"/>
        </patternFill>
      </fill>
    </dxf>
    <dxf>
      <fill>
        <patternFill>
          <bgColor rgb="FFC46464"/>
        </patternFill>
      </fill>
    </dxf>
    <dxf>
      <fill>
        <patternFill>
          <bgColor rgb="FFC46464"/>
        </patternFill>
      </fill>
    </dxf>
    <dxf>
      <fill>
        <patternFill>
          <bgColor rgb="FFC46464"/>
        </patternFill>
      </fill>
    </dxf>
    <dxf>
      <fill>
        <patternFill>
          <bgColor rgb="FFC46464"/>
        </patternFill>
      </fill>
    </dxf>
    <dxf>
      <fill>
        <patternFill>
          <bgColor rgb="FFC46464"/>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9CC4"/>
        </patternFill>
      </fill>
    </dxf>
    <dxf>
      <fill>
        <patternFill>
          <bgColor rgb="FF649CC4"/>
        </patternFill>
      </fill>
    </dxf>
    <dxf>
      <fill>
        <patternFill>
          <bgColor rgb="FF649CC4"/>
        </patternFill>
      </fill>
    </dxf>
    <dxf>
      <fill>
        <patternFill>
          <bgColor rgb="FF649CC4"/>
        </patternFill>
      </fill>
    </dxf>
    <dxf>
      <fill>
        <patternFill>
          <bgColor rgb="FF649CC4"/>
        </patternFill>
      </fill>
    </dxf>
    <dxf>
      <fill>
        <patternFill>
          <bgColor rgb="FFC4C464"/>
        </patternFill>
      </fill>
    </dxf>
    <dxf>
      <fill>
        <patternFill>
          <bgColor rgb="FFC4C464"/>
        </patternFill>
      </fill>
    </dxf>
    <dxf>
      <fill>
        <patternFill>
          <bgColor rgb="FFC4C464"/>
        </patternFill>
      </fill>
    </dxf>
    <dxf>
      <fill>
        <patternFill>
          <bgColor rgb="FFC4C464"/>
        </patternFill>
      </fill>
    </dxf>
    <dxf>
      <fill>
        <patternFill>
          <bgColor rgb="FFC4C464"/>
        </patternFill>
      </fill>
    </dxf>
    <dxf>
      <fill>
        <patternFill>
          <bgColor rgb="FFC46464"/>
        </patternFill>
      </fill>
    </dxf>
    <dxf>
      <fill>
        <patternFill>
          <bgColor rgb="FFC46464"/>
        </patternFill>
      </fill>
    </dxf>
    <dxf>
      <fill>
        <patternFill>
          <bgColor rgb="FFC46464"/>
        </patternFill>
      </fill>
    </dxf>
    <dxf>
      <fill>
        <patternFill>
          <bgColor rgb="FFC46464"/>
        </patternFill>
      </fill>
    </dxf>
    <dxf>
      <fill>
        <patternFill>
          <bgColor rgb="FFC46464"/>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9CC4"/>
        </patternFill>
      </fill>
    </dxf>
    <dxf>
      <fill>
        <patternFill>
          <bgColor rgb="FF649CC4"/>
        </patternFill>
      </fill>
    </dxf>
    <dxf>
      <fill>
        <patternFill>
          <bgColor rgb="FF649CC4"/>
        </patternFill>
      </fill>
    </dxf>
    <dxf>
      <fill>
        <patternFill>
          <bgColor rgb="FF649CC4"/>
        </patternFill>
      </fill>
    </dxf>
    <dxf>
      <fill>
        <patternFill>
          <bgColor rgb="FF649CC4"/>
        </patternFill>
      </fill>
    </dxf>
    <dxf>
      <fill>
        <patternFill>
          <bgColor rgb="FFC4C464"/>
        </patternFill>
      </fill>
    </dxf>
    <dxf>
      <fill>
        <patternFill>
          <bgColor rgb="FFC4C464"/>
        </patternFill>
      </fill>
    </dxf>
    <dxf>
      <fill>
        <patternFill>
          <bgColor rgb="FFC4C464"/>
        </patternFill>
      </fill>
    </dxf>
    <dxf>
      <fill>
        <patternFill>
          <bgColor rgb="FFC4C464"/>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C48C"/>
        </patternFill>
      </fill>
    </dxf>
    <dxf>
      <fill>
        <patternFill>
          <bgColor rgb="FF649CC4"/>
        </patternFill>
      </fill>
    </dxf>
    <dxf>
      <fill>
        <patternFill>
          <bgColor rgb="FF649CC4"/>
        </patternFill>
      </fill>
    </dxf>
  </dxfs>
  <tableStyles count="0" defaultTableStyle="TableStyleMedium2" defaultPivotStyle="PivotStyleLight16"/>
  <colors>
    <mruColors>
      <color rgb="FFFFFFFF"/>
      <color rgb="FF64C48C"/>
      <color rgb="FFC4C464"/>
      <color rgb="FF196B24"/>
      <color rgb="FF198345"/>
      <color rgb="FF179D76"/>
      <color rgb="FF14B8B7"/>
      <color rgb="FF0F9ED5"/>
      <color rgb="FF000080"/>
      <color rgb="FFBF28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6.xml"/><Relationship Id="rId1" Type="http://schemas.microsoft.com/office/2011/relationships/chartStyle" Target="style6.xml"/></Relationships>
</file>

<file path=xl/charts/_rels/chart11.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7.xml"/><Relationship Id="rId1" Type="http://schemas.microsoft.com/office/2011/relationships/chartStyle" Target="style7.xml"/></Relationships>
</file>

<file path=xl/charts/_rels/chart21.xml.rels><?xml version="1.0" encoding="UTF-8" standalone="yes"?>
<Relationships xmlns="http://schemas.openxmlformats.org/package/2006/relationships"><Relationship Id="rId3" Type="http://schemas.openxmlformats.org/officeDocument/2006/relationships/image" Target="../media/image7.png"/><Relationship Id="rId2" Type="http://schemas.microsoft.com/office/2011/relationships/chartColorStyle" Target="colors8.xml"/><Relationship Id="rId1" Type="http://schemas.microsoft.com/office/2011/relationships/chartStyle" Target="style8.xml"/></Relationships>
</file>

<file path=xl/charts/_rels/chart22.xml.rels><?xml version="1.0" encoding="UTF-8" standalone="yes"?>
<Relationships xmlns="http://schemas.openxmlformats.org/package/2006/relationships"><Relationship Id="rId3" Type="http://schemas.openxmlformats.org/officeDocument/2006/relationships/image" Target="../media/image7.png"/><Relationship Id="rId2" Type="http://schemas.microsoft.com/office/2011/relationships/chartColorStyle" Target="colors9.xml"/><Relationship Id="rId1" Type="http://schemas.microsoft.com/office/2011/relationships/chartStyle" Target="style9.xml"/></Relationships>
</file>

<file path=xl/charts/_rels/chart23.xml.rels><?xml version="1.0" encoding="UTF-8" standalone="yes"?>
<Relationships xmlns="http://schemas.openxmlformats.org/package/2006/relationships"><Relationship Id="rId3" Type="http://schemas.openxmlformats.org/officeDocument/2006/relationships/image" Target="../media/image7.png"/><Relationship Id="rId2" Type="http://schemas.microsoft.com/office/2011/relationships/chartColorStyle" Target="colors10.xml"/><Relationship Id="rId1" Type="http://schemas.microsoft.com/office/2011/relationships/chartStyle" Target="style10.xml"/></Relationships>
</file>

<file path=xl/charts/_rels/chart24.xml.rels><?xml version="1.0" encoding="UTF-8" standalone="yes"?>
<Relationships xmlns="http://schemas.openxmlformats.org/package/2006/relationships"><Relationship Id="rId3" Type="http://schemas.openxmlformats.org/officeDocument/2006/relationships/image" Target="../media/image8.png"/><Relationship Id="rId2" Type="http://schemas.microsoft.com/office/2011/relationships/chartColorStyle" Target="colors11.xml"/><Relationship Id="rId1" Type="http://schemas.microsoft.com/office/2011/relationships/chartStyle" Target="style1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4.xml"/><Relationship Id="rId1" Type="http://schemas.microsoft.com/office/2011/relationships/chartStyle" Target="style4.xml"/></Relationships>
</file>

<file path=xl/charts/_rels/chart9.xml.rels><?xml version="1.0" encoding="UTF-8" standalone="yes"?>
<Relationships xmlns="http://schemas.openxmlformats.org/package/2006/relationships"><Relationship Id="rId3" Type="http://schemas.openxmlformats.org/officeDocument/2006/relationships/image" Target="../media/image6.png"/><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624974367766847"/>
          <c:y val="0.11181437901675842"/>
          <c:w val="0.39463238260082234"/>
          <c:h val="0.72511370850617884"/>
        </c:manualLayout>
      </c:layout>
      <c:radarChart>
        <c:radarStyle val="marker"/>
        <c:varyColors val="0"/>
        <c:ser>
          <c:idx val="0"/>
          <c:order val="0"/>
          <c:spPr>
            <a:ln w="31750" cap="rnd">
              <a:solidFill>
                <a:schemeClr val="accent1"/>
              </a:solidFill>
              <a:round/>
            </a:ln>
            <a:effectLst/>
          </c:spPr>
          <c:marker>
            <c:symbol val="none"/>
          </c:marker>
          <c:cat>
            <c:strRef>
              <c:f>Datos!$J$3:$J$8</c:f>
              <c:strCache>
                <c:ptCount val="6"/>
                <c:pt idx="0">
                  <c:v>Diseño y Taxonomía de Activos</c:v>
                </c:pt>
                <c:pt idx="1">
                  <c:v>Mantenimiento Correctivo y Preventivo</c:v>
                </c:pt>
                <c:pt idx="2">
                  <c:v>Análisis de Criticidad</c:v>
                </c:pt>
                <c:pt idx="3">
                  <c:v>Análisis de Confiabilidad y Tiempos Operativos</c:v>
                </c:pt>
                <c:pt idx="4">
                  <c:v>Monitoreo, Metodologías y Gestión de Información</c:v>
                </c:pt>
                <c:pt idx="5">
                  <c:v>Mantenimiento Mayor y su Impacto</c:v>
                </c:pt>
              </c:strCache>
            </c:strRef>
          </c:cat>
          <c:val>
            <c:numRef>
              <c:f>Datos!$K$3:$K$8</c:f>
              <c:numCache>
                <c:formatCode>0.00%</c:formatCode>
                <c:ptCount val="6"/>
                <c:pt idx="0">
                  <c:v>0</c:v>
                </c:pt>
                <c:pt idx="1">
                  <c:v>0</c:v>
                </c:pt>
                <c:pt idx="2">
                  <c:v>0</c:v>
                </c:pt>
                <c:pt idx="3">
                  <c:v>0</c:v>
                </c:pt>
                <c:pt idx="4" formatCode="0.0%">
                  <c:v>0</c:v>
                </c:pt>
                <c:pt idx="5">
                  <c:v>0</c:v>
                </c:pt>
              </c:numCache>
            </c:numRef>
          </c:val>
          <c:extLst>
            <c:ext xmlns:c16="http://schemas.microsoft.com/office/drawing/2014/chart" uri="{C3380CC4-5D6E-409C-BE32-E72D297353CC}">
              <c16:uniqueId val="{00000000-C201-432E-827F-F2CF43B1D041}"/>
            </c:ext>
          </c:extLst>
        </c:ser>
        <c:dLbls>
          <c:showLegendKey val="0"/>
          <c:showVal val="0"/>
          <c:showCatName val="0"/>
          <c:showSerName val="0"/>
          <c:showPercent val="0"/>
          <c:showBubbleSize val="0"/>
        </c:dLbls>
        <c:axId val="27249119"/>
        <c:axId val="27252479"/>
      </c:radarChart>
      <c:catAx>
        <c:axId val="27249119"/>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s-CO"/>
          </a:p>
        </c:txPr>
        <c:crossAx val="27252479"/>
        <c:crosses val="autoZero"/>
        <c:auto val="1"/>
        <c:lblAlgn val="ctr"/>
        <c:lblOffset val="100"/>
        <c:noMultiLvlLbl val="0"/>
      </c:catAx>
      <c:valAx>
        <c:axId val="27252479"/>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272491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a:t>NIVEL DE MADUREZ APLICACIÓN DE PRACTICAS DE GESTIÓN DE CONFIABILIDAD EN PROCESOS ORGANIZACIONALES QUE GESTIONAN ESTRATEGIAS DE CONFIABILIDAD DE LOS ACTIVOS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Datos!$F$2</c:f>
              <c:strCache>
                <c:ptCount val="1"/>
                <c:pt idx="0">
                  <c:v>NIVEL DE MADUREZ DE APLICACIÓN DE PRACTICAS DE GESTIÓN DE CONFIABILIDAD EN PROCESOS ORGANIZACIONALES QUE GESTIONAN ESTRATEGIAS DE CONFIABILIDAD DE LOS ACTIVOS</c:v>
                </c:pt>
              </c:strCache>
            </c:strRef>
          </c:tx>
          <c:spPr>
            <a:solidFill>
              <a:schemeClr val="accent1"/>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0-65ED-4D76-A56F-94A6FD9EC785}"/>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5ED-4D76-A56F-94A6FD9EC785}"/>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Datos!$F$54</c:f>
              <c:numCache>
                <c:formatCode>0.00%</c:formatCode>
                <c:ptCount val="1"/>
                <c:pt idx="0">
                  <c:v>0</c:v>
                </c:pt>
              </c:numCache>
            </c:numRef>
          </c:val>
          <c:extLst>
            <c:ext xmlns:c16="http://schemas.microsoft.com/office/drawing/2014/chart" uri="{C3380CC4-5D6E-409C-BE32-E72D297353CC}">
              <c16:uniqueId val="{00000000-D49F-4818-8DD3-9B8748EEC0F1}"/>
            </c:ext>
          </c:extLst>
        </c:ser>
        <c:dLbls>
          <c:dLblPos val="outEnd"/>
          <c:showLegendKey val="0"/>
          <c:showVal val="1"/>
          <c:showCatName val="0"/>
          <c:showSerName val="0"/>
          <c:showPercent val="0"/>
          <c:showBubbleSize val="0"/>
        </c:dLbls>
        <c:gapWidth val="219"/>
        <c:overlap val="-27"/>
        <c:axId val="1525578703"/>
        <c:axId val="1525579183"/>
      </c:barChart>
      <c:catAx>
        <c:axId val="1525578703"/>
        <c:scaling>
          <c:orientation val="minMax"/>
        </c:scaling>
        <c:delete val="1"/>
        <c:axPos val="b"/>
        <c:numFmt formatCode="General" sourceLinked="1"/>
        <c:majorTickMark val="out"/>
        <c:minorTickMark val="none"/>
        <c:tickLblPos val="nextTo"/>
        <c:crossAx val="1525579183"/>
        <c:crosses val="autoZero"/>
        <c:auto val="1"/>
        <c:lblAlgn val="ctr"/>
        <c:lblOffset val="100"/>
        <c:noMultiLvlLbl val="0"/>
      </c:catAx>
      <c:valAx>
        <c:axId val="1525579183"/>
        <c:scaling>
          <c:orientation val="minMax"/>
          <c:max val="1"/>
        </c:scaling>
        <c:delete val="0"/>
        <c:axPos val="l"/>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25578703"/>
        <c:crosses val="autoZero"/>
        <c:crossBetween val="between"/>
      </c:valAx>
      <c:spPr>
        <a:blipFill>
          <a:blip xmlns:r="http://schemas.openxmlformats.org/officeDocument/2006/relationships" r:embed="rId3"/>
          <a:stretch>
            <a:fillRect/>
          </a:stretch>
        </a:blip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a:t>NIVEL DE MADUREZ GESTIÓN DE PRACTICAS DE DE CONFIABILIDAD EN LA ORGANIZACIÓN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Datos!$H$2</c:f>
              <c:strCache>
                <c:ptCount val="1"/>
                <c:pt idx="0">
                  <c:v>GESTIÓN DE PRACTICAS DE DE CONFIABILIDAD EN LA ORGANIZACIÓN</c:v>
                </c:pt>
              </c:strCache>
            </c:strRef>
          </c:tx>
          <c:spPr>
            <a:solidFill>
              <a:schemeClr val="accent1"/>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0-8728-4DB7-ADE7-33666AB6D06E}"/>
              </c:ext>
            </c:extLst>
          </c:dPt>
          <c:dLbls>
            <c:dLbl>
              <c:idx val="0"/>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28-4DB7-ADE7-33666AB6D06E}"/>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s-CO"/>
              </a:p>
            </c:txPr>
            <c:dLblPos val="outEnd"/>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Datos!$H$51</c:f>
              <c:numCache>
                <c:formatCode>0.00%</c:formatCode>
                <c:ptCount val="1"/>
                <c:pt idx="0">
                  <c:v>0</c:v>
                </c:pt>
              </c:numCache>
            </c:numRef>
          </c:val>
          <c:extLst>
            <c:ext xmlns:c16="http://schemas.microsoft.com/office/drawing/2014/chart" uri="{C3380CC4-5D6E-409C-BE32-E72D297353CC}">
              <c16:uniqueId val="{00000000-AE50-4979-8F6B-99D6553A633A}"/>
            </c:ext>
          </c:extLst>
        </c:ser>
        <c:dLbls>
          <c:dLblPos val="outEnd"/>
          <c:showLegendKey val="0"/>
          <c:showVal val="1"/>
          <c:showCatName val="0"/>
          <c:showSerName val="0"/>
          <c:showPercent val="0"/>
          <c:showBubbleSize val="0"/>
        </c:dLbls>
        <c:gapWidth val="219"/>
        <c:overlap val="-27"/>
        <c:axId val="1525578703"/>
        <c:axId val="1525579183"/>
      </c:barChart>
      <c:catAx>
        <c:axId val="1525578703"/>
        <c:scaling>
          <c:orientation val="minMax"/>
        </c:scaling>
        <c:delete val="1"/>
        <c:axPos val="b"/>
        <c:numFmt formatCode="General" sourceLinked="1"/>
        <c:majorTickMark val="out"/>
        <c:minorTickMark val="none"/>
        <c:tickLblPos val="nextTo"/>
        <c:crossAx val="1525579183"/>
        <c:crosses val="autoZero"/>
        <c:auto val="1"/>
        <c:lblAlgn val="ctr"/>
        <c:lblOffset val="100"/>
        <c:noMultiLvlLbl val="0"/>
      </c:catAx>
      <c:valAx>
        <c:axId val="1525579183"/>
        <c:scaling>
          <c:orientation val="minMax"/>
          <c:max val="1"/>
        </c:scaling>
        <c:delete val="0"/>
        <c:axPos val="l"/>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25578703"/>
        <c:crosses val="autoZero"/>
        <c:crossBetween val="between"/>
      </c:valAx>
      <c:spPr>
        <a:blipFill>
          <a:blip xmlns:r="http://schemas.openxmlformats.org/officeDocument/2006/relationships" r:embed="rId3"/>
          <a:stretch>
            <a:fillRect/>
          </a:stretch>
        </a:blip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4"/>
          <c:order val="0"/>
          <c:tx>
            <c:strRef>
              <c:f>'Mapa de Riesgo y Madurez'!$E$1020</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1D-54E3-4838-8106-52513B455CD8}"/>
              </c:ext>
            </c:extLst>
          </c:dPt>
          <c:val>
            <c:numRef>
              <c:f>'Mapa de Riesgo y Madurez'!$I$1020</c:f>
              <c:numCache>
                <c:formatCode>General</c:formatCode>
                <c:ptCount val="1"/>
                <c:pt idx="0">
                  <c:v>0</c:v>
                </c:pt>
              </c:numCache>
            </c:numRef>
          </c:val>
          <c:extLst>
            <c:ext xmlns:c16="http://schemas.microsoft.com/office/drawing/2014/chart" uri="{C3380CC4-5D6E-409C-BE32-E72D297353CC}">
              <c16:uniqueId val="{0000001C-54E3-4838-8106-52513B455CD8}"/>
            </c:ext>
          </c:extLst>
        </c:ser>
        <c:ser>
          <c:idx val="5"/>
          <c:order val="1"/>
          <c:tx>
            <c:strRef>
              <c:f>'Mapa de Riesgo y Madurez'!$E$1011</c:f>
              <c:strCache>
                <c:ptCount val="1"/>
                <c:pt idx="0">
                  <c:v>Rojo</c:v>
                </c:pt>
              </c:strCache>
            </c:strRef>
          </c:tx>
          <c:dPt>
            <c:idx val="0"/>
            <c:bubble3D val="0"/>
            <c:spPr>
              <a:solidFill>
                <a:srgbClr val="FF0000"/>
              </a:solidFill>
              <a:ln w="19050">
                <a:noFill/>
              </a:ln>
              <a:effectLst/>
            </c:spPr>
            <c:extLst>
              <c:ext xmlns:c16="http://schemas.microsoft.com/office/drawing/2014/chart" uri="{C3380CC4-5D6E-409C-BE32-E72D297353CC}">
                <c16:uniqueId val="{0000001F-54E3-4838-8106-52513B455CD8}"/>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1E-54E3-4838-8106-52513B455CD8}"/>
            </c:ext>
          </c:extLst>
        </c:ser>
        <c:ser>
          <c:idx val="6"/>
          <c:order val="2"/>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21-54E3-4838-8106-52513B455CD8}"/>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20-54E3-4838-8106-52513B455CD8}"/>
            </c:ext>
          </c:extLst>
        </c:ser>
        <c:ser>
          <c:idx val="7"/>
          <c:order val="3"/>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23-54E3-4838-8106-52513B455CD8}"/>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22-54E3-4838-8106-52513B455CD8}"/>
            </c:ext>
          </c:extLst>
        </c:ser>
        <c:ser>
          <c:idx val="2"/>
          <c:order val="4"/>
          <c:tx>
            <c:strRef>
              <c:f>'Mapa de Riesgo y Madurez'!$E$1020</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E-54E3-4838-8106-52513B455CD8}"/>
              </c:ext>
            </c:extLst>
          </c:dPt>
          <c:val>
            <c:numRef>
              <c:f>'Mapa de Riesgo y Madurez'!$I$1020</c:f>
              <c:numCache>
                <c:formatCode>General</c:formatCode>
                <c:ptCount val="1"/>
                <c:pt idx="0">
                  <c:v>0</c:v>
                </c:pt>
              </c:numCache>
            </c:numRef>
          </c:val>
          <c:extLst>
            <c:ext xmlns:c16="http://schemas.microsoft.com/office/drawing/2014/chart" uri="{C3380CC4-5D6E-409C-BE32-E72D297353CC}">
              <c16:uniqueId val="{0000000F-54E3-4838-8106-52513B455CD8}"/>
            </c:ext>
          </c:extLst>
        </c:ser>
        <c:ser>
          <c:idx val="3"/>
          <c:order val="5"/>
          <c:tx>
            <c:strRef>
              <c:f>'Mapa de Riesgo y Madurez'!$E$1011</c:f>
              <c:strCache>
                <c:ptCount val="1"/>
                <c:pt idx="0">
                  <c:v>Rojo</c:v>
                </c:pt>
              </c:strCache>
            </c:strRef>
          </c:tx>
          <c:dPt>
            <c:idx val="0"/>
            <c:bubble3D val="0"/>
            <c:spPr>
              <a:solidFill>
                <a:srgbClr val="FF0000"/>
              </a:solidFill>
              <a:ln w="19050">
                <a:noFill/>
              </a:ln>
              <a:effectLst/>
            </c:spPr>
            <c:extLst>
              <c:ext xmlns:c16="http://schemas.microsoft.com/office/drawing/2014/chart" uri="{C3380CC4-5D6E-409C-BE32-E72D297353CC}">
                <c16:uniqueId val="{00000012-54E3-4838-8106-52513B455CD8}"/>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13-54E3-4838-8106-52513B455CD8}"/>
            </c:ext>
          </c:extLst>
        </c:ser>
        <c:ser>
          <c:idx val="1"/>
          <c:order val="6"/>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16-54E3-4838-8106-52513B455CD8}"/>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17-54E3-4838-8106-52513B455CD8}"/>
            </c:ext>
          </c:extLst>
        </c:ser>
        <c:ser>
          <c:idx val="0"/>
          <c:order val="7"/>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1A-54E3-4838-8106-52513B455CD8}"/>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1B-54E3-4838-8106-52513B455CD8}"/>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4"/>
          <c:order val="0"/>
          <c:tx>
            <c:strRef>
              <c:f>'Mapa de Riesgo y Madurez'!$E$1029</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1-F711-4F8A-B433-B3DCE90A0C92}"/>
              </c:ext>
            </c:extLst>
          </c:dPt>
          <c:val>
            <c:numRef>
              <c:f>'Mapa de Riesgo y Madurez'!$I$1029</c:f>
              <c:numCache>
                <c:formatCode>General</c:formatCode>
                <c:ptCount val="1"/>
                <c:pt idx="0">
                  <c:v>0</c:v>
                </c:pt>
              </c:numCache>
            </c:numRef>
          </c:val>
          <c:extLst>
            <c:ext xmlns:c16="http://schemas.microsoft.com/office/drawing/2014/chart" uri="{C3380CC4-5D6E-409C-BE32-E72D297353CC}">
              <c16:uniqueId val="{00000002-F711-4F8A-B433-B3DCE90A0C92}"/>
            </c:ext>
          </c:extLst>
        </c:ser>
        <c:ser>
          <c:idx val="5"/>
          <c:order val="1"/>
          <c:tx>
            <c:strRef>
              <c:f>'Mapa de Riesgo y Madurez'!$E$1011</c:f>
              <c:strCache>
                <c:ptCount val="1"/>
                <c:pt idx="0">
                  <c:v>Rojo</c:v>
                </c:pt>
              </c:strCache>
            </c:strRef>
          </c:tx>
          <c:dPt>
            <c:idx val="0"/>
            <c:bubble3D val="0"/>
            <c:spPr>
              <a:solidFill>
                <a:srgbClr val="FF0000"/>
              </a:solidFill>
              <a:ln w="19050">
                <a:noFill/>
              </a:ln>
              <a:effectLst/>
            </c:spPr>
            <c:extLst>
              <c:ext xmlns:c16="http://schemas.microsoft.com/office/drawing/2014/chart" uri="{C3380CC4-5D6E-409C-BE32-E72D297353CC}">
                <c16:uniqueId val="{00000004-F711-4F8A-B433-B3DCE90A0C92}"/>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5-F711-4F8A-B433-B3DCE90A0C92}"/>
            </c:ext>
          </c:extLst>
        </c:ser>
        <c:ser>
          <c:idx val="6"/>
          <c:order val="2"/>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7-F711-4F8A-B433-B3DCE90A0C92}"/>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8-F711-4F8A-B433-B3DCE90A0C92}"/>
            </c:ext>
          </c:extLst>
        </c:ser>
        <c:ser>
          <c:idx val="7"/>
          <c:order val="3"/>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A-F711-4F8A-B433-B3DCE90A0C92}"/>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B-F711-4F8A-B433-B3DCE90A0C92}"/>
            </c:ext>
          </c:extLst>
        </c:ser>
        <c:ser>
          <c:idx val="2"/>
          <c:order val="4"/>
          <c:tx>
            <c:strRef>
              <c:f>'Mapa de Riesgo y Madurez'!$E$1020</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D-F711-4F8A-B433-B3DCE90A0C92}"/>
              </c:ext>
            </c:extLst>
          </c:dPt>
          <c:val>
            <c:numRef>
              <c:f>'Mapa de Riesgo y Madurez'!$I$1020</c:f>
              <c:numCache>
                <c:formatCode>General</c:formatCode>
                <c:ptCount val="1"/>
                <c:pt idx="0">
                  <c:v>0</c:v>
                </c:pt>
              </c:numCache>
            </c:numRef>
          </c:val>
          <c:extLst>
            <c:ext xmlns:c16="http://schemas.microsoft.com/office/drawing/2014/chart" uri="{C3380CC4-5D6E-409C-BE32-E72D297353CC}">
              <c16:uniqueId val="{0000000E-F711-4F8A-B433-B3DCE90A0C92}"/>
            </c:ext>
          </c:extLst>
        </c:ser>
        <c:ser>
          <c:idx val="3"/>
          <c:order val="5"/>
          <c:tx>
            <c:strRef>
              <c:f>'Mapa de Riesgo y Madurez'!$E$1011</c:f>
              <c:strCache>
                <c:ptCount val="1"/>
                <c:pt idx="0">
                  <c:v>Rojo</c:v>
                </c:pt>
              </c:strCache>
            </c:strRef>
          </c:tx>
          <c:dPt>
            <c:idx val="0"/>
            <c:bubble3D val="0"/>
            <c:spPr>
              <a:solidFill>
                <a:srgbClr val="FF0000"/>
              </a:solidFill>
              <a:ln w="19050">
                <a:noFill/>
              </a:ln>
              <a:effectLst/>
            </c:spPr>
            <c:extLst>
              <c:ext xmlns:c16="http://schemas.microsoft.com/office/drawing/2014/chart" uri="{C3380CC4-5D6E-409C-BE32-E72D297353CC}">
                <c16:uniqueId val="{00000010-F711-4F8A-B433-B3DCE90A0C92}"/>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11-F711-4F8A-B433-B3DCE90A0C92}"/>
            </c:ext>
          </c:extLst>
        </c:ser>
        <c:ser>
          <c:idx val="1"/>
          <c:order val="6"/>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13-F711-4F8A-B433-B3DCE90A0C92}"/>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14-F711-4F8A-B433-B3DCE90A0C92}"/>
            </c:ext>
          </c:extLst>
        </c:ser>
        <c:ser>
          <c:idx val="0"/>
          <c:order val="7"/>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16-F711-4F8A-B433-B3DCE90A0C92}"/>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17-F711-4F8A-B433-B3DCE90A0C92}"/>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4"/>
          <c:order val="0"/>
          <c:tx>
            <c:strRef>
              <c:f>'Mapa de Riesgo y Madurez'!$E$1038</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1-7683-47FD-981F-7B8CB9DCAB4B}"/>
              </c:ext>
            </c:extLst>
          </c:dPt>
          <c:val>
            <c:numRef>
              <c:f>'Mapa de Riesgo y Madurez'!$I$1038</c:f>
              <c:numCache>
                <c:formatCode>General</c:formatCode>
                <c:ptCount val="1"/>
                <c:pt idx="0">
                  <c:v>0</c:v>
                </c:pt>
              </c:numCache>
            </c:numRef>
          </c:val>
          <c:extLst>
            <c:ext xmlns:c16="http://schemas.microsoft.com/office/drawing/2014/chart" uri="{C3380CC4-5D6E-409C-BE32-E72D297353CC}">
              <c16:uniqueId val="{00000002-7683-47FD-981F-7B8CB9DCAB4B}"/>
            </c:ext>
          </c:extLst>
        </c:ser>
        <c:ser>
          <c:idx val="5"/>
          <c:order val="1"/>
          <c:tx>
            <c:strRef>
              <c:f>'Mapa de Riesgo y Madurez'!$E$1011</c:f>
              <c:strCache>
                <c:ptCount val="1"/>
                <c:pt idx="0">
                  <c:v>Rojo</c:v>
                </c:pt>
              </c:strCache>
            </c:strRef>
          </c:tx>
          <c:val>
            <c:numRef>
              <c:f>'Mapa de Riesgo y Madurez'!$I$1011</c:f>
              <c:numCache>
                <c:formatCode>General</c:formatCode>
                <c:ptCount val="1"/>
                <c:pt idx="0">
                  <c:v>0</c:v>
                </c:pt>
              </c:numCache>
            </c:numRef>
          </c:val>
          <c:extLst>
            <c:ext xmlns:c16="http://schemas.microsoft.com/office/drawing/2014/chart" uri="{C3380CC4-5D6E-409C-BE32-E72D297353CC}">
              <c16:uniqueId val="{00000005-7683-47FD-981F-7B8CB9DCAB4B}"/>
            </c:ext>
          </c:extLst>
        </c:ser>
        <c:ser>
          <c:idx val="6"/>
          <c:order val="2"/>
          <c:tx>
            <c:strRef>
              <c:f>'Mapa de Riesgo y Madurez'!$E$1011</c:f>
              <c:strCache>
                <c:ptCount val="1"/>
                <c:pt idx="0">
                  <c:v>Rojo</c:v>
                </c:pt>
              </c:strCache>
            </c:strRef>
          </c:tx>
          <c:val>
            <c:numRef>
              <c:f>'Mapa de Riesgo y Madurez'!$I$1011</c:f>
              <c:numCache>
                <c:formatCode>General</c:formatCode>
                <c:ptCount val="1"/>
                <c:pt idx="0">
                  <c:v>0</c:v>
                </c:pt>
              </c:numCache>
            </c:numRef>
          </c:val>
          <c:extLst>
            <c:ext xmlns:c16="http://schemas.microsoft.com/office/drawing/2014/chart" uri="{C3380CC4-5D6E-409C-BE32-E72D297353CC}">
              <c16:uniqueId val="{00000008-7683-47FD-981F-7B8CB9DCAB4B}"/>
            </c:ext>
          </c:extLst>
        </c:ser>
        <c:ser>
          <c:idx val="7"/>
          <c:order val="3"/>
          <c:tx>
            <c:strRef>
              <c:f>'Mapa de Riesgo y Madurez'!$E$1011</c:f>
              <c:strCache>
                <c:ptCount val="1"/>
                <c:pt idx="0">
                  <c:v>Rojo</c:v>
                </c:pt>
              </c:strCache>
            </c:strRef>
          </c:tx>
          <c:val>
            <c:numRef>
              <c:f>'Mapa de Riesgo y Madurez'!$I$1011</c:f>
              <c:numCache>
                <c:formatCode>General</c:formatCode>
                <c:ptCount val="1"/>
                <c:pt idx="0">
                  <c:v>0</c:v>
                </c:pt>
              </c:numCache>
            </c:numRef>
          </c:val>
          <c:extLst>
            <c:ext xmlns:c16="http://schemas.microsoft.com/office/drawing/2014/chart" uri="{C3380CC4-5D6E-409C-BE32-E72D297353CC}">
              <c16:uniqueId val="{0000000B-7683-47FD-981F-7B8CB9DCAB4B}"/>
            </c:ext>
          </c:extLst>
        </c:ser>
        <c:ser>
          <c:idx val="2"/>
          <c:order val="4"/>
          <c:tx>
            <c:strRef>
              <c:f>'Mapa de Riesgo y Madurez'!$E$1020</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D-7683-47FD-981F-7B8CB9DCAB4B}"/>
              </c:ext>
            </c:extLst>
          </c:dPt>
          <c:val>
            <c:numRef>
              <c:f>'Mapa de Riesgo y Madurez'!$I$1020</c:f>
              <c:numCache>
                <c:formatCode>General</c:formatCode>
                <c:ptCount val="1"/>
                <c:pt idx="0">
                  <c:v>0</c:v>
                </c:pt>
              </c:numCache>
            </c:numRef>
          </c:val>
          <c:extLst>
            <c:ext xmlns:c16="http://schemas.microsoft.com/office/drawing/2014/chart" uri="{C3380CC4-5D6E-409C-BE32-E72D297353CC}">
              <c16:uniqueId val="{0000000E-7683-47FD-981F-7B8CB9DCAB4B}"/>
            </c:ext>
          </c:extLst>
        </c:ser>
        <c:ser>
          <c:idx val="3"/>
          <c:order val="5"/>
          <c:tx>
            <c:strRef>
              <c:f>'Mapa de Riesgo y Madurez'!$E$1011</c:f>
              <c:strCache>
                <c:ptCount val="1"/>
                <c:pt idx="0">
                  <c:v>Rojo</c:v>
                </c:pt>
              </c:strCache>
            </c:strRef>
          </c:tx>
          <c:val>
            <c:numRef>
              <c:f>'Mapa de Riesgo y Madurez'!$I$1011</c:f>
              <c:numCache>
                <c:formatCode>General</c:formatCode>
                <c:ptCount val="1"/>
                <c:pt idx="0">
                  <c:v>0</c:v>
                </c:pt>
              </c:numCache>
            </c:numRef>
          </c:val>
          <c:extLst>
            <c:ext xmlns:c16="http://schemas.microsoft.com/office/drawing/2014/chart" uri="{C3380CC4-5D6E-409C-BE32-E72D297353CC}">
              <c16:uniqueId val="{00000011-7683-47FD-981F-7B8CB9DCAB4B}"/>
            </c:ext>
          </c:extLst>
        </c:ser>
        <c:ser>
          <c:idx val="1"/>
          <c:order val="6"/>
          <c:tx>
            <c:strRef>
              <c:f>'Mapa de Riesgo y Madurez'!$E$1011</c:f>
              <c:strCache>
                <c:ptCount val="1"/>
                <c:pt idx="0">
                  <c:v>Rojo</c:v>
                </c:pt>
              </c:strCache>
            </c:strRef>
          </c:tx>
          <c:val>
            <c:numRef>
              <c:f>'Mapa de Riesgo y Madurez'!$I$1011</c:f>
              <c:numCache>
                <c:formatCode>General</c:formatCode>
                <c:ptCount val="1"/>
                <c:pt idx="0">
                  <c:v>0</c:v>
                </c:pt>
              </c:numCache>
            </c:numRef>
          </c:val>
          <c:extLst>
            <c:ext xmlns:c16="http://schemas.microsoft.com/office/drawing/2014/chart" uri="{C3380CC4-5D6E-409C-BE32-E72D297353CC}">
              <c16:uniqueId val="{00000014-7683-47FD-981F-7B8CB9DCAB4B}"/>
            </c:ext>
          </c:extLst>
        </c:ser>
        <c:ser>
          <c:idx val="0"/>
          <c:order val="7"/>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16-7683-47FD-981F-7B8CB9DCAB4B}"/>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17-7683-47FD-981F-7B8CB9DCAB4B}"/>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strRef>
              <c:f>'Mapa de Riesgo y Madurez'!$E$1021</c:f>
              <c:strCache>
                <c:ptCount val="1"/>
                <c:pt idx="0">
                  <c:v>Amarillo</c:v>
                </c:pt>
              </c:strCache>
            </c:strRef>
          </c:tx>
          <c:dPt>
            <c:idx val="0"/>
            <c:bubble3D val="0"/>
            <c:spPr>
              <a:solidFill>
                <a:srgbClr val="FFFF00"/>
              </a:solidFill>
              <a:ln>
                <a:noFill/>
              </a:ln>
            </c:spPr>
            <c:extLst>
              <c:ext xmlns:c16="http://schemas.microsoft.com/office/drawing/2014/chart" uri="{C3380CC4-5D6E-409C-BE32-E72D297353CC}">
                <c16:uniqueId val="{00000001-7B0D-44FE-9337-7A6446731CBC}"/>
              </c:ext>
            </c:extLst>
          </c:dPt>
          <c:val>
            <c:numRef>
              <c:f>'Mapa de Riesgo y Madurez'!$I$1021</c:f>
              <c:numCache>
                <c:formatCode>General</c:formatCode>
                <c:ptCount val="1"/>
                <c:pt idx="0">
                  <c:v>0</c:v>
                </c:pt>
              </c:numCache>
            </c:numRef>
          </c:val>
          <c:extLst>
            <c:ext xmlns:c16="http://schemas.microsoft.com/office/drawing/2014/chart" uri="{C3380CC4-5D6E-409C-BE32-E72D297353CC}">
              <c16:uniqueId val="{00000002-7B0D-44FE-9337-7A6446731CBC}"/>
            </c:ext>
          </c:extLst>
        </c:ser>
        <c:ser>
          <c:idx val="3"/>
          <c:order val="1"/>
          <c:tx>
            <c:strRef>
              <c:f>'Mapa de Riesgo y Madurez'!$E$1011</c:f>
              <c:strCache>
                <c:ptCount val="1"/>
                <c:pt idx="0">
                  <c:v>Rojo</c:v>
                </c:pt>
              </c:strCache>
            </c:strRef>
          </c:tx>
          <c:dPt>
            <c:idx val="0"/>
            <c:bubble3D val="0"/>
            <c:spPr>
              <a:solidFill>
                <a:srgbClr val="FF0000"/>
              </a:solidFill>
              <a:ln w="19050">
                <a:noFill/>
              </a:ln>
              <a:effectLst/>
            </c:spPr>
            <c:extLst>
              <c:ext xmlns:c16="http://schemas.microsoft.com/office/drawing/2014/chart" uri="{C3380CC4-5D6E-409C-BE32-E72D297353CC}">
                <c16:uniqueId val="{00000004-7B0D-44FE-9337-7A6446731CBC}"/>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5-7B0D-44FE-9337-7A6446731CBC}"/>
            </c:ext>
          </c:extLst>
        </c:ser>
        <c:ser>
          <c:idx val="1"/>
          <c:order val="2"/>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7-7B0D-44FE-9337-7A6446731CBC}"/>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8-7B0D-44FE-9337-7A6446731CBC}"/>
            </c:ext>
          </c:extLst>
        </c:ser>
        <c:ser>
          <c:idx val="0"/>
          <c:order val="3"/>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A-7B0D-44FE-9337-7A6446731CBC}"/>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B-7B0D-44FE-9337-7A6446731CBC}"/>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strRef>
              <c:f>'Mapa de Riesgo y Madurez'!$E$1030</c:f>
              <c:strCache>
                <c:ptCount val="1"/>
                <c:pt idx="0">
                  <c:v>Amarillo</c:v>
                </c:pt>
              </c:strCache>
            </c:strRef>
          </c:tx>
          <c:dPt>
            <c:idx val="0"/>
            <c:bubble3D val="0"/>
            <c:spPr>
              <a:solidFill>
                <a:srgbClr val="FFFF00"/>
              </a:solidFill>
              <a:ln>
                <a:noFill/>
              </a:ln>
            </c:spPr>
            <c:extLst>
              <c:ext xmlns:c16="http://schemas.microsoft.com/office/drawing/2014/chart" uri="{C3380CC4-5D6E-409C-BE32-E72D297353CC}">
                <c16:uniqueId val="{00000001-E950-4AD3-A9B1-24926887471A}"/>
              </c:ext>
            </c:extLst>
          </c:dPt>
          <c:val>
            <c:numRef>
              <c:f>'Mapa de Riesgo y Madurez'!$I$1030</c:f>
              <c:numCache>
                <c:formatCode>General</c:formatCode>
                <c:ptCount val="1"/>
                <c:pt idx="0">
                  <c:v>0</c:v>
                </c:pt>
              </c:numCache>
            </c:numRef>
          </c:val>
          <c:extLst>
            <c:ext xmlns:c16="http://schemas.microsoft.com/office/drawing/2014/chart" uri="{C3380CC4-5D6E-409C-BE32-E72D297353CC}">
              <c16:uniqueId val="{00000002-E950-4AD3-A9B1-24926887471A}"/>
            </c:ext>
          </c:extLst>
        </c:ser>
        <c:ser>
          <c:idx val="3"/>
          <c:order val="1"/>
          <c:tx>
            <c:strRef>
              <c:f>'Mapa de Riesgo y Madurez'!$E$1011</c:f>
              <c:strCache>
                <c:ptCount val="1"/>
                <c:pt idx="0">
                  <c:v>Rojo</c:v>
                </c:pt>
              </c:strCache>
            </c:strRef>
          </c:tx>
          <c:dPt>
            <c:idx val="0"/>
            <c:bubble3D val="0"/>
            <c:spPr>
              <a:solidFill>
                <a:srgbClr val="FF0000"/>
              </a:solidFill>
              <a:ln w="19050">
                <a:noFill/>
              </a:ln>
              <a:effectLst/>
            </c:spPr>
            <c:extLst>
              <c:ext xmlns:c16="http://schemas.microsoft.com/office/drawing/2014/chart" uri="{C3380CC4-5D6E-409C-BE32-E72D297353CC}">
                <c16:uniqueId val="{00000004-E950-4AD3-A9B1-24926887471A}"/>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5-E950-4AD3-A9B1-24926887471A}"/>
            </c:ext>
          </c:extLst>
        </c:ser>
        <c:ser>
          <c:idx val="1"/>
          <c:order val="2"/>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7-E950-4AD3-A9B1-24926887471A}"/>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8-E950-4AD3-A9B1-24926887471A}"/>
            </c:ext>
          </c:extLst>
        </c:ser>
        <c:ser>
          <c:idx val="0"/>
          <c:order val="3"/>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A-E950-4AD3-A9B1-24926887471A}"/>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B-E950-4AD3-A9B1-24926887471A}"/>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strRef>
              <c:f>'Mapa de Riesgo y Madurez'!$E$1039</c:f>
              <c:strCache>
                <c:ptCount val="1"/>
                <c:pt idx="0">
                  <c:v>Amarillo</c:v>
                </c:pt>
              </c:strCache>
            </c:strRef>
          </c:tx>
          <c:dPt>
            <c:idx val="0"/>
            <c:bubble3D val="0"/>
            <c:spPr>
              <a:solidFill>
                <a:srgbClr val="FFFF00"/>
              </a:solidFill>
              <a:ln>
                <a:noFill/>
              </a:ln>
            </c:spPr>
            <c:extLst>
              <c:ext xmlns:c16="http://schemas.microsoft.com/office/drawing/2014/chart" uri="{C3380CC4-5D6E-409C-BE32-E72D297353CC}">
                <c16:uniqueId val="{00000001-CE51-4454-ABC6-170A105EC499}"/>
              </c:ext>
            </c:extLst>
          </c:dPt>
          <c:val>
            <c:numRef>
              <c:f>'Mapa de Riesgo y Madurez'!$I$1039</c:f>
              <c:numCache>
                <c:formatCode>General</c:formatCode>
                <c:ptCount val="1"/>
                <c:pt idx="0">
                  <c:v>0</c:v>
                </c:pt>
              </c:numCache>
            </c:numRef>
          </c:val>
          <c:extLst>
            <c:ext xmlns:c16="http://schemas.microsoft.com/office/drawing/2014/chart" uri="{C3380CC4-5D6E-409C-BE32-E72D297353CC}">
              <c16:uniqueId val="{00000002-CE51-4454-ABC6-170A105EC499}"/>
            </c:ext>
          </c:extLst>
        </c:ser>
        <c:ser>
          <c:idx val="3"/>
          <c:order val="1"/>
          <c:tx>
            <c:strRef>
              <c:f>'Mapa de Riesgo y Madurez'!$E$1011</c:f>
              <c:strCache>
                <c:ptCount val="1"/>
                <c:pt idx="0">
                  <c:v>Rojo</c:v>
                </c:pt>
              </c:strCache>
            </c:strRef>
          </c:tx>
          <c:val>
            <c:numRef>
              <c:f>'Mapa de Riesgo y Madurez'!$I$1011</c:f>
              <c:numCache>
                <c:formatCode>General</c:formatCode>
                <c:ptCount val="1"/>
                <c:pt idx="0">
                  <c:v>0</c:v>
                </c:pt>
              </c:numCache>
            </c:numRef>
          </c:val>
          <c:extLst>
            <c:ext xmlns:c16="http://schemas.microsoft.com/office/drawing/2014/chart" uri="{C3380CC4-5D6E-409C-BE32-E72D297353CC}">
              <c16:uniqueId val="{00000005-CE51-4454-ABC6-170A105EC499}"/>
            </c:ext>
          </c:extLst>
        </c:ser>
        <c:ser>
          <c:idx val="1"/>
          <c:order val="2"/>
          <c:tx>
            <c:strRef>
              <c:f>'Mapa de Riesgo y Madurez'!$E$1011</c:f>
              <c:strCache>
                <c:ptCount val="1"/>
                <c:pt idx="0">
                  <c:v>Rojo</c:v>
                </c:pt>
              </c:strCache>
            </c:strRef>
          </c:tx>
          <c:val>
            <c:numRef>
              <c:f>'Mapa de Riesgo y Madurez'!$I$1011</c:f>
              <c:numCache>
                <c:formatCode>General</c:formatCode>
                <c:ptCount val="1"/>
                <c:pt idx="0">
                  <c:v>0</c:v>
                </c:pt>
              </c:numCache>
            </c:numRef>
          </c:val>
          <c:extLst>
            <c:ext xmlns:c16="http://schemas.microsoft.com/office/drawing/2014/chart" uri="{C3380CC4-5D6E-409C-BE32-E72D297353CC}">
              <c16:uniqueId val="{00000008-CE51-4454-ABC6-170A105EC499}"/>
            </c:ext>
          </c:extLst>
        </c:ser>
        <c:ser>
          <c:idx val="0"/>
          <c:order val="3"/>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A-CE51-4454-ABC6-170A105EC499}"/>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B-CE51-4454-ABC6-170A105EC499}"/>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strRef>
              <c:f>'Mapa de Riesgo y Madurez'!$E$1022</c:f>
              <c:strCache>
                <c:ptCount val="1"/>
                <c:pt idx="0">
                  <c:v>Verde</c:v>
                </c:pt>
              </c:strCache>
            </c:strRef>
          </c:tx>
          <c:dPt>
            <c:idx val="0"/>
            <c:bubble3D val="0"/>
            <c:spPr>
              <a:solidFill>
                <a:srgbClr val="00B050"/>
              </a:solidFill>
              <a:ln>
                <a:noFill/>
              </a:ln>
            </c:spPr>
            <c:extLst>
              <c:ext xmlns:c16="http://schemas.microsoft.com/office/drawing/2014/chart" uri="{C3380CC4-5D6E-409C-BE32-E72D297353CC}">
                <c16:uniqueId val="{00000001-AFA0-4813-8A81-54CBF6F77401}"/>
              </c:ext>
            </c:extLst>
          </c:dPt>
          <c:val>
            <c:numRef>
              <c:f>'Mapa de Riesgo y Madurez'!$I$1022</c:f>
              <c:numCache>
                <c:formatCode>General</c:formatCode>
                <c:ptCount val="1"/>
                <c:pt idx="0">
                  <c:v>0</c:v>
                </c:pt>
              </c:numCache>
            </c:numRef>
          </c:val>
          <c:extLst>
            <c:ext xmlns:c16="http://schemas.microsoft.com/office/drawing/2014/chart" uri="{C3380CC4-5D6E-409C-BE32-E72D297353CC}">
              <c16:uniqueId val="{00000002-AFA0-4813-8A81-54CBF6F77401}"/>
            </c:ext>
          </c:extLst>
        </c:ser>
        <c:ser>
          <c:idx val="3"/>
          <c:order val="1"/>
          <c:tx>
            <c:strRef>
              <c:f>'Mapa de Riesgo y Madurez'!$E$1011</c:f>
              <c:strCache>
                <c:ptCount val="1"/>
                <c:pt idx="0">
                  <c:v>Rojo</c:v>
                </c:pt>
              </c:strCache>
            </c:strRef>
          </c:tx>
          <c:dPt>
            <c:idx val="0"/>
            <c:bubble3D val="0"/>
            <c:spPr>
              <a:solidFill>
                <a:srgbClr val="FF0000"/>
              </a:solidFill>
              <a:ln w="19050">
                <a:noFill/>
              </a:ln>
              <a:effectLst/>
            </c:spPr>
            <c:extLst>
              <c:ext xmlns:c16="http://schemas.microsoft.com/office/drawing/2014/chart" uri="{C3380CC4-5D6E-409C-BE32-E72D297353CC}">
                <c16:uniqueId val="{00000004-AFA0-4813-8A81-54CBF6F77401}"/>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5-AFA0-4813-8A81-54CBF6F77401}"/>
            </c:ext>
          </c:extLst>
        </c:ser>
        <c:ser>
          <c:idx val="1"/>
          <c:order val="2"/>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7-AFA0-4813-8A81-54CBF6F77401}"/>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8-AFA0-4813-8A81-54CBF6F77401}"/>
            </c:ext>
          </c:extLst>
        </c:ser>
        <c:ser>
          <c:idx val="0"/>
          <c:order val="3"/>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A-AFA0-4813-8A81-54CBF6F77401}"/>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B-AFA0-4813-8A81-54CBF6F77401}"/>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strRef>
              <c:f>'Mapa de Riesgo y Madurez'!$E$1031</c:f>
              <c:strCache>
                <c:ptCount val="1"/>
                <c:pt idx="0">
                  <c:v>Verde</c:v>
                </c:pt>
              </c:strCache>
            </c:strRef>
          </c:tx>
          <c:dPt>
            <c:idx val="0"/>
            <c:bubble3D val="0"/>
            <c:spPr>
              <a:solidFill>
                <a:srgbClr val="00B050"/>
              </a:solidFill>
              <a:ln>
                <a:noFill/>
              </a:ln>
            </c:spPr>
            <c:extLst>
              <c:ext xmlns:c16="http://schemas.microsoft.com/office/drawing/2014/chart" uri="{C3380CC4-5D6E-409C-BE32-E72D297353CC}">
                <c16:uniqueId val="{00000001-E0FE-48C6-BECF-5F733E03EE67}"/>
              </c:ext>
            </c:extLst>
          </c:dPt>
          <c:val>
            <c:numRef>
              <c:f>'Mapa de Riesgo y Madurez'!$I$1031</c:f>
              <c:numCache>
                <c:formatCode>General</c:formatCode>
                <c:ptCount val="1"/>
                <c:pt idx="0">
                  <c:v>0</c:v>
                </c:pt>
              </c:numCache>
            </c:numRef>
          </c:val>
          <c:extLst>
            <c:ext xmlns:c16="http://schemas.microsoft.com/office/drawing/2014/chart" uri="{C3380CC4-5D6E-409C-BE32-E72D297353CC}">
              <c16:uniqueId val="{00000002-E0FE-48C6-BECF-5F733E03EE67}"/>
            </c:ext>
          </c:extLst>
        </c:ser>
        <c:ser>
          <c:idx val="3"/>
          <c:order val="1"/>
          <c:tx>
            <c:strRef>
              <c:f>'Mapa de Riesgo y Madurez'!$E$1011</c:f>
              <c:strCache>
                <c:ptCount val="1"/>
                <c:pt idx="0">
                  <c:v>Rojo</c:v>
                </c:pt>
              </c:strCache>
            </c:strRef>
          </c:tx>
          <c:val>
            <c:numRef>
              <c:f>'Mapa de Riesgo y Madurez'!$I$1011</c:f>
              <c:numCache>
                <c:formatCode>General</c:formatCode>
                <c:ptCount val="1"/>
                <c:pt idx="0">
                  <c:v>0</c:v>
                </c:pt>
              </c:numCache>
            </c:numRef>
          </c:val>
          <c:extLst>
            <c:ext xmlns:c16="http://schemas.microsoft.com/office/drawing/2014/chart" uri="{C3380CC4-5D6E-409C-BE32-E72D297353CC}">
              <c16:uniqueId val="{00000005-E0FE-48C6-BECF-5F733E03EE67}"/>
            </c:ext>
          </c:extLst>
        </c:ser>
        <c:ser>
          <c:idx val="1"/>
          <c:order val="2"/>
          <c:tx>
            <c:strRef>
              <c:f>'Mapa de Riesgo y Madurez'!$E$1011</c:f>
              <c:strCache>
                <c:ptCount val="1"/>
                <c:pt idx="0">
                  <c:v>Rojo</c:v>
                </c:pt>
              </c:strCache>
            </c:strRef>
          </c:tx>
          <c:val>
            <c:numRef>
              <c:f>'Mapa de Riesgo y Madurez'!$I$1011</c:f>
              <c:numCache>
                <c:formatCode>General</c:formatCode>
                <c:ptCount val="1"/>
                <c:pt idx="0">
                  <c:v>0</c:v>
                </c:pt>
              </c:numCache>
            </c:numRef>
          </c:val>
          <c:extLst>
            <c:ext xmlns:c16="http://schemas.microsoft.com/office/drawing/2014/chart" uri="{C3380CC4-5D6E-409C-BE32-E72D297353CC}">
              <c16:uniqueId val="{00000008-E0FE-48C6-BECF-5F733E03EE67}"/>
            </c:ext>
          </c:extLst>
        </c:ser>
        <c:ser>
          <c:idx val="0"/>
          <c:order val="3"/>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A-E0FE-48C6-BECF-5F733E03EE67}"/>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B-E0FE-48C6-BECF-5F733E03EE67}"/>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854106280193238"/>
          <c:y val="0.11654842636063294"/>
          <c:w val="0.40437865194386935"/>
          <c:h val="0.7641427577812554"/>
        </c:manualLayout>
      </c:layout>
      <c:radarChart>
        <c:radarStyle val="marker"/>
        <c:varyColors val="0"/>
        <c:ser>
          <c:idx val="4"/>
          <c:order val="0"/>
          <c:marker>
            <c:symbol val="none"/>
          </c:marker>
          <c:cat>
            <c:strRef>
              <c:f>Datos!$L$3:$L$6</c:f>
              <c:strCache>
                <c:ptCount val="4"/>
                <c:pt idx="0">
                  <c:v>Modelamiento y Análisis de Confiabilidad</c:v>
                </c:pt>
                <c:pt idx="1">
                  <c:v>Fuentes de Información y Herramientas</c:v>
                </c:pt>
                <c:pt idx="2">
                  <c:v>Metodologías de Cálculo de Confiabilidad</c:v>
                </c:pt>
                <c:pt idx="3">
                  <c:v>Gestión Operativa y Medición del Desempeño</c:v>
                </c:pt>
              </c:strCache>
            </c:strRef>
          </c:cat>
          <c:val>
            <c:numRef>
              <c:f>Datos!$M$3:$M$6</c:f>
              <c:numCache>
                <c:formatCode>0.00%</c:formatCode>
                <c:ptCount val="4"/>
                <c:pt idx="0">
                  <c:v>0</c:v>
                </c:pt>
                <c:pt idx="1">
                  <c:v>0</c:v>
                </c:pt>
                <c:pt idx="2">
                  <c:v>0</c:v>
                </c:pt>
                <c:pt idx="3">
                  <c:v>0</c:v>
                </c:pt>
              </c:numCache>
            </c:numRef>
          </c:val>
          <c:extLst>
            <c:ext xmlns:c16="http://schemas.microsoft.com/office/drawing/2014/chart" uri="{C3380CC4-5D6E-409C-BE32-E72D297353CC}">
              <c16:uniqueId val="{00000012-A232-4BD8-8021-F81FA3FDE514}"/>
            </c:ext>
          </c:extLst>
        </c:ser>
        <c:ser>
          <c:idx val="5"/>
          <c:order val="1"/>
          <c:marker>
            <c:symbol val="none"/>
          </c:marker>
          <c:cat>
            <c:strRef>
              <c:f>Datos!$L$3:$L$6</c:f>
              <c:strCache>
                <c:ptCount val="4"/>
                <c:pt idx="0">
                  <c:v>Modelamiento y Análisis de Confiabilidad</c:v>
                </c:pt>
                <c:pt idx="1">
                  <c:v>Fuentes de Información y Herramientas</c:v>
                </c:pt>
                <c:pt idx="2">
                  <c:v>Metodologías de Cálculo de Confiabilidad</c:v>
                </c:pt>
                <c:pt idx="3">
                  <c:v>Gestión Operativa y Medición del Desempeño</c:v>
                </c:pt>
              </c:strCache>
            </c:strRef>
          </c:cat>
          <c:val>
            <c:numRef>
              <c:f>Datos!$M$3:$M$6</c:f>
              <c:numCache>
                <c:formatCode>0.00%</c:formatCode>
                <c:ptCount val="4"/>
                <c:pt idx="0">
                  <c:v>0</c:v>
                </c:pt>
                <c:pt idx="1">
                  <c:v>0</c:v>
                </c:pt>
                <c:pt idx="2">
                  <c:v>0</c:v>
                </c:pt>
                <c:pt idx="3">
                  <c:v>0</c:v>
                </c:pt>
              </c:numCache>
            </c:numRef>
          </c:val>
          <c:extLst>
            <c:ext xmlns:c16="http://schemas.microsoft.com/office/drawing/2014/chart" uri="{C3380CC4-5D6E-409C-BE32-E72D297353CC}">
              <c16:uniqueId val="{00000013-A232-4BD8-8021-F81FA3FDE514}"/>
            </c:ext>
          </c:extLst>
        </c:ser>
        <c:ser>
          <c:idx val="6"/>
          <c:order val="2"/>
          <c:marker>
            <c:symbol val="none"/>
          </c:marker>
          <c:cat>
            <c:strRef>
              <c:f>Datos!$L$3:$L$6</c:f>
              <c:strCache>
                <c:ptCount val="4"/>
                <c:pt idx="0">
                  <c:v>Modelamiento y Análisis de Confiabilidad</c:v>
                </c:pt>
                <c:pt idx="1">
                  <c:v>Fuentes de Información y Herramientas</c:v>
                </c:pt>
                <c:pt idx="2">
                  <c:v>Metodologías de Cálculo de Confiabilidad</c:v>
                </c:pt>
                <c:pt idx="3">
                  <c:v>Gestión Operativa y Medición del Desempeño</c:v>
                </c:pt>
              </c:strCache>
            </c:strRef>
          </c:cat>
          <c:val>
            <c:numRef>
              <c:f>Datos!$M$3:$M$6</c:f>
              <c:numCache>
                <c:formatCode>0.00%</c:formatCode>
                <c:ptCount val="4"/>
                <c:pt idx="0">
                  <c:v>0</c:v>
                </c:pt>
                <c:pt idx="1">
                  <c:v>0</c:v>
                </c:pt>
                <c:pt idx="2">
                  <c:v>0</c:v>
                </c:pt>
                <c:pt idx="3">
                  <c:v>0</c:v>
                </c:pt>
              </c:numCache>
            </c:numRef>
          </c:val>
          <c:extLst>
            <c:ext xmlns:c16="http://schemas.microsoft.com/office/drawing/2014/chart" uri="{C3380CC4-5D6E-409C-BE32-E72D297353CC}">
              <c16:uniqueId val="{00000014-A232-4BD8-8021-F81FA3FDE514}"/>
            </c:ext>
          </c:extLst>
        </c:ser>
        <c:ser>
          <c:idx val="7"/>
          <c:order val="3"/>
          <c:marker>
            <c:symbol val="none"/>
          </c:marker>
          <c:cat>
            <c:strRef>
              <c:f>Datos!$L$3:$L$6</c:f>
              <c:strCache>
                <c:ptCount val="4"/>
                <c:pt idx="0">
                  <c:v>Modelamiento y Análisis de Confiabilidad</c:v>
                </c:pt>
                <c:pt idx="1">
                  <c:v>Fuentes de Información y Herramientas</c:v>
                </c:pt>
                <c:pt idx="2">
                  <c:v>Metodologías de Cálculo de Confiabilidad</c:v>
                </c:pt>
                <c:pt idx="3">
                  <c:v>Gestión Operativa y Medición del Desempeño</c:v>
                </c:pt>
              </c:strCache>
            </c:strRef>
          </c:cat>
          <c:val>
            <c:numRef>
              <c:f>Datos!$M$3:$M$6</c:f>
              <c:numCache>
                <c:formatCode>0.00%</c:formatCode>
                <c:ptCount val="4"/>
                <c:pt idx="0">
                  <c:v>0</c:v>
                </c:pt>
                <c:pt idx="1">
                  <c:v>0</c:v>
                </c:pt>
                <c:pt idx="2">
                  <c:v>0</c:v>
                </c:pt>
                <c:pt idx="3">
                  <c:v>0</c:v>
                </c:pt>
              </c:numCache>
            </c:numRef>
          </c:val>
          <c:extLst>
            <c:ext xmlns:c16="http://schemas.microsoft.com/office/drawing/2014/chart" uri="{C3380CC4-5D6E-409C-BE32-E72D297353CC}">
              <c16:uniqueId val="{00000015-A232-4BD8-8021-F81FA3FDE514}"/>
            </c:ext>
          </c:extLst>
        </c:ser>
        <c:ser>
          <c:idx val="2"/>
          <c:order val="4"/>
          <c:marker>
            <c:symbol val="none"/>
          </c:marker>
          <c:cat>
            <c:strRef>
              <c:f>Datos!$L$3:$L$6</c:f>
              <c:strCache>
                <c:ptCount val="4"/>
                <c:pt idx="0">
                  <c:v>Modelamiento y Análisis de Confiabilidad</c:v>
                </c:pt>
                <c:pt idx="1">
                  <c:v>Fuentes de Información y Herramientas</c:v>
                </c:pt>
                <c:pt idx="2">
                  <c:v>Metodologías de Cálculo de Confiabilidad</c:v>
                </c:pt>
                <c:pt idx="3">
                  <c:v>Gestión Operativa y Medición del Desempeño</c:v>
                </c:pt>
              </c:strCache>
            </c:strRef>
          </c:cat>
          <c:val>
            <c:numRef>
              <c:f>Datos!$M$3:$M$6</c:f>
              <c:numCache>
                <c:formatCode>0.00%</c:formatCode>
                <c:ptCount val="4"/>
                <c:pt idx="0">
                  <c:v>0</c:v>
                </c:pt>
                <c:pt idx="1">
                  <c:v>0</c:v>
                </c:pt>
                <c:pt idx="2">
                  <c:v>0</c:v>
                </c:pt>
                <c:pt idx="3">
                  <c:v>0</c:v>
                </c:pt>
              </c:numCache>
            </c:numRef>
          </c:val>
          <c:extLst>
            <c:ext xmlns:c16="http://schemas.microsoft.com/office/drawing/2014/chart" uri="{C3380CC4-5D6E-409C-BE32-E72D297353CC}">
              <c16:uniqueId val="{0000000B-A232-4BD8-8021-F81FA3FDE514}"/>
            </c:ext>
          </c:extLst>
        </c:ser>
        <c:ser>
          <c:idx val="3"/>
          <c:order val="5"/>
          <c:marker>
            <c:symbol val="none"/>
          </c:marker>
          <c:cat>
            <c:strRef>
              <c:f>Datos!$L$3:$L$6</c:f>
              <c:strCache>
                <c:ptCount val="4"/>
                <c:pt idx="0">
                  <c:v>Modelamiento y Análisis de Confiabilidad</c:v>
                </c:pt>
                <c:pt idx="1">
                  <c:v>Fuentes de Información y Herramientas</c:v>
                </c:pt>
                <c:pt idx="2">
                  <c:v>Metodologías de Cálculo de Confiabilidad</c:v>
                </c:pt>
                <c:pt idx="3">
                  <c:v>Gestión Operativa y Medición del Desempeño</c:v>
                </c:pt>
              </c:strCache>
            </c:strRef>
          </c:cat>
          <c:val>
            <c:numRef>
              <c:f>Datos!$M$3:$M$6</c:f>
              <c:numCache>
                <c:formatCode>0.00%</c:formatCode>
                <c:ptCount val="4"/>
                <c:pt idx="0">
                  <c:v>0</c:v>
                </c:pt>
                <c:pt idx="1">
                  <c:v>0</c:v>
                </c:pt>
                <c:pt idx="2">
                  <c:v>0</c:v>
                </c:pt>
                <c:pt idx="3">
                  <c:v>0</c:v>
                </c:pt>
              </c:numCache>
            </c:numRef>
          </c:val>
          <c:extLst>
            <c:ext xmlns:c16="http://schemas.microsoft.com/office/drawing/2014/chart" uri="{C3380CC4-5D6E-409C-BE32-E72D297353CC}">
              <c16:uniqueId val="{0000000D-A232-4BD8-8021-F81FA3FDE514}"/>
            </c:ext>
          </c:extLst>
        </c:ser>
        <c:ser>
          <c:idx val="1"/>
          <c:order val="6"/>
          <c:marker>
            <c:symbol val="none"/>
          </c:marker>
          <c:cat>
            <c:strRef>
              <c:f>Datos!$L$3:$L$6</c:f>
              <c:strCache>
                <c:ptCount val="4"/>
                <c:pt idx="0">
                  <c:v>Modelamiento y Análisis de Confiabilidad</c:v>
                </c:pt>
                <c:pt idx="1">
                  <c:v>Fuentes de Información y Herramientas</c:v>
                </c:pt>
                <c:pt idx="2">
                  <c:v>Metodologías de Cálculo de Confiabilidad</c:v>
                </c:pt>
                <c:pt idx="3">
                  <c:v>Gestión Operativa y Medición del Desempeño</c:v>
                </c:pt>
              </c:strCache>
            </c:strRef>
          </c:cat>
          <c:val>
            <c:numRef>
              <c:f>Datos!$M$3:$M$6</c:f>
              <c:numCache>
                <c:formatCode>0.00%</c:formatCode>
                <c:ptCount val="4"/>
                <c:pt idx="0">
                  <c:v>0</c:v>
                </c:pt>
                <c:pt idx="1">
                  <c:v>0</c:v>
                </c:pt>
                <c:pt idx="2">
                  <c:v>0</c:v>
                </c:pt>
                <c:pt idx="3">
                  <c:v>0</c:v>
                </c:pt>
              </c:numCache>
            </c:numRef>
          </c:val>
          <c:extLst>
            <c:ext xmlns:c16="http://schemas.microsoft.com/office/drawing/2014/chart" uri="{C3380CC4-5D6E-409C-BE32-E72D297353CC}">
              <c16:uniqueId val="{0000000F-A232-4BD8-8021-F81FA3FDE514}"/>
            </c:ext>
          </c:extLst>
        </c:ser>
        <c:ser>
          <c:idx val="0"/>
          <c:order val="7"/>
          <c:marker>
            <c:symbol val="none"/>
          </c:marker>
          <c:cat>
            <c:strRef>
              <c:f>Datos!$L$3:$L$6</c:f>
              <c:strCache>
                <c:ptCount val="4"/>
                <c:pt idx="0">
                  <c:v>Modelamiento y Análisis de Confiabilidad</c:v>
                </c:pt>
                <c:pt idx="1">
                  <c:v>Fuentes de Información y Herramientas</c:v>
                </c:pt>
                <c:pt idx="2">
                  <c:v>Metodologías de Cálculo de Confiabilidad</c:v>
                </c:pt>
                <c:pt idx="3">
                  <c:v>Gestión Operativa y Medición del Desempeño</c:v>
                </c:pt>
              </c:strCache>
            </c:strRef>
          </c:cat>
          <c:val>
            <c:numRef>
              <c:f>Datos!$M$3:$M$6</c:f>
              <c:numCache>
                <c:formatCode>0.00%</c:formatCode>
                <c:ptCount val="4"/>
                <c:pt idx="0">
                  <c:v>0</c:v>
                </c:pt>
                <c:pt idx="1">
                  <c:v>0</c:v>
                </c:pt>
                <c:pt idx="2">
                  <c:v>0</c:v>
                </c:pt>
                <c:pt idx="3">
                  <c:v>0</c:v>
                </c:pt>
              </c:numCache>
            </c:numRef>
          </c:val>
          <c:extLst>
            <c:ext xmlns:c16="http://schemas.microsoft.com/office/drawing/2014/chart" uri="{C3380CC4-5D6E-409C-BE32-E72D297353CC}">
              <c16:uniqueId val="{00000011-A232-4BD8-8021-F81FA3FDE514}"/>
            </c:ext>
          </c:extLst>
        </c:ser>
        <c:dLbls>
          <c:showLegendKey val="0"/>
          <c:showVal val="0"/>
          <c:showCatName val="0"/>
          <c:showSerName val="0"/>
          <c:showPercent val="0"/>
          <c:showBubbleSize val="0"/>
        </c:dLbls>
        <c:axId val="917229071"/>
        <c:axId val="917230031"/>
      </c:radarChart>
      <c:catAx>
        <c:axId val="917229071"/>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s-CO"/>
          </a:p>
        </c:txPr>
        <c:crossAx val="917230031"/>
        <c:crosses val="autoZero"/>
        <c:auto val="1"/>
        <c:lblAlgn val="ctr"/>
        <c:lblOffset val="100"/>
        <c:noMultiLvlLbl val="0"/>
      </c:catAx>
      <c:valAx>
        <c:axId val="917230031"/>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917229071"/>
        <c:crosses val="autoZero"/>
        <c:crossBetween val="between"/>
      </c:valAx>
      <c:spPr>
        <a:noFill/>
        <a:ln>
          <a:noFill/>
        </a:ln>
        <a:effectLst/>
      </c:spPr>
    </c:plotArea>
    <c:plotVisOnly val="1"/>
    <c:dispBlanksAs val="gap"/>
    <c:showDLblsOverMax val="0"/>
    <c:extLst/>
  </c:chart>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strRef>
              <c:f>'Mapa de Riesgo y Madurez'!$E$1040</c:f>
              <c:strCache>
                <c:ptCount val="1"/>
                <c:pt idx="0">
                  <c:v>Verde</c:v>
                </c:pt>
              </c:strCache>
            </c:strRef>
          </c:tx>
          <c:dPt>
            <c:idx val="0"/>
            <c:bubble3D val="0"/>
            <c:spPr>
              <a:solidFill>
                <a:srgbClr val="00B050"/>
              </a:solidFill>
              <a:ln>
                <a:noFill/>
              </a:ln>
            </c:spPr>
            <c:extLst>
              <c:ext xmlns:c16="http://schemas.microsoft.com/office/drawing/2014/chart" uri="{C3380CC4-5D6E-409C-BE32-E72D297353CC}">
                <c16:uniqueId val="{00000001-4A7A-478A-8DD1-1034CAC3AF4C}"/>
              </c:ext>
            </c:extLst>
          </c:dPt>
          <c:val>
            <c:numRef>
              <c:f>'Mapa de Riesgo y Madurez'!$I$1040</c:f>
              <c:numCache>
                <c:formatCode>General</c:formatCode>
                <c:ptCount val="1"/>
                <c:pt idx="0">
                  <c:v>0</c:v>
                </c:pt>
              </c:numCache>
            </c:numRef>
          </c:val>
          <c:extLst>
            <c:ext xmlns:c16="http://schemas.microsoft.com/office/drawing/2014/chart" uri="{C3380CC4-5D6E-409C-BE32-E72D297353CC}">
              <c16:uniqueId val="{00000002-4A7A-478A-8DD1-1034CAC3AF4C}"/>
            </c:ext>
          </c:extLst>
        </c:ser>
        <c:ser>
          <c:idx val="3"/>
          <c:order val="1"/>
          <c:tx>
            <c:strRef>
              <c:f>'Mapa de Riesgo y Madurez'!$E$1011</c:f>
              <c:strCache>
                <c:ptCount val="1"/>
                <c:pt idx="0">
                  <c:v>Rojo</c:v>
                </c:pt>
              </c:strCache>
            </c:strRef>
          </c:tx>
          <c:val>
            <c:numRef>
              <c:f>'Mapa de Riesgo y Madurez'!$I$1011</c:f>
              <c:numCache>
                <c:formatCode>General</c:formatCode>
                <c:ptCount val="1"/>
                <c:pt idx="0">
                  <c:v>0</c:v>
                </c:pt>
              </c:numCache>
            </c:numRef>
          </c:val>
          <c:extLst>
            <c:ext xmlns:c16="http://schemas.microsoft.com/office/drawing/2014/chart" uri="{C3380CC4-5D6E-409C-BE32-E72D297353CC}">
              <c16:uniqueId val="{00000005-4A7A-478A-8DD1-1034CAC3AF4C}"/>
            </c:ext>
          </c:extLst>
        </c:ser>
        <c:ser>
          <c:idx val="1"/>
          <c:order val="2"/>
          <c:tx>
            <c:strRef>
              <c:f>'Mapa de Riesgo y Madurez'!$E$1011</c:f>
              <c:strCache>
                <c:ptCount val="1"/>
                <c:pt idx="0">
                  <c:v>Rojo</c:v>
                </c:pt>
              </c:strCache>
            </c:strRef>
          </c:tx>
          <c:val>
            <c:numRef>
              <c:f>'Mapa de Riesgo y Madurez'!$I$1011</c:f>
              <c:numCache>
                <c:formatCode>General</c:formatCode>
                <c:ptCount val="1"/>
                <c:pt idx="0">
                  <c:v>0</c:v>
                </c:pt>
              </c:numCache>
            </c:numRef>
          </c:val>
          <c:extLst>
            <c:ext xmlns:c16="http://schemas.microsoft.com/office/drawing/2014/chart" uri="{C3380CC4-5D6E-409C-BE32-E72D297353CC}">
              <c16:uniqueId val="{00000008-4A7A-478A-8DD1-1034CAC3AF4C}"/>
            </c:ext>
          </c:extLst>
        </c:ser>
        <c:ser>
          <c:idx val="0"/>
          <c:order val="3"/>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A-4A7A-478A-8DD1-1034CAC3AF4C}"/>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B-4A7A-478A-8DD1-1034CAC3AF4C}"/>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chemeClr val="accent1"/>
            </a:solidFill>
            <a:ln>
              <a:noFill/>
            </a:ln>
            <a:effectLst/>
          </c:spPr>
          <c:invertIfNegative val="0"/>
          <c:dPt>
            <c:idx val="0"/>
            <c:invertIfNegative val="0"/>
            <c:bubble3D val="0"/>
            <c:spPr>
              <a:gradFill flip="none" rotWithShape="1">
                <a:gsLst>
                  <a:gs pos="0">
                    <a:srgbClr val="FF0000"/>
                  </a:gs>
                  <a:gs pos="20000">
                    <a:srgbClr val="FFC000"/>
                  </a:gs>
                  <a:gs pos="65000">
                    <a:srgbClr val="FFFF00"/>
                  </a:gs>
                  <a:gs pos="86000">
                    <a:srgbClr val="00B050"/>
                  </a:gs>
                </a:gsLst>
                <a:lin ang="16200000" scaled="1"/>
                <a:tileRect/>
              </a:gradFill>
              <a:ln>
                <a:noFill/>
              </a:ln>
              <a:effectLst/>
            </c:spPr>
            <c:extLst>
              <c:ext xmlns:c16="http://schemas.microsoft.com/office/drawing/2014/chart" uri="{C3380CC4-5D6E-409C-BE32-E72D297353CC}">
                <c16:uniqueId val="{00000004-10E1-4D80-8805-5194DF64F704}"/>
              </c:ext>
            </c:extLst>
          </c:dPt>
          <c:dPt>
            <c:idx val="1"/>
            <c:invertIfNegative val="0"/>
            <c:bubble3D val="0"/>
            <c:spPr>
              <a:noFill/>
              <a:ln>
                <a:noFill/>
              </a:ln>
              <a:effectLst/>
            </c:spPr>
            <c:extLst>
              <c:ext xmlns:c16="http://schemas.microsoft.com/office/drawing/2014/chart" uri="{C3380CC4-5D6E-409C-BE32-E72D297353CC}">
                <c16:uniqueId val="{00000002-10E1-4D80-8805-5194DF64F704}"/>
              </c:ext>
            </c:extLst>
          </c:dPt>
          <c:cat>
            <c:strRef>
              <c:f>'Mapa de Riesgo y Madurez'!$Q$1011:$Q$1012</c:f>
              <c:strCache>
                <c:ptCount val="2"/>
                <c:pt idx="0">
                  <c:v>Barra</c:v>
                </c:pt>
                <c:pt idx="1">
                  <c:v>Indicador</c:v>
                </c:pt>
              </c:strCache>
            </c:strRef>
          </c:cat>
          <c:val>
            <c:numRef>
              <c:f>'Mapa de Riesgo y Madurez'!$R$1011:$R$1012</c:f>
              <c:numCache>
                <c:formatCode>0.00%</c:formatCode>
                <c:ptCount val="2"/>
                <c:pt idx="0">
                  <c:v>1</c:v>
                </c:pt>
                <c:pt idx="1">
                  <c:v>-1.4999999999999999E-2</c:v>
                </c:pt>
              </c:numCache>
            </c:numRef>
          </c:val>
          <c:extLst>
            <c:ext xmlns:c16="http://schemas.microsoft.com/office/drawing/2014/chart" uri="{C3380CC4-5D6E-409C-BE32-E72D297353CC}">
              <c16:uniqueId val="{00000000-10E1-4D80-8805-5194DF64F704}"/>
            </c:ext>
          </c:extLst>
        </c:ser>
        <c:ser>
          <c:idx val="1"/>
          <c:order val="1"/>
          <c:spPr>
            <a:solidFill>
              <a:schemeClr val="accent2"/>
            </a:solidFill>
            <a:ln>
              <a:noFill/>
            </a:ln>
            <a:effectLst/>
          </c:spPr>
          <c:invertIfNegative val="0"/>
          <c:dPt>
            <c:idx val="1"/>
            <c:invertIfNegative val="0"/>
            <c:bubble3D val="0"/>
            <c:spPr>
              <a:blipFill>
                <a:blip xmlns:r="http://schemas.openxmlformats.org/officeDocument/2006/relationships" r:embed="rId3"/>
                <a:stretch>
                  <a:fillRect/>
                </a:stretch>
              </a:blipFill>
              <a:ln>
                <a:noFill/>
              </a:ln>
              <a:effectLst/>
            </c:spPr>
            <c:extLst>
              <c:ext xmlns:c16="http://schemas.microsoft.com/office/drawing/2014/chart" uri="{C3380CC4-5D6E-409C-BE32-E72D297353CC}">
                <c16:uniqueId val="{00000003-10E1-4D80-8805-5194DF64F704}"/>
              </c:ext>
            </c:extLst>
          </c:dPt>
          <c:cat>
            <c:strRef>
              <c:f>'Mapa de Riesgo y Madurez'!$Q$1011:$Q$1012</c:f>
              <c:strCache>
                <c:ptCount val="2"/>
                <c:pt idx="0">
                  <c:v>Barra</c:v>
                </c:pt>
                <c:pt idx="1">
                  <c:v>Indicador</c:v>
                </c:pt>
              </c:strCache>
            </c:strRef>
          </c:cat>
          <c:val>
            <c:numRef>
              <c:f>'Mapa de Riesgo y Madurez'!$S$1011:$S$1012</c:f>
              <c:numCache>
                <c:formatCode>0.00%</c:formatCode>
                <c:ptCount val="2"/>
                <c:pt idx="1">
                  <c:v>0.03</c:v>
                </c:pt>
              </c:numCache>
            </c:numRef>
          </c:val>
          <c:extLst>
            <c:ext xmlns:c16="http://schemas.microsoft.com/office/drawing/2014/chart" uri="{C3380CC4-5D6E-409C-BE32-E72D297353CC}">
              <c16:uniqueId val="{00000001-10E1-4D80-8805-5194DF64F704}"/>
            </c:ext>
          </c:extLst>
        </c:ser>
        <c:dLbls>
          <c:showLegendKey val="0"/>
          <c:showVal val="0"/>
          <c:showCatName val="0"/>
          <c:showSerName val="0"/>
          <c:showPercent val="0"/>
          <c:showBubbleSize val="0"/>
        </c:dLbls>
        <c:gapWidth val="0"/>
        <c:overlap val="100"/>
        <c:axId val="1434147711"/>
        <c:axId val="1434164031"/>
      </c:barChart>
      <c:catAx>
        <c:axId val="1434147711"/>
        <c:scaling>
          <c:orientation val="minMax"/>
        </c:scaling>
        <c:delete val="1"/>
        <c:axPos val="b"/>
        <c:numFmt formatCode="General" sourceLinked="1"/>
        <c:majorTickMark val="out"/>
        <c:minorTickMark val="none"/>
        <c:tickLblPos val="nextTo"/>
        <c:crossAx val="1434164031"/>
        <c:crosses val="autoZero"/>
        <c:auto val="1"/>
        <c:lblAlgn val="ctr"/>
        <c:lblOffset val="100"/>
        <c:noMultiLvlLbl val="0"/>
      </c:catAx>
      <c:valAx>
        <c:axId val="1434164031"/>
        <c:scaling>
          <c:orientation val="minMax"/>
          <c:max val="1.01"/>
          <c:min val="0"/>
        </c:scaling>
        <c:delete val="1"/>
        <c:axPos val="l"/>
        <c:numFmt formatCode="0.00%" sourceLinked="1"/>
        <c:majorTickMark val="out"/>
        <c:minorTickMark val="in"/>
        <c:tickLblPos val="nextTo"/>
        <c:crossAx val="1434147711"/>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chemeClr val="accent1"/>
            </a:solidFill>
            <a:ln>
              <a:noFill/>
            </a:ln>
            <a:effectLst/>
          </c:spPr>
          <c:invertIfNegative val="0"/>
          <c:dPt>
            <c:idx val="0"/>
            <c:invertIfNegative val="0"/>
            <c:bubble3D val="0"/>
            <c:spPr>
              <a:gradFill>
                <a:gsLst>
                  <a:gs pos="0">
                    <a:srgbClr val="FF0000"/>
                  </a:gs>
                  <a:gs pos="20000">
                    <a:srgbClr val="FFC000"/>
                  </a:gs>
                  <a:gs pos="65000">
                    <a:srgbClr val="FFFF00"/>
                  </a:gs>
                  <a:gs pos="86000">
                    <a:srgbClr val="00B050"/>
                  </a:gs>
                </a:gsLst>
                <a:lin ang="16200000" scaled="1"/>
              </a:gradFill>
              <a:ln>
                <a:noFill/>
              </a:ln>
              <a:effectLst/>
            </c:spPr>
            <c:extLst>
              <c:ext xmlns:c16="http://schemas.microsoft.com/office/drawing/2014/chart" uri="{C3380CC4-5D6E-409C-BE32-E72D297353CC}">
                <c16:uniqueId val="{00000001-1371-432F-A634-713EEB187C50}"/>
              </c:ext>
            </c:extLst>
          </c:dPt>
          <c:dPt>
            <c:idx val="1"/>
            <c:invertIfNegative val="0"/>
            <c:bubble3D val="0"/>
            <c:spPr>
              <a:noFill/>
              <a:ln>
                <a:noFill/>
              </a:ln>
              <a:effectLst/>
            </c:spPr>
            <c:extLst>
              <c:ext xmlns:c16="http://schemas.microsoft.com/office/drawing/2014/chart" uri="{C3380CC4-5D6E-409C-BE32-E72D297353CC}">
                <c16:uniqueId val="{00000003-1371-432F-A634-713EEB187C50}"/>
              </c:ext>
            </c:extLst>
          </c:dPt>
          <c:cat>
            <c:strRef>
              <c:f>'Mapa de Riesgo y Madurez'!$Q$1020:$Q$1021</c:f>
              <c:strCache>
                <c:ptCount val="2"/>
                <c:pt idx="0">
                  <c:v>Barra</c:v>
                </c:pt>
                <c:pt idx="1">
                  <c:v>Indicador</c:v>
                </c:pt>
              </c:strCache>
            </c:strRef>
          </c:cat>
          <c:val>
            <c:numRef>
              <c:f>'Mapa de Riesgo y Madurez'!$R$1020:$R$1021</c:f>
              <c:numCache>
                <c:formatCode>0.00%</c:formatCode>
                <c:ptCount val="2"/>
                <c:pt idx="0">
                  <c:v>1</c:v>
                </c:pt>
                <c:pt idx="1">
                  <c:v>-1.4999999999999999E-2</c:v>
                </c:pt>
              </c:numCache>
            </c:numRef>
          </c:val>
          <c:extLst>
            <c:ext xmlns:c16="http://schemas.microsoft.com/office/drawing/2014/chart" uri="{C3380CC4-5D6E-409C-BE32-E72D297353CC}">
              <c16:uniqueId val="{00000004-1371-432F-A634-713EEB187C50}"/>
            </c:ext>
          </c:extLst>
        </c:ser>
        <c:ser>
          <c:idx val="1"/>
          <c:order val="1"/>
          <c:spPr>
            <a:solidFill>
              <a:schemeClr val="accent2"/>
            </a:solidFill>
            <a:ln>
              <a:noFill/>
            </a:ln>
            <a:effectLst/>
          </c:spPr>
          <c:invertIfNegative val="0"/>
          <c:dPt>
            <c:idx val="1"/>
            <c:invertIfNegative val="0"/>
            <c:bubble3D val="0"/>
            <c:spPr>
              <a:blipFill>
                <a:blip xmlns:r="http://schemas.openxmlformats.org/officeDocument/2006/relationships" r:embed="rId3"/>
                <a:stretch>
                  <a:fillRect/>
                </a:stretch>
              </a:blipFill>
              <a:ln>
                <a:noFill/>
              </a:ln>
              <a:effectLst/>
            </c:spPr>
            <c:extLst>
              <c:ext xmlns:c16="http://schemas.microsoft.com/office/drawing/2014/chart" uri="{C3380CC4-5D6E-409C-BE32-E72D297353CC}">
                <c16:uniqueId val="{00000006-1371-432F-A634-713EEB187C50}"/>
              </c:ext>
            </c:extLst>
          </c:dPt>
          <c:cat>
            <c:strRef>
              <c:f>'Mapa de Riesgo y Madurez'!$Q$1020:$Q$1021</c:f>
              <c:strCache>
                <c:ptCount val="2"/>
                <c:pt idx="0">
                  <c:v>Barra</c:v>
                </c:pt>
                <c:pt idx="1">
                  <c:v>Indicador</c:v>
                </c:pt>
              </c:strCache>
            </c:strRef>
          </c:cat>
          <c:val>
            <c:numRef>
              <c:f>'Mapa de Riesgo y Madurez'!$S$1020:$S$1021</c:f>
              <c:numCache>
                <c:formatCode>0.00%</c:formatCode>
                <c:ptCount val="2"/>
                <c:pt idx="1">
                  <c:v>0.03</c:v>
                </c:pt>
              </c:numCache>
            </c:numRef>
          </c:val>
          <c:extLst>
            <c:ext xmlns:c16="http://schemas.microsoft.com/office/drawing/2014/chart" uri="{C3380CC4-5D6E-409C-BE32-E72D297353CC}">
              <c16:uniqueId val="{00000007-1371-432F-A634-713EEB187C50}"/>
            </c:ext>
          </c:extLst>
        </c:ser>
        <c:dLbls>
          <c:showLegendKey val="0"/>
          <c:showVal val="0"/>
          <c:showCatName val="0"/>
          <c:showSerName val="0"/>
          <c:showPercent val="0"/>
          <c:showBubbleSize val="0"/>
        </c:dLbls>
        <c:gapWidth val="0"/>
        <c:overlap val="100"/>
        <c:axId val="1434147711"/>
        <c:axId val="1434164031"/>
      </c:barChart>
      <c:catAx>
        <c:axId val="1434147711"/>
        <c:scaling>
          <c:orientation val="minMax"/>
        </c:scaling>
        <c:delete val="1"/>
        <c:axPos val="b"/>
        <c:numFmt formatCode="General" sourceLinked="1"/>
        <c:majorTickMark val="out"/>
        <c:minorTickMark val="none"/>
        <c:tickLblPos val="nextTo"/>
        <c:crossAx val="1434164031"/>
        <c:crosses val="autoZero"/>
        <c:auto val="1"/>
        <c:lblAlgn val="ctr"/>
        <c:lblOffset val="100"/>
        <c:noMultiLvlLbl val="0"/>
      </c:catAx>
      <c:valAx>
        <c:axId val="1434164031"/>
        <c:scaling>
          <c:orientation val="minMax"/>
          <c:max val="1.01"/>
          <c:min val="0"/>
        </c:scaling>
        <c:delete val="1"/>
        <c:axPos val="l"/>
        <c:numFmt formatCode="0.00%" sourceLinked="1"/>
        <c:majorTickMark val="in"/>
        <c:minorTickMark val="in"/>
        <c:tickLblPos val="nextTo"/>
        <c:crossAx val="1434147711"/>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chemeClr val="accent1"/>
            </a:solidFill>
            <a:ln>
              <a:noFill/>
            </a:ln>
            <a:effectLst/>
          </c:spPr>
          <c:invertIfNegative val="0"/>
          <c:dPt>
            <c:idx val="0"/>
            <c:invertIfNegative val="0"/>
            <c:bubble3D val="0"/>
            <c:spPr>
              <a:gradFill>
                <a:gsLst>
                  <a:gs pos="0">
                    <a:srgbClr val="FF0000"/>
                  </a:gs>
                  <a:gs pos="20000">
                    <a:srgbClr val="FFC000"/>
                  </a:gs>
                  <a:gs pos="65000">
                    <a:srgbClr val="FFFF00"/>
                  </a:gs>
                  <a:gs pos="86000">
                    <a:srgbClr val="00B050"/>
                  </a:gs>
                </a:gsLst>
                <a:lin ang="16200000" scaled="1"/>
              </a:gradFill>
              <a:ln>
                <a:noFill/>
              </a:ln>
              <a:effectLst/>
            </c:spPr>
            <c:extLst>
              <c:ext xmlns:c16="http://schemas.microsoft.com/office/drawing/2014/chart" uri="{C3380CC4-5D6E-409C-BE32-E72D297353CC}">
                <c16:uniqueId val="{00000001-57E6-4D5D-B241-17EE940A2CD1}"/>
              </c:ext>
            </c:extLst>
          </c:dPt>
          <c:dPt>
            <c:idx val="1"/>
            <c:invertIfNegative val="0"/>
            <c:bubble3D val="0"/>
            <c:spPr>
              <a:noFill/>
              <a:ln>
                <a:noFill/>
              </a:ln>
              <a:effectLst/>
            </c:spPr>
            <c:extLst>
              <c:ext xmlns:c16="http://schemas.microsoft.com/office/drawing/2014/chart" uri="{C3380CC4-5D6E-409C-BE32-E72D297353CC}">
                <c16:uniqueId val="{00000003-57E6-4D5D-B241-17EE940A2CD1}"/>
              </c:ext>
            </c:extLst>
          </c:dPt>
          <c:cat>
            <c:strRef>
              <c:f>'Mapa de Riesgo y Madurez'!$Q$1029:$Q$1030</c:f>
              <c:strCache>
                <c:ptCount val="2"/>
                <c:pt idx="0">
                  <c:v>Barra</c:v>
                </c:pt>
                <c:pt idx="1">
                  <c:v>Indicador</c:v>
                </c:pt>
              </c:strCache>
            </c:strRef>
          </c:cat>
          <c:val>
            <c:numRef>
              <c:f>'Mapa de Riesgo y Madurez'!$R$1029:$R$1030</c:f>
              <c:numCache>
                <c:formatCode>0.00%</c:formatCode>
                <c:ptCount val="2"/>
                <c:pt idx="0">
                  <c:v>1</c:v>
                </c:pt>
                <c:pt idx="1">
                  <c:v>-1.4999999999999999E-2</c:v>
                </c:pt>
              </c:numCache>
            </c:numRef>
          </c:val>
          <c:extLst>
            <c:ext xmlns:c16="http://schemas.microsoft.com/office/drawing/2014/chart" uri="{C3380CC4-5D6E-409C-BE32-E72D297353CC}">
              <c16:uniqueId val="{00000004-57E6-4D5D-B241-17EE940A2CD1}"/>
            </c:ext>
          </c:extLst>
        </c:ser>
        <c:ser>
          <c:idx val="1"/>
          <c:order val="1"/>
          <c:spPr>
            <a:blipFill>
              <a:blip xmlns:r="http://schemas.openxmlformats.org/officeDocument/2006/relationships" r:embed="rId3"/>
              <a:stretch>
                <a:fillRect/>
              </a:stretch>
            </a:blipFill>
            <a:ln>
              <a:noFill/>
            </a:ln>
            <a:effectLst/>
          </c:spPr>
          <c:invertIfNegative val="0"/>
          <c:cat>
            <c:strRef>
              <c:f>'Mapa de Riesgo y Madurez'!$Q$1029:$Q$1030</c:f>
              <c:strCache>
                <c:ptCount val="2"/>
                <c:pt idx="0">
                  <c:v>Barra</c:v>
                </c:pt>
                <c:pt idx="1">
                  <c:v>Indicador</c:v>
                </c:pt>
              </c:strCache>
            </c:strRef>
          </c:cat>
          <c:val>
            <c:numRef>
              <c:f>'Mapa de Riesgo y Madurez'!$S$1029:$S$1030</c:f>
              <c:numCache>
                <c:formatCode>0.00%</c:formatCode>
                <c:ptCount val="2"/>
                <c:pt idx="1">
                  <c:v>0.03</c:v>
                </c:pt>
              </c:numCache>
            </c:numRef>
          </c:val>
          <c:extLst>
            <c:ext xmlns:c16="http://schemas.microsoft.com/office/drawing/2014/chart" uri="{C3380CC4-5D6E-409C-BE32-E72D297353CC}">
              <c16:uniqueId val="{00000007-57E6-4D5D-B241-17EE940A2CD1}"/>
            </c:ext>
          </c:extLst>
        </c:ser>
        <c:dLbls>
          <c:showLegendKey val="0"/>
          <c:showVal val="0"/>
          <c:showCatName val="0"/>
          <c:showSerName val="0"/>
          <c:showPercent val="0"/>
          <c:showBubbleSize val="0"/>
        </c:dLbls>
        <c:gapWidth val="0"/>
        <c:overlap val="100"/>
        <c:axId val="1434147711"/>
        <c:axId val="1434164031"/>
      </c:barChart>
      <c:catAx>
        <c:axId val="1434147711"/>
        <c:scaling>
          <c:orientation val="minMax"/>
        </c:scaling>
        <c:delete val="1"/>
        <c:axPos val="b"/>
        <c:numFmt formatCode="General" sourceLinked="1"/>
        <c:majorTickMark val="out"/>
        <c:minorTickMark val="none"/>
        <c:tickLblPos val="nextTo"/>
        <c:crossAx val="1434164031"/>
        <c:crosses val="autoZero"/>
        <c:auto val="1"/>
        <c:lblAlgn val="ctr"/>
        <c:lblOffset val="100"/>
        <c:noMultiLvlLbl val="0"/>
      </c:catAx>
      <c:valAx>
        <c:axId val="1434164031"/>
        <c:scaling>
          <c:orientation val="minMax"/>
          <c:max val="1.01"/>
          <c:min val="0"/>
        </c:scaling>
        <c:delete val="1"/>
        <c:axPos val="l"/>
        <c:numFmt formatCode="0.00%" sourceLinked="1"/>
        <c:majorTickMark val="in"/>
        <c:minorTickMark val="in"/>
        <c:tickLblPos val="nextTo"/>
        <c:crossAx val="1434147711"/>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chemeClr val="accent1"/>
            </a:solidFill>
            <a:ln>
              <a:noFill/>
            </a:ln>
            <a:effectLst/>
          </c:spPr>
          <c:invertIfNegative val="0"/>
          <c:dPt>
            <c:idx val="0"/>
            <c:invertIfNegative val="0"/>
            <c:bubble3D val="0"/>
            <c:spPr>
              <a:gradFill>
                <a:gsLst>
                  <a:gs pos="0">
                    <a:srgbClr val="FF0000"/>
                  </a:gs>
                  <a:gs pos="20000">
                    <a:srgbClr val="FFC000"/>
                  </a:gs>
                  <a:gs pos="65000">
                    <a:srgbClr val="FFFF00"/>
                  </a:gs>
                  <a:gs pos="86000">
                    <a:srgbClr val="00B050"/>
                  </a:gs>
                </a:gsLst>
                <a:lin ang="16200000" scaled="1"/>
              </a:gradFill>
              <a:ln>
                <a:noFill/>
              </a:ln>
              <a:effectLst/>
            </c:spPr>
            <c:extLst>
              <c:ext xmlns:c16="http://schemas.microsoft.com/office/drawing/2014/chart" uri="{C3380CC4-5D6E-409C-BE32-E72D297353CC}">
                <c16:uniqueId val="{00000001-C6F3-4542-9D33-9198FE9AFFF0}"/>
              </c:ext>
            </c:extLst>
          </c:dPt>
          <c:dPt>
            <c:idx val="1"/>
            <c:invertIfNegative val="0"/>
            <c:bubble3D val="0"/>
            <c:spPr>
              <a:noFill/>
              <a:ln>
                <a:noFill/>
              </a:ln>
              <a:effectLst/>
            </c:spPr>
            <c:extLst>
              <c:ext xmlns:c16="http://schemas.microsoft.com/office/drawing/2014/chart" uri="{C3380CC4-5D6E-409C-BE32-E72D297353CC}">
                <c16:uniqueId val="{00000003-C6F3-4542-9D33-9198FE9AFFF0}"/>
              </c:ext>
            </c:extLst>
          </c:dPt>
          <c:cat>
            <c:strRef>
              <c:f>'Mapa de Riesgo y Madurez'!$Q$1038:$Q$1039</c:f>
              <c:strCache>
                <c:ptCount val="2"/>
                <c:pt idx="0">
                  <c:v>Barra</c:v>
                </c:pt>
                <c:pt idx="1">
                  <c:v>Indicador</c:v>
                </c:pt>
              </c:strCache>
            </c:strRef>
          </c:cat>
          <c:val>
            <c:numRef>
              <c:f>'Mapa de Riesgo y Madurez'!$R$1038:$R$1039</c:f>
              <c:numCache>
                <c:formatCode>0.00%</c:formatCode>
                <c:ptCount val="2"/>
                <c:pt idx="0">
                  <c:v>1</c:v>
                </c:pt>
                <c:pt idx="1">
                  <c:v>-1.4999999999999999E-2</c:v>
                </c:pt>
              </c:numCache>
            </c:numRef>
          </c:val>
          <c:extLst>
            <c:ext xmlns:c16="http://schemas.microsoft.com/office/drawing/2014/chart" uri="{C3380CC4-5D6E-409C-BE32-E72D297353CC}">
              <c16:uniqueId val="{00000004-C6F3-4542-9D33-9198FE9AFFF0}"/>
            </c:ext>
          </c:extLst>
        </c:ser>
        <c:ser>
          <c:idx val="1"/>
          <c:order val="1"/>
          <c:spPr>
            <a:solidFill>
              <a:schemeClr val="accent2"/>
            </a:solidFill>
            <a:ln>
              <a:noFill/>
            </a:ln>
            <a:effectLst/>
          </c:spPr>
          <c:invertIfNegative val="0"/>
          <c:dPt>
            <c:idx val="1"/>
            <c:invertIfNegative val="0"/>
            <c:bubble3D val="0"/>
            <c:spPr>
              <a:blipFill>
                <a:blip xmlns:r="http://schemas.openxmlformats.org/officeDocument/2006/relationships" r:embed="rId3"/>
                <a:stretch>
                  <a:fillRect/>
                </a:stretch>
              </a:blipFill>
              <a:ln>
                <a:noFill/>
              </a:ln>
              <a:effectLst/>
            </c:spPr>
            <c:extLst>
              <c:ext xmlns:c16="http://schemas.microsoft.com/office/drawing/2014/chart" uri="{C3380CC4-5D6E-409C-BE32-E72D297353CC}">
                <c16:uniqueId val="{00000006-C6F3-4542-9D33-9198FE9AFFF0}"/>
              </c:ext>
            </c:extLst>
          </c:dPt>
          <c:cat>
            <c:strRef>
              <c:f>'Mapa de Riesgo y Madurez'!$Q$1038:$Q$1039</c:f>
              <c:strCache>
                <c:ptCount val="2"/>
                <c:pt idx="0">
                  <c:v>Barra</c:v>
                </c:pt>
                <c:pt idx="1">
                  <c:v>Indicador</c:v>
                </c:pt>
              </c:strCache>
            </c:strRef>
          </c:cat>
          <c:val>
            <c:numRef>
              <c:f>'Mapa de Riesgo y Madurez'!$S$1038:$S$1039</c:f>
              <c:numCache>
                <c:formatCode>0.00%</c:formatCode>
                <c:ptCount val="2"/>
                <c:pt idx="1">
                  <c:v>0.03</c:v>
                </c:pt>
              </c:numCache>
            </c:numRef>
          </c:val>
          <c:extLst>
            <c:ext xmlns:c16="http://schemas.microsoft.com/office/drawing/2014/chart" uri="{C3380CC4-5D6E-409C-BE32-E72D297353CC}">
              <c16:uniqueId val="{00000005-C6F3-4542-9D33-9198FE9AFFF0}"/>
            </c:ext>
          </c:extLst>
        </c:ser>
        <c:dLbls>
          <c:showLegendKey val="0"/>
          <c:showVal val="0"/>
          <c:showCatName val="0"/>
          <c:showSerName val="0"/>
          <c:showPercent val="0"/>
          <c:showBubbleSize val="0"/>
        </c:dLbls>
        <c:gapWidth val="0"/>
        <c:overlap val="100"/>
        <c:axId val="1434147711"/>
        <c:axId val="1434164031"/>
      </c:barChart>
      <c:catAx>
        <c:axId val="1434147711"/>
        <c:scaling>
          <c:orientation val="minMax"/>
        </c:scaling>
        <c:delete val="1"/>
        <c:axPos val="b"/>
        <c:numFmt formatCode="General" sourceLinked="1"/>
        <c:majorTickMark val="out"/>
        <c:minorTickMark val="none"/>
        <c:tickLblPos val="nextTo"/>
        <c:crossAx val="1434164031"/>
        <c:crosses val="autoZero"/>
        <c:auto val="1"/>
        <c:lblAlgn val="ctr"/>
        <c:lblOffset val="100"/>
        <c:noMultiLvlLbl val="0"/>
      </c:catAx>
      <c:valAx>
        <c:axId val="1434164031"/>
        <c:scaling>
          <c:orientation val="minMax"/>
          <c:max val="1.01"/>
          <c:min val="0"/>
        </c:scaling>
        <c:delete val="1"/>
        <c:axPos val="l"/>
        <c:numFmt formatCode="0.00%" sourceLinked="1"/>
        <c:majorTickMark val="in"/>
        <c:minorTickMark val="in"/>
        <c:tickLblPos val="nextTo"/>
        <c:crossAx val="1434147711"/>
        <c:crosses val="autoZero"/>
        <c:crossBetween val="between"/>
        <c:maj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31750" cap="rnd">
              <a:solidFill>
                <a:schemeClr val="accent1"/>
              </a:solidFill>
              <a:round/>
            </a:ln>
            <a:effectLst/>
          </c:spPr>
          <c:marker>
            <c:symbol val="none"/>
          </c:marker>
          <c:cat>
            <c:strRef>
              <c:f>Datos!$N$3:$N$7</c:f>
              <c:strCache>
                <c:ptCount val="5"/>
                <c:pt idx="0">
                  <c:v>Definición de Objetivos y Estrategia de Confiabilidad</c:v>
                </c:pt>
                <c:pt idx="1">
                  <c:v>Procesos y Métodos para la Gestión de Confiabilidad</c:v>
                </c:pt>
                <c:pt idx="2">
                  <c:v>Colaboración y Alineación Organizacional</c:v>
                </c:pt>
                <c:pt idx="3">
                  <c:v>Seguimiento y Evaluación del Desempeño</c:v>
                </c:pt>
                <c:pt idx="4">
                  <c:v>Mejora Continua y Optimización</c:v>
                </c:pt>
              </c:strCache>
            </c:strRef>
          </c:cat>
          <c:val>
            <c:numRef>
              <c:f>Datos!$O$3:$O$7</c:f>
              <c:numCache>
                <c:formatCode>0.00%</c:formatCode>
                <c:ptCount val="5"/>
                <c:pt idx="0">
                  <c:v>0</c:v>
                </c:pt>
                <c:pt idx="1">
                  <c:v>0</c:v>
                </c:pt>
                <c:pt idx="2">
                  <c:v>0</c:v>
                </c:pt>
                <c:pt idx="3">
                  <c:v>0</c:v>
                </c:pt>
                <c:pt idx="4">
                  <c:v>0</c:v>
                </c:pt>
              </c:numCache>
            </c:numRef>
          </c:val>
          <c:extLst>
            <c:ext xmlns:c16="http://schemas.microsoft.com/office/drawing/2014/chart" uri="{C3380CC4-5D6E-409C-BE32-E72D297353CC}">
              <c16:uniqueId val="{00000000-1365-4A0A-9F12-692CE7B48295}"/>
            </c:ext>
          </c:extLst>
        </c:ser>
        <c:dLbls>
          <c:showLegendKey val="0"/>
          <c:showVal val="0"/>
          <c:showCatName val="0"/>
          <c:showSerName val="0"/>
          <c:showPercent val="0"/>
          <c:showBubbleSize val="0"/>
        </c:dLbls>
        <c:axId val="34185103"/>
        <c:axId val="34183663"/>
      </c:radarChart>
      <c:catAx>
        <c:axId val="34185103"/>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s-CO"/>
          </a:p>
        </c:txPr>
        <c:crossAx val="34183663"/>
        <c:crosses val="autoZero"/>
        <c:auto val="1"/>
        <c:lblAlgn val="ctr"/>
        <c:lblOffset val="100"/>
        <c:noMultiLvlLbl val="0"/>
      </c:catAx>
      <c:valAx>
        <c:axId val="34183663"/>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3418510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31750" cap="rnd">
              <a:solidFill>
                <a:schemeClr val="accent1"/>
              </a:solidFill>
              <a:round/>
            </a:ln>
            <a:effectLst/>
          </c:spPr>
          <c:marker>
            <c:symbol val="none"/>
          </c:marker>
          <c:cat>
            <c:strRef>
              <c:f>Datos!$P$3:$P$8</c:f>
              <c:strCache>
                <c:ptCount val="6"/>
                <c:pt idx="0">
                  <c:v>Estrategia y Política de Confiabilidad</c:v>
                </c:pt>
                <c:pt idx="1">
                  <c:v>Estructura Organizacional y Roles</c:v>
                </c:pt>
                <c:pt idx="2">
                  <c:v>Desarrollo de Competencias y Transferencia de Conocimiento</c:v>
                </c:pt>
                <c:pt idx="3">
                  <c:v>Cultura Organizacional y Mejora Continua</c:v>
                </c:pt>
                <c:pt idx="4">
                  <c:v>Innovación y Transformación Digital</c:v>
                </c:pt>
                <c:pt idx="5">
                  <c:v>Evaluación y Auditoría de Prácticas de Confiabilidad</c:v>
                </c:pt>
              </c:strCache>
            </c:strRef>
          </c:cat>
          <c:val>
            <c:numRef>
              <c:f>Datos!$Q$3:$Q$8</c:f>
              <c:numCache>
                <c:formatCode>0.00%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3C2-474A-BEB4-CC8B416212D7}"/>
            </c:ext>
          </c:extLst>
        </c:ser>
        <c:dLbls>
          <c:showLegendKey val="0"/>
          <c:showVal val="0"/>
          <c:showCatName val="0"/>
          <c:showSerName val="0"/>
          <c:showPercent val="0"/>
          <c:showBubbleSize val="0"/>
        </c:dLbls>
        <c:axId val="34187023"/>
        <c:axId val="34181743"/>
      </c:radarChart>
      <c:catAx>
        <c:axId val="34187023"/>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s-CO"/>
          </a:p>
        </c:txPr>
        <c:crossAx val="34181743"/>
        <c:crosses val="autoZero"/>
        <c:auto val="1"/>
        <c:lblAlgn val="ctr"/>
        <c:lblOffset val="100"/>
        <c:noMultiLvlLbl val="0"/>
      </c:catAx>
      <c:valAx>
        <c:axId val="34181743"/>
        <c:scaling>
          <c:orientation val="minMax"/>
        </c:scaling>
        <c:delete val="0"/>
        <c:axPos val="l"/>
        <c:majorGridlines>
          <c:spPr>
            <a:ln w="9525" cap="flat" cmpd="sng" algn="ctr">
              <a:solidFill>
                <a:schemeClr val="tx2">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3418702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a:t>NIVEL MADUREZ APLICACIÓN DE PRACTICAS DE GESTIÓN DE CONFIABILIDAD EN ACTIVOS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Datos!$B$2</c:f>
              <c:strCache>
                <c:ptCount val="1"/>
                <c:pt idx="0">
                  <c:v>APLICACIÓN DE PRACTICAS DE GESTIÓN DE CONFIABILIDAD EN ACTIVOS</c:v>
                </c:pt>
              </c:strCache>
            </c:strRef>
          </c:tx>
          <c:spPr>
            <a:solidFill>
              <a:schemeClr val="tx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Datos!$B$95</c:f>
              <c:numCache>
                <c:formatCode>0.00%</c:formatCode>
                <c:ptCount val="1"/>
                <c:pt idx="0">
                  <c:v>0</c:v>
                </c:pt>
              </c:numCache>
            </c:numRef>
          </c:val>
          <c:extLst>
            <c:ext xmlns:c16="http://schemas.microsoft.com/office/drawing/2014/chart" uri="{C3380CC4-5D6E-409C-BE32-E72D297353CC}">
              <c16:uniqueId val="{00000000-7A9E-408F-86D5-09EB79AA3036}"/>
            </c:ext>
          </c:extLst>
        </c:ser>
        <c:dLbls>
          <c:dLblPos val="outEnd"/>
          <c:showLegendKey val="0"/>
          <c:showVal val="1"/>
          <c:showCatName val="0"/>
          <c:showSerName val="0"/>
          <c:showPercent val="0"/>
          <c:showBubbleSize val="0"/>
        </c:dLbls>
        <c:gapWidth val="219"/>
        <c:overlap val="-27"/>
        <c:axId val="1525578703"/>
        <c:axId val="1525579183"/>
      </c:barChart>
      <c:catAx>
        <c:axId val="1525578703"/>
        <c:scaling>
          <c:orientation val="minMax"/>
        </c:scaling>
        <c:delete val="1"/>
        <c:axPos val="b"/>
        <c:numFmt formatCode="General" sourceLinked="1"/>
        <c:majorTickMark val="out"/>
        <c:minorTickMark val="none"/>
        <c:tickLblPos val="nextTo"/>
        <c:crossAx val="1525579183"/>
        <c:crosses val="autoZero"/>
        <c:auto val="1"/>
        <c:lblAlgn val="ctr"/>
        <c:lblOffset val="100"/>
        <c:noMultiLvlLbl val="0"/>
      </c:catAx>
      <c:valAx>
        <c:axId val="1525579183"/>
        <c:scaling>
          <c:orientation val="minMax"/>
          <c:max val="1"/>
        </c:scaling>
        <c:delete val="0"/>
        <c:axPos val="l"/>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25578703"/>
        <c:crosses val="autoZero"/>
        <c:crossBetween val="between"/>
      </c:valAx>
      <c:spPr>
        <a:blipFill>
          <a:blip xmlns:r="http://schemas.openxmlformats.org/officeDocument/2006/relationships" r:embed="rId3"/>
          <a:stretch>
            <a:fillRect/>
          </a:stretch>
        </a:blip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11-21BD-437F-971A-19D2DFB6A127}"/>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10-21BD-437F-971A-19D2DFB6A127}"/>
            </c:ext>
          </c:extLst>
        </c:ser>
        <c:ser>
          <c:idx val="3"/>
          <c:order val="1"/>
          <c:tx>
            <c:strRef>
              <c:f>'Mapa de Riesgo y Madurez'!$E$1011</c:f>
              <c:strCache>
                <c:ptCount val="1"/>
                <c:pt idx="0">
                  <c:v>Rojo</c:v>
                </c:pt>
              </c:strCache>
            </c:strRef>
          </c:tx>
          <c:dPt>
            <c:idx val="0"/>
            <c:bubble3D val="0"/>
            <c:spPr>
              <a:solidFill>
                <a:srgbClr val="FF0000"/>
              </a:solidFill>
              <a:ln w="19050">
                <a:noFill/>
              </a:ln>
              <a:effectLst/>
            </c:spPr>
            <c:extLst>
              <c:ext xmlns:c16="http://schemas.microsoft.com/office/drawing/2014/chart" uri="{C3380CC4-5D6E-409C-BE32-E72D297353CC}">
                <c16:uniqueId val="{00000013-21BD-437F-971A-19D2DFB6A127}"/>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12-21BD-437F-971A-19D2DFB6A127}"/>
            </c:ext>
          </c:extLst>
        </c:ser>
        <c:ser>
          <c:idx val="1"/>
          <c:order val="2"/>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A-21BD-437F-971A-19D2DFB6A127}"/>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B-21BD-437F-971A-19D2DFB6A127}"/>
            </c:ext>
          </c:extLst>
        </c:ser>
        <c:ser>
          <c:idx val="0"/>
          <c:order val="3"/>
          <c:tx>
            <c:strRef>
              <c:f>'Mapa de Riesgo y Madurez'!$E$1011</c:f>
              <c:strCache>
                <c:ptCount val="1"/>
                <c:pt idx="0">
                  <c:v>Rojo</c:v>
                </c:pt>
              </c:strCache>
            </c:strRef>
          </c:tx>
          <c:dPt>
            <c:idx val="0"/>
            <c:bubble3D val="0"/>
            <c:spPr>
              <a:solidFill>
                <a:srgbClr val="FF0000"/>
              </a:solidFill>
              <a:ln w="19050">
                <a:noFill/>
              </a:ln>
              <a:effectLst/>
            </c:spPr>
            <c:extLst>
              <c:ext xmlns:c16="http://schemas.microsoft.com/office/drawing/2014/chart" uri="{C3380CC4-5D6E-409C-BE32-E72D297353CC}">
                <c16:uniqueId val="{0000000E-21BD-437F-971A-19D2DFB6A127}"/>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F-21BD-437F-971A-19D2DFB6A127}"/>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strRef>
              <c:f>'Mapa de Riesgo y Madurez'!$E$1012</c:f>
              <c:strCache>
                <c:ptCount val="1"/>
                <c:pt idx="0">
                  <c:v>Amarillo</c:v>
                </c:pt>
              </c:strCache>
            </c:strRef>
          </c:tx>
          <c:dPt>
            <c:idx val="0"/>
            <c:bubble3D val="0"/>
            <c:spPr>
              <a:solidFill>
                <a:srgbClr val="FFFF00"/>
              </a:solidFill>
              <a:ln>
                <a:noFill/>
              </a:ln>
            </c:spPr>
            <c:extLst>
              <c:ext xmlns:c16="http://schemas.microsoft.com/office/drawing/2014/chart" uri="{C3380CC4-5D6E-409C-BE32-E72D297353CC}">
                <c16:uniqueId val="{00000001-ABF7-47E3-9CB8-86455E37043E}"/>
              </c:ext>
            </c:extLst>
          </c:dPt>
          <c:val>
            <c:numRef>
              <c:f>'Mapa de Riesgo y Madurez'!$I$1012</c:f>
              <c:numCache>
                <c:formatCode>General</c:formatCode>
                <c:ptCount val="1"/>
                <c:pt idx="0">
                  <c:v>0</c:v>
                </c:pt>
              </c:numCache>
            </c:numRef>
          </c:val>
          <c:extLst>
            <c:ext xmlns:c16="http://schemas.microsoft.com/office/drawing/2014/chart" uri="{C3380CC4-5D6E-409C-BE32-E72D297353CC}">
              <c16:uniqueId val="{00000002-ABF7-47E3-9CB8-86455E37043E}"/>
            </c:ext>
          </c:extLst>
        </c:ser>
        <c:ser>
          <c:idx val="3"/>
          <c:order val="1"/>
          <c:tx>
            <c:strRef>
              <c:f>'Mapa de Riesgo y Madurez'!$E$1011</c:f>
              <c:strCache>
                <c:ptCount val="1"/>
                <c:pt idx="0">
                  <c:v>Rojo</c:v>
                </c:pt>
              </c:strCache>
            </c:strRef>
          </c:tx>
          <c:dPt>
            <c:idx val="0"/>
            <c:bubble3D val="0"/>
            <c:spPr>
              <a:solidFill>
                <a:srgbClr val="FF0000"/>
              </a:solidFill>
              <a:ln w="19050">
                <a:noFill/>
              </a:ln>
              <a:effectLst/>
            </c:spPr>
            <c:extLst>
              <c:ext xmlns:c16="http://schemas.microsoft.com/office/drawing/2014/chart" uri="{C3380CC4-5D6E-409C-BE32-E72D297353CC}">
                <c16:uniqueId val="{00000004-ABF7-47E3-9CB8-86455E37043E}"/>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5-ABF7-47E3-9CB8-86455E37043E}"/>
            </c:ext>
          </c:extLst>
        </c:ser>
        <c:ser>
          <c:idx val="1"/>
          <c:order val="2"/>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7-ABF7-47E3-9CB8-86455E37043E}"/>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8-ABF7-47E3-9CB8-86455E37043E}"/>
            </c:ext>
          </c:extLst>
        </c:ser>
        <c:ser>
          <c:idx val="0"/>
          <c:order val="3"/>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A-ABF7-47E3-9CB8-86455E37043E}"/>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B-ABF7-47E3-9CB8-86455E37043E}"/>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strRef>
              <c:f>'Mapa de Riesgo y Madurez'!$E$1013</c:f>
              <c:strCache>
                <c:ptCount val="1"/>
                <c:pt idx="0">
                  <c:v>Verde</c:v>
                </c:pt>
              </c:strCache>
            </c:strRef>
          </c:tx>
          <c:dPt>
            <c:idx val="0"/>
            <c:bubble3D val="0"/>
            <c:spPr>
              <a:solidFill>
                <a:srgbClr val="00B050"/>
              </a:solidFill>
              <a:ln>
                <a:noFill/>
              </a:ln>
            </c:spPr>
            <c:extLst>
              <c:ext xmlns:c16="http://schemas.microsoft.com/office/drawing/2014/chart" uri="{C3380CC4-5D6E-409C-BE32-E72D297353CC}">
                <c16:uniqueId val="{00000001-84A0-4C22-ADFE-6883F035E4F1}"/>
              </c:ext>
            </c:extLst>
          </c:dPt>
          <c:val>
            <c:numRef>
              <c:f>'Mapa de Riesgo y Madurez'!$I$1013</c:f>
              <c:numCache>
                <c:formatCode>General</c:formatCode>
                <c:ptCount val="1"/>
                <c:pt idx="0">
                  <c:v>0</c:v>
                </c:pt>
              </c:numCache>
            </c:numRef>
          </c:val>
          <c:extLst>
            <c:ext xmlns:c16="http://schemas.microsoft.com/office/drawing/2014/chart" uri="{C3380CC4-5D6E-409C-BE32-E72D297353CC}">
              <c16:uniqueId val="{00000002-84A0-4C22-ADFE-6883F035E4F1}"/>
            </c:ext>
          </c:extLst>
        </c:ser>
        <c:ser>
          <c:idx val="3"/>
          <c:order val="1"/>
          <c:tx>
            <c:strRef>
              <c:f>'Mapa de Riesgo y Madurez'!$E$1011</c:f>
              <c:strCache>
                <c:ptCount val="1"/>
                <c:pt idx="0">
                  <c:v>Rojo</c:v>
                </c:pt>
              </c:strCache>
            </c:strRef>
          </c:tx>
          <c:dPt>
            <c:idx val="0"/>
            <c:bubble3D val="0"/>
            <c:spPr>
              <a:solidFill>
                <a:srgbClr val="FF0000"/>
              </a:solidFill>
              <a:ln w="19050">
                <a:noFill/>
              </a:ln>
              <a:effectLst/>
            </c:spPr>
            <c:extLst>
              <c:ext xmlns:c16="http://schemas.microsoft.com/office/drawing/2014/chart" uri="{C3380CC4-5D6E-409C-BE32-E72D297353CC}">
                <c16:uniqueId val="{00000004-84A0-4C22-ADFE-6883F035E4F1}"/>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5-84A0-4C22-ADFE-6883F035E4F1}"/>
            </c:ext>
          </c:extLst>
        </c:ser>
        <c:ser>
          <c:idx val="1"/>
          <c:order val="2"/>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7-84A0-4C22-ADFE-6883F035E4F1}"/>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8-84A0-4C22-ADFE-6883F035E4F1}"/>
            </c:ext>
          </c:extLst>
        </c:ser>
        <c:ser>
          <c:idx val="0"/>
          <c:order val="3"/>
          <c:tx>
            <c:strRef>
              <c:f>'Mapa de Riesgo y Madurez'!$E$1011</c:f>
              <c:strCache>
                <c:ptCount val="1"/>
                <c:pt idx="0">
                  <c:v>Rojo</c:v>
                </c:pt>
              </c:strCache>
            </c:strRef>
          </c:tx>
          <c:dPt>
            <c:idx val="0"/>
            <c:bubble3D val="0"/>
            <c:spPr>
              <a:solidFill>
                <a:srgbClr val="FF0000"/>
              </a:solidFill>
              <a:ln>
                <a:noFill/>
              </a:ln>
            </c:spPr>
            <c:extLst>
              <c:ext xmlns:c16="http://schemas.microsoft.com/office/drawing/2014/chart" uri="{C3380CC4-5D6E-409C-BE32-E72D297353CC}">
                <c16:uniqueId val="{0000000A-84A0-4C22-ADFE-6883F035E4F1}"/>
              </c:ext>
            </c:extLst>
          </c:dPt>
          <c:val>
            <c:numRef>
              <c:f>'Mapa de Riesgo y Madurez'!$I$1011</c:f>
              <c:numCache>
                <c:formatCode>General</c:formatCode>
                <c:ptCount val="1"/>
                <c:pt idx="0">
                  <c:v>0</c:v>
                </c:pt>
              </c:numCache>
            </c:numRef>
          </c:val>
          <c:extLst>
            <c:ext xmlns:c16="http://schemas.microsoft.com/office/drawing/2014/chart" uri="{C3380CC4-5D6E-409C-BE32-E72D297353CC}">
              <c16:uniqueId val="{0000000B-84A0-4C22-ADFE-6883F035E4F1}"/>
            </c:ext>
          </c:extLst>
        </c:ser>
        <c:dLbls>
          <c:showLegendKey val="0"/>
          <c:showVal val="0"/>
          <c:showCatName val="0"/>
          <c:showSerName val="0"/>
          <c:showPercent val="0"/>
          <c:showBubbleSize val="0"/>
          <c:showLeaderLines val="1"/>
        </c:dLbls>
        <c:firstSliceAng val="0"/>
      </c:pieChart>
    </c:plotArea>
    <c:plotVisOnly val="1"/>
    <c:dispBlanksAs val="gap"/>
    <c:showDLblsOverMax val="0"/>
    <c:extLst/>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US"/>
              <a:t>NIVEL DE MADUREZ</a:t>
            </a:r>
            <a:r>
              <a:rPr lang="en-US" baseline="0"/>
              <a:t> </a:t>
            </a:r>
            <a:r>
              <a:rPr lang="en-US"/>
              <a:t>APLICACIÓN DE PRACTICAS DE GESTIÓN DE CONFIABILIDAD EN SISTEMAS DE ACTIVOS</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s-CO"/>
        </a:p>
      </c:txPr>
    </c:title>
    <c:autoTitleDeleted val="0"/>
    <c:plotArea>
      <c:layout/>
      <c:barChart>
        <c:barDir val="col"/>
        <c:grouping val="clustered"/>
        <c:varyColors val="0"/>
        <c:ser>
          <c:idx val="0"/>
          <c:order val="0"/>
          <c:tx>
            <c:strRef>
              <c:f>Datos!$D$2</c:f>
              <c:strCache>
                <c:ptCount val="1"/>
                <c:pt idx="0">
                  <c:v>APLICACIÓN DE PRACTICAS DE GESTIÓN DE CONFIABILIDAD EN SISTEMAS DE ACTIVOS</c:v>
                </c:pt>
              </c:strCache>
            </c:strRef>
          </c:tx>
          <c:spPr>
            <a:solidFill>
              <a:schemeClr val="accent1"/>
            </a:solidFill>
            <a:ln>
              <a:noFill/>
            </a:ln>
            <a:effectLst/>
          </c:spPr>
          <c:invertIfNegative val="0"/>
          <c:dPt>
            <c:idx val="0"/>
            <c:invertIfNegative val="0"/>
            <c:bubble3D val="0"/>
            <c:spPr>
              <a:solidFill>
                <a:schemeClr val="tx1"/>
              </a:solidFill>
              <a:ln>
                <a:noFill/>
              </a:ln>
              <a:effectLst/>
            </c:spPr>
            <c:extLst>
              <c:ext xmlns:c16="http://schemas.microsoft.com/office/drawing/2014/chart" uri="{C3380CC4-5D6E-409C-BE32-E72D297353CC}">
                <c16:uniqueId val="{00000000-FCEE-40E6-A4B7-3DFBF63F7635}"/>
              </c:ext>
            </c:extLst>
          </c:dPt>
          <c:dLbls>
            <c:delete val="1"/>
          </c:dLbls>
          <c:val>
            <c:numRef>
              <c:f>Datos!$D$49</c:f>
              <c:numCache>
                <c:formatCode>0.00%</c:formatCode>
                <c:ptCount val="1"/>
                <c:pt idx="0">
                  <c:v>0</c:v>
                </c:pt>
              </c:numCache>
            </c:numRef>
          </c:val>
          <c:extLst>
            <c:ext xmlns:c16="http://schemas.microsoft.com/office/drawing/2014/chart" uri="{C3380CC4-5D6E-409C-BE32-E72D297353CC}">
              <c16:uniqueId val="{00000000-83A4-4442-880E-2588085F94BC}"/>
            </c:ext>
          </c:extLst>
        </c:ser>
        <c:dLbls>
          <c:dLblPos val="outEnd"/>
          <c:showLegendKey val="0"/>
          <c:showVal val="1"/>
          <c:showCatName val="0"/>
          <c:showSerName val="0"/>
          <c:showPercent val="0"/>
          <c:showBubbleSize val="0"/>
        </c:dLbls>
        <c:gapWidth val="219"/>
        <c:overlap val="-27"/>
        <c:axId val="1525578703"/>
        <c:axId val="1525579183"/>
      </c:barChart>
      <c:catAx>
        <c:axId val="1525578703"/>
        <c:scaling>
          <c:orientation val="minMax"/>
        </c:scaling>
        <c:delete val="1"/>
        <c:axPos val="b"/>
        <c:numFmt formatCode="General" sourceLinked="1"/>
        <c:majorTickMark val="out"/>
        <c:minorTickMark val="none"/>
        <c:tickLblPos val="nextTo"/>
        <c:crossAx val="1525579183"/>
        <c:crosses val="autoZero"/>
        <c:auto val="1"/>
        <c:lblAlgn val="ctr"/>
        <c:lblOffset val="100"/>
        <c:noMultiLvlLbl val="0"/>
      </c:catAx>
      <c:valAx>
        <c:axId val="1525579183"/>
        <c:scaling>
          <c:orientation val="minMax"/>
          <c:max val="1"/>
        </c:scaling>
        <c:delete val="0"/>
        <c:axPos val="l"/>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25578703"/>
        <c:crosses val="autoZero"/>
        <c:crossBetween val="between"/>
      </c:valAx>
      <c:spPr>
        <a:blipFill>
          <a:blip xmlns:r="http://schemas.openxmlformats.org/officeDocument/2006/relationships" r:embed="rId3"/>
          <a:stretch>
            <a:fillRect/>
          </a:stretch>
        </a:blip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colorful3">
  <dgm:title val=""/>
  <dgm:desc val=""/>
  <dgm:catLst>
    <dgm:cat type="colorful" pri="10300"/>
  </dgm:catLst>
  <dgm:styleLbl name="node0">
    <dgm:fillClrLst meth="repeat">
      <a:schemeClr val="accent2"/>
    </dgm:fillClrLst>
    <dgm:linClrLst meth="repeat">
      <a:schemeClr val="lt1"/>
    </dgm:linClrLst>
    <dgm:effectClrLst/>
    <dgm:txLinClrLst/>
    <dgm:txFillClrLst/>
    <dgm:txEffectClrLst/>
  </dgm:styleLbl>
  <dgm:styleLbl name="node1">
    <dgm:fillClrLst>
      <a:schemeClr val="accent3"/>
      <a:schemeClr val="accent4"/>
    </dgm:fillClrLst>
    <dgm:linClrLst meth="repeat">
      <a:schemeClr val="lt1"/>
    </dgm:linClrLst>
    <dgm:effectClrLst/>
    <dgm:txLinClrLst/>
    <dgm:txFillClrLst/>
    <dgm:txEffectClrLst/>
  </dgm:styleLbl>
  <dgm:styleLbl name="alignNode1">
    <dgm:fillClrLst>
      <a:schemeClr val="accent3"/>
      <a:schemeClr val="accent4"/>
    </dgm:fillClrLst>
    <dgm:linClrLst>
      <a:schemeClr val="accent3"/>
      <a:schemeClr val="accent4"/>
    </dgm:linClrLst>
    <dgm:effectClrLst/>
    <dgm:txLinClrLst/>
    <dgm:txFillClrLst/>
    <dgm:txEffectClrLst/>
  </dgm:styleLbl>
  <dgm:styleLbl name="lnNode1">
    <dgm:fillClrLst>
      <a:schemeClr val="accent3"/>
      <a:schemeClr val="accent4"/>
    </dgm:fillClrLst>
    <dgm:linClrLst meth="repeat">
      <a:schemeClr val="lt1"/>
    </dgm:linClrLst>
    <dgm:effectClrLst/>
    <dgm:txLinClrLst/>
    <dgm:txFillClrLst/>
    <dgm:txEffectClrLst/>
  </dgm:styleLbl>
  <dgm:styleLbl name="vennNode1">
    <dgm:fillClrLst>
      <a:schemeClr val="accent3">
        <a:alpha val="50000"/>
      </a:schemeClr>
      <a:schemeClr val="accent4">
        <a:alpha val="50000"/>
      </a:schemeClr>
    </dgm:fillClrLst>
    <dgm:linClrLst meth="repeat">
      <a:schemeClr val="lt1"/>
    </dgm:linClrLst>
    <dgm:effectClrLst/>
    <dgm:txLinClrLst/>
    <dgm:txFillClrLst/>
    <dgm:txEffectClrLst/>
  </dgm:styleLbl>
  <dgm:styleLbl name="node2">
    <dgm:fillClrLst>
      <a:schemeClr val="accent4"/>
    </dgm:fillClrLst>
    <dgm:linClrLst meth="repeat">
      <a:schemeClr val="lt1"/>
    </dgm:linClrLst>
    <dgm:effectClrLst/>
    <dgm:txLinClrLst/>
    <dgm:txFillClrLst/>
    <dgm:txEffectClrLst/>
  </dgm:styleLbl>
  <dgm:styleLbl name="node3">
    <dgm:fillClrLst>
      <a:schemeClr val="accent5"/>
    </dgm:fillClrLst>
    <dgm:linClrLst meth="repeat">
      <a:schemeClr val="lt1"/>
    </dgm:linClrLst>
    <dgm:effectClrLst/>
    <dgm:txLinClrLst/>
    <dgm:txFillClrLst/>
    <dgm:txEffectClrLst/>
  </dgm:styleLbl>
  <dgm:styleLbl name="node4">
    <dgm:fillClrLst>
      <a:schemeClr val="accent6"/>
    </dgm:fillClrLst>
    <dgm:linClrLst meth="repeat">
      <a:schemeClr val="lt1"/>
    </dgm:linClrLst>
    <dgm:effectClrLst/>
    <dgm:txLinClrLst/>
    <dgm:txFillClrLst/>
    <dgm:txEffectClrLst/>
  </dgm:styleLbl>
  <dgm:styleLbl name="fgImgPlace1">
    <dgm:fillClrLst>
      <a:schemeClr val="accent3">
        <a:tint val="50000"/>
      </a:schemeClr>
      <a:schemeClr val="accent4">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3">
        <a:tint val="50000"/>
      </a:schemeClr>
      <a:schemeClr val="accent4">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3"/>
      <a:schemeClr val="accent4"/>
    </dgm:fillClrLst>
    <dgm:linClrLst meth="repeat">
      <a:schemeClr val="lt1"/>
    </dgm:linClrLst>
    <dgm:effectClrLst/>
    <dgm:txLinClrLst/>
    <dgm:txFillClrLst/>
    <dgm:txEffectClrLst/>
  </dgm:styleLbl>
  <dgm:styleLbl name="fgSibTrans2D1">
    <dgm:fillClrLst>
      <a:schemeClr val="accent3"/>
      <a:schemeClr val="accent4"/>
    </dgm:fillClrLst>
    <dgm:linClrLst meth="repeat">
      <a:schemeClr val="lt1"/>
    </dgm:linClrLst>
    <dgm:effectClrLst/>
    <dgm:txLinClrLst/>
    <dgm:txFillClrLst meth="repeat">
      <a:schemeClr val="lt1"/>
    </dgm:txFillClrLst>
    <dgm:txEffectClrLst/>
  </dgm:styleLbl>
  <dgm:styleLbl name="bgSibTrans2D1">
    <dgm:fillClrLst>
      <a:schemeClr val="accent3"/>
      <a:schemeClr val="accent4"/>
    </dgm:fillClrLst>
    <dgm:linClrLst meth="repeat">
      <a:schemeClr val="lt1"/>
    </dgm:linClrLst>
    <dgm:effectClrLst/>
    <dgm:txLinClrLst/>
    <dgm:txFillClrLst meth="repeat">
      <a:schemeClr val="lt1"/>
    </dgm:txFillClrLst>
    <dgm:txEffectClrLst/>
  </dgm:styleLbl>
  <dgm:styleLbl name="sibTrans1D1">
    <dgm:fillClrLst/>
    <dgm:linClrLst>
      <a:schemeClr val="accent3"/>
      <a:schemeClr val="accent4"/>
    </dgm:linClrLst>
    <dgm:effectClrLst/>
    <dgm:txLinClrLst/>
    <dgm:txFillClrLst meth="repeat">
      <a:schemeClr val="tx1"/>
    </dgm:txFillClrLst>
    <dgm:txEffectClrLst/>
  </dgm:styleLbl>
  <dgm:styleLbl name="callout">
    <dgm:fillClrLst meth="repeat">
      <a:schemeClr val="accent3"/>
    </dgm:fillClrLst>
    <dgm:linClrLst meth="repeat">
      <a:schemeClr val="accent3">
        <a:tint val="50000"/>
      </a:schemeClr>
    </dgm:linClrLst>
    <dgm:effectClrLst/>
    <dgm:txLinClrLst/>
    <dgm:txFillClrLst meth="repeat">
      <a:schemeClr val="tx1"/>
    </dgm:txFillClrLst>
    <dgm:txEffectClrLst/>
  </dgm:styleLbl>
  <dgm:styleLbl name="asst0">
    <dgm:fillClrLst meth="repeat">
      <a:schemeClr val="accent3"/>
    </dgm:fillClrLst>
    <dgm:linClrLst meth="repeat">
      <a:schemeClr val="lt1">
        <a:shade val="80000"/>
      </a:schemeClr>
    </dgm:linClrLst>
    <dgm:effectClrLst/>
    <dgm:txLinClrLst/>
    <dgm:txFillClrLst/>
    <dgm:txEffectClrLst/>
  </dgm:styleLbl>
  <dgm:styleLbl name="asst1">
    <dgm:fillClrLst meth="repeat">
      <a:schemeClr val="accent4"/>
    </dgm:fillClrLst>
    <dgm:linClrLst meth="repeat">
      <a:schemeClr val="lt1">
        <a:shade val="80000"/>
      </a:schemeClr>
    </dgm:linClrLst>
    <dgm:effectClrLst/>
    <dgm:txLinClrLst/>
    <dgm:txFillClrLst/>
    <dgm:txEffectClrLst/>
  </dgm:styleLbl>
  <dgm:styleLbl name="asst2">
    <dgm:fillClrLst>
      <a:schemeClr val="accent5"/>
    </dgm:fillClrLst>
    <dgm:linClrLst meth="repeat">
      <a:schemeClr val="lt1"/>
    </dgm:linClrLst>
    <dgm:effectClrLst/>
    <dgm:txLinClrLst/>
    <dgm:txFillClrLst/>
    <dgm:txEffectClrLst/>
  </dgm:styleLbl>
  <dgm:styleLbl name="asst3">
    <dgm:fillClrLst>
      <a:schemeClr val="accent6"/>
    </dgm:fillClrLst>
    <dgm:linClrLst meth="repeat">
      <a:schemeClr val="lt1"/>
    </dgm:linClrLst>
    <dgm:effectClrLst/>
    <dgm:txLinClrLst/>
    <dgm:txFillClrLst/>
    <dgm:txEffectClrLst/>
  </dgm:styleLbl>
  <dgm:styleLbl name="asst4">
    <dgm:fillClrLst>
      <a:schemeClr val="accent1"/>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3"/>
    </dgm:fillClrLst>
    <dgm:linClrLst meth="repeat">
      <a:schemeClr val="accent3"/>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4"/>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5"/>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6"/>
    </dgm:linClrLst>
    <dgm:effectClrLst/>
    <dgm:txLinClrLst/>
    <dgm:txFillClrLst meth="repeat">
      <a:schemeClr val="tx1"/>
    </dgm:txFillClrLst>
    <dgm:txEffectClrLst/>
  </dgm:styleLbl>
  <dgm:styleLbl name="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conF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align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2"/>
    </dgm:linClrLst>
    <dgm:effectClrLst/>
    <dgm:txLinClrLst/>
    <dgm:txFillClrLst meth="repeat">
      <a:schemeClr val="dk1"/>
    </dgm:txFillClrLst>
    <dgm:txEffectClrLst/>
  </dgm:styleLbl>
  <dgm:styleLbl name="bgAcc1">
    <dgm:fillClrLst meth="repeat">
      <a:schemeClr val="lt1">
        <a:alpha val="90000"/>
      </a:schemeClr>
    </dgm:fillClrLst>
    <dgm:linClrLst>
      <a:schemeClr val="accent3"/>
      <a:schemeClr val="accent4"/>
    </dgm:linClrLst>
    <dgm:effectClrLst/>
    <dgm:txLinClrLst/>
    <dgm:txFillClrLst meth="repeat">
      <a:schemeClr val="dk1"/>
    </dgm:txFillClrLst>
    <dgm:txEffectClrLst/>
  </dgm:styleLbl>
  <dgm:styleLbl name="solidFgAcc1">
    <dgm:fillClrLst meth="repeat">
      <a:schemeClr val="lt1"/>
    </dgm:fillClrLst>
    <dgm:linClrLst>
      <a:schemeClr val="accent3"/>
      <a:schemeClr val="accent4"/>
    </dgm:linClrLst>
    <dgm:effectClrLst/>
    <dgm:txLinClrLst/>
    <dgm:txFillClrLst meth="repeat">
      <a:schemeClr val="dk1"/>
    </dgm:txFillClrLst>
    <dgm:txEffectClrLst/>
  </dgm:styleLbl>
  <dgm:styleLbl name="solidAlignAcc1">
    <dgm:fillClrLst meth="repeat">
      <a:schemeClr val="lt1"/>
    </dgm:fillClrLst>
    <dgm:linClrLst>
      <a:schemeClr val="accent3"/>
      <a:schemeClr val="accent4"/>
    </dgm:linClrLst>
    <dgm:effectClrLst/>
    <dgm:txLinClrLst/>
    <dgm:txFillClrLst meth="repeat">
      <a:schemeClr val="dk1"/>
    </dgm:txFillClrLst>
    <dgm:txEffectClrLst/>
  </dgm:styleLbl>
  <dgm:styleLbl name="solidBgAcc1">
    <dgm:fillClrLst meth="repeat">
      <a:schemeClr val="lt1"/>
    </dgm:fillClrLst>
    <dgm:linClrLst>
      <a:schemeClr val="accent3"/>
      <a:schemeClr val="accent4"/>
    </dgm:linClrLst>
    <dgm:effectClrLst/>
    <dgm:txLinClrLst/>
    <dgm:txFillClrLst meth="repeat">
      <a:schemeClr val="dk1"/>
    </dgm:txFillClrLst>
    <dgm:txEffectClrLst/>
  </dgm:styleLbl>
  <dgm:styleLbl name="f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align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bgAccFollowNode1">
    <dgm:fillClrLst>
      <a:schemeClr val="accent3">
        <a:tint val="40000"/>
        <a:alpha val="90000"/>
      </a:schemeClr>
      <a:schemeClr val="accent4">
        <a:tint val="40000"/>
        <a:alpha val="90000"/>
      </a:schemeClr>
    </dgm:fillClrLst>
    <dgm:linClrLst>
      <a:schemeClr val="accent3">
        <a:tint val="40000"/>
        <a:alpha val="90000"/>
      </a:schemeClr>
      <a:schemeClr val="accent4">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2"/>
    </dgm:linClrLst>
    <dgm:effectClrLst/>
    <dgm:txLinClrLst/>
    <dgm:txFillClrLst meth="repeat">
      <a:schemeClr val="dk1"/>
    </dgm:txFillClrLst>
    <dgm:txEffectClrLst/>
  </dgm:styleLbl>
  <dgm:styleLbl name="fgAcc2">
    <dgm:fillClrLst meth="repeat">
      <a:schemeClr val="lt1">
        <a:alpha val="90000"/>
      </a:schemeClr>
    </dgm:fillClrLst>
    <dgm:linClrLst>
      <a:schemeClr val="accent4"/>
    </dgm:linClrLst>
    <dgm:effectClrLst/>
    <dgm:txLinClrLst/>
    <dgm:txFillClrLst meth="repeat">
      <a:schemeClr val="dk1"/>
    </dgm:txFillClrLst>
    <dgm:txEffectClrLst/>
  </dgm:styleLbl>
  <dgm:styleLbl name="fgAcc3">
    <dgm:fillClrLst meth="repeat">
      <a:schemeClr val="lt1">
        <a:alpha val="90000"/>
      </a:schemeClr>
    </dgm:fillClrLst>
    <dgm:linClrLst>
      <a:schemeClr val="accent5"/>
    </dgm:linClrLst>
    <dgm:effectClrLst/>
    <dgm:txLinClrLst/>
    <dgm:txFillClrLst meth="repeat">
      <a:schemeClr val="dk1"/>
    </dgm:txFillClrLst>
    <dgm:txEffectClrLst/>
  </dgm:styleLbl>
  <dgm:styleLbl name="fgAcc4">
    <dgm:fillClrLst meth="repeat">
      <a:schemeClr val="lt1">
        <a:alpha val="90000"/>
      </a:schemeClr>
    </dgm:fillClrLst>
    <dgm:linClrLst>
      <a:schemeClr val="accent6"/>
    </dgm:linClrLst>
    <dgm:effectClrLst/>
    <dgm:txLinClrLst/>
    <dgm:txFillClrLst meth="repeat">
      <a:schemeClr val="dk1"/>
    </dgm:txFillClrLst>
    <dgm:txEffectClrLst/>
  </dgm:styleLbl>
  <dgm:styleLbl name="bgShp">
    <dgm:fillClrLst meth="repeat">
      <a:schemeClr val="accent3">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3">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3"/>
    </dgm:linClrLst>
    <dgm:effectClrLst/>
    <dgm:txLinClrLst/>
    <dgm:txFillClrLst meth="repeat">
      <a:schemeClr val="lt1"/>
    </dgm:txFillClrLst>
    <dgm:txEffectClrLst/>
  </dgm:styleLbl>
  <dgm:styleLbl name="fgShp">
    <dgm:fillClrLst meth="repeat">
      <a:schemeClr val="accent3">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EA93B7C-EDA4-4B3C-871D-0A43DC408813}" type="doc">
      <dgm:prSet loTypeId="urn:microsoft.com/office/officeart/2005/8/layout/pyramid1" loCatId="pyramid" qsTypeId="urn:microsoft.com/office/officeart/2005/8/quickstyle/simple2" qsCatId="simple" csTypeId="urn:microsoft.com/office/officeart/2005/8/colors/colorful3" csCatId="colorful" phldr="1"/>
      <dgm:spPr/>
    </dgm:pt>
    <dgm:pt modelId="{90153BF7-6CE0-45EA-9F27-2A155E832FE2}">
      <dgm:prSet phldrT="[Texto]" custT="1"/>
      <dgm:spPr/>
      <dgm:t>
        <a:bodyPr/>
        <a:lstStyle/>
        <a:p>
          <a:endParaRPr lang="es-CO" sz="700"/>
        </a:p>
        <a:p>
          <a:endParaRPr lang="es-CO" sz="700"/>
        </a:p>
        <a:p>
          <a:r>
            <a:rPr lang="es-CO" sz="700" b="1"/>
            <a:t>Excelencia</a:t>
          </a:r>
        </a:p>
        <a:p>
          <a:r>
            <a:rPr lang="es-CO" sz="700" b="0"/>
            <a:t>[91-100]</a:t>
          </a:r>
        </a:p>
      </dgm:t>
    </dgm:pt>
    <dgm:pt modelId="{07ACFAAC-17E8-48E4-B8F5-83CA9FAAEDA3}" type="parTrans" cxnId="{21696DC3-FC1D-41C5-BD0D-0E3FA44C1FE9}">
      <dgm:prSet/>
      <dgm:spPr/>
      <dgm:t>
        <a:bodyPr/>
        <a:lstStyle/>
        <a:p>
          <a:endParaRPr lang="es-CO" sz="700"/>
        </a:p>
      </dgm:t>
    </dgm:pt>
    <dgm:pt modelId="{C2A0460D-3D2C-40A2-BFA3-77CD54C5CA9D}" type="sibTrans" cxnId="{21696DC3-FC1D-41C5-BD0D-0E3FA44C1FE9}">
      <dgm:prSet/>
      <dgm:spPr/>
      <dgm:t>
        <a:bodyPr/>
        <a:lstStyle/>
        <a:p>
          <a:endParaRPr lang="es-CO" sz="700"/>
        </a:p>
      </dgm:t>
    </dgm:pt>
    <dgm:pt modelId="{7FE3E0CF-AE8F-4E61-BED7-A375A29F1E58}">
      <dgm:prSet custT="1"/>
      <dgm:spPr/>
      <dgm:t>
        <a:bodyPr/>
        <a:lstStyle/>
        <a:p>
          <a:r>
            <a:rPr lang="es-CO" sz="700" b="1"/>
            <a:t>Competencia</a:t>
          </a:r>
        </a:p>
        <a:p>
          <a:r>
            <a:rPr lang="es-CO" sz="700"/>
            <a:t>[61-90]</a:t>
          </a:r>
          <a:endParaRPr lang="es-CO" sz="700" b="1"/>
        </a:p>
      </dgm:t>
    </dgm:pt>
    <dgm:pt modelId="{25FF2007-2C07-455C-9CC3-0A0E9B8FA735}" type="parTrans" cxnId="{15200773-65A8-4A60-AC8C-DEAA77A35F75}">
      <dgm:prSet/>
      <dgm:spPr/>
      <dgm:t>
        <a:bodyPr/>
        <a:lstStyle/>
        <a:p>
          <a:endParaRPr lang="es-CO" sz="700"/>
        </a:p>
      </dgm:t>
    </dgm:pt>
    <dgm:pt modelId="{F468AE6F-9196-48CE-9856-32F6DA7D6985}" type="sibTrans" cxnId="{15200773-65A8-4A60-AC8C-DEAA77A35F75}">
      <dgm:prSet/>
      <dgm:spPr/>
      <dgm:t>
        <a:bodyPr/>
        <a:lstStyle/>
        <a:p>
          <a:endParaRPr lang="es-CO" sz="700"/>
        </a:p>
      </dgm:t>
    </dgm:pt>
    <dgm:pt modelId="{6104CEC2-243C-42E0-B0E9-083B64338660}">
      <dgm:prSet custT="1"/>
      <dgm:spPr/>
      <dgm:t>
        <a:bodyPr/>
        <a:lstStyle/>
        <a:p>
          <a:r>
            <a:rPr lang="es-CO" sz="700" b="1"/>
            <a:t>Entendimiento</a:t>
          </a:r>
        </a:p>
        <a:p>
          <a:r>
            <a:rPr lang="es-CO" sz="700"/>
            <a:t>[41-60]</a:t>
          </a:r>
          <a:endParaRPr lang="es-CO" sz="700" b="1"/>
        </a:p>
      </dgm:t>
    </dgm:pt>
    <dgm:pt modelId="{6ACCC972-18A2-489A-8815-0055007F5359}" type="parTrans" cxnId="{3FFFB3A8-1D2C-499A-9000-4BA1225387C2}">
      <dgm:prSet/>
      <dgm:spPr/>
      <dgm:t>
        <a:bodyPr/>
        <a:lstStyle/>
        <a:p>
          <a:endParaRPr lang="es-CO" sz="700"/>
        </a:p>
      </dgm:t>
    </dgm:pt>
    <dgm:pt modelId="{BE38944C-0474-4208-8943-AF187FC68E9C}" type="sibTrans" cxnId="{3FFFB3A8-1D2C-499A-9000-4BA1225387C2}">
      <dgm:prSet/>
      <dgm:spPr/>
      <dgm:t>
        <a:bodyPr/>
        <a:lstStyle/>
        <a:p>
          <a:endParaRPr lang="es-CO" sz="700"/>
        </a:p>
      </dgm:t>
    </dgm:pt>
    <dgm:pt modelId="{C09D3E9E-6E7E-4DF6-AC28-508EC19B700A}">
      <dgm:prSet custT="1"/>
      <dgm:spPr/>
      <dgm:t>
        <a:bodyPr/>
        <a:lstStyle/>
        <a:p>
          <a:r>
            <a:rPr lang="es-CO" sz="700" b="1"/>
            <a:t>Conciencia </a:t>
          </a:r>
          <a:r>
            <a:rPr lang="es-CO" sz="700"/>
            <a:t>[21-40] </a:t>
          </a:r>
          <a:endParaRPr lang="es-CO" sz="700" b="1"/>
        </a:p>
      </dgm:t>
    </dgm:pt>
    <dgm:pt modelId="{0C9E05E4-D035-4A11-96E6-BAA1C1E83476}" type="parTrans" cxnId="{710625B3-6E32-4590-9374-6D2CC549C707}">
      <dgm:prSet/>
      <dgm:spPr/>
      <dgm:t>
        <a:bodyPr/>
        <a:lstStyle/>
        <a:p>
          <a:endParaRPr lang="es-CO" sz="700"/>
        </a:p>
      </dgm:t>
    </dgm:pt>
    <dgm:pt modelId="{7DB5DEBF-64C2-4568-92DE-D3DC4BBB217C}" type="sibTrans" cxnId="{710625B3-6E32-4590-9374-6D2CC549C707}">
      <dgm:prSet/>
      <dgm:spPr/>
      <dgm:t>
        <a:bodyPr/>
        <a:lstStyle/>
        <a:p>
          <a:endParaRPr lang="es-CO" sz="700"/>
        </a:p>
      </dgm:t>
    </dgm:pt>
    <dgm:pt modelId="{5092EFD5-B80F-4AAD-B194-9FF2B05DB761}">
      <dgm:prSet custT="1"/>
      <dgm:spPr/>
      <dgm:t>
        <a:bodyPr/>
        <a:lstStyle/>
        <a:p>
          <a:r>
            <a:rPr lang="es-CO" sz="700" b="1"/>
            <a:t>Inocencia </a:t>
          </a:r>
          <a:r>
            <a:rPr lang="es-CO" sz="700"/>
            <a:t>[0-20]</a:t>
          </a:r>
          <a:endParaRPr lang="es-CO" sz="700" b="1"/>
        </a:p>
      </dgm:t>
    </dgm:pt>
    <dgm:pt modelId="{76DC34A2-C64B-4B4D-A5A2-8B05A6927E1D}" type="parTrans" cxnId="{FCA97FA5-9D70-41BB-A3E8-3ACB23C16EC8}">
      <dgm:prSet/>
      <dgm:spPr/>
      <dgm:t>
        <a:bodyPr/>
        <a:lstStyle/>
        <a:p>
          <a:endParaRPr lang="es-CO" sz="700"/>
        </a:p>
      </dgm:t>
    </dgm:pt>
    <dgm:pt modelId="{00948250-87F4-4223-A482-39539154E8D8}" type="sibTrans" cxnId="{FCA97FA5-9D70-41BB-A3E8-3ACB23C16EC8}">
      <dgm:prSet/>
      <dgm:spPr/>
      <dgm:t>
        <a:bodyPr/>
        <a:lstStyle/>
        <a:p>
          <a:endParaRPr lang="es-CO" sz="700"/>
        </a:p>
      </dgm:t>
    </dgm:pt>
    <dgm:pt modelId="{B3F9D265-0985-4D70-869B-B481FCFE3F48}" type="pres">
      <dgm:prSet presAssocID="{3EA93B7C-EDA4-4B3C-871D-0A43DC408813}" presName="Name0" presStyleCnt="0">
        <dgm:presLayoutVars>
          <dgm:dir/>
          <dgm:animLvl val="lvl"/>
          <dgm:resizeHandles val="exact"/>
        </dgm:presLayoutVars>
      </dgm:prSet>
      <dgm:spPr/>
    </dgm:pt>
    <dgm:pt modelId="{6B63F690-8A78-47D2-8998-85D2455F282F}" type="pres">
      <dgm:prSet presAssocID="{90153BF7-6CE0-45EA-9F27-2A155E832FE2}" presName="Name8" presStyleCnt="0"/>
      <dgm:spPr/>
    </dgm:pt>
    <dgm:pt modelId="{02C20953-4811-44D1-9746-37B6B8501E6C}" type="pres">
      <dgm:prSet presAssocID="{90153BF7-6CE0-45EA-9F27-2A155E832FE2}" presName="level" presStyleLbl="node1" presStyleIdx="0" presStyleCnt="5" custScaleY="50590" custLinFactNeighborY="-3621">
        <dgm:presLayoutVars>
          <dgm:chMax val="1"/>
          <dgm:bulletEnabled val="1"/>
        </dgm:presLayoutVars>
      </dgm:prSet>
      <dgm:spPr/>
    </dgm:pt>
    <dgm:pt modelId="{EC3B9EC5-0F1E-45DF-9EF0-3D9D4E19C828}" type="pres">
      <dgm:prSet presAssocID="{90153BF7-6CE0-45EA-9F27-2A155E832FE2}" presName="levelTx" presStyleLbl="revTx" presStyleIdx="0" presStyleCnt="0">
        <dgm:presLayoutVars>
          <dgm:chMax val="1"/>
          <dgm:bulletEnabled val="1"/>
        </dgm:presLayoutVars>
      </dgm:prSet>
      <dgm:spPr/>
    </dgm:pt>
    <dgm:pt modelId="{63CCC7AD-F18F-475B-A1D7-A864EEEE523C}" type="pres">
      <dgm:prSet presAssocID="{7FE3E0CF-AE8F-4E61-BED7-A375A29F1E58}" presName="Name8" presStyleCnt="0"/>
      <dgm:spPr/>
    </dgm:pt>
    <dgm:pt modelId="{E20A94BA-7530-4810-B946-0EDA6E1B9689}" type="pres">
      <dgm:prSet presAssocID="{7FE3E0CF-AE8F-4E61-BED7-A375A29F1E58}" presName="level" presStyleLbl="node1" presStyleIdx="1" presStyleCnt="5" custScaleY="48908">
        <dgm:presLayoutVars>
          <dgm:chMax val="1"/>
          <dgm:bulletEnabled val="1"/>
        </dgm:presLayoutVars>
      </dgm:prSet>
      <dgm:spPr/>
    </dgm:pt>
    <dgm:pt modelId="{F338B068-1111-4787-8C12-90BF6D9DCEDD}" type="pres">
      <dgm:prSet presAssocID="{7FE3E0CF-AE8F-4E61-BED7-A375A29F1E58}" presName="levelTx" presStyleLbl="revTx" presStyleIdx="0" presStyleCnt="0">
        <dgm:presLayoutVars>
          <dgm:chMax val="1"/>
          <dgm:bulletEnabled val="1"/>
        </dgm:presLayoutVars>
      </dgm:prSet>
      <dgm:spPr/>
    </dgm:pt>
    <dgm:pt modelId="{9F65F178-DA82-40E4-BEB0-196B538179B8}" type="pres">
      <dgm:prSet presAssocID="{6104CEC2-243C-42E0-B0E9-083B64338660}" presName="Name8" presStyleCnt="0"/>
      <dgm:spPr/>
    </dgm:pt>
    <dgm:pt modelId="{CA75D09E-60BB-4C11-BA49-55D214790EC8}" type="pres">
      <dgm:prSet presAssocID="{6104CEC2-243C-42E0-B0E9-083B64338660}" presName="level" presStyleLbl="node1" presStyleIdx="2" presStyleCnt="5" custScaleY="31842">
        <dgm:presLayoutVars>
          <dgm:chMax val="1"/>
          <dgm:bulletEnabled val="1"/>
        </dgm:presLayoutVars>
      </dgm:prSet>
      <dgm:spPr/>
    </dgm:pt>
    <dgm:pt modelId="{82719F9A-7C15-41FF-ADCC-DEA8404265F2}" type="pres">
      <dgm:prSet presAssocID="{6104CEC2-243C-42E0-B0E9-083B64338660}" presName="levelTx" presStyleLbl="revTx" presStyleIdx="0" presStyleCnt="0">
        <dgm:presLayoutVars>
          <dgm:chMax val="1"/>
          <dgm:bulletEnabled val="1"/>
        </dgm:presLayoutVars>
      </dgm:prSet>
      <dgm:spPr/>
    </dgm:pt>
    <dgm:pt modelId="{685B0ABC-06B3-4A64-AE09-05B52A18D293}" type="pres">
      <dgm:prSet presAssocID="{C09D3E9E-6E7E-4DF6-AC28-508EC19B700A}" presName="Name8" presStyleCnt="0"/>
      <dgm:spPr/>
    </dgm:pt>
    <dgm:pt modelId="{D3E3707D-A3DE-462B-B9DF-18EB70AF4B3A}" type="pres">
      <dgm:prSet presAssocID="{C09D3E9E-6E7E-4DF6-AC28-508EC19B700A}" presName="level" presStyleLbl="node1" presStyleIdx="3" presStyleCnt="5" custScaleY="16105">
        <dgm:presLayoutVars>
          <dgm:chMax val="1"/>
          <dgm:bulletEnabled val="1"/>
        </dgm:presLayoutVars>
      </dgm:prSet>
      <dgm:spPr/>
    </dgm:pt>
    <dgm:pt modelId="{6C9C6192-B1B0-4C97-81D6-7B6A777CF6BA}" type="pres">
      <dgm:prSet presAssocID="{C09D3E9E-6E7E-4DF6-AC28-508EC19B700A}" presName="levelTx" presStyleLbl="revTx" presStyleIdx="0" presStyleCnt="0">
        <dgm:presLayoutVars>
          <dgm:chMax val="1"/>
          <dgm:bulletEnabled val="1"/>
        </dgm:presLayoutVars>
      </dgm:prSet>
      <dgm:spPr/>
    </dgm:pt>
    <dgm:pt modelId="{077A6FC4-987F-45E5-8992-06F862E86850}" type="pres">
      <dgm:prSet presAssocID="{5092EFD5-B80F-4AAD-B194-9FF2B05DB761}" presName="Name8" presStyleCnt="0"/>
      <dgm:spPr/>
    </dgm:pt>
    <dgm:pt modelId="{BB603180-056E-423A-AD31-96BEB4A6D7FA}" type="pres">
      <dgm:prSet presAssocID="{5092EFD5-B80F-4AAD-B194-9FF2B05DB761}" presName="level" presStyleLbl="node1" presStyleIdx="4" presStyleCnt="5" custScaleY="15581">
        <dgm:presLayoutVars>
          <dgm:chMax val="1"/>
          <dgm:bulletEnabled val="1"/>
        </dgm:presLayoutVars>
      </dgm:prSet>
      <dgm:spPr/>
    </dgm:pt>
    <dgm:pt modelId="{F6B6F759-6E38-465C-AB27-94EDD09F7916}" type="pres">
      <dgm:prSet presAssocID="{5092EFD5-B80F-4AAD-B194-9FF2B05DB761}" presName="levelTx" presStyleLbl="revTx" presStyleIdx="0" presStyleCnt="0">
        <dgm:presLayoutVars>
          <dgm:chMax val="1"/>
          <dgm:bulletEnabled val="1"/>
        </dgm:presLayoutVars>
      </dgm:prSet>
      <dgm:spPr/>
    </dgm:pt>
  </dgm:ptLst>
  <dgm:cxnLst>
    <dgm:cxn modelId="{2347A634-0D6B-489D-B857-925CAA9B2177}" type="presOf" srcId="{90153BF7-6CE0-45EA-9F27-2A155E832FE2}" destId="{EC3B9EC5-0F1E-45DF-9EF0-3D9D4E19C828}" srcOrd="1" destOrd="0" presId="urn:microsoft.com/office/officeart/2005/8/layout/pyramid1"/>
    <dgm:cxn modelId="{EE837E64-2BF3-4470-B041-C1DCC7EC5467}" type="presOf" srcId="{5092EFD5-B80F-4AAD-B194-9FF2B05DB761}" destId="{F6B6F759-6E38-465C-AB27-94EDD09F7916}" srcOrd="1" destOrd="0" presId="urn:microsoft.com/office/officeart/2005/8/layout/pyramid1"/>
    <dgm:cxn modelId="{A93BEA66-2E57-4A7D-9296-6D0E86D8C8A3}" type="presOf" srcId="{C09D3E9E-6E7E-4DF6-AC28-508EC19B700A}" destId="{6C9C6192-B1B0-4C97-81D6-7B6A777CF6BA}" srcOrd="1" destOrd="0" presId="urn:microsoft.com/office/officeart/2005/8/layout/pyramid1"/>
    <dgm:cxn modelId="{D4DEB16A-515D-4643-AB1A-7938A702BCF9}" type="presOf" srcId="{3EA93B7C-EDA4-4B3C-871D-0A43DC408813}" destId="{B3F9D265-0985-4D70-869B-B481FCFE3F48}" srcOrd="0" destOrd="0" presId="urn:microsoft.com/office/officeart/2005/8/layout/pyramid1"/>
    <dgm:cxn modelId="{15200773-65A8-4A60-AC8C-DEAA77A35F75}" srcId="{3EA93B7C-EDA4-4B3C-871D-0A43DC408813}" destId="{7FE3E0CF-AE8F-4E61-BED7-A375A29F1E58}" srcOrd="1" destOrd="0" parTransId="{25FF2007-2C07-455C-9CC3-0A0E9B8FA735}" sibTransId="{F468AE6F-9196-48CE-9856-32F6DA7D6985}"/>
    <dgm:cxn modelId="{34F04374-3A06-47AB-8670-9D456D9C59DC}" type="presOf" srcId="{6104CEC2-243C-42E0-B0E9-083B64338660}" destId="{82719F9A-7C15-41FF-ADCC-DEA8404265F2}" srcOrd="1" destOrd="0" presId="urn:microsoft.com/office/officeart/2005/8/layout/pyramid1"/>
    <dgm:cxn modelId="{82A3C08F-8883-4DB3-A125-75F4EE07FA49}" type="presOf" srcId="{5092EFD5-B80F-4AAD-B194-9FF2B05DB761}" destId="{BB603180-056E-423A-AD31-96BEB4A6D7FA}" srcOrd="0" destOrd="0" presId="urn:microsoft.com/office/officeart/2005/8/layout/pyramid1"/>
    <dgm:cxn modelId="{FCA97FA5-9D70-41BB-A3E8-3ACB23C16EC8}" srcId="{3EA93B7C-EDA4-4B3C-871D-0A43DC408813}" destId="{5092EFD5-B80F-4AAD-B194-9FF2B05DB761}" srcOrd="4" destOrd="0" parTransId="{76DC34A2-C64B-4B4D-A5A2-8B05A6927E1D}" sibTransId="{00948250-87F4-4223-A482-39539154E8D8}"/>
    <dgm:cxn modelId="{3FFFB3A8-1D2C-499A-9000-4BA1225387C2}" srcId="{3EA93B7C-EDA4-4B3C-871D-0A43DC408813}" destId="{6104CEC2-243C-42E0-B0E9-083B64338660}" srcOrd="2" destOrd="0" parTransId="{6ACCC972-18A2-489A-8815-0055007F5359}" sibTransId="{BE38944C-0474-4208-8943-AF187FC68E9C}"/>
    <dgm:cxn modelId="{0FC8BDAC-1D15-4B46-AF44-761D8607358E}" type="presOf" srcId="{7FE3E0CF-AE8F-4E61-BED7-A375A29F1E58}" destId="{F338B068-1111-4787-8C12-90BF6D9DCEDD}" srcOrd="1" destOrd="0" presId="urn:microsoft.com/office/officeart/2005/8/layout/pyramid1"/>
    <dgm:cxn modelId="{7F113AAD-BF46-4E40-893E-279AB0DCD0D2}" type="presOf" srcId="{7FE3E0CF-AE8F-4E61-BED7-A375A29F1E58}" destId="{E20A94BA-7530-4810-B946-0EDA6E1B9689}" srcOrd="0" destOrd="0" presId="urn:microsoft.com/office/officeart/2005/8/layout/pyramid1"/>
    <dgm:cxn modelId="{710625B3-6E32-4590-9374-6D2CC549C707}" srcId="{3EA93B7C-EDA4-4B3C-871D-0A43DC408813}" destId="{C09D3E9E-6E7E-4DF6-AC28-508EC19B700A}" srcOrd="3" destOrd="0" parTransId="{0C9E05E4-D035-4A11-96E6-BAA1C1E83476}" sibTransId="{7DB5DEBF-64C2-4568-92DE-D3DC4BBB217C}"/>
    <dgm:cxn modelId="{21696DC3-FC1D-41C5-BD0D-0E3FA44C1FE9}" srcId="{3EA93B7C-EDA4-4B3C-871D-0A43DC408813}" destId="{90153BF7-6CE0-45EA-9F27-2A155E832FE2}" srcOrd="0" destOrd="0" parTransId="{07ACFAAC-17E8-48E4-B8F5-83CA9FAAEDA3}" sibTransId="{C2A0460D-3D2C-40A2-BFA3-77CD54C5CA9D}"/>
    <dgm:cxn modelId="{7990F1CB-942F-4CAD-BBAA-D37391B77496}" type="presOf" srcId="{90153BF7-6CE0-45EA-9F27-2A155E832FE2}" destId="{02C20953-4811-44D1-9746-37B6B8501E6C}" srcOrd="0" destOrd="0" presId="urn:microsoft.com/office/officeart/2005/8/layout/pyramid1"/>
    <dgm:cxn modelId="{AB2269D4-46FF-4D95-A134-312E50BD03F5}" type="presOf" srcId="{6104CEC2-243C-42E0-B0E9-083B64338660}" destId="{CA75D09E-60BB-4C11-BA49-55D214790EC8}" srcOrd="0" destOrd="0" presId="urn:microsoft.com/office/officeart/2005/8/layout/pyramid1"/>
    <dgm:cxn modelId="{0D2392DD-FA9D-4AFB-8BD3-244FCCDA1C60}" type="presOf" srcId="{C09D3E9E-6E7E-4DF6-AC28-508EC19B700A}" destId="{D3E3707D-A3DE-462B-B9DF-18EB70AF4B3A}" srcOrd="0" destOrd="0" presId="urn:microsoft.com/office/officeart/2005/8/layout/pyramid1"/>
    <dgm:cxn modelId="{15F172ED-6090-4448-A2F9-870650B3DF8C}" type="presParOf" srcId="{B3F9D265-0985-4D70-869B-B481FCFE3F48}" destId="{6B63F690-8A78-47D2-8998-85D2455F282F}" srcOrd="0" destOrd="0" presId="urn:microsoft.com/office/officeart/2005/8/layout/pyramid1"/>
    <dgm:cxn modelId="{3B45C90C-29D5-45D6-B69E-F886E4E7BA64}" type="presParOf" srcId="{6B63F690-8A78-47D2-8998-85D2455F282F}" destId="{02C20953-4811-44D1-9746-37B6B8501E6C}" srcOrd="0" destOrd="0" presId="urn:microsoft.com/office/officeart/2005/8/layout/pyramid1"/>
    <dgm:cxn modelId="{7485BB57-A3A4-4FE9-B74E-0F0C7183BE1B}" type="presParOf" srcId="{6B63F690-8A78-47D2-8998-85D2455F282F}" destId="{EC3B9EC5-0F1E-45DF-9EF0-3D9D4E19C828}" srcOrd="1" destOrd="0" presId="urn:microsoft.com/office/officeart/2005/8/layout/pyramid1"/>
    <dgm:cxn modelId="{CB112767-2E86-4AA7-9C44-3243815C2440}" type="presParOf" srcId="{B3F9D265-0985-4D70-869B-B481FCFE3F48}" destId="{63CCC7AD-F18F-475B-A1D7-A864EEEE523C}" srcOrd="1" destOrd="0" presId="urn:microsoft.com/office/officeart/2005/8/layout/pyramid1"/>
    <dgm:cxn modelId="{FA51E19D-FB8F-421B-932F-0FD0451DF12F}" type="presParOf" srcId="{63CCC7AD-F18F-475B-A1D7-A864EEEE523C}" destId="{E20A94BA-7530-4810-B946-0EDA6E1B9689}" srcOrd="0" destOrd="0" presId="urn:microsoft.com/office/officeart/2005/8/layout/pyramid1"/>
    <dgm:cxn modelId="{9EB7E954-41F7-4781-A640-506E432DD78D}" type="presParOf" srcId="{63CCC7AD-F18F-475B-A1D7-A864EEEE523C}" destId="{F338B068-1111-4787-8C12-90BF6D9DCEDD}" srcOrd="1" destOrd="0" presId="urn:microsoft.com/office/officeart/2005/8/layout/pyramid1"/>
    <dgm:cxn modelId="{B816E815-0E6F-422A-9419-3E58E30486CD}" type="presParOf" srcId="{B3F9D265-0985-4D70-869B-B481FCFE3F48}" destId="{9F65F178-DA82-40E4-BEB0-196B538179B8}" srcOrd="2" destOrd="0" presId="urn:microsoft.com/office/officeart/2005/8/layout/pyramid1"/>
    <dgm:cxn modelId="{FCC4F8EA-7210-4B93-AD56-C050E1E004F7}" type="presParOf" srcId="{9F65F178-DA82-40E4-BEB0-196B538179B8}" destId="{CA75D09E-60BB-4C11-BA49-55D214790EC8}" srcOrd="0" destOrd="0" presId="urn:microsoft.com/office/officeart/2005/8/layout/pyramid1"/>
    <dgm:cxn modelId="{9B668FC5-CDF9-4231-AE3E-E6EEAA9C0600}" type="presParOf" srcId="{9F65F178-DA82-40E4-BEB0-196B538179B8}" destId="{82719F9A-7C15-41FF-ADCC-DEA8404265F2}" srcOrd="1" destOrd="0" presId="urn:microsoft.com/office/officeart/2005/8/layout/pyramid1"/>
    <dgm:cxn modelId="{B5E006D0-F9A5-4464-A92B-0734DA1015D1}" type="presParOf" srcId="{B3F9D265-0985-4D70-869B-B481FCFE3F48}" destId="{685B0ABC-06B3-4A64-AE09-05B52A18D293}" srcOrd="3" destOrd="0" presId="urn:microsoft.com/office/officeart/2005/8/layout/pyramid1"/>
    <dgm:cxn modelId="{C1665FD4-6D90-4199-9BEB-262EC268E299}" type="presParOf" srcId="{685B0ABC-06B3-4A64-AE09-05B52A18D293}" destId="{D3E3707D-A3DE-462B-B9DF-18EB70AF4B3A}" srcOrd="0" destOrd="0" presId="urn:microsoft.com/office/officeart/2005/8/layout/pyramid1"/>
    <dgm:cxn modelId="{A92545C5-345B-43D9-829A-F3CADCD777FD}" type="presParOf" srcId="{685B0ABC-06B3-4A64-AE09-05B52A18D293}" destId="{6C9C6192-B1B0-4C97-81D6-7B6A777CF6BA}" srcOrd="1" destOrd="0" presId="urn:microsoft.com/office/officeart/2005/8/layout/pyramid1"/>
    <dgm:cxn modelId="{F66DFB59-003C-4F6F-BDA1-4AD2B265CA51}" type="presParOf" srcId="{B3F9D265-0985-4D70-869B-B481FCFE3F48}" destId="{077A6FC4-987F-45E5-8992-06F862E86850}" srcOrd="4" destOrd="0" presId="urn:microsoft.com/office/officeart/2005/8/layout/pyramid1"/>
    <dgm:cxn modelId="{F181539A-0AF5-44EC-983F-BF45F84A7D91}" type="presParOf" srcId="{077A6FC4-987F-45E5-8992-06F862E86850}" destId="{BB603180-056E-423A-AD31-96BEB4A6D7FA}" srcOrd="0" destOrd="0" presId="urn:microsoft.com/office/officeart/2005/8/layout/pyramid1"/>
    <dgm:cxn modelId="{92BD1B7F-220A-4F63-90CF-2CDF429A195D}" type="presParOf" srcId="{077A6FC4-987F-45E5-8992-06F862E86850}" destId="{F6B6F759-6E38-465C-AB27-94EDD09F7916}" srcOrd="1" destOrd="0" presId="urn:microsoft.com/office/officeart/2005/8/layout/pyramid1"/>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2C20953-4811-44D1-9746-37B6B8501E6C}">
      <dsp:nvSpPr>
        <dsp:cNvPr id="0" name=""/>
        <dsp:cNvSpPr/>
      </dsp:nvSpPr>
      <dsp:spPr>
        <a:xfrm>
          <a:off x="1203480" y="0"/>
          <a:ext cx="1082999" cy="698484"/>
        </a:xfrm>
        <a:prstGeom prst="trapezoid">
          <a:avLst>
            <a:gd name="adj" fmla="val 77525"/>
          </a:avLst>
        </a:prstGeom>
        <a:solidFill>
          <a:schemeClr val="accent3">
            <a:hueOff val="0"/>
            <a:satOff val="0"/>
            <a:lumOff val="0"/>
            <a:alphaOff val="0"/>
          </a:schemeClr>
        </a:solidFill>
        <a:ln w="2540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311150">
            <a:lnSpc>
              <a:spcPct val="90000"/>
            </a:lnSpc>
            <a:spcBef>
              <a:spcPct val="0"/>
            </a:spcBef>
            <a:spcAft>
              <a:spcPct val="35000"/>
            </a:spcAft>
            <a:buNone/>
          </a:pPr>
          <a:endParaRPr lang="es-CO" sz="700" kern="1200"/>
        </a:p>
        <a:p>
          <a:pPr marL="0" lvl="0" indent="0" algn="ctr" defTabSz="311150">
            <a:lnSpc>
              <a:spcPct val="90000"/>
            </a:lnSpc>
            <a:spcBef>
              <a:spcPct val="0"/>
            </a:spcBef>
            <a:spcAft>
              <a:spcPct val="35000"/>
            </a:spcAft>
            <a:buNone/>
          </a:pPr>
          <a:endParaRPr lang="es-CO" sz="700" kern="1200"/>
        </a:p>
        <a:p>
          <a:pPr marL="0" lvl="0" indent="0" algn="ctr" defTabSz="311150">
            <a:lnSpc>
              <a:spcPct val="90000"/>
            </a:lnSpc>
            <a:spcBef>
              <a:spcPct val="0"/>
            </a:spcBef>
            <a:spcAft>
              <a:spcPct val="35000"/>
            </a:spcAft>
            <a:buNone/>
          </a:pPr>
          <a:r>
            <a:rPr lang="es-CO" sz="700" b="1" kern="1200"/>
            <a:t>Excelencia</a:t>
          </a:r>
        </a:p>
        <a:p>
          <a:pPr marL="0" lvl="0" indent="0" algn="ctr" defTabSz="311150">
            <a:lnSpc>
              <a:spcPct val="90000"/>
            </a:lnSpc>
            <a:spcBef>
              <a:spcPct val="0"/>
            </a:spcBef>
            <a:spcAft>
              <a:spcPct val="35000"/>
            </a:spcAft>
            <a:buNone/>
          </a:pPr>
          <a:r>
            <a:rPr lang="es-CO" sz="700" b="0" kern="1200"/>
            <a:t>[91-100]</a:t>
          </a:r>
        </a:p>
      </dsp:txBody>
      <dsp:txXfrm>
        <a:off x="1203480" y="0"/>
        <a:ext cx="1082999" cy="698484"/>
      </dsp:txXfrm>
    </dsp:sp>
    <dsp:sp modelId="{E20A94BA-7530-4810-B946-0EDA6E1B9689}">
      <dsp:nvSpPr>
        <dsp:cNvPr id="0" name=""/>
        <dsp:cNvSpPr/>
      </dsp:nvSpPr>
      <dsp:spPr>
        <a:xfrm>
          <a:off x="679984" y="698484"/>
          <a:ext cx="2129991" cy="675261"/>
        </a:xfrm>
        <a:prstGeom prst="trapezoid">
          <a:avLst>
            <a:gd name="adj" fmla="val 77525"/>
          </a:avLst>
        </a:prstGeom>
        <a:solidFill>
          <a:schemeClr val="accent3">
            <a:hueOff val="1029291"/>
            <a:satOff val="6178"/>
            <a:lumOff val="4706"/>
            <a:alphaOff val="0"/>
          </a:schemeClr>
        </a:solidFill>
        <a:ln w="2540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311150">
            <a:lnSpc>
              <a:spcPct val="90000"/>
            </a:lnSpc>
            <a:spcBef>
              <a:spcPct val="0"/>
            </a:spcBef>
            <a:spcAft>
              <a:spcPct val="35000"/>
            </a:spcAft>
            <a:buNone/>
          </a:pPr>
          <a:r>
            <a:rPr lang="es-CO" sz="700" b="1" kern="1200"/>
            <a:t>Competencia</a:t>
          </a:r>
        </a:p>
        <a:p>
          <a:pPr marL="0" lvl="0" indent="0" algn="ctr" defTabSz="311150">
            <a:lnSpc>
              <a:spcPct val="90000"/>
            </a:lnSpc>
            <a:spcBef>
              <a:spcPct val="0"/>
            </a:spcBef>
            <a:spcAft>
              <a:spcPct val="35000"/>
            </a:spcAft>
            <a:buNone/>
          </a:pPr>
          <a:r>
            <a:rPr lang="es-CO" sz="700" kern="1200"/>
            <a:t>[61-90]</a:t>
          </a:r>
          <a:endParaRPr lang="es-CO" sz="700" b="1" kern="1200"/>
        </a:p>
      </dsp:txBody>
      <dsp:txXfrm>
        <a:off x="1052732" y="698484"/>
        <a:ext cx="1384494" cy="675261"/>
      </dsp:txXfrm>
    </dsp:sp>
    <dsp:sp modelId="{CA75D09E-60BB-4C11-BA49-55D214790EC8}">
      <dsp:nvSpPr>
        <dsp:cNvPr id="0" name=""/>
        <dsp:cNvSpPr/>
      </dsp:nvSpPr>
      <dsp:spPr>
        <a:xfrm>
          <a:off x="339157" y="1373746"/>
          <a:ext cx="2811645" cy="439635"/>
        </a:xfrm>
        <a:prstGeom prst="trapezoid">
          <a:avLst>
            <a:gd name="adj" fmla="val 77525"/>
          </a:avLst>
        </a:prstGeom>
        <a:solidFill>
          <a:schemeClr val="accent3">
            <a:hueOff val="2058582"/>
            <a:satOff val="12356"/>
            <a:lumOff val="9413"/>
            <a:alphaOff val="0"/>
          </a:schemeClr>
        </a:solidFill>
        <a:ln w="2540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311150">
            <a:lnSpc>
              <a:spcPct val="90000"/>
            </a:lnSpc>
            <a:spcBef>
              <a:spcPct val="0"/>
            </a:spcBef>
            <a:spcAft>
              <a:spcPct val="35000"/>
            </a:spcAft>
            <a:buNone/>
          </a:pPr>
          <a:r>
            <a:rPr lang="es-CO" sz="700" b="1" kern="1200"/>
            <a:t>Entendimiento</a:t>
          </a:r>
        </a:p>
        <a:p>
          <a:pPr marL="0" lvl="0" indent="0" algn="ctr" defTabSz="311150">
            <a:lnSpc>
              <a:spcPct val="90000"/>
            </a:lnSpc>
            <a:spcBef>
              <a:spcPct val="0"/>
            </a:spcBef>
            <a:spcAft>
              <a:spcPct val="35000"/>
            </a:spcAft>
            <a:buNone/>
          </a:pPr>
          <a:r>
            <a:rPr lang="es-CO" sz="700" kern="1200"/>
            <a:t>[41-60]</a:t>
          </a:r>
          <a:endParaRPr lang="es-CO" sz="700" b="1" kern="1200"/>
        </a:p>
      </dsp:txBody>
      <dsp:txXfrm>
        <a:off x="831195" y="1373746"/>
        <a:ext cx="1827569" cy="439635"/>
      </dsp:txXfrm>
    </dsp:sp>
    <dsp:sp modelId="{D3E3707D-A3DE-462B-B9DF-18EB70AF4B3A}">
      <dsp:nvSpPr>
        <dsp:cNvPr id="0" name=""/>
        <dsp:cNvSpPr/>
      </dsp:nvSpPr>
      <dsp:spPr>
        <a:xfrm>
          <a:off x="166774" y="1813382"/>
          <a:ext cx="3156411" cy="222358"/>
        </a:xfrm>
        <a:prstGeom prst="trapezoid">
          <a:avLst>
            <a:gd name="adj" fmla="val 77525"/>
          </a:avLst>
        </a:prstGeom>
        <a:solidFill>
          <a:schemeClr val="accent3">
            <a:hueOff val="3087872"/>
            <a:satOff val="18534"/>
            <a:lumOff val="14119"/>
            <a:alphaOff val="0"/>
          </a:schemeClr>
        </a:solidFill>
        <a:ln w="2540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311150">
            <a:lnSpc>
              <a:spcPct val="90000"/>
            </a:lnSpc>
            <a:spcBef>
              <a:spcPct val="0"/>
            </a:spcBef>
            <a:spcAft>
              <a:spcPct val="35000"/>
            </a:spcAft>
            <a:buNone/>
          </a:pPr>
          <a:r>
            <a:rPr lang="es-CO" sz="700" b="1" kern="1200"/>
            <a:t>Conciencia </a:t>
          </a:r>
          <a:r>
            <a:rPr lang="es-CO" sz="700" kern="1200"/>
            <a:t>[21-40] </a:t>
          </a:r>
          <a:endParaRPr lang="es-CO" sz="700" b="1" kern="1200"/>
        </a:p>
      </dsp:txBody>
      <dsp:txXfrm>
        <a:off x="719146" y="1813382"/>
        <a:ext cx="2051667" cy="222358"/>
      </dsp:txXfrm>
    </dsp:sp>
    <dsp:sp modelId="{BB603180-056E-423A-AD31-96BEB4A6D7FA}">
      <dsp:nvSpPr>
        <dsp:cNvPr id="0" name=""/>
        <dsp:cNvSpPr/>
      </dsp:nvSpPr>
      <dsp:spPr>
        <a:xfrm>
          <a:off x="0" y="2035740"/>
          <a:ext cx="3489960" cy="215123"/>
        </a:xfrm>
        <a:prstGeom prst="trapezoid">
          <a:avLst>
            <a:gd name="adj" fmla="val 77525"/>
          </a:avLst>
        </a:prstGeom>
        <a:solidFill>
          <a:schemeClr val="accent3">
            <a:hueOff val="4117163"/>
            <a:satOff val="24712"/>
            <a:lumOff val="18825"/>
            <a:alphaOff val="0"/>
          </a:schemeClr>
        </a:solidFill>
        <a:ln w="25400" cap="flat" cmpd="sng" algn="ctr">
          <a:solidFill>
            <a:schemeClr val="lt1">
              <a:hueOff val="0"/>
              <a:satOff val="0"/>
              <a:lumOff val="0"/>
              <a:alphaOff val="0"/>
            </a:schemeClr>
          </a:solidFill>
          <a:prstDash val="solid"/>
          <a:miter lim="800000"/>
        </a:ln>
        <a:effectLst/>
      </dsp:spPr>
      <dsp:style>
        <a:lnRef idx="3">
          <a:scrgbClr r="0" g="0" b="0"/>
        </a:lnRef>
        <a:fillRef idx="1">
          <a:scrgbClr r="0" g="0" b="0"/>
        </a:fillRef>
        <a:effectRef idx="1">
          <a:scrgbClr r="0" g="0" b="0"/>
        </a:effectRef>
        <a:fontRef idx="minor">
          <a:schemeClr val="lt1"/>
        </a:fontRef>
      </dsp:style>
      <dsp:txBody>
        <a:bodyPr spcFirstLastPara="0" vert="horz" wrap="square" lIns="8890" tIns="8890" rIns="8890" bIns="8890" numCol="1" spcCol="1270" anchor="ctr" anchorCtr="0">
          <a:noAutofit/>
        </a:bodyPr>
        <a:lstStyle/>
        <a:p>
          <a:pPr marL="0" lvl="0" indent="0" algn="ctr" defTabSz="311150">
            <a:lnSpc>
              <a:spcPct val="90000"/>
            </a:lnSpc>
            <a:spcBef>
              <a:spcPct val="0"/>
            </a:spcBef>
            <a:spcAft>
              <a:spcPct val="35000"/>
            </a:spcAft>
            <a:buNone/>
          </a:pPr>
          <a:r>
            <a:rPr lang="es-CO" sz="700" b="1" kern="1200"/>
            <a:t>Inocencia </a:t>
          </a:r>
          <a:r>
            <a:rPr lang="es-CO" sz="700" kern="1200"/>
            <a:t>[0-20]</a:t>
          </a:r>
          <a:endParaRPr lang="es-CO" sz="700" b="1" kern="1200"/>
        </a:p>
      </dsp:txBody>
      <dsp:txXfrm>
        <a:off x="610742" y="2035740"/>
        <a:ext cx="2268474" cy="215123"/>
      </dsp:txXfrm>
    </dsp:sp>
  </dsp:spTree>
</dsp:drawing>
</file>

<file path=xl/diagrams/layout1.xml><?xml version="1.0" encoding="utf-8"?>
<dgm:layoutDef xmlns:dgm="http://schemas.openxmlformats.org/drawingml/2006/diagram" xmlns:a="http://schemas.openxmlformats.org/drawingml/2006/main" uniqueId="urn:microsoft.com/office/officeart/2005/8/layout/pyramid1">
  <dgm:title val=""/>
  <dgm:desc val=""/>
  <dgm:catLst>
    <dgm:cat type="pyramid" pri="1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pyra">
          <dgm:param type="linDir" val="fromB"/>
          <dgm:param type="txDir" val="fromT"/>
          <dgm:param type="pyraAcctPos" val="aft"/>
          <dgm:param type="pyraAcctTxMar" val="step"/>
          <dgm:param type="pyraAcctBkgdNode" val="acctBkgd"/>
          <dgm:param type="pyraAcctTxNode" val="acctTx"/>
          <dgm:param type="pyraLvlNode" val="level"/>
        </dgm:alg>
      </dgm:if>
      <dgm:else name="Name3">
        <dgm:alg type="pyra">
          <dgm:param type="linDir" val="fromB"/>
          <dgm:param type="txDir" val="fromT"/>
          <dgm:param type="pyraAcctPos" val="bef"/>
          <dgm:param type="pyraAcctTxMar" val="step"/>
          <dgm:param type="pyraAcctBkgdNode" val="acctBkgd"/>
          <dgm:param type="pyraAcctTxNode" val="acctTx"/>
          <dgm:param type="pyraLvlNode" val="level"/>
        </dgm:alg>
      </dgm:else>
    </dgm:choose>
    <dgm:shape xmlns:r="http://schemas.openxmlformats.org/officeDocument/2006/relationships" r:blip="">
      <dgm:adjLst/>
    </dgm:shape>
    <dgm:presOf/>
    <dgm:choose name="Name4">
      <dgm:if name="Name5" axis="root des" ptType="all node" func="maxDepth" op="gte" val="2">
        <dgm:constrLst>
          <dgm:constr type="primFontSz" for="des" forName="levelTx" op="equ"/>
          <dgm:constr type="secFontSz" for="des" forName="acctTx" op="equ"/>
          <dgm:constr type="pyraAcctRatio" val="0.32"/>
        </dgm:constrLst>
      </dgm:if>
      <dgm:else name="Name6">
        <dgm:constrLst>
          <dgm:constr type="primFontSz" for="des" forName="levelTx" op="equ"/>
          <dgm:constr type="secFontSz" for="des" forName="acctTx" op="equ"/>
          <dgm:constr type="pyraAcctRatio"/>
        </dgm:constrLst>
      </dgm:else>
    </dgm:choose>
    <dgm:ruleLst/>
    <dgm:forEach name="Name7" axis="ch" ptType="node">
      <dgm:layoutNode name="Name8">
        <dgm:alg type="composite">
          <dgm:param type="horzAlign" val="none"/>
        </dgm:alg>
        <dgm:shape xmlns:r="http://schemas.openxmlformats.org/officeDocument/2006/relationships" r:blip="">
          <dgm:adjLst/>
        </dgm:shape>
        <dgm:presOf/>
        <dgm:choose name="Name9">
          <dgm:if name="Name10" axis="self" ptType="node" func="pos" op="equ" val="1">
            <dgm:constrLst>
              <dgm:constr type="ctrX" for="ch" forName="acctBkgd" val="1"/>
              <dgm:constr type="ctrY" for="ch" forName="acctBkgd" val="1"/>
              <dgm:constr type="w" for="ch" forName="acctBkgd" val="1"/>
              <dgm:constr type="h" for="ch" forName="acctBkgd" val="1"/>
              <dgm:constr type="ctrX" for="ch" forName="acctTx" val="1"/>
              <dgm:constr type="ctrY" for="ch" forName="acctTx" val="1"/>
              <dgm:constr type="w" for="ch" forName="acctTx" val="1"/>
              <dgm:constr type="h" for="ch" forName="acctTx" val="1"/>
              <dgm:constr type="ctrX" for="ch" forName="level" val="1"/>
              <dgm:constr type="ctrY" for="ch" forName="level" val="1"/>
              <dgm:constr type="w" for="ch" forName="level" val="1"/>
              <dgm:constr type="h" for="ch" forName="level" val="1"/>
              <dgm:constr type="ctrX" for="ch" forName="levelTx" refType="ctrX" refFor="ch" refForName="level"/>
              <dgm:constr type="ctrY" for="ch" forName="levelTx" refType="ctrY" refFor="ch" refForName="level"/>
              <dgm:constr type="w" for="ch" forName="levelTx" refType="w" refFor="ch" refForName="level"/>
              <dgm:constr type="h" for="ch" forName="levelTx" refType="h" refFor="ch" refForName="level"/>
            </dgm:constrLst>
          </dgm:if>
          <dgm:else name="Name11">
            <dgm:constrLst>
              <dgm:constr type="ctrX" for="ch" forName="acctBkgd" val="1"/>
              <dgm:constr type="ctrY" for="ch" forName="acctBkgd" val="1"/>
              <dgm:constr type="w" for="ch" forName="acctBkgd" val="1"/>
              <dgm:constr type="h" for="ch" forName="acctBkgd" val="1"/>
              <dgm:constr type="ctrX" for="ch" forName="acctTx" val="1"/>
              <dgm:constr type="ctrY" for="ch" forName="acctTx" val="1"/>
              <dgm:constr type="w" for="ch" forName="acctTx" val="1"/>
              <dgm:constr type="h" for="ch" forName="acctTx" val="1"/>
              <dgm:constr type="ctrX" for="ch" forName="level" val="1"/>
              <dgm:constr type="ctrY" for="ch" forName="level" val="1"/>
              <dgm:constr type="w" for="ch" forName="level" val="1"/>
              <dgm:constr type="h" for="ch" forName="level" val="1"/>
              <dgm:constr type="ctrX" for="ch" forName="levelTx" refType="ctrX" refFor="ch" refForName="level"/>
              <dgm:constr type="ctrY" for="ch" forName="levelTx" refType="ctrY" refFor="ch" refForName="level"/>
              <dgm:constr type="w" for="ch" forName="levelTx" refType="w" refFor="ch" refForName="level" fact="0.65"/>
              <dgm:constr type="h" for="ch" forName="levelTx" refType="h" refFor="ch" refForName="level"/>
            </dgm:constrLst>
          </dgm:else>
        </dgm:choose>
        <dgm:ruleLst/>
        <dgm:choose name="Name12">
          <dgm:if name="Name13" axis="ch" ptType="node" func="cnt" op="gte" val="1">
            <dgm:layoutNode name="acctBkgd" styleLbl="alignAcc1">
              <dgm:alg type="sp"/>
              <dgm:shape xmlns:r="http://schemas.openxmlformats.org/officeDocument/2006/relationships" type="nonIsoscelesTrapezoid" r:blip="">
                <dgm:adjLst/>
              </dgm:shape>
              <dgm:presOf axis="des" ptType="node"/>
              <dgm:constrLst/>
              <dgm:ruleLst/>
            </dgm:layoutNode>
            <dgm:layoutNode name="acctTx" styleLbl="alignAcc1">
              <dgm:varLst>
                <dgm:bulletEnabled val="1"/>
              </dgm:varLst>
              <dgm:alg type="tx">
                <dgm:param type="stBulletLvl" val="1"/>
                <dgm:param type="txAnchorVertCh" val="mid"/>
              </dgm:alg>
              <dgm:shape xmlns:r="http://schemas.openxmlformats.org/officeDocument/2006/relationships" type="nonIsoscelesTrapezoid" r:blip="" hideGeom="1">
                <dgm:adjLst/>
              </dgm:shape>
              <dgm:presOf axis="des" ptType="node"/>
              <dgm:constrLst>
                <dgm:constr type="secFontSz" val="65"/>
                <dgm:constr type="primFontSz" refType="secFontSz"/>
                <dgm:constr type="tMarg" refType="secFontSz" fact="0.3"/>
                <dgm:constr type="bMarg" refType="secFontSz" fact="0.3"/>
                <dgm:constr type="lMarg" refType="secFontSz" fact="0.3"/>
                <dgm:constr type="rMarg" refType="secFontSz" fact="0.3"/>
              </dgm:constrLst>
              <dgm:ruleLst>
                <dgm:rule type="secFontSz" val="5" fact="NaN" max="NaN"/>
              </dgm:ruleLst>
            </dgm:layoutNode>
          </dgm:if>
          <dgm:else name="Name14"/>
        </dgm:choose>
        <dgm:layoutNode name="level">
          <dgm:varLst>
            <dgm:chMax val="1"/>
            <dgm:bulletEnabled val="1"/>
          </dgm:varLst>
          <dgm:alg type="sp"/>
          <dgm:shape xmlns:r="http://schemas.openxmlformats.org/officeDocument/2006/relationships" type="trapezoid" r:blip="">
            <dgm:adjLst/>
          </dgm:shape>
          <dgm:presOf axis="self"/>
          <dgm:constrLst>
            <dgm:constr type="h" val="500"/>
            <dgm:constr type="w" val="1"/>
          </dgm:constrLst>
          <dgm:ruleLst/>
        </dgm:layoutNode>
        <dgm:layoutNode name="levelTx" styleLbl="revTx">
          <dgm:varLst>
            <dgm:chMax val="1"/>
            <dgm:bulletEnabled val="1"/>
          </dgm:varLst>
          <dgm:alg type="tx"/>
          <dgm:shape xmlns:r="http://schemas.openxmlformats.org/officeDocument/2006/relationships" type="rect" r:blip="" hideGeom="1">
            <dgm:adjLst/>
          </dgm:shape>
          <dgm:presOf axis="self"/>
          <dgm:constrLst>
            <dgm:constr type="tMarg" refType="primFontSz" fact="0.1"/>
            <dgm:constr type="bMarg" refType="primFontSz" fact="0.1"/>
            <dgm:constr type="lMarg" refType="primFontSz" fact="0.1"/>
            <dgm:constr type="rMarg" refType="primFontSz" fact="0.1"/>
            <dgm:constr type="primFontSz" val="65"/>
          </dgm:constrLst>
          <dgm:ruleLst>
            <dgm:rule type="primFontSz" val="5" fact="NaN" max="NaN"/>
          </dgm:ruleLst>
        </dgm:layoutNode>
      </dgm:layoutNode>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2">
  <dgm:title val=""/>
  <dgm:desc val=""/>
  <dgm:catLst>
    <dgm:cat type="simple" pri="10200"/>
  </dgm:catLst>
  <dgm:scene3d>
    <a:camera prst="orthographicFront"/>
    <a:lightRig rig="threePt" dir="t"/>
  </dgm:scene3d>
  <dgm:styleLbl name="node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ln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vennNode1">
    <dgm:scene3d>
      <a:camera prst="orthographicFront"/>
      <a:lightRig rig="threePt" dir="t"/>
    </dgm:scene3d>
    <dgm:sp3d/>
    <dgm:txPr/>
    <dgm:style>
      <a:lnRef idx="3">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1">
        <a:scrgbClr r="0" g="0" b="0"/>
      </a:effectRef>
      <a:fontRef idx="minor">
        <a:schemeClr val="lt1"/>
      </a:fontRef>
    </dgm:style>
  </dgm:styleLbl>
  <dgm:styleLbl name="node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node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f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align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bgImgPlace1">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1">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1">
        <a:scrgbClr r="0" g="0" b="0"/>
      </a:effectRef>
      <a:fontRef idx="minor"/>
    </dgm:style>
  </dgm:styleLbl>
  <dgm:styleLbl name="asst0">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asst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1">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2">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3">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2D4">
    <dgm:scene3d>
      <a:camera prst="orthographicFront"/>
      <a:lightRig rig="threePt" dir="t"/>
    </dgm:scene3d>
    <dgm:sp3d/>
    <dgm:txPr/>
    <dgm:style>
      <a:lnRef idx="3">
        <a:scrgbClr r="0" g="0" b="0"/>
      </a:lnRef>
      <a:fillRef idx="1">
        <a:scrgbClr r="0" g="0" b="0"/>
      </a:fillRef>
      <a:effectRef idx="1">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3">
        <a:scrgbClr r="0" g="0" b="0"/>
      </a:lnRef>
      <a:fillRef idx="1">
        <a:scrgbClr r="0" g="0" b="0"/>
      </a:fillRef>
      <a:effectRef idx="1">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diagramLayout" Target="../diagrams/layout1.xml"/><Relationship Id="rId7" Type="http://schemas.openxmlformats.org/officeDocument/2006/relationships/image" Target="../media/image2.png"/><Relationship Id="rId2" Type="http://schemas.openxmlformats.org/officeDocument/2006/relationships/diagramData" Target="../diagrams/data1.xml"/><Relationship Id="rId1" Type="http://schemas.openxmlformats.org/officeDocument/2006/relationships/image" Target="../media/image1.png"/><Relationship Id="rId6" Type="http://schemas.microsoft.com/office/2007/relationships/diagramDrawing" Target="../diagrams/drawing1.xml"/><Relationship Id="rId11" Type="http://schemas.microsoft.com/office/2007/relationships/hdphoto" Target="../media/hdphoto1.wdp"/><Relationship Id="rId5" Type="http://schemas.openxmlformats.org/officeDocument/2006/relationships/diagramColors" Target="../diagrams/colors1.xml"/><Relationship Id="rId10" Type="http://schemas.openxmlformats.org/officeDocument/2006/relationships/image" Target="../media/image5.png"/><Relationship Id="rId4" Type="http://schemas.openxmlformats.org/officeDocument/2006/relationships/diagramQuickStyle" Target="../diagrams/quickStyle1.xml"/><Relationship Id="rId9"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2.xml"/><Relationship Id="rId13" Type="http://schemas.openxmlformats.org/officeDocument/2006/relationships/chart" Target="../charts/chart17.xml"/><Relationship Id="rId18" Type="http://schemas.openxmlformats.org/officeDocument/2006/relationships/chart" Target="../charts/chart22.xml"/><Relationship Id="rId3" Type="http://schemas.openxmlformats.org/officeDocument/2006/relationships/chart" Target="../charts/chart7.xml"/><Relationship Id="rId7" Type="http://schemas.openxmlformats.org/officeDocument/2006/relationships/chart" Target="../charts/chart11.xml"/><Relationship Id="rId12" Type="http://schemas.openxmlformats.org/officeDocument/2006/relationships/chart" Target="../charts/chart16.xml"/><Relationship Id="rId17" Type="http://schemas.openxmlformats.org/officeDocument/2006/relationships/chart" Target="../charts/chart21.xml"/><Relationship Id="rId2" Type="http://schemas.openxmlformats.org/officeDocument/2006/relationships/chart" Target="../charts/chart6.xml"/><Relationship Id="rId16" Type="http://schemas.openxmlformats.org/officeDocument/2006/relationships/chart" Target="../charts/chart20.xml"/><Relationship Id="rId20" Type="http://schemas.openxmlformats.org/officeDocument/2006/relationships/chart" Target="../charts/chart24.xml"/><Relationship Id="rId1" Type="http://schemas.openxmlformats.org/officeDocument/2006/relationships/chart" Target="../charts/chart5.xml"/><Relationship Id="rId6" Type="http://schemas.openxmlformats.org/officeDocument/2006/relationships/chart" Target="../charts/chart10.xml"/><Relationship Id="rId11" Type="http://schemas.openxmlformats.org/officeDocument/2006/relationships/chart" Target="../charts/chart15.xml"/><Relationship Id="rId5" Type="http://schemas.openxmlformats.org/officeDocument/2006/relationships/chart" Target="../charts/chart9.xml"/><Relationship Id="rId15" Type="http://schemas.openxmlformats.org/officeDocument/2006/relationships/chart" Target="../charts/chart19.xml"/><Relationship Id="rId10" Type="http://schemas.openxmlformats.org/officeDocument/2006/relationships/chart" Target="../charts/chart14.xml"/><Relationship Id="rId19" Type="http://schemas.openxmlformats.org/officeDocument/2006/relationships/chart" Target="../charts/chart23.xml"/><Relationship Id="rId4" Type="http://schemas.openxmlformats.org/officeDocument/2006/relationships/chart" Target="../charts/chart8.xml"/><Relationship Id="rId9" Type="http://schemas.openxmlformats.org/officeDocument/2006/relationships/chart" Target="../charts/chart13.xml"/><Relationship Id="rId1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editAs="oneCell">
    <xdr:from>
      <xdr:col>4</xdr:col>
      <xdr:colOff>419100</xdr:colOff>
      <xdr:row>64</xdr:row>
      <xdr:rowOff>121920</xdr:rowOff>
    </xdr:from>
    <xdr:to>
      <xdr:col>9</xdr:col>
      <xdr:colOff>632460</xdr:colOff>
      <xdr:row>76</xdr:row>
      <xdr:rowOff>148057</xdr:rowOff>
    </xdr:to>
    <xdr:pic>
      <xdr:nvPicPr>
        <xdr:cNvPr id="3" name="Imagen 2">
          <a:extLst>
            <a:ext uri="{FF2B5EF4-FFF2-40B4-BE49-F238E27FC236}">
              <a16:creationId xmlns:a16="http://schemas.microsoft.com/office/drawing/2014/main" id="{ED034631-8FEE-FE78-285A-3CB0C127D5B4}"/>
            </a:ext>
          </a:extLst>
        </xdr:cNvPr>
        <xdr:cNvPicPr>
          <a:picLocks noChangeAspect="1"/>
        </xdr:cNvPicPr>
      </xdr:nvPicPr>
      <xdr:blipFill>
        <a:blip xmlns:r="http://schemas.openxmlformats.org/officeDocument/2006/relationships" r:embed="rId1"/>
        <a:stretch>
          <a:fillRect/>
        </a:stretch>
      </xdr:blipFill>
      <xdr:spPr>
        <a:xfrm>
          <a:off x="3070860" y="12573000"/>
          <a:ext cx="4175760" cy="2220697"/>
        </a:xfrm>
        <a:prstGeom prst="rect">
          <a:avLst/>
        </a:prstGeom>
        <a:ln>
          <a:solidFill>
            <a:schemeClr val="accent1"/>
          </a:solidFill>
        </a:ln>
      </xdr:spPr>
    </xdr:pic>
    <xdr:clientData/>
  </xdr:twoCellAnchor>
  <xdr:twoCellAnchor>
    <xdr:from>
      <xdr:col>4</xdr:col>
      <xdr:colOff>603250</xdr:colOff>
      <xdr:row>92</xdr:row>
      <xdr:rowOff>12700</xdr:rowOff>
    </xdr:from>
    <xdr:to>
      <xdr:col>9</xdr:col>
      <xdr:colOff>130810</xdr:colOff>
      <xdr:row>104</xdr:row>
      <xdr:rowOff>69004</xdr:rowOff>
    </xdr:to>
    <xdr:graphicFrame macro="">
      <xdr:nvGraphicFramePr>
        <xdr:cNvPr id="4" name="16 Diagrama">
          <a:extLst>
            <a:ext uri="{FF2B5EF4-FFF2-40B4-BE49-F238E27FC236}">
              <a16:creationId xmlns:a16="http://schemas.microsoft.com/office/drawing/2014/main" id="{CFF39533-7141-4679-A01D-E964DCE156C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editAs="oneCell">
    <xdr:from>
      <xdr:col>9</xdr:col>
      <xdr:colOff>88901</xdr:colOff>
      <xdr:row>106</xdr:row>
      <xdr:rowOff>6351</xdr:rowOff>
    </xdr:from>
    <xdr:to>
      <xdr:col>9</xdr:col>
      <xdr:colOff>699563</xdr:colOff>
      <xdr:row>114</xdr:row>
      <xdr:rowOff>57150</xdr:rowOff>
    </xdr:to>
    <xdr:pic>
      <xdr:nvPicPr>
        <xdr:cNvPr id="6" name="Imagen 5">
          <a:extLst>
            <a:ext uri="{FF2B5EF4-FFF2-40B4-BE49-F238E27FC236}">
              <a16:creationId xmlns:a16="http://schemas.microsoft.com/office/drawing/2014/main" id="{4CE34C5E-552F-C218-D1FD-4B676E46731A}"/>
            </a:ext>
          </a:extLst>
        </xdr:cNvPr>
        <xdr:cNvPicPr>
          <a:picLocks noChangeAspect="1"/>
        </xdr:cNvPicPr>
      </xdr:nvPicPr>
      <xdr:blipFill>
        <a:blip xmlns:r="http://schemas.openxmlformats.org/officeDocument/2006/relationships" r:embed="rId7"/>
        <a:stretch>
          <a:fillRect/>
        </a:stretch>
      </xdr:blipFill>
      <xdr:spPr>
        <a:xfrm>
          <a:off x="6711951" y="20275551"/>
          <a:ext cx="610662" cy="1523999"/>
        </a:xfrm>
        <a:prstGeom prst="rect">
          <a:avLst/>
        </a:prstGeom>
      </xdr:spPr>
    </xdr:pic>
    <xdr:clientData/>
  </xdr:twoCellAnchor>
  <xdr:twoCellAnchor editAs="oneCell">
    <xdr:from>
      <xdr:col>8</xdr:col>
      <xdr:colOff>292101</xdr:colOff>
      <xdr:row>107</xdr:row>
      <xdr:rowOff>82551</xdr:rowOff>
    </xdr:from>
    <xdr:to>
      <xdr:col>8</xdr:col>
      <xdr:colOff>681105</xdr:colOff>
      <xdr:row>112</xdr:row>
      <xdr:rowOff>19050</xdr:rowOff>
    </xdr:to>
    <xdr:pic>
      <xdr:nvPicPr>
        <xdr:cNvPr id="7" name="Imagen 6">
          <a:extLst>
            <a:ext uri="{FF2B5EF4-FFF2-40B4-BE49-F238E27FC236}">
              <a16:creationId xmlns:a16="http://schemas.microsoft.com/office/drawing/2014/main" id="{8012768B-990B-5548-D8A7-031AFA4DE6CC}"/>
            </a:ext>
          </a:extLst>
        </xdr:cNvPr>
        <xdr:cNvPicPr>
          <a:picLocks noChangeAspect="1"/>
        </xdr:cNvPicPr>
      </xdr:nvPicPr>
      <xdr:blipFill>
        <a:blip xmlns:r="http://schemas.openxmlformats.org/officeDocument/2006/relationships" r:embed="rId8"/>
        <a:stretch>
          <a:fillRect/>
        </a:stretch>
      </xdr:blipFill>
      <xdr:spPr>
        <a:xfrm>
          <a:off x="6121401" y="20535901"/>
          <a:ext cx="389004" cy="857249"/>
        </a:xfrm>
        <a:prstGeom prst="rect">
          <a:avLst/>
        </a:prstGeom>
      </xdr:spPr>
    </xdr:pic>
    <xdr:clientData/>
  </xdr:twoCellAnchor>
  <xdr:twoCellAnchor editAs="oneCell">
    <xdr:from>
      <xdr:col>4</xdr:col>
      <xdr:colOff>31751</xdr:colOff>
      <xdr:row>118</xdr:row>
      <xdr:rowOff>114301</xdr:rowOff>
    </xdr:from>
    <xdr:to>
      <xdr:col>9</xdr:col>
      <xdr:colOff>539751</xdr:colOff>
      <xdr:row>131</xdr:row>
      <xdr:rowOff>11677</xdr:rowOff>
    </xdr:to>
    <xdr:pic>
      <xdr:nvPicPr>
        <xdr:cNvPr id="8" name="Imagen 7">
          <a:extLst>
            <a:ext uri="{FF2B5EF4-FFF2-40B4-BE49-F238E27FC236}">
              <a16:creationId xmlns:a16="http://schemas.microsoft.com/office/drawing/2014/main" id="{91B787D8-03AC-6A30-AA16-E0BFFEBB9764}"/>
            </a:ext>
          </a:extLst>
        </xdr:cNvPr>
        <xdr:cNvPicPr>
          <a:picLocks noChangeAspect="1"/>
        </xdr:cNvPicPr>
      </xdr:nvPicPr>
      <xdr:blipFill>
        <a:blip xmlns:r="http://schemas.openxmlformats.org/officeDocument/2006/relationships" r:embed="rId9"/>
        <a:stretch>
          <a:fillRect/>
        </a:stretch>
      </xdr:blipFill>
      <xdr:spPr>
        <a:xfrm>
          <a:off x="2686051" y="23329901"/>
          <a:ext cx="4476750" cy="2291326"/>
        </a:xfrm>
        <a:prstGeom prst="rect">
          <a:avLst/>
        </a:prstGeom>
      </xdr:spPr>
    </xdr:pic>
    <xdr:clientData/>
  </xdr:twoCellAnchor>
  <xdr:twoCellAnchor editAs="oneCell">
    <xdr:from>
      <xdr:col>3</xdr:col>
      <xdr:colOff>565150</xdr:colOff>
      <xdr:row>48</xdr:row>
      <xdr:rowOff>88900</xdr:rowOff>
    </xdr:from>
    <xdr:to>
      <xdr:col>9</xdr:col>
      <xdr:colOff>736599</xdr:colOff>
      <xdr:row>59</xdr:row>
      <xdr:rowOff>64676</xdr:rowOff>
    </xdr:to>
    <xdr:pic>
      <xdr:nvPicPr>
        <xdr:cNvPr id="10" name="Imagen 9">
          <a:extLst>
            <a:ext uri="{FF2B5EF4-FFF2-40B4-BE49-F238E27FC236}">
              <a16:creationId xmlns:a16="http://schemas.microsoft.com/office/drawing/2014/main" id="{C8E61CED-B8B1-EAF5-B7A7-BB1A0C6B6FDF}"/>
            </a:ext>
          </a:extLst>
        </xdr:cNvPr>
        <xdr:cNvPicPr>
          <a:picLocks noChangeAspect="1"/>
        </xdr:cNvPicPr>
      </xdr:nvPicPr>
      <xdr:blipFill>
        <a:blip xmlns:r="http://schemas.openxmlformats.org/officeDocument/2006/relationships" r:embed="rId10">
          <a:extLst>
            <a:ext uri="{BEBA8EAE-BF5A-486C-A8C5-ECC9F3942E4B}">
              <a14:imgProps xmlns:a14="http://schemas.microsoft.com/office/drawing/2010/main">
                <a14:imgLayer r:embed="rId11">
                  <a14:imgEffect>
                    <a14:brightnessContrast bright="20000" contrast="-40000"/>
                  </a14:imgEffect>
                </a14:imgLayer>
              </a14:imgProps>
            </a:ext>
          </a:extLst>
        </a:blip>
        <a:stretch>
          <a:fillRect/>
        </a:stretch>
      </xdr:blipFill>
      <xdr:spPr>
        <a:xfrm>
          <a:off x="2425700" y="9309100"/>
          <a:ext cx="4933949" cy="20014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739563</xdr:colOff>
      <xdr:row>9</xdr:row>
      <xdr:rowOff>39562</xdr:rowOff>
    </xdr:from>
    <xdr:to>
      <xdr:col>12</xdr:col>
      <xdr:colOff>102123</xdr:colOff>
      <xdr:row>12</xdr:row>
      <xdr:rowOff>123382</xdr:rowOff>
    </xdr:to>
    <xdr:sp macro="" textlink="">
      <xdr:nvSpPr>
        <xdr:cNvPr id="43" name="Rectángulo 42">
          <a:extLst>
            <a:ext uri="{FF2B5EF4-FFF2-40B4-BE49-F238E27FC236}">
              <a16:creationId xmlns:a16="http://schemas.microsoft.com/office/drawing/2014/main" id="{0212EF45-DDFF-4B52-933D-FF42049DA2BE}"/>
            </a:ext>
          </a:extLst>
        </xdr:cNvPr>
        <xdr:cNvSpPr/>
      </xdr:nvSpPr>
      <xdr:spPr>
        <a:xfrm>
          <a:off x="6820323" y="1700722"/>
          <a:ext cx="1740000" cy="632460"/>
        </a:xfrm>
        <a:prstGeom prst="rect">
          <a:avLst/>
        </a:prstGeom>
        <a:solidFill>
          <a:srgbClr val="C4C464"/>
        </a:solidFill>
        <a:ln w="3175">
          <a:solidFill>
            <a:srgbClr val="C4C46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700" b="1">
              <a:solidFill>
                <a:schemeClr val="tx1"/>
              </a:solidFill>
              <a:effectLst/>
              <a:latin typeface="+mn-lt"/>
              <a:ea typeface="+mn-ea"/>
              <a:cs typeface="+mn-cs"/>
            </a:rPr>
            <a:t>Aplicación de Prácticas de Gestión de Confiabilidad en procesos organizacionales que gestionan estrategias de confiabilidad de Activos</a:t>
          </a:r>
          <a:endParaRPr lang="es-CO" sz="700" b="1">
            <a:solidFill>
              <a:schemeClr val="tx1"/>
            </a:solidFill>
            <a:effectLst/>
            <a:latin typeface="+mn-lt"/>
            <a:ea typeface="+mn-ea"/>
            <a:cs typeface="+mn-cs"/>
          </a:endParaRPr>
        </a:p>
      </xdr:txBody>
    </xdr:sp>
    <xdr:clientData/>
  </xdr:twoCellAnchor>
  <xdr:twoCellAnchor>
    <xdr:from>
      <xdr:col>4</xdr:col>
      <xdr:colOff>16565</xdr:colOff>
      <xdr:row>3</xdr:row>
      <xdr:rowOff>175260</xdr:rowOff>
    </xdr:from>
    <xdr:to>
      <xdr:col>9</xdr:col>
      <xdr:colOff>781878</xdr:colOff>
      <xdr:row>23</xdr:row>
      <xdr:rowOff>178905</xdr:rowOff>
    </xdr:to>
    <xdr:sp macro="" textlink="">
      <xdr:nvSpPr>
        <xdr:cNvPr id="3" name="Triángulo isósceles 2">
          <a:extLst>
            <a:ext uri="{FF2B5EF4-FFF2-40B4-BE49-F238E27FC236}">
              <a16:creationId xmlns:a16="http://schemas.microsoft.com/office/drawing/2014/main" id="{D2FFACA1-F2FD-7414-01AF-7260013238AE}"/>
            </a:ext>
          </a:extLst>
        </xdr:cNvPr>
        <xdr:cNvSpPr/>
      </xdr:nvSpPr>
      <xdr:spPr>
        <a:xfrm>
          <a:off x="3191565" y="365760"/>
          <a:ext cx="4734063" cy="3686645"/>
        </a:xfrm>
        <a:prstGeom prst="triangle">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604520</xdr:colOff>
      <xdr:row>18</xdr:row>
      <xdr:rowOff>180340</xdr:rowOff>
    </xdr:from>
    <xdr:to>
      <xdr:col>9</xdr:col>
      <xdr:colOff>190500</xdr:colOff>
      <xdr:row>19</xdr:row>
      <xdr:rowOff>0</xdr:rowOff>
    </xdr:to>
    <xdr:cxnSp macro="">
      <xdr:nvCxnSpPr>
        <xdr:cNvPr id="7" name="Conector recto 6">
          <a:extLst>
            <a:ext uri="{FF2B5EF4-FFF2-40B4-BE49-F238E27FC236}">
              <a16:creationId xmlns:a16="http://schemas.microsoft.com/office/drawing/2014/main" id="{60DF03C9-649D-E04F-5F23-67D9C4693820}"/>
            </a:ext>
          </a:extLst>
        </xdr:cNvPr>
        <xdr:cNvCxnSpPr/>
      </xdr:nvCxnSpPr>
      <xdr:spPr>
        <a:xfrm flipV="1">
          <a:off x="3152987" y="3592407"/>
          <a:ext cx="3565313" cy="5926"/>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406238</xdr:colOff>
      <xdr:row>13</xdr:row>
      <xdr:rowOff>177083</xdr:rowOff>
    </xdr:from>
    <xdr:to>
      <xdr:col>8</xdr:col>
      <xdr:colOff>392205</xdr:colOff>
      <xdr:row>13</xdr:row>
      <xdr:rowOff>177083</xdr:rowOff>
    </xdr:to>
    <xdr:cxnSp macro="">
      <xdr:nvCxnSpPr>
        <xdr:cNvPr id="10" name="Conector recto 9">
          <a:extLst>
            <a:ext uri="{FF2B5EF4-FFF2-40B4-BE49-F238E27FC236}">
              <a16:creationId xmlns:a16="http://schemas.microsoft.com/office/drawing/2014/main" id="{1A33A958-D0E9-D762-95DA-EC05D7FE4284}"/>
            </a:ext>
          </a:extLst>
        </xdr:cNvPr>
        <xdr:cNvCxnSpPr>
          <a:stCxn id="3" idx="1"/>
          <a:endCxn id="3" idx="5"/>
        </xdr:cNvCxnSpPr>
      </xdr:nvCxnSpPr>
      <xdr:spPr>
        <a:xfrm>
          <a:off x="4373120" y="2207589"/>
          <a:ext cx="2366097" cy="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197223</xdr:colOff>
      <xdr:row>8</xdr:row>
      <xdr:rowOff>174811</xdr:rowOff>
    </xdr:from>
    <xdr:to>
      <xdr:col>7</xdr:col>
      <xdr:colOff>596153</xdr:colOff>
      <xdr:row>8</xdr:row>
      <xdr:rowOff>179294</xdr:rowOff>
    </xdr:to>
    <xdr:cxnSp macro="">
      <xdr:nvCxnSpPr>
        <xdr:cNvPr id="12" name="Conector recto 11">
          <a:extLst>
            <a:ext uri="{FF2B5EF4-FFF2-40B4-BE49-F238E27FC236}">
              <a16:creationId xmlns:a16="http://schemas.microsoft.com/office/drawing/2014/main" id="{B40CF919-DB6E-FF70-2042-6E2E7B04BE15}"/>
            </a:ext>
          </a:extLst>
        </xdr:cNvPr>
        <xdr:cNvCxnSpPr/>
      </xdr:nvCxnSpPr>
      <xdr:spPr>
        <a:xfrm flipV="1">
          <a:off x="4957482" y="1286435"/>
          <a:ext cx="1192306" cy="4483"/>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8</xdr:col>
      <xdr:colOff>1814</xdr:colOff>
      <xdr:row>4</xdr:row>
      <xdr:rowOff>4561</xdr:rowOff>
    </xdr:from>
    <xdr:to>
      <xdr:col>12</xdr:col>
      <xdr:colOff>12856</xdr:colOff>
      <xdr:row>8</xdr:row>
      <xdr:rowOff>3888</xdr:rowOff>
    </xdr:to>
    <xdr:grpSp>
      <xdr:nvGrpSpPr>
        <xdr:cNvPr id="21" name="Grupo 20">
          <a:extLst>
            <a:ext uri="{FF2B5EF4-FFF2-40B4-BE49-F238E27FC236}">
              <a16:creationId xmlns:a16="http://schemas.microsoft.com/office/drawing/2014/main" id="{02511BC0-BAF1-6A7F-E50C-4F80C0041D38}"/>
            </a:ext>
          </a:extLst>
        </xdr:cNvPr>
        <xdr:cNvGrpSpPr/>
      </xdr:nvGrpSpPr>
      <xdr:grpSpPr>
        <a:xfrm>
          <a:off x="5310414" y="808894"/>
          <a:ext cx="3194509" cy="744394"/>
          <a:chOff x="6341654" y="370321"/>
          <a:chExt cx="3180962" cy="730847"/>
        </a:xfrm>
      </xdr:grpSpPr>
      <xdr:cxnSp macro="">
        <xdr:nvCxnSpPr>
          <xdr:cNvPr id="6" name="Conector recto 5">
            <a:extLst>
              <a:ext uri="{FF2B5EF4-FFF2-40B4-BE49-F238E27FC236}">
                <a16:creationId xmlns:a16="http://schemas.microsoft.com/office/drawing/2014/main" id="{FAB352C5-4EBF-C2E2-9228-3F9C2E496D06}"/>
              </a:ext>
            </a:extLst>
          </xdr:cNvPr>
          <xdr:cNvCxnSpPr/>
        </xdr:nvCxnSpPr>
        <xdr:spPr>
          <a:xfrm>
            <a:off x="6341654" y="370321"/>
            <a:ext cx="3180962"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 name="Conector recto 7">
            <a:extLst>
              <a:ext uri="{FF2B5EF4-FFF2-40B4-BE49-F238E27FC236}">
                <a16:creationId xmlns:a16="http://schemas.microsoft.com/office/drawing/2014/main" id="{72454464-7AB1-422F-B5E6-C8CC38E82D62}"/>
              </a:ext>
            </a:extLst>
          </xdr:cNvPr>
          <xdr:cNvCxnSpPr/>
        </xdr:nvCxnSpPr>
        <xdr:spPr>
          <a:xfrm flipV="1">
            <a:off x="7133097" y="1093237"/>
            <a:ext cx="2388328" cy="77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3" name="Conector recto 12">
            <a:extLst>
              <a:ext uri="{FF2B5EF4-FFF2-40B4-BE49-F238E27FC236}">
                <a16:creationId xmlns:a16="http://schemas.microsoft.com/office/drawing/2014/main" id="{254B03B2-D16A-8C33-67A0-953A217B299F}"/>
              </a:ext>
            </a:extLst>
          </xdr:cNvPr>
          <xdr:cNvCxnSpPr/>
        </xdr:nvCxnSpPr>
        <xdr:spPr>
          <a:xfrm>
            <a:off x="6350000" y="375920"/>
            <a:ext cx="793984" cy="725248"/>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5" name="Conector recto 14">
            <a:extLst>
              <a:ext uri="{FF2B5EF4-FFF2-40B4-BE49-F238E27FC236}">
                <a16:creationId xmlns:a16="http://schemas.microsoft.com/office/drawing/2014/main" id="{17DA89E1-5611-47E5-271E-FF02BDA9C0D2}"/>
              </a:ext>
            </a:extLst>
          </xdr:cNvPr>
          <xdr:cNvCxnSpPr/>
        </xdr:nvCxnSpPr>
        <xdr:spPr>
          <a:xfrm>
            <a:off x="9509760" y="370840"/>
            <a:ext cx="3888" cy="718509"/>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7" name="Conector recto 16">
            <a:extLst>
              <a:ext uri="{FF2B5EF4-FFF2-40B4-BE49-F238E27FC236}">
                <a16:creationId xmlns:a16="http://schemas.microsoft.com/office/drawing/2014/main" id="{B80B6B46-FB8F-C1E4-A053-08D8676774E6}"/>
              </a:ext>
            </a:extLst>
          </xdr:cNvPr>
          <xdr:cNvCxnSpPr/>
        </xdr:nvCxnSpPr>
        <xdr:spPr>
          <a:xfrm>
            <a:off x="8722360" y="375920"/>
            <a:ext cx="0" cy="721360"/>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9</xdr:col>
      <xdr:colOff>319</xdr:colOff>
      <xdr:row>8</xdr:row>
      <xdr:rowOff>182361</xdr:rowOff>
    </xdr:from>
    <xdr:to>
      <xdr:col>13</xdr:col>
      <xdr:colOff>12258</xdr:colOff>
      <xdr:row>12</xdr:row>
      <xdr:rowOff>181688</xdr:rowOff>
    </xdr:to>
    <xdr:grpSp>
      <xdr:nvGrpSpPr>
        <xdr:cNvPr id="22" name="Grupo 21">
          <a:extLst>
            <a:ext uri="{FF2B5EF4-FFF2-40B4-BE49-F238E27FC236}">
              <a16:creationId xmlns:a16="http://schemas.microsoft.com/office/drawing/2014/main" id="{E0F8179F-4530-40AF-856A-334F32F8C072}"/>
            </a:ext>
          </a:extLst>
        </xdr:cNvPr>
        <xdr:cNvGrpSpPr/>
      </xdr:nvGrpSpPr>
      <xdr:grpSpPr>
        <a:xfrm>
          <a:off x="6104786" y="1731761"/>
          <a:ext cx="3195405" cy="744394"/>
          <a:chOff x="6341654" y="370321"/>
          <a:chExt cx="3180962" cy="730847"/>
        </a:xfrm>
      </xdr:grpSpPr>
      <xdr:cxnSp macro="">
        <xdr:nvCxnSpPr>
          <xdr:cNvPr id="23" name="Conector recto 22">
            <a:extLst>
              <a:ext uri="{FF2B5EF4-FFF2-40B4-BE49-F238E27FC236}">
                <a16:creationId xmlns:a16="http://schemas.microsoft.com/office/drawing/2014/main" id="{0CECE8B3-FDE1-FA47-D995-3D14928A6B7C}"/>
              </a:ext>
            </a:extLst>
          </xdr:cNvPr>
          <xdr:cNvCxnSpPr/>
        </xdr:nvCxnSpPr>
        <xdr:spPr>
          <a:xfrm>
            <a:off x="6341654" y="370321"/>
            <a:ext cx="3180962"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 name="Conector recto 23">
            <a:extLst>
              <a:ext uri="{FF2B5EF4-FFF2-40B4-BE49-F238E27FC236}">
                <a16:creationId xmlns:a16="http://schemas.microsoft.com/office/drawing/2014/main" id="{A705E8CE-0E6C-2991-C173-FE41D80FA854}"/>
              </a:ext>
            </a:extLst>
          </xdr:cNvPr>
          <xdr:cNvCxnSpPr/>
        </xdr:nvCxnSpPr>
        <xdr:spPr>
          <a:xfrm flipV="1">
            <a:off x="7133097" y="1093237"/>
            <a:ext cx="2388328" cy="77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 name="Conector recto 24">
            <a:extLst>
              <a:ext uri="{FF2B5EF4-FFF2-40B4-BE49-F238E27FC236}">
                <a16:creationId xmlns:a16="http://schemas.microsoft.com/office/drawing/2014/main" id="{0B2B6061-2AFE-C90B-1483-8603E4328DC1}"/>
              </a:ext>
            </a:extLst>
          </xdr:cNvPr>
          <xdr:cNvCxnSpPr/>
        </xdr:nvCxnSpPr>
        <xdr:spPr>
          <a:xfrm>
            <a:off x="6350000" y="375920"/>
            <a:ext cx="793984" cy="725248"/>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6" name="Conector recto 25">
            <a:extLst>
              <a:ext uri="{FF2B5EF4-FFF2-40B4-BE49-F238E27FC236}">
                <a16:creationId xmlns:a16="http://schemas.microsoft.com/office/drawing/2014/main" id="{B471AC3E-D9AB-92E5-F3FC-61A48ED6D5E9}"/>
              </a:ext>
            </a:extLst>
          </xdr:cNvPr>
          <xdr:cNvCxnSpPr/>
        </xdr:nvCxnSpPr>
        <xdr:spPr>
          <a:xfrm>
            <a:off x="9509760" y="370840"/>
            <a:ext cx="3888" cy="718509"/>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7" name="Conector recto 26">
            <a:extLst>
              <a:ext uri="{FF2B5EF4-FFF2-40B4-BE49-F238E27FC236}">
                <a16:creationId xmlns:a16="http://schemas.microsoft.com/office/drawing/2014/main" id="{3F4A0F25-A20A-0582-42B5-EEECF6D8B544}"/>
              </a:ext>
            </a:extLst>
          </xdr:cNvPr>
          <xdr:cNvCxnSpPr/>
        </xdr:nvCxnSpPr>
        <xdr:spPr>
          <a:xfrm>
            <a:off x="8722360" y="375920"/>
            <a:ext cx="0" cy="721360"/>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10</xdr:col>
      <xdr:colOff>1814</xdr:colOff>
      <xdr:row>14</xdr:row>
      <xdr:rowOff>4366</xdr:rowOff>
    </xdr:from>
    <xdr:to>
      <xdr:col>14</xdr:col>
      <xdr:colOff>12856</xdr:colOff>
      <xdr:row>18</xdr:row>
      <xdr:rowOff>3694</xdr:rowOff>
    </xdr:to>
    <xdr:grpSp>
      <xdr:nvGrpSpPr>
        <xdr:cNvPr id="28" name="Grupo 27">
          <a:extLst>
            <a:ext uri="{FF2B5EF4-FFF2-40B4-BE49-F238E27FC236}">
              <a16:creationId xmlns:a16="http://schemas.microsoft.com/office/drawing/2014/main" id="{5E91CCEE-A197-4BDF-9039-B78FF93B36B6}"/>
            </a:ext>
          </a:extLst>
        </xdr:cNvPr>
        <xdr:cNvGrpSpPr/>
      </xdr:nvGrpSpPr>
      <xdr:grpSpPr>
        <a:xfrm>
          <a:off x="6902147" y="2671366"/>
          <a:ext cx="3194509" cy="744395"/>
          <a:chOff x="6341654" y="370321"/>
          <a:chExt cx="3180962" cy="730847"/>
        </a:xfrm>
      </xdr:grpSpPr>
      <xdr:cxnSp macro="">
        <xdr:nvCxnSpPr>
          <xdr:cNvPr id="29" name="Conector recto 28">
            <a:extLst>
              <a:ext uri="{FF2B5EF4-FFF2-40B4-BE49-F238E27FC236}">
                <a16:creationId xmlns:a16="http://schemas.microsoft.com/office/drawing/2014/main" id="{2603F88B-1217-BC39-7C47-70BD01EC10B0}"/>
              </a:ext>
            </a:extLst>
          </xdr:cNvPr>
          <xdr:cNvCxnSpPr/>
        </xdr:nvCxnSpPr>
        <xdr:spPr>
          <a:xfrm>
            <a:off x="6341654" y="370321"/>
            <a:ext cx="3180962"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0" name="Conector recto 29">
            <a:extLst>
              <a:ext uri="{FF2B5EF4-FFF2-40B4-BE49-F238E27FC236}">
                <a16:creationId xmlns:a16="http://schemas.microsoft.com/office/drawing/2014/main" id="{4DDA10AB-ED7B-0B80-3651-D5D9FFEEE1D4}"/>
              </a:ext>
            </a:extLst>
          </xdr:cNvPr>
          <xdr:cNvCxnSpPr/>
        </xdr:nvCxnSpPr>
        <xdr:spPr>
          <a:xfrm flipV="1">
            <a:off x="7133097" y="1093237"/>
            <a:ext cx="2388328" cy="77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1" name="Conector recto 30">
            <a:extLst>
              <a:ext uri="{FF2B5EF4-FFF2-40B4-BE49-F238E27FC236}">
                <a16:creationId xmlns:a16="http://schemas.microsoft.com/office/drawing/2014/main" id="{3562DC3D-8CC5-9680-4E80-4907D2E9D599}"/>
              </a:ext>
            </a:extLst>
          </xdr:cNvPr>
          <xdr:cNvCxnSpPr/>
        </xdr:nvCxnSpPr>
        <xdr:spPr>
          <a:xfrm>
            <a:off x="6350000" y="375920"/>
            <a:ext cx="793984" cy="725248"/>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2" name="Conector recto 31">
            <a:extLst>
              <a:ext uri="{FF2B5EF4-FFF2-40B4-BE49-F238E27FC236}">
                <a16:creationId xmlns:a16="http://schemas.microsoft.com/office/drawing/2014/main" id="{BE979875-755F-9B9C-D634-0CC91827C7D4}"/>
              </a:ext>
            </a:extLst>
          </xdr:cNvPr>
          <xdr:cNvCxnSpPr/>
        </xdr:nvCxnSpPr>
        <xdr:spPr>
          <a:xfrm>
            <a:off x="9509760" y="370840"/>
            <a:ext cx="3888" cy="718509"/>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3" name="Conector recto 32">
            <a:extLst>
              <a:ext uri="{FF2B5EF4-FFF2-40B4-BE49-F238E27FC236}">
                <a16:creationId xmlns:a16="http://schemas.microsoft.com/office/drawing/2014/main" id="{ABD24AEE-DD91-CCDC-C221-441466A3F3F8}"/>
              </a:ext>
            </a:extLst>
          </xdr:cNvPr>
          <xdr:cNvCxnSpPr/>
        </xdr:nvCxnSpPr>
        <xdr:spPr>
          <a:xfrm>
            <a:off x="8722360" y="375920"/>
            <a:ext cx="0" cy="721360"/>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11</xdr:col>
      <xdr:colOff>3914</xdr:colOff>
      <xdr:row>19</xdr:row>
      <xdr:rowOff>114</xdr:rowOff>
    </xdr:from>
    <xdr:to>
      <xdr:col>15</xdr:col>
      <xdr:colOff>14956</xdr:colOff>
      <xdr:row>22</xdr:row>
      <xdr:rowOff>183217</xdr:rowOff>
    </xdr:to>
    <xdr:grpSp>
      <xdr:nvGrpSpPr>
        <xdr:cNvPr id="34" name="Grupo 33">
          <a:extLst>
            <a:ext uri="{FF2B5EF4-FFF2-40B4-BE49-F238E27FC236}">
              <a16:creationId xmlns:a16="http://schemas.microsoft.com/office/drawing/2014/main" id="{38842EE0-8691-42F1-9328-9B8DE9EB89BC}"/>
            </a:ext>
          </a:extLst>
        </xdr:cNvPr>
        <xdr:cNvGrpSpPr/>
      </xdr:nvGrpSpPr>
      <xdr:grpSpPr>
        <a:xfrm>
          <a:off x="7700114" y="3598447"/>
          <a:ext cx="3194509" cy="741903"/>
          <a:chOff x="6341654" y="370321"/>
          <a:chExt cx="3180962" cy="730847"/>
        </a:xfrm>
      </xdr:grpSpPr>
      <xdr:cxnSp macro="">
        <xdr:nvCxnSpPr>
          <xdr:cNvPr id="35" name="Conector recto 34">
            <a:extLst>
              <a:ext uri="{FF2B5EF4-FFF2-40B4-BE49-F238E27FC236}">
                <a16:creationId xmlns:a16="http://schemas.microsoft.com/office/drawing/2014/main" id="{DD45384E-CEE3-3C3D-F1E2-264CDAE433B0}"/>
              </a:ext>
            </a:extLst>
          </xdr:cNvPr>
          <xdr:cNvCxnSpPr/>
        </xdr:nvCxnSpPr>
        <xdr:spPr>
          <a:xfrm>
            <a:off x="6341654" y="370321"/>
            <a:ext cx="3180962"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6" name="Conector recto 35">
            <a:extLst>
              <a:ext uri="{FF2B5EF4-FFF2-40B4-BE49-F238E27FC236}">
                <a16:creationId xmlns:a16="http://schemas.microsoft.com/office/drawing/2014/main" id="{6592E71A-9C0E-DA1D-6527-670DAF061AEA}"/>
              </a:ext>
            </a:extLst>
          </xdr:cNvPr>
          <xdr:cNvCxnSpPr/>
        </xdr:nvCxnSpPr>
        <xdr:spPr>
          <a:xfrm flipV="1">
            <a:off x="7133097" y="1093237"/>
            <a:ext cx="2388328" cy="77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7" name="Conector recto 36">
            <a:extLst>
              <a:ext uri="{FF2B5EF4-FFF2-40B4-BE49-F238E27FC236}">
                <a16:creationId xmlns:a16="http://schemas.microsoft.com/office/drawing/2014/main" id="{5D3982C2-92B0-DBE7-50F2-0437947B702B}"/>
              </a:ext>
            </a:extLst>
          </xdr:cNvPr>
          <xdr:cNvCxnSpPr/>
        </xdr:nvCxnSpPr>
        <xdr:spPr>
          <a:xfrm>
            <a:off x="6350000" y="375920"/>
            <a:ext cx="793984" cy="725248"/>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8" name="Conector recto 37">
            <a:extLst>
              <a:ext uri="{FF2B5EF4-FFF2-40B4-BE49-F238E27FC236}">
                <a16:creationId xmlns:a16="http://schemas.microsoft.com/office/drawing/2014/main" id="{35EB5B3A-EB5C-33F6-3C9E-C05BA7B5C2B6}"/>
              </a:ext>
            </a:extLst>
          </xdr:cNvPr>
          <xdr:cNvCxnSpPr/>
        </xdr:nvCxnSpPr>
        <xdr:spPr>
          <a:xfrm>
            <a:off x="9509760" y="370840"/>
            <a:ext cx="3888" cy="718509"/>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9" name="Conector recto 38">
            <a:extLst>
              <a:ext uri="{FF2B5EF4-FFF2-40B4-BE49-F238E27FC236}">
                <a16:creationId xmlns:a16="http://schemas.microsoft.com/office/drawing/2014/main" id="{EDE12BBD-52EE-7675-455B-5F70AC125D5E}"/>
              </a:ext>
            </a:extLst>
          </xdr:cNvPr>
          <xdr:cNvCxnSpPr/>
        </xdr:nvCxnSpPr>
        <xdr:spPr>
          <a:xfrm>
            <a:off x="8722360" y="375920"/>
            <a:ext cx="0" cy="721360"/>
          </a:xfrm>
          <a:prstGeom prst="line">
            <a:avLst/>
          </a:prstGeom>
          <a:ln>
            <a:prstDash val="sysDash"/>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11</xdr:col>
      <xdr:colOff>784860</xdr:colOff>
      <xdr:row>19</xdr:row>
      <xdr:rowOff>38100</xdr:rowOff>
    </xdr:from>
    <xdr:to>
      <xdr:col>13</xdr:col>
      <xdr:colOff>746760</xdr:colOff>
      <xdr:row>22</xdr:row>
      <xdr:rowOff>121920</xdr:rowOff>
    </xdr:to>
    <xdr:sp macro="" textlink="">
      <xdr:nvSpPr>
        <xdr:cNvPr id="41" name="Rectángulo 40">
          <a:extLst>
            <a:ext uri="{FF2B5EF4-FFF2-40B4-BE49-F238E27FC236}">
              <a16:creationId xmlns:a16="http://schemas.microsoft.com/office/drawing/2014/main" id="{36E83C07-7B99-8BBF-C7C0-D2883F7F6BF3}"/>
            </a:ext>
          </a:extLst>
        </xdr:cNvPr>
        <xdr:cNvSpPr/>
      </xdr:nvSpPr>
      <xdr:spPr>
        <a:xfrm>
          <a:off x="8450580" y="3528060"/>
          <a:ext cx="1546860" cy="632460"/>
        </a:xfrm>
        <a:prstGeom prst="rect">
          <a:avLst/>
        </a:prstGeom>
        <a:solidFill>
          <a:srgbClr val="64C48C"/>
        </a:solidFill>
        <a:ln w="3175">
          <a:solidFill>
            <a:srgbClr val="64C48C"/>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700" b="1">
              <a:solidFill>
                <a:schemeClr val="tx1"/>
              </a:solidFill>
              <a:effectLst/>
              <a:latin typeface="+mn-lt"/>
              <a:ea typeface="+mn-ea"/>
              <a:cs typeface="+mn-cs"/>
            </a:rPr>
            <a:t>Aplicación de Prácticas de Gestión de Confiabilidad en Activos</a:t>
          </a:r>
          <a:endParaRPr lang="es-CO" sz="700" b="1">
            <a:solidFill>
              <a:schemeClr val="tx1"/>
            </a:solidFill>
          </a:endParaRPr>
        </a:p>
      </xdr:txBody>
    </xdr:sp>
    <xdr:clientData/>
  </xdr:twoCellAnchor>
  <xdr:twoCellAnchor>
    <xdr:from>
      <xdr:col>10</xdr:col>
      <xdr:colOff>789623</xdr:colOff>
      <xdr:row>14</xdr:row>
      <xdr:rowOff>34290</xdr:rowOff>
    </xdr:from>
    <xdr:to>
      <xdr:col>12</xdr:col>
      <xdr:colOff>749618</xdr:colOff>
      <xdr:row>17</xdr:row>
      <xdr:rowOff>118110</xdr:rowOff>
    </xdr:to>
    <xdr:sp macro="" textlink="">
      <xdr:nvSpPr>
        <xdr:cNvPr id="42" name="Rectángulo 41">
          <a:extLst>
            <a:ext uri="{FF2B5EF4-FFF2-40B4-BE49-F238E27FC236}">
              <a16:creationId xmlns:a16="http://schemas.microsoft.com/office/drawing/2014/main" id="{7F3BF2C0-D357-4BE9-A91B-0FB19D15440C}"/>
            </a:ext>
          </a:extLst>
        </xdr:cNvPr>
        <xdr:cNvSpPr/>
      </xdr:nvSpPr>
      <xdr:spPr>
        <a:xfrm>
          <a:off x="7662863" y="2609850"/>
          <a:ext cx="1544955" cy="632460"/>
        </a:xfrm>
        <a:prstGeom prst="rect">
          <a:avLst/>
        </a:prstGeom>
        <a:solidFill>
          <a:srgbClr val="649CC4"/>
        </a:solidFill>
        <a:ln w="3175">
          <a:solidFill>
            <a:srgbClr val="649CC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ES" sz="700" b="1">
              <a:solidFill>
                <a:schemeClr val="tx1"/>
              </a:solidFill>
              <a:effectLst/>
              <a:latin typeface="+mn-lt"/>
              <a:ea typeface="+mn-ea"/>
              <a:cs typeface="+mn-cs"/>
            </a:rPr>
            <a:t>Aplicación de Prácticas de Gestión de Confiabilidad en Sistemas de Activos</a:t>
          </a:r>
          <a:endParaRPr lang="es-CO" sz="700" b="1">
            <a:solidFill>
              <a:schemeClr val="tx1"/>
            </a:solidFill>
            <a:effectLst/>
            <a:latin typeface="+mn-lt"/>
            <a:ea typeface="+mn-ea"/>
            <a:cs typeface="+mn-cs"/>
          </a:endParaRPr>
        </a:p>
      </xdr:txBody>
    </xdr:sp>
    <xdr:clientData/>
  </xdr:twoCellAnchor>
  <xdr:twoCellAnchor>
    <xdr:from>
      <xdr:col>9</xdr:col>
      <xdr:colOff>672</xdr:colOff>
      <xdr:row>4</xdr:row>
      <xdr:rowOff>43647</xdr:rowOff>
    </xdr:from>
    <xdr:to>
      <xdr:col>10</xdr:col>
      <xdr:colOff>753147</xdr:colOff>
      <xdr:row>7</xdr:row>
      <xdr:rowOff>130268</xdr:rowOff>
    </xdr:to>
    <xdr:sp macro="" textlink="">
      <xdr:nvSpPr>
        <xdr:cNvPr id="44" name="Rectángulo 43">
          <a:extLst>
            <a:ext uri="{FF2B5EF4-FFF2-40B4-BE49-F238E27FC236}">
              <a16:creationId xmlns:a16="http://schemas.microsoft.com/office/drawing/2014/main" id="{D7710E57-40EA-4511-AA3C-88262B8352FB}"/>
            </a:ext>
          </a:extLst>
        </xdr:cNvPr>
        <xdr:cNvSpPr/>
      </xdr:nvSpPr>
      <xdr:spPr>
        <a:xfrm>
          <a:off x="6081432" y="790407"/>
          <a:ext cx="1544955" cy="635261"/>
        </a:xfrm>
        <a:prstGeom prst="rect">
          <a:avLst/>
        </a:prstGeom>
        <a:solidFill>
          <a:srgbClr val="C46464"/>
        </a:solidFill>
        <a:ln w="3175">
          <a:solidFill>
            <a:srgbClr val="C4646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s-CO" sz="700" b="1">
              <a:solidFill>
                <a:schemeClr val="tx1"/>
              </a:solidFill>
              <a:effectLst/>
              <a:latin typeface="+mn-lt"/>
              <a:ea typeface="+mn-ea"/>
              <a:cs typeface="+mn-cs"/>
            </a:rPr>
            <a:t>Gestión de Prácticas de Confiabilidad Organizacional </a:t>
          </a:r>
        </a:p>
      </xdr:txBody>
    </xdr:sp>
    <xdr:clientData/>
  </xdr:twoCellAnchor>
  <xdr:twoCellAnchor>
    <xdr:from>
      <xdr:col>7</xdr:col>
      <xdr:colOff>448231</xdr:colOff>
      <xdr:row>5</xdr:row>
      <xdr:rowOff>122612</xdr:rowOff>
    </xdr:from>
    <xdr:to>
      <xdr:col>8</xdr:col>
      <xdr:colOff>758375</xdr:colOff>
      <xdr:row>8</xdr:row>
      <xdr:rowOff>115128</xdr:rowOff>
    </xdr:to>
    <xdr:sp macro="" textlink="">
      <xdr:nvSpPr>
        <xdr:cNvPr id="46" name="Rectángulo 45">
          <a:extLst>
            <a:ext uri="{FF2B5EF4-FFF2-40B4-BE49-F238E27FC236}">
              <a16:creationId xmlns:a16="http://schemas.microsoft.com/office/drawing/2014/main" id="{ADA76866-D5B2-6214-CA87-827F28B1CDAF}"/>
            </a:ext>
          </a:extLst>
        </xdr:cNvPr>
        <xdr:cNvSpPr/>
      </xdr:nvSpPr>
      <xdr:spPr>
        <a:xfrm rot="2552084">
          <a:off x="5158215" y="855780"/>
          <a:ext cx="1103036" cy="542391"/>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428322</xdr:colOff>
      <xdr:row>10</xdr:row>
      <xdr:rowOff>100646</xdr:rowOff>
    </xdr:from>
    <xdr:to>
      <xdr:col>9</xdr:col>
      <xdr:colOff>738466</xdr:colOff>
      <xdr:row>13</xdr:row>
      <xdr:rowOff>93161</xdr:rowOff>
    </xdr:to>
    <xdr:sp macro="" textlink="">
      <xdr:nvSpPr>
        <xdr:cNvPr id="47" name="Rectángulo 46">
          <a:extLst>
            <a:ext uri="{FF2B5EF4-FFF2-40B4-BE49-F238E27FC236}">
              <a16:creationId xmlns:a16="http://schemas.microsoft.com/office/drawing/2014/main" id="{DE03B81D-F025-4E26-B1A3-B34B8B2FA929}"/>
            </a:ext>
          </a:extLst>
        </xdr:cNvPr>
        <xdr:cNvSpPr/>
      </xdr:nvSpPr>
      <xdr:spPr>
        <a:xfrm rot="2552084">
          <a:off x="5933944" y="1737916"/>
          <a:ext cx="1103036" cy="538272"/>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344173</xdr:colOff>
      <xdr:row>15</xdr:row>
      <xdr:rowOff>83841</xdr:rowOff>
    </xdr:from>
    <xdr:to>
      <xdr:col>10</xdr:col>
      <xdr:colOff>779441</xdr:colOff>
      <xdr:row>18</xdr:row>
      <xdr:rowOff>76356</xdr:rowOff>
    </xdr:to>
    <xdr:sp macro="" textlink="">
      <xdr:nvSpPr>
        <xdr:cNvPr id="48" name="Rectángulo 47">
          <a:extLst>
            <a:ext uri="{FF2B5EF4-FFF2-40B4-BE49-F238E27FC236}">
              <a16:creationId xmlns:a16="http://schemas.microsoft.com/office/drawing/2014/main" id="{90311411-5ECA-4C82-8613-57E2B853EDFE}"/>
            </a:ext>
          </a:extLst>
        </xdr:cNvPr>
        <xdr:cNvSpPr/>
      </xdr:nvSpPr>
      <xdr:spPr>
        <a:xfrm rot="2552084">
          <a:off x="6631902" y="2630396"/>
          <a:ext cx="1226765" cy="538205"/>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10</xdr:col>
      <xdr:colOff>371987</xdr:colOff>
      <xdr:row>19</xdr:row>
      <xdr:rowOff>164296</xdr:rowOff>
    </xdr:from>
    <xdr:to>
      <xdr:col>11</xdr:col>
      <xdr:colOff>533595</xdr:colOff>
      <xdr:row>22</xdr:row>
      <xdr:rowOff>156811</xdr:rowOff>
    </xdr:to>
    <xdr:sp macro="" textlink="">
      <xdr:nvSpPr>
        <xdr:cNvPr id="49" name="Rectángulo 48">
          <a:extLst>
            <a:ext uri="{FF2B5EF4-FFF2-40B4-BE49-F238E27FC236}">
              <a16:creationId xmlns:a16="http://schemas.microsoft.com/office/drawing/2014/main" id="{3C71F790-D687-4424-B603-D8A6DFCE09ED}"/>
            </a:ext>
          </a:extLst>
        </xdr:cNvPr>
        <xdr:cNvSpPr/>
      </xdr:nvSpPr>
      <xdr:spPr>
        <a:xfrm rot="2552084">
          <a:off x="7461635" y="3456136"/>
          <a:ext cx="954088" cy="541155"/>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329673</xdr:colOff>
      <xdr:row>22</xdr:row>
      <xdr:rowOff>57502</xdr:rowOff>
    </xdr:from>
    <xdr:to>
      <xdr:col>12</xdr:col>
      <xdr:colOff>76382</xdr:colOff>
      <xdr:row>23</xdr:row>
      <xdr:rowOff>115324</xdr:rowOff>
    </xdr:to>
    <xdr:sp macro="" textlink="">
      <xdr:nvSpPr>
        <xdr:cNvPr id="50" name="Rectángulo 49">
          <a:extLst>
            <a:ext uri="{FF2B5EF4-FFF2-40B4-BE49-F238E27FC236}">
              <a16:creationId xmlns:a16="http://schemas.microsoft.com/office/drawing/2014/main" id="{B7A166BD-CAE8-4542-B916-5941D8AE02FD}"/>
            </a:ext>
          </a:extLst>
        </xdr:cNvPr>
        <xdr:cNvSpPr/>
      </xdr:nvSpPr>
      <xdr:spPr>
        <a:xfrm rot="7949648">
          <a:off x="8337041" y="3708734"/>
          <a:ext cx="238797" cy="537284"/>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586985</xdr:colOff>
      <xdr:row>17</xdr:row>
      <xdr:rowOff>120932</xdr:rowOff>
    </xdr:from>
    <xdr:to>
      <xdr:col>4</xdr:col>
      <xdr:colOff>336790</xdr:colOff>
      <xdr:row>23</xdr:row>
      <xdr:rowOff>123454</xdr:rowOff>
    </xdr:to>
    <xdr:sp macro="" textlink="">
      <xdr:nvSpPr>
        <xdr:cNvPr id="51" name="Rectángulo 50">
          <a:extLst>
            <a:ext uri="{FF2B5EF4-FFF2-40B4-BE49-F238E27FC236}">
              <a16:creationId xmlns:a16="http://schemas.microsoft.com/office/drawing/2014/main" id="{CED5D661-F1C3-42ED-BECD-916A020D4A58}"/>
            </a:ext>
          </a:extLst>
        </xdr:cNvPr>
        <xdr:cNvSpPr/>
      </xdr:nvSpPr>
      <xdr:spPr>
        <a:xfrm rot="18156902">
          <a:off x="1844926" y="3336213"/>
          <a:ext cx="1103189" cy="542850"/>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397897</xdr:colOff>
      <xdr:row>12</xdr:row>
      <xdr:rowOff>109642</xdr:rowOff>
    </xdr:from>
    <xdr:to>
      <xdr:col>5</xdr:col>
      <xdr:colOff>147703</xdr:colOff>
      <xdr:row>18</xdr:row>
      <xdr:rowOff>112164</xdr:rowOff>
    </xdr:to>
    <xdr:sp macro="" textlink="">
      <xdr:nvSpPr>
        <xdr:cNvPr id="52" name="Rectángulo 51">
          <a:extLst>
            <a:ext uri="{FF2B5EF4-FFF2-40B4-BE49-F238E27FC236}">
              <a16:creationId xmlns:a16="http://schemas.microsoft.com/office/drawing/2014/main" id="{A1CC5CE6-5B00-4312-BB0E-02C2FECACDB2}"/>
            </a:ext>
          </a:extLst>
        </xdr:cNvPr>
        <xdr:cNvSpPr/>
      </xdr:nvSpPr>
      <xdr:spPr>
        <a:xfrm rot="18178026">
          <a:off x="2448883" y="2407701"/>
          <a:ext cx="1103189" cy="542850"/>
        </a:xfrm>
        <a:prstGeom prst="rect">
          <a:avLst/>
        </a:prstGeom>
        <a:solidFill>
          <a:schemeClr val="bg1">
            <a:lumMod val="95000"/>
          </a:schemeClr>
        </a:solidFill>
        <a:ln w="6350">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197116</xdr:colOff>
      <xdr:row>7</xdr:row>
      <xdr:rowOff>103895</xdr:rowOff>
    </xdr:from>
    <xdr:to>
      <xdr:col>5</xdr:col>
      <xdr:colOff>739966</xdr:colOff>
      <xdr:row>13</xdr:row>
      <xdr:rowOff>106418</xdr:rowOff>
    </xdr:to>
    <xdr:sp macro="" textlink="">
      <xdr:nvSpPr>
        <xdr:cNvPr id="53" name="Rectángulo 52">
          <a:extLst>
            <a:ext uri="{FF2B5EF4-FFF2-40B4-BE49-F238E27FC236}">
              <a16:creationId xmlns:a16="http://schemas.microsoft.com/office/drawing/2014/main" id="{4FF9DA6A-60AB-4C1D-8C4E-813B4B1ED604}"/>
            </a:ext>
          </a:extLst>
        </xdr:cNvPr>
        <xdr:cNvSpPr/>
      </xdr:nvSpPr>
      <xdr:spPr>
        <a:xfrm rot="18178026">
          <a:off x="3041751" y="1491082"/>
          <a:ext cx="1096537" cy="542850"/>
        </a:xfrm>
        <a:prstGeom prst="rect">
          <a:avLst/>
        </a:prstGeom>
        <a:solidFill>
          <a:schemeClr val="bg1">
            <a:lumMod val="95000"/>
          </a:schemeClr>
        </a:solidFill>
        <a:ln w="6350">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615600</xdr:colOff>
      <xdr:row>4</xdr:row>
      <xdr:rowOff>36341</xdr:rowOff>
    </xdr:from>
    <xdr:to>
      <xdr:col>6</xdr:col>
      <xdr:colOff>440304</xdr:colOff>
      <xdr:row>8</xdr:row>
      <xdr:rowOff>92028</xdr:rowOff>
    </xdr:to>
    <xdr:sp macro="" textlink="">
      <xdr:nvSpPr>
        <xdr:cNvPr id="54" name="Rectángulo 53">
          <a:extLst>
            <a:ext uri="{FF2B5EF4-FFF2-40B4-BE49-F238E27FC236}">
              <a16:creationId xmlns:a16="http://schemas.microsoft.com/office/drawing/2014/main" id="{0D97CF21-6DAF-4D05-9663-EFD0F947FCA1}"/>
            </a:ext>
          </a:extLst>
        </xdr:cNvPr>
        <xdr:cNvSpPr/>
      </xdr:nvSpPr>
      <xdr:spPr>
        <a:xfrm rot="18178026">
          <a:off x="3652884" y="683872"/>
          <a:ext cx="785030" cy="616639"/>
        </a:xfrm>
        <a:prstGeom prst="rect">
          <a:avLst/>
        </a:prstGeom>
        <a:solidFill>
          <a:schemeClr val="bg1">
            <a:lumMod val="95000"/>
          </a:schemeClr>
        </a:solidFill>
        <a:ln w="6350">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300091</xdr:colOff>
      <xdr:row>3</xdr:row>
      <xdr:rowOff>37264</xdr:rowOff>
    </xdr:from>
    <xdr:to>
      <xdr:col>6</xdr:col>
      <xdr:colOff>592518</xdr:colOff>
      <xdr:row>7</xdr:row>
      <xdr:rowOff>92951</xdr:rowOff>
    </xdr:to>
    <xdr:sp macro="" textlink="">
      <xdr:nvSpPr>
        <xdr:cNvPr id="55" name="Rectángulo 54">
          <a:extLst>
            <a:ext uri="{FF2B5EF4-FFF2-40B4-BE49-F238E27FC236}">
              <a16:creationId xmlns:a16="http://schemas.microsoft.com/office/drawing/2014/main" id="{4AECAD17-0DDC-46F1-B52E-C59D36B5A7D3}"/>
            </a:ext>
          </a:extLst>
        </xdr:cNvPr>
        <xdr:cNvSpPr/>
      </xdr:nvSpPr>
      <xdr:spPr>
        <a:xfrm rot="18178026">
          <a:off x="3967204" y="664565"/>
          <a:ext cx="785030" cy="292427"/>
        </a:xfrm>
        <a:prstGeom prst="rect">
          <a:avLst/>
        </a:prstGeom>
        <a:solidFill>
          <a:schemeClr val="bg1">
            <a:lumMod val="95000"/>
          </a:schemeClr>
        </a:solidFill>
        <a:ln w="6350">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715107</xdr:colOff>
      <xdr:row>13</xdr:row>
      <xdr:rowOff>17585</xdr:rowOff>
    </xdr:from>
    <xdr:to>
      <xdr:col>4</xdr:col>
      <xdr:colOff>515816</xdr:colOff>
      <xdr:row>18</xdr:row>
      <xdr:rowOff>128954</xdr:rowOff>
    </xdr:to>
    <xdr:sp macro="" textlink="">
      <xdr:nvSpPr>
        <xdr:cNvPr id="56" name="Rectángulo 55">
          <a:extLst>
            <a:ext uri="{FF2B5EF4-FFF2-40B4-BE49-F238E27FC236}">
              <a16:creationId xmlns:a16="http://schemas.microsoft.com/office/drawing/2014/main" id="{A754F3FB-7218-E6DE-2BDB-D5DA77978111}"/>
            </a:ext>
          </a:extLst>
        </xdr:cNvPr>
        <xdr:cNvSpPr/>
      </xdr:nvSpPr>
      <xdr:spPr>
        <a:xfrm>
          <a:off x="2256692" y="2198077"/>
          <a:ext cx="592016" cy="1019908"/>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615462</xdr:colOff>
      <xdr:row>8</xdr:row>
      <xdr:rowOff>140676</xdr:rowOff>
    </xdr:from>
    <xdr:to>
      <xdr:col>5</xdr:col>
      <xdr:colOff>416170</xdr:colOff>
      <xdr:row>11</xdr:row>
      <xdr:rowOff>169984</xdr:rowOff>
    </xdr:to>
    <xdr:sp macro="" textlink="">
      <xdr:nvSpPr>
        <xdr:cNvPr id="57" name="Rectángulo 56">
          <a:extLst>
            <a:ext uri="{FF2B5EF4-FFF2-40B4-BE49-F238E27FC236}">
              <a16:creationId xmlns:a16="http://schemas.microsoft.com/office/drawing/2014/main" id="{18FC58D6-ED1E-45F0-9D6B-660478C53C32}"/>
            </a:ext>
          </a:extLst>
        </xdr:cNvPr>
        <xdr:cNvSpPr/>
      </xdr:nvSpPr>
      <xdr:spPr>
        <a:xfrm>
          <a:off x="2948354" y="1412630"/>
          <a:ext cx="592016" cy="574431"/>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457200</xdr:colOff>
      <xdr:row>3</xdr:row>
      <xdr:rowOff>134817</xdr:rowOff>
    </xdr:from>
    <xdr:to>
      <xdr:col>6</xdr:col>
      <xdr:colOff>504092</xdr:colOff>
      <xdr:row>4</xdr:row>
      <xdr:rowOff>152401</xdr:rowOff>
    </xdr:to>
    <xdr:sp macro="" textlink="">
      <xdr:nvSpPr>
        <xdr:cNvPr id="58" name="Rectángulo 57">
          <a:extLst>
            <a:ext uri="{FF2B5EF4-FFF2-40B4-BE49-F238E27FC236}">
              <a16:creationId xmlns:a16="http://schemas.microsoft.com/office/drawing/2014/main" id="{F06B7987-B083-4EDA-AD2A-7F14D2BA8417}"/>
            </a:ext>
          </a:extLst>
        </xdr:cNvPr>
        <xdr:cNvSpPr/>
      </xdr:nvSpPr>
      <xdr:spPr>
        <a:xfrm>
          <a:off x="3581400" y="498232"/>
          <a:ext cx="838200" cy="199292"/>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457161</xdr:colOff>
      <xdr:row>17</xdr:row>
      <xdr:rowOff>126576</xdr:rowOff>
    </xdr:from>
    <xdr:to>
      <xdr:col>10</xdr:col>
      <xdr:colOff>209789</xdr:colOff>
      <xdr:row>23</xdr:row>
      <xdr:rowOff>129098</xdr:rowOff>
    </xdr:to>
    <xdr:sp macro="" textlink="">
      <xdr:nvSpPr>
        <xdr:cNvPr id="59" name="Rectángulo 58">
          <a:extLst>
            <a:ext uri="{FF2B5EF4-FFF2-40B4-BE49-F238E27FC236}">
              <a16:creationId xmlns:a16="http://schemas.microsoft.com/office/drawing/2014/main" id="{C87F3BEB-634E-4C29-838B-5B19707FE551}"/>
            </a:ext>
          </a:extLst>
        </xdr:cNvPr>
        <xdr:cNvSpPr/>
      </xdr:nvSpPr>
      <xdr:spPr>
        <a:xfrm rot="3428776">
          <a:off x="6474780" y="3357379"/>
          <a:ext cx="1103189" cy="545672"/>
        </a:xfrm>
        <a:prstGeom prst="rect">
          <a:avLst/>
        </a:prstGeom>
        <a:solidFill>
          <a:schemeClr val="bg1">
            <a:lumMod val="95000"/>
          </a:schemeClr>
        </a:solidFill>
        <a:ln w="6350">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660564</xdr:colOff>
      <xdr:row>12</xdr:row>
      <xdr:rowOff>128591</xdr:rowOff>
    </xdr:from>
    <xdr:to>
      <xdr:col>9</xdr:col>
      <xdr:colOff>413191</xdr:colOff>
      <xdr:row>18</xdr:row>
      <xdr:rowOff>131113</xdr:rowOff>
    </xdr:to>
    <xdr:sp macro="" textlink="">
      <xdr:nvSpPr>
        <xdr:cNvPr id="60" name="Rectángulo 59">
          <a:extLst>
            <a:ext uri="{FF2B5EF4-FFF2-40B4-BE49-F238E27FC236}">
              <a16:creationId xmlns:a16="http://schemas.microsoft.com/office/drawing/2014/main" id="{EC599AEA-67E5-401B-AFAE-D6E293447C9A}"/>
            </a:ext>
          </a:extLst>
        </xdr:cNvPr>
        <xdr:cNvSpPr/>
      </xdr:nvSpPr>
      <xdr:spPr>
        <a:xfrm rot="3428776">
          <a:off x="5881862" y="2426600"/>
          <a:ext cx="1096537" cy="544562"/>
        </a:xfrm>
        <a:prstGeom prst="rect">
          <a:avLst/>
        </a:prstGeom>
        <a:solidFill>
          <a:schemeClr val="bg1">
            <a:lumMod val="95000"/>
          </a:schemeClr>
        </a:solidFill>
        <a:ln w="6350">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148254</xdr:colOff>
      <xdr:row>7</xdr:row>
      <xdr:rowOff>44307</xdr:rowOff>
    </xdr:from>
    <xdr:to>
      <xdr:col>8</xdr:col>
      <xdr:colOff>693926</xdr:colOff>
      <xdr:row>15</xdr:row>
      <xdr:rowOff>89513</xdr:rowOff>
    </xdr:to>
    <xdr:sp macro="" textlink="">
      <xdr:nvSpPr>
        <xdr:cNvPr id="61" name="Rectángulo 60">
          <a:extLst>
            <a:ext uri="{FF2B5EF4-FFF2-40B4-BE49-F238E27FC236}">
              <a16:creationId xmlns:a16="http://schemas.microsoft.com/office/drawing/2014/main" id="{EC27AE0F-E201-455C-A58F-D1FDC6C65D28}"/>
            </a:ext>
          </a:extLst>
        </xdr:cNvPr>
        <xdr:cNvSpPr/>
      </xdr:nvSpPr>
      <xdr:spPr>
        <a:xfrm rot="3428776">
          <a:off x="5166430" y="1633760"/>
          <a:ext cx="1503892" cy="545672"/>
        </a:xfrm>
        <a:prstGeom prst="rect">
          <a:avLst/>
        </a:prstGeom>
        <a:solidFill>
          <a:schemeClr val="bg1">
            <a:lumMod val="95000"/>
          </a:schemeClr>
        </a:solidFill>
        <a:ln w="6350">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278199</xdr:colOff>
      <xdr:row>3</xdr:row>
      <xdr:rowOff>3866</xdr:rowOff>
    </xdr:from>
    <xdr:to>
      <xdr:col>7</xdr:col>
      <xdr:colOff>485517</xdr:colOff>
      <xdr:row>9</xdr:row>
      <xdr:rowOff>6388</xdr:rowOff>
    </xdr:to>
    <xdr:sp macro="" textlink="">
      <xdr:nvSpPr>
        <xdr:cNvPr id="62" name="Rectángulo 61">
          <a:extLst>
            <a:ext uri="{FF2B5EF4-FFF2-40B4-BE49-F238E27FC236}">
              <a16:creationId xmlns:a16="http://schemas.microsoft.com/office/drawing/2014/main" id="{0F7D2337-5019-4412-9DFF-C7C60D03AE84}"/>
            </a:ext>
          </a:extLst>
        </xdr:cNvPr>
        <xdr:cNvSpPr/>
      </xdr:nvSpPr>
      <xdr:spPr>
        <a:xfrm rot="3428776">
          <a:off x="4540552" y="835624"/>
          <a:ext cx="1103189" cy="207318"/>
        </a:xfrm>
        <a:prstGeom prst="rect">
          <a:avLst/>
        </a:prstGeom>
        <a:solidFill>
          <a:schemeClr val="bg1">
            <a:lumMod val="95000"/>
          </a:schemeClr>
        </a:solidFill>
        <a:ln w="6350">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220133</xdr:colOff>
      <xdr:row>3</xdr:row>
      <xdr:rowOff>146756</xdr:rowOff>
    </xdr:from>
    <xdr:to>
      <xdr:col>7</xdr:col>
      <xdr:colOff>770467</xdr:colOff>
      <xdr:row>5</xdr:row>
      <xdr:rowOff>118533</xdr:rowOff>
    </xdr:to>
    <xdr:sp macro="" textlink="">
      <xdr:nvSpPr>
        <xdr:cNvPr id="63" name="Rectángulo 62">
          <a:extLst>
            <a:ext uri="{FF2B5EF4-FFF2-40B4-BE49-F238E27FC236}">
              <a16:creationId xmlns:a16="http://schemas.microsoft.com/office/drawing/2014/main" id="{AC9A737E-1931-15DB-9591-8ABBA95F2432}"/>
            </a:ext>
          </a:extLst>
        </xdr:cNvPr>
        <xdr:cNvSpPr/>
      </xdr:nvSpPr>
      <xdr:spPr>
        <a:xfrm>
          <a:off x="4930422" y="530578"/>
          <a:ext cx="550334" cy="338666"/>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423334</xdr:colOff>
      <xdr:row>8</xdr:row>
      <xdr:rowOff>79022</xdr:rowOff>
    </xdr:from>
    <xdr:to>
      <xdr:col>8</xdr:col>
      <xdr:colOff>784578</xdr:colOff>
      <xdr:row>10</xdr:row>
      <xdr:rowOff>50799</xdr:rowOff>
    </xdr:to>
    <xdr:sp macro="" textlink="">
      <xdr:nvSpPr>
        <xdr:cNvPr id="64" name="Rectángulo 63">
          <a:extLst>
            <a:ext uri="{FF2B5EF4-FFF2-40B4-BE49-F238E27FC236}">
              <a16:creationId xmlns:a16="http://schemas.microsoft.com/office/drawing/2014/main" id="{3765DDEC-F482-4C60-9005-E960C07F03FE}"/>
            </a:ext>
          </a:extLst>
        </xdr:cNvPr>
        <xdr:cNvSpPr/>
      </xdr:nvSpPr>
      <xdr:spPr>
        <a:xfrm>
          <a:off x="5926667" y="1380066"/>
          <a:ext cx="361244" cy="338666"/>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637822</xdr:colOff>
      <xdr:row>6</xdr:row>
      <xdr:rowOff>135466</xdr:rowOff>
    </xdr:from>
    <xdr:to>
      <xdr:col>8</xdr:col>
      <xdr:colOff>206022</xdr:colOff>
      <xdr:row>8</xdr:row>
      <xdr:rowOff>107244</xdr:rowOff>
    </xdr:to>
    <xdr:sp macro="" textlink="">
      <xdr:nvSpPr>
        <xdr:cNvPr id="65" name="Rectángulo 64">
          <a:extLst>
            <a:ext uri="{FF2B5EF4-FFF2-40B4-BE49-F238E27FC236}">
              <a16:creationId xmlns:a16="http://schemas.microsoft.com/office/drawing/2014/main" id="{6C1FB14D-E65F-4BEC-95E2-F8522306EA99}"/>
            </a:ext>
          </a:extLst>
        </xdr:cNvPr>
        <xdr:cNvSpPr/>
      </xdr:nvSpPr>
      <xdr:spPr>
        <a:xfrm>
          <a:off x="5348111" y="1069622"/>
          <a:ext cx="361244" cy="338666"/>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595489</xdr:colOff>
      <xdr:row>17</xdr:row>
      <xdr:rowOff>84667</xdr:rowOff>
    </xdr:from>
    <xdr:to>
      <xdr:col>10</xdr:col>
      <xdr:colOff>163689</xdr:colOff>
      <xdr:row>19</xdr:row>
      <xdr:rowOff>56444</xdr:rowOff>
    </xdr:to>
    <xdr:sp macro="" textlink="">
      <xdr:nvSpPr>
        <xdr:cNvPr id="66" name="Rectángulo 65">
          <a:extLst>
            <a:ext uri="{FF2B5EF4-FFF2-40B4-BE49-F238E27FC236}">
              <a16:creationId xmlns:a16="http://schemas.microsoft.com/office/drawing/2014/main" id="{F023CF12-915F-4F26-9E10-F5E659862240}"/>
            </a:ext>
          </a:extLst>
        </xdr:cNvPr>
        <xdr:cNvSpPr/>
      </xdr:nvSpPr>
      <xdr:spPr>
        <a:xfrm>
          <a:off x="6891867" y="3036711"/>
          <a:ext cx="361244" cy="338666"/>
        </a:xfrm>
        <a:prstGeom prst="rect">
          <a:avLst/>
        </a:prstGeom>
        <a:solidFill>
          <a:schemeClr val="bg1">
            <a:lumMod val="95000"/>
          </a:schemeClr>
        </a:solidFill>
        <a:ln>
          <a:solidFill>
            <a:schemeClr val="bg1">
              <a:lumMod val="9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57727</xdr:colOff>
      <xdr:row>27</xdr:row>
      <xdr:rowOff>145702</xdr:rowOff>
    </xdr:from>
    <xdr:to>
      <xdr:col>14</xdr:col>
      <xdr:colOff>785091</xdr:colOff>
      <xdr:row>52</xdr:row>
      <xdr:rowOff>127000</xdr:rowOff>
    </xdr:to>
    <xdr:graphicFrame macro="">
      <xdr:nvGraphicFramePr>
        <xdr:cNvPr id="2" name="Gráfico 1">
          <a:extLst>
            <a:ext uri="{FF2B5EF4-FFF2-40B4-BE49-F238E27FC236}">
              <a16:creationId xmlns:a16="http://schemas.microsoft.com/office/drawing/2014/main" id="{4583C5C2-52B9-43EF-9338-692085EE27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40870</xdr:colOff>
      <xdr:row>94</xdr:row>
      <xdr:rowOff>175985</xdr:rowOff>
    </xdr:from>
    <xdr:to>
      <xdr:col>14</xdr:col>
      <xdr:colOff>768507</xdr:colOff>
      <xdr:row>118</xdr:row>
      <xdr:rowOff>77040</xdr:rowOff>
    </xdr:to>
    <xdr:graphicFrame macro="">
      <xdr:nvGraphicFramePr>
        <xdr:cNvPr id="4" name="Gráfico 3">
          <a:extLst>
            <a:ext uri="{FF2B5EF4-FFF2-40B4-BE49-F238E27FC236}">
              <a16:creationId xmlns:a16="http://schemas.microsoft.com/office/drawing/2014/main" id="{7C8286C7-9B56-4BAD-9ADA-2CE3B55804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779780</xdr:colOff>
      <xdr:row>143</xdr:row>
      <xdr:rowOff>129670</xdr:rowOff>
    </xdr:from>
    <xdr:to>
      <xdr:col>14</xdr:col>
      <xdr:colOff>710780</xdr:colOff>
      <xdr:row>168</xdr:row>
      <xdr:rowOff>112289</xdr:rowOff>
    </xdr:to>
    <xdr:graphicFrame macro="">
      <xdr:nvGraphicFramePr>
        <xdr:cNvPr id="5" name="Gráfico 4">
          <a:extLst>
            <a:ext uri="{FF2B5EF4-FFF2-40B4-BE49-F238E27FC236}">
              <a16:creationId xmlns:a16="http://schemas.microsoft.com/office/drawing/2014/main" id="{3178C698-9267-4FCE-A13A-A4C9D7E067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49807</xdr:colOff>
      <xdr:row>196</xdr:row>
      <xdr:rowOff>138310</xdr:rowOff>
    </xdr:from>
    <xdr:to>
      <xdr:col>14</xdr:col>
      <xdr:colOff>777444</xdr:colOff>
      <xdr:row>221</xdr:row>
      <xdr:rowOff>120928</xdr:rowOff>
    </xdr:to>
    <xdr:graphicFrame macro="">
      <xdr:nvGraphicFramePr>
        <xdr:cNvPr id="9" name="Gráfico 8">
          <a:extLst>
            <a:ext uri="{FF2B5EF4-FFF2-40B4-BE49-F238E27FC236}">
              <a16:creationId xmlns:a16="http://schemas.microsoft.com/office/drawing/2014/main" id="{F5C2B09E-4F37-40B4-A81A-5644FAA5DC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116205</xdr:colOff>
      <xdr:row>5</xdr:row>
      <xdr:rowOff>161925</xdr:rowOff>
    </xdr:from>
    <xdr:to>
      <xdr:col>16</xdr:col>
      <xdr:colOff>228600</xdr:colOff>
      <xdr:row>28</xdr:row>
      <xdr:rowOff>85725</xdr:rowOff>
    </xdr:to>
    <xdr:graphicFrame macro="">
      <xdr:nvGraphicFramePr>
        <xdr:cNvPr id="59" name="Gráfico 58">
          <a:extLst>
            <a:ext uri="{FF2B5EF4-FFF2-40B4-BE49-F238E27FC236}">
              <a16:creationId xmlns:a16="http://schemas.microsoft.com/office/drawing/2014/main" id="{96CA1672-D72B-49AE-B2BE-CDB6CA808F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978353</xdr:colOff>
      <xdr:row>8</xdr:row>
      <xdr:rowOff>8165</xdr:rowOff>
    </xdr:from>
    <xdr:to>
      <xdr:col>19</xdr:col>
      <xdr:colOff>171448</xdr:colOff>
      <xdr:row>26</xdr:row>
      <xdr:rowOff>122465</xdr:rowOff>
    </xdr:to>
    <xdr:sp macro="" textlink="">
      <xdr:nvSpPr>
        <xdr:cNvPr id="76" name="Rectángulo: esquinas redondeadas 75">
          <a:extLst>
            <a:ext uri="{FF2B5EF4-FFF2-40B4-BE49-F238E27FC236}">
              <a16:creationId xmlns:a16="http://schemas.microsoft.com/office/drawing/2014/main" id="{790C2B0A-F5CF-49C8-FF7D-A1B9997D3433}"/>
            </a:ext>
          </a:extLst>
        </xdr:cNvPr>
        <xdr:cNvSpPr/>
      </xdr:nvSpPr>
      <xdr:spPr>
        <a:xfrm>
          <a:off x="13943239" y="1532165"/>
          <a:ext cx="1370238" cy="3467100"/>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120533</xdr:colOff>
      <xdr:row>8</xdr:row>
      <xdr:rowOff>103414</xdr:rowOff>
    </xdr:from>
    <xdr:to>
      <xdr:col>18</xdr:col>
      <xdr:colOff>1000914</xdr:colOff>
      <xdr:row>13</xdr:row>
      <xdr:rowOff>36739</xdr:rowOff>
    </xdr:to>
    <xdr:sp macro="" textlink="">
      <xdr:nvSpPr>
        <xdr:cNvPr id="84" name="Diagrama de flujo: conector 83">
          <a:extLst>
            <a:ext uri="{FF2B5EF4-FFF2-40B4-BE49-F238E27FC236}">
              <a16:creationId xmlns:a16="http://schemas.microsoft.com/office/drawing/2014/main" id="{E918C4D9-7F7A-276B-E6EF-E845C19EBAC2}"/>
            </a:ext>
          </a:extLst>
        </xdr:cNvPr>
        <xdr:cNvSpPr/>
      </xdr:nvSpPr>
      <xdr:spPr>
        <a:xfrm>
          <a:off x="14173990" y="1627414"/>
          <a:ext cx="880381" cy="869496"/>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120533</xdr:colOff>
      <xdr:row>14</xdr:row>
      <xdr:rowOff>134754</xdr:rowOff>
    </xdr:from>
    <xdr:to>
      <xdr:col>18</xdr:col>
      <xdr:colOff>1000914</xdr:colOff>
      <xdr:row>19</xdr:row>
      <xdr:rowOff>87129</xdr:rowOff>
    </xdr:to>
    <xdr:sp macro="" textlink="">
      <xdr:nvSpPr>
        <xdr:cNvPr id="85" name="Diagrama de flujo: conector 84">
          <a:extLst>
            <a:ext uri="{FF2B5EF4-FFF2-40B4-BE49-F238E27FC236}">
              <a16:creationId xmlns:a16="http://schemas.microsoft.com/office/drawing/2014/main" id="{0A44114E-0308-40F4-94F5-A4447B4CD73C}"/>
            </a:ext>
          </a:extLst>
        </xdr:cNvPr>
        <xdr:cNvSpPr/>
      </xdr:nvSpPr>
      <xdr:spPr>
        <a:xfrm>
          <a:off x="14173990" y="2779983"/>
          <a:ext cx="880381" cy="877660"/>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120533</xdr:colOff>
      <xdr:row>20</xdr:row>
      <xdr:rowOff>174172</xdr:rowOff>
    </xdr:from>
    <xdr:to>
      <xdr:col>18</xdr:col>
      <xdr:colOff>1000914</xdr:colOff>
      <xdr:row>25</xdr:row>
      <xdr:rowOff>103414</xdr:rowOff>
    </xdr:to>
    <xdr:sp macro="" textlink="">
      <xdr:nvSpPr>
        <xdr:cNvPr id="86" name="Diagrama de flujo: conector 85">
          <a:extLst>
            <a:ext uri="{FF2B5EF4-FFF2-40B4-BE49-F238E27FC236}">
              <a16:creationId xmlns:a16="http://schemas.microsoft.com/office/drawing/2014/main" id="{2570AF12-235F-4A39-AE8B-E2C6D11ADACE}"/>
            </a:ext>
          </a:extLst>
        </xdr:cNvPr>
        <xdr:cNvSpPr/>
      </xdr:nvSpPr>
      <xdr:spPr>
        <a:xfrm>
          <a:off x="14173990" y="3929743"/>
          <a:ext cx="880381" cy="865414"/>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17</xdr:col>
      <xdr:colOff>451629</xdr:colOff>
      <xdr:row>7</xdr:row>
      <xdr:rowOff>123082</xdr:rowOff>
    </xdr:from>
    <xdr:to>
      <xdr:col>19</xdr:col>
      <xdr:colOff>664028</xdr:colOff>
      <xdr:row>14</xdr:row>
      <xdr:rowOff>54427</xdr:rowOff>
    </xdr:to>
    <xdr:graphicFrame macro="">
      <xdr:nvGraphicFramePr>
        <xdr:cNvPr id="91" name="Gráfico 90">
          <a:extLst>
            <a:ext uri="{FF2B5EF4-FFF2-40B4-BE49-F238E27FC236}">
              <a16:creationId xmlns:a16="http://schemas.microsoft.com/office/drawing/2014/main" id="{CA8FCFC0-4635-CF56-6B38-40D5227D3D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533550</xdr:colOff>
      <xdr:row>13</xdr:row>
      <xdr:rowOff>134358</xdr:rowOff>
    </xdr:from>
    <xdr:to>
      <xdr:col>20</xdr:col>
      <xdr:colOff>641228</xdr:colOff>
      <xdr:row>20</xdr:row>
      <xdr:rowOff>74625</xdr:rowOff>
    </xdr:to>
    <xdr:graphicFrame macro="">
      <xdr:nvGraphicFramePr>
        <xdr:cNvPr id="93" name="Gráfico 92">
          <a:extLst>
            <a:ext uri="{FF2B5EF4-FFF2-40B4-BE49-F238E27FC236}">
              <a16:creationId xmlns:a16="http://schemas.microsoft.com/office/drawing/2014/main" id="{0AB92C7D-16EC-4897-A79F-69BB995ECC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521770</xdr:colOff>
      <xdr:row>20</xdr:row>
      <xdr:rowOff>6098</xdr:rowOff>
    </xdr:from>
    <xdr:to>
      <xdr:col>20</xdr:col>
      <xdr:colOff>629448</xdr:colOff>
      <xdr:row>26</xdr:row>
      <xdr:rowOff>128604</xdr:rowOff>
    </xdr:to>
    <xdr:graphicFrame macro="">
      <xdr:nvGraphicFramePr>
        <xdr:cNvPr id="95" name="Gráfico 94">
          <a:extLst>
            <a:ext uri="{FF2B5EF4-FFF2-40B4-BE49-F238E27FC236}">
              <a16:creationId xmlns:a16="http://schemas.microsoft.com/office/drawing/2014/main" id="{CF193ABD-8866-485C-8DF9-44C9FF7FAD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114823</xdr:colOff>
      <xdr:row>65</xdr:row>
      <xdr:rowOff>142875</xdr:rowOff>
    </xdr:from>
    <xdr:to>
      <xdr:col>16</xdr:col>
      <xdr:colOff>217716</xdr:colOff>
      <xdr:row>85</xdr:row>
      <xdr:rowOff>172209</xdr:rowOff>
    </xdr:to>
    <xdr:graphicFrame macro="">
      <xdr:nvGraphicFramePr>
        <xdr:cNvPr id="96" name="Gráfico 95">
          <a:extLst>
            <a:ext uri="{FF2B5EF4-FFF2-40B4-BE49-F238E27FC236}">
              <a16:creationId xmlns:a16="http://schemas.microsoft.com/office/drawing/2014/main" id="{DCCC0355-7641-4745-A2F0-E848CFFDEC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992091</xdr:colOff>
      <xdr:row>68</xdr:row>
      <xdr:rowOff>32210</xdr:rowOff>
    </xdr:from>
    <xdr:to>
      <xdr:col>19</xdr:col>
      <xdr:colOff>185187</xdr:colOff>
      <xdr:row>85</xdr:row>
      <xdr:rowOff>177825</xdr:rowOff>
    </xdr:to>
    <xdr:sp macro="" textlink="">
      <xdr:nvSpPr>
        <xdr:cNvPr id="98" name="Rectángulo: esquinas redondeadas 97">
          <a:extLst>
            <a:ext uri="{FF2B5EF4-FFF2-40B4-BE49-F238E27FC236}">
              <a16:creationId xmlns:a16="http://schemas.microsoft.com/office/drawing/2014/main" id="{1CC5C84F-015A-4A86-BECE-4F11C362FD0D}"/>
            </a:ext>
          </a:extLst>
        </xdr:cNvPr>
        <xdr:cNvSpPr/>
      </xdr:nvSpPr>
      <xdr:spPr>
        <a:xfrm>
          <a:off x="13956977" y="13247467"/>
          <a:ext cx="1370239" cy="3476644"/>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134271</xdr:colOff>
      <xdr:row>68</xdr:row>
      <xdr:rowOff>127459</xdr:rowOff>
    </xdr:from>
    <xdr:to>
      <xdr:col>18</xdr:col>
      <xdr:colOff>1014653</xdr:colOff>
      <xdr:row>73</xdr:row>
      <xdr:rowOff>21417</xdr:rowOff>
    </xdr:to>
    <xdr:sp macro="" textlink="">
      <xdr:nvSpPr>
        <xdr:cNvPr id="99" name="Diagrama de flujo: conector 98">
          <a:extLst>
            <a:ext uri="{FF2B5EF4-FFF2-40B4-BE49-F238E27FC236}">
              <a16:creationId xmlns:a16="http://schemas.microsoft.com/office/drawing/2014/main" id="{D7132C73-0EEC-4112-BA81-4A011BEE5592}"/>
            </a:ext>
          </a:extLst>
        </xdr:cNvPr>
        <xdr:cNvSpPr/>
      </xdr:nvSpPr>
      <xdr:spPr>
        <a:xfrm>
          <a:off x="14187728" y="13342716"/>
          <a:ext cx="880382" cy="873672"/>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134271</xdr:colOff>
      <xdr:row>74</xdr:row>
      <xdr:rowOff>106608</xdr:rowOff>
    </xdr:from>
    <xdr:to>
      <xdr:col>18</xdr:col>
      <xdr:colOff>1014653</xdr:colOff>
      <xdr:row>79</xdr:row>
      <xdr:rowOff>9177</xdr:rowOff>
    </xdr:to>
    <xdr:sp macro="" textlink="">
      <xdr:nvSpPr>
        <xdr:cNvPr id="100" name="Diagrama de flujo: conector 99">
          <a:extLst>
            <a:ext uri="{FF2B5EF4-FFF2-40B4-BE49-F238E27FC236}">
              <a16:creationId xmlns:a16="http://schemas.microsoft.com/office/drawing/2014/main" id="{9C180602-7D36-48AB-BC6F-4809FAEE0083}"/>
            </a:ext>
          </a:extLst>
        </xdr:cNvPr>
        <xdr:cNvSpPr/>
      </xdr:nvSpPr>
      <xdr:spPr>
        <a:xfrm>
          <a:off x="14187728" y="14497522"/>
          <a:ext cx="880382" cy="882284"/>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134271</xdr:colOff>
      <xdr:row>80</xdr:row>
      <xdr:rowOff>86227</xdr:rowOff>
    </xdr:from>
    <xdr:to>
      <xdr:col>18</xdr:col>
      <xdr:colOff>1014653</xdr:colOff>
      <xdr:row>84</xdr:row>
      <xdr:rowOff>169212</xdr:rowOff>
    </xdr:to>
    <xdr:sp macro="" textlink="">
      <xdr:nvSpPr>
        <xdr:cNvPr id="101" name="Diagrama de flujo: conector 100">
          <a:extLst>
            <a:ext uri="{FF2B5EF4-FFF2-40B4-BE49-F238E27FC236}">
              <a16:creationId xmlns:a16="http://schemas.microsoft.com/office/drawing/2014/main" id="{9E6A6789-0D16-47C9-9B73-5A0BC358D55F}"/>
            </a:ext>
          </a:extLst>
        </xdr:cNvPr>
        <xdr:cNvSpPr/>
      </xdr:nvSpPr>
      <xdr:spPr>
        <a:xfrm>
          <a:off x="14187728" y="15652798"/>
          <a:ext cx="880382" cy="866757"/>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146139</xdr:colOff>
      <xdr:row>119</xdr:row>
      <xdr:rowOff>152400</xdr:rowOff>
    </xdr:from>
    <xdr:to>
      <xdr:col>16</xdr:col>
      <xdr:colOff>555172</xdr:colOff>
      <xdr:row>141</xdr:row>
      <xdr:rowOff>23091</xdr:rowOff>
    </xdr:to>
    <xdr:graphicFrame macro="">
      <xdr:nvGraphicFramePr>
        <xdr:cNvPr id="103" name="Gráfico 102">
          <a:extLst>
            <a:ext uri="{FF2B5EF4-FFF2-40B4-BE49-F238E27FC236}">
              <a16:creationId xmlns:a16="http://schemas.microsoft.com/office/drawing/2014/main" id="{39827207-CB09-40A5-B5BF-B39FE5B89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980311</xdr:colOff>
      <xdr:row>122</xdr:row>
      <xdr:rowOff>52638</xdr:rowOff>
    </xdr:from>
    <xdr:to>
      <xdr:col>19</xdr:col>
      <xdr:colOff>173406</xdr:colOff>
      <xdr:row>141</xdr:row>
      <xdr:rowOff>2757</xdr:rowOff>
    </xdr:to>
    <xdr:sp macro="" textlink="">
      <xdr:nvSpPr>
        <xdr:cNvPr id="104" name="Rectángulo: esquinas redondeadas 103">
          <a:extLst>
            <a:ext uri="{FF2B5EF4-FFF2-40B4-BE49-F238E27FC236}">
              <a16:creationId xmlns:a16="http://schemas.microsoft.com/office/drawing/2014/main" id="{5B0DAB38-BF2E-413D-9C50-F0C3BF874EC9}"/>
            </a:ext>
          </a:extLst>
        </xdr:cNvPr>
        <xdr:cNvSpPr/>
      </xdr:nvSpPr>
      <xdr:spPr>
        <a:xfrm>
          <a:off x="13945197" y="24632581"/>
          <a:ext cx="1370238" cy="3466205"/>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122491</xdr:colOff>
      <xdr:row>122</xdr:row>
      <xdr:rowOff>147887</xdr:rowOff>
    </xdr:from>
    <xdr:to>
      <xdr:col>18</xdr:col>
      <xdr:colOff>1002872</xdr:colOff>
      <xdr:row>127</xdr:row>
      <xdr:rowOff>91649</xdr:rowOff>
    </xdr:to>
    <xdr:sp macro="" textlink="">
      <xdr:nvSpPr>
        <xdr:cNvPr id="105" name="Diagrama de flujo: conector 104">
          <a:extLst>
            <a:ext uri="{FF2B5EF4-FFF2-40B4-BE49-F238E27FC236}">
              <a16:creationId xmlns:a16="http://schemas.microsoft.com/office/drawing/2014/main" id="{40D44386-25CD-48B3-876B-9BC52AA0B359}"/>
            </a:ext>
          </a:extLst>
        </xdr:cNvPr>
        <xdr:cNvSpPr/>
      </xdr:nvSpPr>
      <xdr:spPr>
        <a:xfrm>
          <a:off x="14175948" y="24727830"/>
          <a:ext cx="880381" cy="869048"/>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122491</xdr:colOff>
      <xdr:row>129</xdr:row>
      <xdr:rowOff>4609</xdr:rowOff>
    </xdr:from>
    <xdr:to>
      <xdr:col>18</xdr:col>
      <xdr:colOff>1002872</xdr:colOff>
      <xdr:row>133</xdr:row>
      <xdr:rowOff>142041</xdr:rowOff>
    </xdr:to>
    <xdr:sp macro="" textlink="">
      <xdr:nvSpPr>
        <xdr:cNvPr id="106" name="Diagrama de flujo: conector 105">
          <a:extLst>
            <a:ext uri="{FF2B5EF4-FFF2-40B4-BE49-F238E27FC236}">
              <a16:creationId xmlns:a16="http://schemas.microsoft.com/office/drawing/2014/main" id="{E1B28F60-669D-47DD-9395-DBAC09AFF252}"/>
            </a:ext>
          </a:extLst>
        </xdr:cNvPr>
        <xdr:cNvSpPr/>
      </xdr:nvSpPr>
      <xdr:spPr>
        <a:xfrm>
          <a:off x="14175948" y="25879952"/>
          <a:ext cx="880381" cy="877660"/>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122491</xdr:colOff>
      <xdr:row>135</xdr:row>
      <xdr:rowOff>44026</xdr:rowOff>
    </xdr:from>
    <xdr:to>
      <xdr:col>18</xdr:col>
      <xdr:colOff>1002872</xdr:colOff>
      <xdr:row>139</xdr:row>
      <xdr:rowOff>168763</xdr:rowOff>
    </xdr:to>
    <xdr:sp macro="" textlink="">
      <xdr:nvSpPr>
        <xdr:cNvPr id="107" name="Diagrama de flujo: conector 106">
          <a:extLst>
            <a:ext uri="{FF2B5EF4-FFF2-40B4-BE49-F238E27FC236}">
              <a16:creationId xmlns:a16="http://schemas.microsoft.com/office/drawing/2014/main" id="{EB6DB31A-2757-49C2-8863-D9B59A5D20F3}"/>
            </a:ext>
          </a:extLst>
        </xdr:cNvPr>
        <xdr:cNvSpPr/>
      </xdr:nvSpPr>
      <xdr:spPr>
        <a:xfrm>
          <a:off x="14175948" y="27029712"/>
          <a:ext cx="880381" cy="864965"/>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125261</xdr:colOff>
      <xdr:row>175</xdr:row>
      <xdr:rowOff>152400</xdr:rowOff>
    </xdr:from>
    <xdr:to>
      <xdr:col>16</xdr:col>
      <xdr:colOff>185058</xdr:colOff>
      <xdr:row>196</xdr:row>
      <xdr:rowOff>172207</xdr:rowOff>
    </xdr:to>
    <xdr:graphicFrame macro="">
      <xdr:nvGraphicFramePr>
        <xdr:cNvPr id="108" name="Gráfico 107">
          <a:extLst>
            <a:ext uri="{FF2B5EF4-FFF2-40B4-BE49-F238E27FC236}">
              <a16:creationId xmlns:a16="http://schemas.microsoft.com/office/drawing/2014/main" id="{B5DD7B8C-E080-42BD-A6E8-538CF0DB73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980311</xdr:colOff>
      <xdr:row>178</xdr:row>
      <xdr:rowOff>53087</xdr:rowOff>
    </xdr:from>
    <xdr:to>
      <xdr:col>19</xdr:col>
      <xdr:colOff>173407</xdr:colOff>
      <xdr:row>197</xdr:row>
      <xdr:rowOff>3207</xdr:rowOff>
    </xdr:to>
    <xdr:sp macro="" textlink="">
      <xdr:nvSpPr>
        <xdr:cNvPr id="109" name="Rectángulo: esquinas redondeadas 108">
          <a:extLst>
            <a:ext uri="{FF2B5EF4-FFF2-40B4-BE49-F238E27FC236}">
              <a16:creationId xmlns:a16="http://schemas.microsoft.com/office/drawing/2014/main" id="{0361DA4A-B277-43BA-832A-170069A642BB}"/>
            </a:ext>
          </a:extLst>
        </xdr:cNvPr>
        <xdr:cNvSpPr/>
      </xdr:nvSpPr>
      <xdr:spPr>
        <a:xfrm>
          <a:off x="13945197" y="37118944"/>
          <a:ext cx="1370239" cy="3466206"/>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122490</xdr:colOff>
      <xdr:row>178</xdr:row>
      <xdr:rowOff>148336</xdr:rowOff>
    </xdr:from>
    <xdr:to>
      <xdr:col>18</xdr:col>
      <xdr:colOff>1002873</xdr:colOff>
      <xdr:row>183</xdr:row>
      <xdr:rowOff>92099</xdr:rowOff>
    </xdr:to>
    <xdr:sp macro="" textlink="">
      <xdr:nvSpPr>
        <xdr:cNvPr id="110" name="Diagrama de flujo: conector 109">
          <a:extLst>
            <a:ext uri="{FF2B5EF4-FFF2-40B4-BE49-F238E27FC236}">
              <a16:creationId xmlns:a16="http://schemas.microsoft.com/office/drawing/2014/main" id="{3AD07920-B262-41C9-A46F-921A4E5A2F24}"/>
            </a:ext>
          </a:extLst>
        </xdr:cNvPr>
        <xdr:cNvSpPr/>
      </xdr:nvSpPr>
      <xdr:spPr>
        <a:xfrm>
          <a:off x="14175947" y="37214193"/>
          <a:ext cx="880383" cy="869049"/>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122490</xdr:colOff>
      <xdr:row>185</xdr:row>
      <xdr:rowOff>5058</xdr:rowOff>
    </xdr:from>
    <xdr:to>
      <xdr:col>18</xdr:col>
      <xdr:colOff>1002873</xdr:colOff>
      <xdr:row>189</xdr:row>
      <xdr:rowOff>142490</xdr:rowOff>
    </xdr:to>
    <xdr:sp macro="" textlink="">
      <xdr:nvSpPr>
        <xdr:cNvPr id="111" name="Diagrama de flujo: conector 110">
          <a:extLst>
            <a:ext uri="{FF2B5EF4-FFF2-40B4-BE49-F238E27FC236}">
              <a16:creationId xmlns:a16="http://schemas.microsoft.com/office/drawing/2014/main" id="{85D7CA81-77A5-4E2C-AF73-C5AFE0F83216}"/>
            </a:ext>
          </a:extLst>
        </xdr:cNvPr>
        <xdr:cNvSpPr/>
      </xdr:nvSpPr>
      <xdr:spPr>
        <a:xfrm>
          <a:off x="14175947" y="38366315"/>
          <a:ext cx="880383" cy="877661"/>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18</xdr:col>
      <xdr:colOff>122490</xdr:colOff>
      <xdr:row>191</xdr:row>
      <xdr:rowOff>44475</xdr:rowOff>
    </xdr:from>
    <xdr:to>
      <xdr:col>18</xdr:col>
      <xdr:colOff>1002873</xdr:colOff>
      <xdr:row>195</xdr:row>
      <xdr:rowOff>169212</xdr:rowOff>
    </xdr:to>
    <xdr:sp macro="" textlink="">
      <xdr:nvSpPr>
        <xdr:cNvPr id="112" name="Diagrama de flujo: conector 111">
          <a:extLst>
            <a:ext uri="{FF2B5EF4-FFF2-40B4-BE49-F238E27FC236}">
              <a16:creationId xmlns:a16="http://schemas.microsoft.com/office/drawing/2014/main" id="{254F63A0-6674-4473-8152-1F7F59408747}"/>
            </a:ext>
          </a:extLst>
        </xdr:cNvPr>
        <xdr:cNvSpPr/>
      </xdr:nvSpPr>
      <xdr:spPr>
        <a:xfrm>
          <a:off x="14175947" y="39516075"/>
          <a:ext cx="880383" cy="864966"/>
        </a:xfrm>
        <a:prstGeom prst="flowChartConnector">
          <a:avLst/>
        </a:prstGeom>
        <a:solidFill>
          <a:schemeClr val="bg1">
            <a:lumMod val="75000"/>
          </a:schemeClr>
        </a:solidFill>
        <a:ln>
          <a:solidFill>
            <a:schemeClr val="bg1">
              <a:lumMod val="6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17</xdr:col>
      <xdr:colOff>445569</xdr:colOff>
      <xdr:row>67</xdr:row>
      <xdr:rowOff>147480</xdr:rowOff>
    </xdr:from>
    <xdr:to>
      <xdr:col>19</xdr:col>
      <xdr:colOff>740228</xdr:colOff>
      <xdr:row>74</xdr:row>
      <xdr:rowOff>10885</xdr:rowOff>
    </xdr:to>
    <xdr:graphicFrame macro="">
      <xdr:nvGraphicFramePr>
        <xdr:cNvPr id="113" name="Gráfico 112">
          <a:extLst>
            <a:ext uri="{FF2B5EF4-FFF2-40B4-BE49-F238E27FC236}">
              <a16:creationId xmlns:a16="http://schemas.microsoft.com/office/drawing/2014/main" id="{F747DBAB-F5BD-4BF9-B1E4-1641299B4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16</xdr:col>
      <xdr:colOff>924988</xdr:colOff>
      <xdr:row>121</xdr:row>
      <xdr:rowOff>156576</xdr:rowOff>
    </xdr:from>
    <xdr:to>
      <xdr:col>20</xdr:col>
      <xdr:colOff>195944</xdr:colOff>
      <xdr:row>128</xdr:row>
      <xdr:rowOff>87084</xdr:rowOff>
    </xdr:to>
    <xdr:graphicFrame macro="">
      <xdr:nvGraphicFramePr>
        <xdr:cNvPr id="114" name="Gráfico 113">
          <a:extLst>
            <a:ext uri="{FF2B5EF4-FFF2-40B4-BE49-F238E27FC236}">
              <a16:creationId xmlns:a16="http://schemas.microsoft.com/office/drawing/2014/main" id="{CB68B277-414B-456A-A154-1D6B732618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16</xdr:col>
      <xdr:colOff>985774</xdr:colOff>
      <xdr:row>177</xdr:row>
      <xdr:rowOff>150200</xdr:rowOff>
    </xdr:from>
    <xdr:to>
      <xdr:col>20</xdr:col>
      <xdr:colOff>163286</xdr:colOff>
      <xdr:row>184</xdr:row>
      <xdr:rowOff>87087</xdr:rowOff>
    </xdr:to>
    <xdr:graphicFrame macro="">
      <xdr:nvGraphicFramePr>
        <xdr:cNvPr id="115" name="Gráfico 114">
          <a:extLst>
            <a:ext uri="{FF2B5EF4-FFF2-40B4-BE49-F238E27FC236}">
              <a16:creationId xmlns:a16="http://schemas.microsoft.com/office/drawing/2014/main" id="{D15DD54A-05CE-481D-BD23-21638EA409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519477</xdr:colOff>
      <xdr:row>73</xdr:row>
      <xdr:rowOff>127964</xdr:rowOff>
    </xdr:from>
    <xdr:to>
      <xdr:col>20</xdr:col>
      <xdr:colOff>627154</xdr:colOff>
      <xdr:row>79</xdr:row>
      <xdr:rowOff>193492</xdr:rowOff>
    </xdr:to>
    <xdr:graphicFrame macro="">
      <xdr:nvGraphicFramePr>
        <xdr:cNvPr id="116" name="Gráfico 115">
          <a:extLst>
            <a:ext uri="{FF2B5EF4-FFF2-40B4-BE49-F238E27FC236}">
              <a16:creationId xmlns:a16="http://schemas.microsoft.com/office/drawing/2014/main" id="{164D8E1E-63DF-4FF8-8E30-4E1F00938D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16</xdr:col>
      <xdr:colOff>511330</xdr:colOff>
      <xdr:row>128</xdr:row>
      <xdr:rowOff>20877</xdr:rowOff>
    </xdr:from>
    <xdr:to>
      <xdr:col>20</xdr:col>
      <xdr:colOff>619007</xdr:colOff>
      <xdr:row>134</xdr:row>
      <xdr:rowOff>149034</xdr:rowOff>
    </xdr:to>
    <xdr:graphicFrame macro="">
      <xdr:nvGraphicFramePr>
        <xdr:cNvPr id="117" name="Gráfico 116">
          <a:extLst>
            <a:ext uri="{FF2B5EF4-FFF2-40B4-BE49-F238E27FC236}">
              <a16:creationId xmlns:a16="http://schemas.microsoft.com/office/drawing/2014/main" id="{26F2351F-6F57-434B-BBF5-36FE393075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16</xdr:col>
      <xdr:colOff>543540</xdr:colOff>
      <xdr:row>184</xdr:row>
      <xdr:rowOff>25051</xdr:rowOff>
    </xdr:from>
    <xdr:to>
      <xdr:col>20</xdr:col>
      <xdr:colOff>651218</xdr:colOff>
      <xdr:row>190</xdr:row>
      <xdr:rowOff>150375</xdr:rowOff>
    </xdr:to>
    <xdr:graphicFrame macro="">
      <xdr:nvGraphicFramePr>
        <xdr:cNvPr id="118" name="Gráfico 117">
          <a:extLst>
            <a:ext uri="{FF2B5EF4-FFF2-40B4-BE49-F238E27FC236}">
              <a16:creationId xmlns:a16="http://schemas.microsoft.com/office/drawing/2014/main" id="{85E5C6BD-5A6E-42E3-B54C-C1FC1E2AAF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16</xdr:col>
      <xdr:colOff>512673</xdr:colOff>
      <xdr:row>79</xdr:row>
      <xdr:rowOff>116165</xdr:rowOff>
    </xdr:from>
    <xdr:to>
      <xdr:col>20</xdr:col>
      <xdr:colOff>620350</xdr:colOff>
      <xdr:row>85</xdr:row>
      <xdr:rowOff>181692</xdr:rowOff>
    </xdr:to>
    <xdr:graphicFrame macro="">
      <xdr:nvGraphicFramePr>
        <xdr:cNvPr id="119" name="Gráfico 118">
          <a:extLst>
            <a:ext uri="{FF2B5EF4-FFF2-40B4-BE49-F238E27FC236}">
              <a16:creationId xmlns:a16="http://schemas.microsoft.com/office/drawing/2014/main" id="{BE943848-B636-4924-9772-BEF0A7B099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16</xdr:col>
      <xdr:colOff>489560</xdr:colOff>
      <xdr:row>134</xdr:row>
      <xdr:rowOff>52638</xdr:rowOff>
    </xdr:from>
    <xdr:to>
      <xdr:col>20</xdr:col>
      <xdr:colOff>597237</xdr:colOff>
      <xdr:row>140</xdr:row>
      <xdr:rowOff>180798</xdr:rowOff>
    </xdr:to>
    <xdr:graphicFrame macro="">
      <xdr:nvGraphicFramePr>
        <xdr:cNvPr id="120" name="Gráfico 119">
          <a:extLst>
            <a:ext uri="{FF2B5EF4-FFF2-40B4-BE49-F238E27FC236}">
              <a16:creationId xmlns:a16="http://schemas.microsoft.com/office/drawing/2014/main" id="{8E0C0193-A20D-4F1E-93C9-95A6C6EA2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16</xdr:col>
      <xdr:colOff>511330</xdr:colOff>
      <xdr:row>190</xdr:row>
      <xdr:rowOff>53532</xdr:rowOff>
    </xdr:from>
    <xdr:to>
      <xdr:col>20</xdr:col>
      <xdr:colOff>619008</xdr:colOff>
      <xdr:row>196</xdr:row>
      <xdr:rowOff>181690</xdr:rowOff>
    </xdr:to>
    <xdr:graphicFrame macro="">
      <xdr:nvGraphicFramePr>
        <xdr:cNvPr id="121" name="Gráfico 120">
          <a:extLst>
            <a:ext uri="{FF2B5EF4-FFF2-40B4-BE49-F238E27FC236}">
              <a16:creationId xmlns:a16="http://schemas.microsoft.com/office/drawing/2014/main" id="{CA73E41B-6229-4630-960F-F18D9E0CBC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4</xdr:col>
      <xdr:colOff>39159</xdr:colOff>
      <xdr:row>31</xdr:row>
      <xdr:rowOff>30591</xdr:rowOff>
    </xdr:from>
    <xdr:to>
      <xdr:col>6</xdr:col>
      <xdr:colOff>459244</xdr:colOff>
      <xdr:row>61</xdr:row>
      <xdr:rowOff>134974</xdr:rowOff>
    </xdr:to>
    <xdr:graphicFrame macro="">
      <xdr:nvGraphicFramePr>
        <xdr:cNvPr id="2" name="Gráfico 1">
          <a:extLst>
            <a:ext uri="{FF2B5EF4-FFF2-40B4-BE49-F238E27FC236}">
              <a16:creationId xmlns:a16="http://schemas.microsoft.com/office/drawing/2014/main" id="{396F053C-86D1-3D2A-03CB-FFD8BF0559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4</xdr:col>
      <xdr:colOff>76200</xdr:colOff>
      <xdr:row>88</xdr:row>
      <xdr:rowOff>76200</xdr:rowOff>
    </xdr:from>
    <xdr:to>
      <xdr:col>6</xdr:col>
      <xdr:colOff>496285</xdr:colOff>
      <xdr:row>115</xdr:row>
      <xdr:rowOff>114300</xdr:rowOff>
    </xdr:to>
    <xdr:graphicFrame macro="">
      <xdr:nvGraphicFramePr>
        <xdr:cNvPr id="5" name="Gráfico 4">
          <a:extLst>
            <a:ext uri="{FF2B5EF4-FFF2-40B4-BE49-F238E27FC236}">
              <a16:creationId xmlns:a16="http://schemas.microsoft.com/office/drawing/2014/main" id="{D8BEA3AB-7AAE-4224-A00D-01F9777F23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xdr:col>
      <xdr:colOff>85725</xdr:colOff>
      <xdr:row>143</xdr:row>
      <xdr:rowOff>57150</xdr:rowOff>
    </xdr:from>
    <xdr:to>
      <xdr:col>6</xdr:col>
      <xdr:colOff>505810</xdr:colOff>
      <xdr:row>172</xdr:row>
      <xdr:rowOff>0</xdr:rowOff>
    </xdr:to>
    <xdr:graphicFrame macro="">
      <xdr:nvGraphicFramePr>
        <xdr:cNvPr id="6" name="Gráfico 5">
          <a:extLst>
            <a:ext uri="{FF2B5EF4-FFF2-40B4-BE49-F238E27FC236}">
              <a16:creationId xmlns:a16="http://schemas.microsoft.com/office/drawing/2014/main" id="{587166E4-75D2-4F1D-B2C0-749A0A4C4B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4</xdr:col>
      <xdr:colOff>95250</xdr:colOff>
      <xdr:row>199</xdr:row>
      <xdr:rowOff>47625</xdr:rowOff>
    </xdr:from>
    <xdr:to>
      <xdr:col>6</xdr:col>
      <xdr:colOff>515335</xdr:colOff>
      <xdr:row>228</xdr:row>
      <xdr:rowOff>0</xdr:rowOff>
    </xdr:to>
    <xdr:graphicFrame macro="">
      <xdr:nvGraphicFramePr>
        <xdr:cNvPr id="8" name="Gráfico 7">
          <a:extLst>
            <a:ext uri="{FF2B5EF4-FFF2-40B4-BE49-F238E27FC236}">
              <a16:creationId xmlns:a16="http://schemas.microsoft.com/office/drawing/2014/main" id="{8A9E4529-B223-419A-9F1C-04FE71112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27</xdr:col>
      <xdr:colOff>457200</xdr:colOff>
      <xdr:row>174</xdr:row>
      <xdr:rowOff>185057</xdr:rowOff>
    </xdr:from>
    <xdr:to>
      <xdr:col>30</xdr:col>
      <xdr:colOff>337458</xdr:colOff>
      <xdr:row>181</xdr:row>
      <xdr:rowOff>108857</xdr:rowOff>
    </xdr:to>
    <xdr:sp macro="" textlink="">
      <xdr:nvSpPr>
        <xdr:cNvPr id="15" name="Rectángulo 14">
          <a:extLst>
            <a:ext uri="{FF2B5EF4-FFF2-40B4-BE49-F238E27FC236}">
              <a16:creationId xmlns:a16="http://schemas.microsoft.com/office/drawing/2014/main" id="{AFEAF63E-F94C-4F40-8CBF-BE131EBDB86C}"/>
            </a:ext>
          </a:extLst>
        </xdr:cNvPr>
        <xdr:cNvSpPr/>
      </xdr:nvSpPr>
      <xdr:spPr>
        <a:xfrm>
          <a:off x="18669000" y="33778371"/>
          <a:ext cx="2264229" cy="1338943"/>
        </a:xfrm>
        <a:prstGeom prst="rect">
          <a:avLst/>
        </a:prstGeom>
        <a:noFill/>
        <a:ln w="571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xdr:colOff>
      <xdr:row>240</xdr:row>
      <xdr:rowOff>52868</xdr:rowOff>
    </xdr:from>
    <xdr:to>
      <xdr:col>1</xdr:col>
      <xdr:colOff>4854768</xdr:colOff>
      <xdr:row>240</xdr:row>
      <xdr:rowOff>164834</xdr:rowOff>
    </xdr:to>
    <xdr:sp macro="" textlink="">
      <xdr:nvSpPr>
        <xdr:cNvPr id="8" name="Rectángulo 7">
          <a:extLst>
            <a:ext uri="{FF2B5EF4-FFF2-40B4-BE49-F238E27FC236}">
              <a16:creationId xmlns:a16="http://schemas.microsoft.com/office/drawing/2014/main" id="{2D6C69F9-6206-4953-93C6-85596C47355C}"/>
            </a:ext>
          </a:extLst>
        </xdr:cNvPr>
        <xdr:cNvSpPr/>
      </xdr:nvSpPr>
      <xdr:spPr>
        <a:xfrm>
          <a:off x="788278" y="45102834"/>
          <a:ext cx="4854766" cy="111966"/>
        </a:xfrm>
        <a:prstGeom prst="rect">
          <a:avLst/>
        </a:prstGeom>
        <a:solidFill>
          <a:srgbClr val="0F9ED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b="1"/>
            <a:t>INOCENCIA</a:t>
          </a:r>
        </a:p>
      </xdr:txBody>
    </xdr:sp>
    <xdr:clientData/>
  </xdr:twoCellAnchor>
  <xdr:twoCellAnchor>
    <xdr:from>
      <xdr:col>1</xdr:col>
      <xdr:colOff>2</xdr:colOff>
      <xdr:row>239</xdr:row>
      <xdr:rowOff>13702</xdr:rowOff>
    </xdr:from>
    <xdr:to>
      <xdr:col>1</xdr:col>
      <xdr:colOff>4854768</xdr:colOff>
      <xdr:row>240</xdr:row>
      <xdr:rowOff>44578</xdr:rowOff>
    </xdr:to>
    <xdr:sp macro="" textlink="">
      <xdr:nvSpPr>
        <xdr:cNvPr id="9" name="Rectángulo 8">
          <a:extLst>
            <a:ext uri="{FF2B5EF4-FFF2-40B4-BE49-F238E27FC236}">
              <a16:creationId xmlns:a16="http://schemas.microsoft.com/office/drawing/2014/main" id="{0DDF3C9B-1499-475A-BD29-F72657962746}"/>
            </a:ext>
          </a:extLst>
        </xdr:cNvPr>
        <xdr:cNvSpPr/>
      </xdr:nvSpPr>
      <xdr:spPr>
        <a:xfrm>
          <a:off x="788278" y="44879736"/>
          <a:ext cx="4854766" cy="214808"/>
        </a:xfrm>
        <a:prstGeom prst="rect">
          <a:avLst/>
        </a:prstGeom>
        <a:solidFill>
          <a:srgbClr val="14B8B7"/>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b="1"/>
            <a:t>CONCIENCIA</a:t>
          </a:r>
        </a:p>
      </xdr:txBody>
    </xdr:sp>
    <xdr:clientData/>
  </xdr:twoCellAnchor>
  <xdr:twoCellAnchor>
    <xdr:from>
      <xdr:col>1</xdr:col>
      <xdr:colOff>3465</xdr:colOff>
      <xdr:row>236</xdr:row>
      <xdr:rowOff>102609</xdr:rowOff>
    </xdr:from>
    <xdr:to>
      <xdr:col>1</xdr:col>
      <xdr:colOff>4858231</xdr:colOff>
      <xdr:row>238</xdr:row>
      <xdr:rowOff>181221</xdr:rowOff>
    </xdr:to>
    <xdr:sp macro="" textlink="">
      <xdr:nvSpPr>
        <xdr:cNvPr id="10" name="Rectángulo 9">
          <a:extLst>
            <a:ext uri="{FF2B5EF4-FFF2-40B4-BE49-F238E27FC236}">
              <a16:creationId xmlns:a16="http://schemas.microsoft.com/office/drawing/2014/main" id="{CB3CCF33-B69B-4485-9875-2754D977BA97}"/>
            </a:ext>
          </a:extLst>
        </xdr:cNvPr>
        <xdr:cNvSpPr/>
      </xdr:nvSpPr>
      <xdr:spPr>
        <a:xfrm>
          <a:off x="791741" y="44416850"/>
          <a:ext cx="4854766" cy="446474"/>
        </a:xfrm>
        <a:prstGeom prst="rect">
          <a:avLst/>
        </a:prstGeom>
        <a:solidFill>
          <a:srgbClr val="179D76"/>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b="1"/>
            <a:t>ENTENDIMIENTO</a:t>
          </a:r>
        </a:p>
      </xdr:txBody>
    </xdr:sp>
    <xdr:clientData/>
  </xdr:twoCellAnchor>
  <xdr:twoCellAnchor>
    <xdr:from>
      <xdr:col>1</xdr:col>
      <xdr:colOff>1</xdr:colOff>
      <xdr:row>232</xdr:row>
      <xdr:rowOff>152651</xdr:rowOff>
    </xdr:from>
    <xdr:to>
      <xdr:col>1</xdr:col>
      <xdr:colOff>4854767</xdr:colOff>
      <xdr:row>236</xdr:row>
      <xdr:rowOff>82763</xdr:rowOff>
    </xdr:to>
    <xdr:sp macro="" textlink="">
      <xdr:nvSpPr>
        <xdr:cNvPr id="11" name="Rectángulo 10">
          <a:extLst>
            <a:ext uri="{FF2B5EF4-FFF2-40B4-BE49-F238E27FC236}">
              <a16:creationId xmlns:a16="http://schemas.microsoft.com/office/drawing/2014/main" id="{6A4C1F1C-93FF-4026-8011-A14168F58874}"/>
            </a:ext>
          </a:extLst>
        </xdr:cNvPr>
        <xdr:cNvSpPr/>
      </xdr:nvSpPr>
      <xdr:spPr>
        <a:xfrm>
          <a:off x="788277" y="43731168"/>
          <a:ext cx="4854766" cy="665836"/>
        </a:xfrm>
        <a:prstGeom prst="rect">
          <a:avLst/>
        </a:prstGeom>
        <a:solidFill>
          <a:srgbClr val="19834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b="1"/>
            <a:t>COMPETENCIA</a:t>
          </a:r>
        </a:p>
      </xdr:txBody>
    </xdr:sp>
    <xdr:clientData/>
  </xdr:twoCellAnchor>
  <xdr:twoCellAnchor>
    <xdr:from>
      <xdr:col>1</xdr:col>
      <xdr:colOff>0</xdr:colOff>
      <xdr:row>229</xdr:row>
      <xdr:rowOff>0</xdr:rowOff>
    </xdr:from>
    <xdr:to>
      <xdr:col>1</xdr:col>
      <xdr:colOff>4854766</xdr:colOff>
      <xdr:row>232</xdr:row>
      <xdr:rowOff>125102</xdr:rowOff>
    </xdr:to>
    <xdr:sp macro="" textlink="">
      <xdr:nvSpPr>
        <xdr:cNvPr id="12" name="Rectángulo 11">
          <a:extLst>
            <a:ext uri="{FF2B5EF4-FFF2-40B4-BE49-F238E27FC236}">
              <a16:creationId xmlns:a16="http://schemas.microsoft.com/office/drawing/2014/main" id="{1D5135B5-03D4-45A3-BD81-D9A6BA5B6276}"/>
            </a:ext>
          </a:extLst>
        </xdr:cNvPr>
        <xdr:cNvSpPr/>
      </xdr:nvSpPr>
      <xdr:spPr>
        <a:xfrm>
          <a:off x="788276" y="43026724"/>
          <a:ext cx="4854766" cy="676895"/>
        </a:xfrm>
        <a:prstGeom prst="rect">
          <a:avLst/>
        </a:prstGeom>
        <a:solidFill>
          <a:srgbClr val="196B2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lang="es-CO" sz="1100" b="1"/>
            <a:t>EXCELENCIA</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C313-5DDA-4376-A3EC-92FC670E2B37}">
  <dimension ref="B3:L134"/>
  <sheetViews>
    <sheetView showGridLines="0" tabSelected="1" zoomScale="120" zoomScaleNormal="120" workbookViewId="0"/>
  </sheetViews>
  <sheetFormatPr baseColWidth="10" defaultRowHeight="14.4"/>
  <cols>
    <col min="2" max="2" width="4" customWidth="1"/>
    <col min="12" max="12" width="4" customWidth="1"/>
  </cols>
  <sheetData>
    <row r="3" spans="2:12">
      <c r="B3" s="96"/>
      <c r="C3" s="97"/>
      <c r="D3" s="97"/>
      <c r="E3" s="97"/>
      <c r="F3" s="97"/>
      <c r="G3" s="97"/>
      <c r="H3" s="97"/>
      <c r="I3" s="97"/>
      <c r="J3" s="97"/>
      <c r="K3" s="97"/>
      <c r="L3" s="98"/>
    </row>
    <row r="4" spans="2:12">
      <c r="B4" s="99"/>
      <c r="C4" s="3"/>
      <c r="D4" s="3"/>
      <c r="E4" s="3"/>
      <c r="F4" s="3"/>
      <c r="G4" s="3"/>
      <c r="H4" s="3"/>
      <c r="I4" s="3"/>
      <c r="J4" s="3"/>
      <c r="K4" s="3"/>
      <c r="L4" s="100"/>
    </row>
    <row r="5" spans="2:12" ht="15.6">
      <c r="B5" s="99"/>
      <c r="C5" s="198" t="s">
        <v>432</v>
      </c>
      <c r="D5" s="198"/>
      <c r="E5" s="198"/>
      <c r="F5" s="198"/>
      <c r="G5" s="3"/>
      <c r="H5" s="3"/>
      <c r="I5" s="3"/>
      <c r="J5" s="3"/>
      <c r="K5" s="3"/>
      <c r="L5" s="100"/>
    </row>
    <row r="6" spans="2:12">
      <c r="B6" s="99"/>
      <c r="C6" s="3"/>
      <c r="D6" s="3"/>
      <c r="E6" s="3"/>
      <c r="F6" s="3"/>
      <c r="G6" s="3"/>
      <c r="H6" s="3"/>
      <c r="I6" s="3"/>
      <c r="J6" s="3"/>
      <c r="K6" s="3"/>
      <c r="L6" s="100"/>
    </row>
    <row r="7" spans="2:12">
      <c r="B7" s="99"/>
      <c r="C7" s="3"/>
      <c r="D7" s="194" t="s">
        <v>430</v>
      </c>
      <c r="E7" s="194"/>
      <c r="F7" s="194"/>
      <c r="G7" s="194"/>
      <c r="H7" s="194"/>
      <c r="I7" s="194"/>
      <c r="J7" s="194"/>
      <c r="K7" s="3"/>
      <c r="L7" s="100"/>
    </row>
    <row r="8" spans="2:12">
      <c r="B8" s="99"/>
      <c r="C8" s="3"/>
      <c r="D8" s="194"/>
      <c r="E8" s="194"/>
      <c r="F8" s="194"/>
      <c r="G8" s="194"/>
      <c r="H8" s="194"/>
      <c r="I8" s="194"/>
      <c r="J8" s="194"/>
      <c r="K8" s="3"/>
      <c r="L8" s="100"/>
    </row>
    <row r="9" spans="2:12">
      <c r="B9" s="99"/>
      <c r="C9" s="3"/>
      <c r="D9" s="194"/>
      <c r="E9" s="194"/>
      <c r="F9" s="194"/>
      <c r="G9" s="194"/>
      <c r="H9" s="194"/>
      <c r="I9" s="194"/>
      <c r="J9" s="194"/>
      <c r="K9" s="3"/>
      <c r="L9" s="100"/>
    </row>
    <row r="10" spans="2:12">
      <c r="B10" s="99"/>
      <c r="C10" s="3"/>
      <c r="D10" s="194"/>
      <c r="E10" s="194"/>
      <c r="F10" s="194"/>
      <c r="G10" s="194"/>
      <c r="H10" s="194"/>
      <c r="I10" s="194"/>
      <c r="J10" s="194"/>
      <c r="K10" s="3"/>
      <c r="L10" s="100"/>
    </row>
    <row r="11" spans="2:12">
      <c r="B11" s="99"/>
      <c r="C11" s="3"/>
      <c r="D11" s="194"/>
      <c r="E11" s="194"/>
      <c r="F11" s="194"/>
      <c r="G11" s="194"/>
      <c r="H11" s="194"/>
      <c r="I11" s="194"/>
      <c r="J11" s="194"/>
      <c r="K11" s="3"/>
      <c r="L11" s="100"/>
    </row>
    <row r="12" spans="2:12">
      <c r="B12" s="99"/>
      <c r="C12" s="3"/>
      <c r="D12" s="3"/>
      <c r="E12" s="3"/>
      <c r="F12" s="3"/>
      <c r="G12" s="3"/>
      <c r="H12" s="3"/>
      <c r="I12" s="3"/>
      <c r="J12" s="3"/>
      <c r="K12" s="3"/>
      <c r="L12" s="100"/>
    </row>
    <row r="13" spans="2:12">
      <c r="B13" s="99"/>
      <c r="C13" s="3"/>
      <c r="D13" s="195" t="s">
        <v>431</v>
      </c>
      <c r="E13" s="195"/>
      <c r="F13" s="195"/>
      <c r="G13" s="195"/>
      <c r="H13" s="195"/>
      <c r="I13" s="195"/>
      <c r="J13" s="3"/>
      <c r="K13" s="3"/>
      <c r="L13" s="100"/>
    </row>
    <row r="14" spans="2:12">
      <c r="B14" s="99"/>
      <c r="C14" s="3"/>
      <c r="D14" s="3"/>
      <c r="E14" s="194" t="s">
        <v>433</v>
      </c>
      <c r="F14" s="194"/>
      <c r="G14" s="194"/>
      <c r="H14" s="194"/>
      <c r="I14" s="194"/>
      <c r="J14" s="194"/>
      <c r="K14" s="3"/>
      <c r="L14" s="100"/>
    </row>
    <row r="15" spans="2:12">
      <c r="B15" s="99"/>
      <c r="C15" s="3"/>
      <c r="D15" s="3"/>
      <c r="E15" s="194"/>
      <c r="F15" s="194"/>
      <c r="G15" s="194"/>
      <c r="H15" s="194"/>
      <c r="I15" s="194"/>
      <c r="J15" s="194"/>
      <c r="K15" s="3"/>
      <c r="L15" s="100"/>
    </row>
    <row r="16" spans="2:12">
      <c r="B16" s="99"/>
      <c r="C16" s="3"/>
      <c r="D16" s="3"/>
      <c r="E16" s="194"/>
      <c r="F16" s="194"/>
      <c r="G16" s="194"/>
      <c r="H16" s="194"/>
      <c r="I16" s="194"/>
      <c r="J16" s="194"/>
      <c r="K16" s="3"/>
      <c r="L16" s="100"/>
    </row>
    <row r="17" spans="2:12">
      <c r="B17" s="99"/>
      <c r="C17" s="3"/>
      <c r="D17" s="3"/>
      <c r="E17" s="194"/>
      <c r="F17" s="194"/>
      <c r="G17" s="194"/>
      <c r="H17" s="194"/>
      <c r="I17" s="194"/>
      <c r="J17" s="194"/>
      <c r="K17" s="3"/>
      <c r="L17" s="100"/>
    </row>
    <row r="18" spans="2:12">
      <c r="B18" s="99"/>
      <c r="C18" s="3"/>
      <c r="D18" s="3"/>
      <c r="E18" s="194"/>
      <c r="F18" s="194"/>
      <c r="G18" s="194"/>
      <c r="H18" s="194"/>
      <c r="I18" s="194"/>
      <c r="J18" s="194"/>
      <c r="K18" s="3"/>
      <c r="L18" s="100"/>
    </row>
    <row r="19" spans="2:12">
      <c r="B19" s="99"/>
      <c r="C19" s="3"/>
      <c r="D19" s="3"/>
      <c r="E19" s="194"/>
      <c r="F19" s="194"/>
      <c r="G19" s="194"/>
      <c r="H19" s="194"/>
      <c r="I19" s="194"/>
      <c r="J19" s="194"/>
      <c r="K19" s="3"/>
      <c r="L19" s="100"/>
    </row>
    <row r="20" spans="2:12">
      <c r="B20" s="99"/>
      <c r="C20" s="3"/>
      <c r="D20" s="3"/>
      <c r="E20" s="194" t="s">
        <v>434</v>
      </c>
      <c r="F20" s="194"/>
      <c r="G20" s="194"/>
      <c r="H20" s="194"/>
      <c r="I20" s="194"/>
      <c r="J20" s="194"/>
      <c r="K20" s="3"/>
      <c r="L20" s="100"/>
    </row>
    <row r="21" spans="2:12">
      <c r="B21" s="99"/>
      <c r="C21" s="3"/>
      <c r="D21" s="3"/>
      <c r="E21" s="194"/>
      <c r="F21" s="194"/>
      <c r="G21" s="194"/>
      <c r="H21" s="194"/>
      <c r="I21" s="194"/>
      <c r="J21" s="194"/>
      <c r="K21" s="3"/>
      <c r="L21" s="100"/>
    </row>
    <row r="22" spans="2:12">
      <c r="B22" s="99"/>
      <c r="C22" s="3"/>
      <c r="D22" s="3"/>
      <c r="E22" s="194"/>
      <c r="F22" s="194"/>
      <c r="G22" s="194"/>
      <c r="H22" s="194"/>
      <c r="I22" s="194"/>
      <c r="J22" s="194"/>
      <c r="K22" s="3"/>
      <c r="L22" s="100"/>
    </row>
    <row r="23" spans="2:12">
      <c r="B23" s="99"/>
      <c r="C23" s="3"/>
      <c r="D23" s="3"/>
      <c r="E23" s="194" t="s">
        <v>435</v>
      </c>
      <c r="F23" s="194"/>
      <c r="G23" s="194"/>
      <c r="H23" s="194"/>
      <c r="I23" s="194"/>
      <c r="J23" s="194"/>
      <c r="K23" s="3"/>
      <c r="L23" s="100"/>
    </row>
    <row r="24" spans="2:12">
      <c r="B24" s="99"/>
      <c r="C24" s="3"/>
      <c r="D24" s="3"/>
      <c r="E24" s="194"/>
      <c r="F24" s="194"/>
      <c r="G24" s="194"/>
      <c r="H24" s="194"/>
      <c r="I24" s="194"/>
      <c r="J24" s="194"/>
      <c r="K24" s="3"/>
      <c r="L24" s="100"/>
    </row>
    <row r="25" spans="2:12">
      <c r="B25" s="99"/>
      <c r="C25" s="3"/>
      <c r="D25" s="3"/>
      <c r="E25" s="194"/>
      <c r="F25" s="194"/>
      <c r="G25" s="194"/>
      <c r="H25" s="194"/>
      <c r="I25" s="194"/>
      <c r="J25" s="194"/>
      <c r="K25" s="3"/>
      <c r="L25" s="100"/>
    </row>
    <row r="26" spans="2:12">
      <c r="B26" s="99"/>
      <c r="C26" s="3"/>
      <c r="D26" s="3"/>
      <c r="E26" s="194" t="s">
        <v>436</v>
      </c>
      <c r="F26" s="194"/>
      <c r="G26" s="194"/>
      <c r="H26" s="194"/>
      <c r="I26" s="194"/>
      <c r="J26" s="194"/>
      <c r="K26" s="3"/>
      <c r="L26" s="100"/>
    </row>
    <row r="27" spans="2:12">
      <c r="B27" s="99"/>
      <c r="C27" s="3"/>
      <c r="D27" s="3"/>
      <c r="E27" s="194"/>
      <c r="F27" s="194"/>
      <c r="G27" s="194"/>
      <c r="H27" s="194"/>
      <c r="I27" s="194"/>
      <c r="J27" s="194"/>
      <c r="K27" s="3"/>
      <c r="L27" s="100"/>
    </row>
    <row r="28" spans="2:12">
      <c r="B28" s="99"/>
      <c r="C28" s="3"/>
      <c r="D28" s="3"/>
      <c r="E28" s="194"/>
      <c r="F28" s="194"/>
      <c r="G28" s="194"/>
      <c r="H28" s="194"/>
      <c r="I28" s="194"/>
      <c r="J28" s="194"/>
      <c r="K28" s="3"/>
      <c r="L28" s="100"/>
    </row>
    <row r="29" spans="2:12">
      <c r="B29" s="99"/>
      <c r="C29" s="3"/>
      <c r="D29" s="3"/>
      <c r="E29" s="194"/>
      <c r="F29" s="194"/>
      <c r="G29" s="194"/>
      <c r="H29" s="194"/>
      <c r="I29" s="194"/>
      <c r="J29" s="194"/>
      <c r="K29" s="3"/>
      <c r="L29" s="100"/>
    </row>
    <row r="30" spans="2:12">
      <c r="B30" s="99"/>
      <c r="C30" s="3"/>
      <c r="D30" s="3"/>
      <c r="E30" s="194"/>
      <c r="F30" s="194"/>
      <c r="G30" s="194"/>
      <c r="H30" s="194"/>
      <c r="I30" s="194"/>
      <c r="J30" s="194"/>
      <c r="K30" s="3"/>
      <c r="L30" s="100"/>
    </row>
    <row r="31" spans="2:12">
      <c r="B31" s="99"/>
      <c r="C31" s="3"/>
      <c r="D31" s="3"/>
      <c r="E31" s="194"/>
      <c r="F31" s="194"/>
      <c r="G31" s="194"/>
      <c r="H31" s="194"/>
      <c r="I31" s="194"/>
      <c r="J31" s="194"/>
      <c r="K31" s="3"/>
      <c r="L31" s="100"/>
    </row>
    <row r="32" spans="2:12">
      <c r="B32" s="99"/>
      <c r="C32" s="3"/>
      <c r="D32" s="3"/>
      <c r="E32" s="194" t="s">
        <v>437</v>
      </c>
      <c r="F32" s="194"/>
      <c r="G32" s="194"/>
      <c r="H32" s="194"/>
      <c r="I32" s="194"/>
      <c r="J32" s="194"/>
      <c r="K32" s="3"/>
      <c r="L32" s="100"/>
    </row>
    <row r="33" spans="2:12">
      <c r="B33" s="99"/>
      <c r="C33" s="3"/>
      <c r="D33" s="3"/>
      <c r="E33" s="194"/>
      <c r="F33" s="194"/>
      <c r="G33" s="194"/>
      <c r="H33" s="194"/>
      <c r="I33" s="194"/>
      <c r="J33" s="194"/>
      <c r="K33" s="3"/>
      <c r="L33" s="100"/>
    </row>
    <row r="34" spans="2:12">
      <c r="B34" s="99"/>
      <c r="C34" s="3"/>
      <c r="D34" s="3"/>
      <c r="E34" s="194"/>
      <c r="F34" s="194"/>
      <c r="G34" s="194"/>
      <c r="H34" s="194"/>
      <c r="I34" s="194"/>
      <c r="J34" s="194"/>
      <c r="K34" s="3"/>
      <c r="L34" s="100"/>
    </row>
    <row r="35" spans="2:12">
      <c r="B35" s="99"/>
      <c r="C35" s="3"/>
      <c r="D35" s="3"/>
      <c r="E35" s="3"/>
      <c r="F35" s="3"/>
      <c r="G35" s="3"/>
      <c r="H35" s="3"/>
      <c r="I35" s="3"/>
      <c r="J35" s="3"/>
      <c r="K35" s="3"/>
      <c r="L35" s="100"/>
    </row>
    <row r="36" spans="2:12" ht="14.4" customHeight="1">
      <c r="B36" s="99"/>
      <c r="C36" s="3"/>
      <c r="D36" s="3"/>
      <c r="E36" s="197" t="s">
        <v>438</v>
      </c>
      <c r="F36" s="197"/>
      <c r="G36" s="197"/>
      <c r="H36" s="197"/>
      <c r="I36" s="197"/>
      <c r="J36" s="197"/>
      <c r="K36" s="3"/>
      <c r="L36" s="100"/>
    </row>
    <row r="37" spans="2:12">
      <c r="B37" s="99"/>
      <c r="C37" s="3"/>
      <c r="D37" s="3"/>
      <c r="E37" s="197"/>
      <c r="F37" s="197"/>
      <c r="G37" s="197"/>
      <c r="H37" s="197"/>
      <c r="I37" s="197"/>
      <c r="J37" s="197"/>
      <c r="K37" s="3"/>
      <c r="L37" s="100"/>
    </row>
    <row r="38" spans="2:12">
      <c r="B38" s="99"/>
      <c r="C38" s="3"/>
      <c r="D38" s="3"/>
      <c r="E38" s="3"/>
      <c r="F38" s="3"/>
      <c r="G38" s="3"/>
      <c r="H38" s="3"/>
      <c r="I38" s="3"/>
      <c r="J38" s="3"/>
      <c r="K38" s="3"/>
      <c r="L38" s="100"/>
    </row>
    <row r="39" spans="2:12">
      <c r="B39" s="99"/>
      <c r="C39" s="3"/>
      <c r="D39" s="3"/>
      <c r="E39" s="3"/>
      <c r="F39" s="3"/>
      <c r="G39" s="3"/>
      <c r="H39" s="3"/>
      <c r="I39" s="3"/>
      <c r="J39" s="3"/>
      <c r="K39" s="3"/>
      <c r="L39" s="100"/>
    </row>
    <row r="40" spans="2:12" ht="14.4" customHeight="1">
      <c r="B40" s="99"/>
      <c r="C40" s="3"/>
      <c r="D40" s="195" t="s">
        <v>568</v>
      </c>
      <c r="E40" s="195"/>
      <c r="F40" s="195"/>
      <c r="G40" s="195"/>
      <c r="H40" s="195"/>
      <c r="I40" s="195"/>
      <c r="J40" s="195"/>
      <c r="K40" s="3"/>
      <c r="L40" s="100"/>
    </row>
    <row r="41" spans="2:12">
      <c r="B41" s="99"/>
      <c r="C41" s="3"/>
      <c r="D41" s="3"/>
      <c r="E41" s="194" t="s">
        <v>567</v>
      </c>
      <c r="F41" s="194"/>
      <c r="G41" s="194"/>
      <c r="H41" s="194"/>
      <c r="I41" s="194"/>
      <c r="J41" s="194"/>
      <c r="K41" s="3"/>
      <c r="L41" s="100"/>
    </row>
    <row r="42" spans="2:12">
      <c r="B42" s="99"/>
      <c r="C42" s="3"/>
      <c r="D42" s="3"/>
      <c r="E42" s="194"/>
      <c r="F42" s="194"/>
      <c r="G42" s="194"/>
      <c r="H42" s="194"/>
      <c r="I42" s="194"/>
      <c r="J42" s="194"/>
      <c r="K42" s="3"/>
      <c r="L42" s="100"/>
    </row>
    <row r="43" spans="2:12">
      <c r="B43" s="99"/>
      <c r="C43" s="3"/>
      <c r="D43" s="3"/>
      <c r="E43" s="194"/>
      <c r="F43" s="194"/>
      <c r="G43" s="194"/>
      <c r="H43" s="194"/>
      <c r="I43" s="194"/>
      <c r="J43" s="194"/>
      <c r="K43" s="3"/>
      <c r="L43" s="100"/>
    </row>
    <row r="44" spans="2:12">
      <c r="B44" s="99"/>
      <c r="C44" s="3"/>
      <c r="D44" s="3"/>
      <c r="E44" s="194"/>
      <c r="F44" s="194"/>
      <c r="G44" s="194"/>
      <c r="H44" s="194"/>
      <c r="I44" s="194"/>
      <c r="J44" s="194"/>
      <c r="K44" s="3"/>
      <c r="L44" s="100"/>
    </row>
    <row r="45" spans="2:12">
      <c r="B45" s="99"/>
      <c r="C45" s="3"/>
      <c r="D45" s="3"/>
      <c r="E45" s="194" t="s">
        <v>574</v>
      </c>
      <c r="F45" s="194"/>
      <c r="G45" s="194"/>
      <c r="H45" s="194"/>
      <c r="I45" s="194"/>
      <c r="J45" s="194"/>
      <c r="K45" s="3"/>
      <c r="L45" s="100"/>
    </row>
    <row r="46" spans="2:12">
      <c r="B46" s="99"/>
      <c r="C46" s="3"/>
      <c r="D46" s="3"/>
      <c r="E46" s="194"/>
      <c r="F46" s="194"/>
      <c r="G46" s="194"/>
      <c r="H46" s="194"/>
      <c r="I46" s="194"/>
      <c r="J46" s="194"/>
      <c r="K46" s="3"/>
      <c r="L46" s="100"/>
    </row>
    <row r="47" spans="2:12">
      <c r="B47" s="99"/>
      <c r="C47" s="3"/>
      <c r="D47" s="3"/>
      <c r="E47" s="194"/>
      <c r="F47" s="194"/>
      <c r="G47" s="194"/>
      <c r="H47" s="194"/>
      <c r="I47" s="194"/>
      <c r="J47" s="194"/>
      <c r="K47" s="3"/>
      <c r="L47" s="100"/>
    </row>
    <row r="48" spans="2:12">
      <c r="B48" s="99"/>
      <c r="C48" s="3"/>
      <c r="D48" s="3"/>
      <c r="E48" s="3"/>
      <c r="F48" s="3"/>
      <c r="G48" s="3"/>
      <c r="H48" s="3"/>
      <c r="I48" s="3"/>
      <c r="J48" s="3"/>
      <c r="K48" s="3"/>
      <c r="L48" s="100"/>
    </row>
    <row r="49" spans="2:12">
      <c r="B49" s="99"/>
      <c r="C49" s="3"/>
      <c r="D49" s="3"/>
      <c r="E49" s="3"/>
      <c r="F49" s="3"/>
      <c r="G49" s="3"/>
      <c r="H49" s="3"/>
      <c r="I49" s="3"/>
      <c r="J49" s="3"/>
      <c r="K49" s="3"/>
      <c r="L49" s="100"/>
    </row>
    <row r="50" spans="2:12">
      <c r="B50" s="99"/>
      <c r="C50" s="3"/>
      <c r="D50" s="3"/>
      <c r="E50" s="3"/>
      <c r="F50" s="3"/>
      <c r="G50" s="3"/>
      <c r="H50" s="3"/>
      <c r="I50" s="3"/>
      <c r="J50" s="3"/>
      <c r="K50" s="3"/>
      <c r="L50" s="100"/>
    </row>
    <row r="51" spans="2:12">
      <c r="B51" s="99"/>
      <c r="C51" s="3"/>
      <c r="D51" s="3"/>
      <c r="E51" s="3"/>
      <c r="F51" s="3"/>
      <c r="G51" s="3"/>
      <c r="H51" s="3"/>
      <c r="I51" s="3"/>
      <c r="J51" s="3"/>
      <c r="K51" s="3"/>
      <c r="L51" s="100"/>
    </row>
    <row r="52" spans="2:12">
      <c r="B52" s="99"/>
      <c r="C52" s="3"/>
      <c r="D52" s="3"/>
      <c r="E52" s="3"/>
      <c r="F52" s="3"/>
      <c r="G52" s="3"/>
      <c r="H52" s="3"/>
      <c r="I52" s="3"/>
      <c r="J52" s="3"/>
      <c r="K52" s="3"/>
      <c r="L52" s="100"/>
    </row>
    <row r="53" spans="2:12">
      <c r="B53" s="99"/>
      <c r="C53" s="3"/>
      <c r="D53" s="3"/>
      <c r="E53" s="3"/>
      <c r="F53" s="3"/>
      <c r="G53" s="3"/>
      <c r="H53" s="3"/>
      <c r="I53" s="3"/>
      <c r="J53" s="3"/>
      <c r="K53" s="3"/>
      <c r="L53" s="100"/>
    </row>
    <row r="54" spans="2:12">
      <c r="B54" s="99"/>
      <c r="C54" s="3"/>
      <c r="D54" s="3"/>
      <c r="E54" s="3"/>
      <c r="F54" s="3"/>
      <c r="G54" s="3"/>
      <c r="H54" s="3"/>
      <c r="I54" s="3"/>
      <c r="J54" s="3"/>
      <c r="K54" s="3"/>
      <c r="L54" s="100"/>
    </row>
    <row r="55" spans="2:12">
      <c r="B55" s="99"/>
      <c r="C55" s="3"/>
      <c r="D55" s="3"/>
      <c r="E55" s="3"/>
      <c r="F55" s="3"/>
      <c r="G55" s="3"/>
      <c r="H55" s="3"/>
      <c r="I55" s="3"/>
      <c r="J55" s="3"/>
      <c r="K55" s="3"/>
      <c r="L55" s="100"/>
    </row>
    <row r="56" spans="2:12">
      <c r="B56" s="99"/>
      <c r="C56" s="3"/>
      <c r="D56" s="3"/>
      <c r="E56" s="3"/>
      <c r="F56" s="3"/>
      <c r="G56" s="3"/>
      <c r="H56" s="3"/>
      <c r="I56" s="3"/>
      <c r="J56" s="3"/>
      <c r="K56" s="3"/>
      <c r="L56" s="100"/>
    </row>
    <row r="57" spans="2:12">
      <c r="B57" s="99"/>
      <c r="C57" s="3"/>
      <c r="D57" s="3"/>
      <c r="E57" s="3"/>
      <c r="F57" s="3"/>
      <c r="G57" s="3"/>
      <c r="H57" s="3"/>
      <c r="I57" s="3"/>
      <c r="J57" s="3"/>
      <c r="K57" s="3"/>
      <c r="L57" s="100"/>
    </row>
    <row r="58" spans="2:12">
      <c r="B58" s="99"/>
      <c r="C58" s="3"/>
      <c r="D58" s="3"/>
      <c r="E58" s="3"/>
      <c r="F58" s="3"/>
      <c r="G58" s="3"/>
      <c r="H58" s="3"/>
      <c r="I58" s="3"/>
      <c r="J58" s="3"/>
      <c r="K58" s="3"/>
      <c r="L58" s="100"/>
    </row>
    <row r="59" spans="2:12">
      <c r="B59" s="99"/>
      <c r="C59" s="3"/>
      <c r="D59" s="3"/>
      <c r="E59" s="3"/>
      <c r="F59" s="3"/>
      <c r="G59" s="3"/>
      <c r="H59" s="3"/>
      <c r="I59" s="3"/>
      <c r="J59" s="3"/>
      <c r="K59" s="3"/>
      <c r="L59" s="100"/>
    </row>
    <row r="60" spans="2:12">
      <c r="B60" s="99"/>
      <c r="C60" s="3"/>
      <c r="D60" s="3"/>
      <c r="E60" s="3"/>
      <c r="F60" s="3"/>
      <c r="G60" s="3"/>
      <c r="H60" s="3"/>
      <c r="I60" s="3"/>
      <c r="J60" s="3"/>
      <c r="K60" s="3"/>
      <c r="L60" s="100"/>
    </row>
    <row r="61" spans="2:12">
      <c r="B61" s="99"/>
      <c r="C61" s="3"/>
      <c r="D61" s="3"/>
      <c r="E61" s="194" t="s">
        <v>439</v>
      </c>
      <c r="F61" s="194"/>
      <c r="G61" s="194"/>
      <c r="H61" s="194"/>
      <c r="I61" s="194"/>
      <c r="J61" s="194"/>
      <c r="K61" s="3"/>
      <c r="L61" s="100"/>
    </row>
    <row r="62" spans="2:12">
      <c r="B62" s="99"/>
      <c r="C62" s="3"/>
      <c r="D62" s="3"/>
      <c r="E62" s="194"/>
      <c r="F62" s="194"/>
      <c r="G62" s="194"/>
      <c r="H62" s="194"/>
      <c r="I62" s="194"/>
      <c r="J62" s="194"/>
      <c r="K62" s="3"/>
      <c r="L62" s="100"/>
    </row>
    <row r="63" spans="2:12">
      <c r="B63" s="99"/>
      <c r="C63" s="3"/>
      <c r="D63" s="3"/>
      <c r="E63" s="194"/>
      <c r="F63" s="194"/>
      <c r="G63" s="194"/>
      <c r="H63" s="194"/>
      <c r="I63" s="194"/>
      <c r="J63" s="194"/>
      <c r="K63" s="3"/>
      <c r="L63" s="100"/>
    </row>
    <row r="64" spans="2:12">
      <c r="B64" s="99"/>
      <c r="C64" s="3"/>
      <c r="D64" s="3"/>
      <c r="E64" s="194"/>
      <c r="F64" s="194"/>
      <c r="G64" s="194"/>
      <c r="H64" s="194"/>
      <c r="I64" s="194"/>
      <c r="J64" s="194"/>
      <c r="K64" s="3"/>
      <c r="L64" s="100"/>
    </row>
    <row r="65" spans="2:12">
      <c r="B65" s="99"/>
      <c r="C65" s="3"/>
      <c r="D65" s="3"/>
      <c r="E65" s="3"/>
      <c r="F65" s="3"/>
      <c r="G65" s="3"/>
      <c r="H65" s="3"/>
      <c r="I65" s="3"/>
      <c r="J65" s="3"/>
      <c r="K65" s="3"/>
      <c r="L65" s="100"/>
    </row>
    <row r="66" spans="2:12">
      <c r="B66" s="99"/>
      <c r="C66" s="3"/>
      <c r="D66" s="3"/>
      <c r="E66" s="3"/>
      <c r="F66" s="3"/>
      <c r="G66" s="3"/>
      <c r="H66" s="3"/>
      <c r="I66" s="3"/>
      <c r="J66" s="3"/>
      <c r="K66" s="3"/>
      <c r="L66" s="100"/>
    </row>
    <row r="67" spans="2:12">
      <c r="B67" s="99"/>
      <c r="C67" s="3"/>
      <c r="D67" s="3"/>
      <c r="E67" s="3"/>
      <c r="F67" s="3"/>
      <c r="G67" s="3"/>
      <c r="H67" s="3"/>
      <c r="I67" s="3"/>
      <c r="J67" s="3"/>
      <c r="K67" s="3"/>
      <c r="L67" s="100"/>
    </row>
    <row r="68" spans="2:12">
      <c r="B68" s="99"/>
      <c r="C68" s="3"/>
      <c r="D68" s="3"/>
      <c r="E68" s="3"/>
      <c r="F68" s="3"/>
      <c r="G68" s="3"/>
      <c r="H68" s="3"/>
      <c r="I68" s="3"/>
      <c r="J68" s="3"/>
      <c r="K68" s="3"/>
      <c r="L68" s="100"/>
    </row>
    <row r="69" spans="2:12">
      <c r="B69" s="99"/>
      <c r="C69" s="3"/>
      <c r="D69" s="3"/>
      <c r="E69" s="3"/>
      <c r="F69" s="3"/>
      <c r="G69" s="3"/>
      <c r="H69" s="3"/>
      <c r="I69" s="3"/>
      <c r="J69" s="3"/>
      <c r="K69" s="3"/>
      <c r="L69" s="100"/>
    </row>
    <row r="70" spans="2:12">
      <c r="B70" s="99"/>
      <c r="C70" s="3"/>
      <c r="D70" s="3"/>
      <c r="E70" s="3"/>
      <c r="F70" s="3"/>
      <c r="G70" s="3"/>
      <c r="H70" s="3"/>
      <c r="I70" s="3"/>
      <c r="J70" s="3"/>
      <c r="K70" s="3"/>
      <c r="L70" s="100"/>
    </row>
    <row r="71" spans="2:12">
      <c r="B71" s="99"/>
      <c r="C71" s="3"/>
      <c r="D71" s="3"/>
      <c r="E71" s="3"/>
      <c r="F71" s="3"/>
      <c r="G71" s="3"/>
      <c r="H71" s="3"/>
      <c r="I71" s="3"/>
      <c r="J71" s="3"/>
      <c r="K71" s="3"/>
      <c r="L71" s="100"/>
    </row>
    <row r="72" spans="2:12">
      <c r="B72" s="99"/>
      <c r="C72" s="3"/>
      <c r="D72" s="3"/>
      <c r="E72" s="3"/>
      <c r="F72" s="3"/>
      <c r="G72" s="3"/>
      <c r="H72" s="3"/>
      <c r="I72" s="3"/>
      <c r="J72" s="3"/>
      <c r="K72" s="3"/>
      <c r="L72" s="100"/>
    </row>
    <row r="73" spans="2:12">
      <c r="B73" s="99"/>
      <c r="C73" s="3"/>
      <c r="D73" s="3"/>
      <c r="E73" s="3"/>
      <c r="F73" s="3"/>
      <c r="G73" s="3"/>
      <c r="H73" s="3"/>
      <c r="I73" s="3"/>
      <c r="J73" s="3"/>
      <c r="K73" s="3"/>
      <c r="L73" s="100"/>
    </row>
    <row r="74" spans="2:12">
      <c r="B74" s="99"/>
      <c r="C74" s="3"/>
      <c r="D74" s="3"/>
      <c r="E74" s="3"/>
      <c r="F74" s="3"/>
      <c r="G74" s="3"/>
      <c r="H74" s="3"/>
      <c r="I74" s="3"/>
      <c r="J74" s="3"/>
      <c r="K74" s="3"/>
      <c r="L74" s="100"/>
    </row>
    <row r="75" spans="2:12">
      <c r="B75" s="99"/>
      <c r="C75" s="3"/>
      <c r="D75" s="3"/>
      <c r="E75" s="3"/>
      <c r="F75" s="3"/>
      <c r="G75" s="3"/>
      <c r="H75" s="3"/>
      <c r="I75" s="3"/>
      <c r="J75" s="3"/>
      <c r="K75" s="3"/>
      <c r="L75" s="100"/>
    </row>
    <row r="76" spans="2:12">
      <c r="B76" s="99"/>
      <c r="C76" s="3"/>
      <c r="D76" s="3"/>
      <c r="E76" s="3"/>
      <c r="F76" s="3"/>
      <c r="G76" s="3"/>
      <c r="H76" s="3"/>
      <c r="I76" s="3"/>
      <c r="J76" s="3"/>
      <c r="K76" s="3"/>
      <c r="L76" s="100"/>
    </row>
    <row r="77" spans="2:12">
      <c r="B77" s="99"/>
      <c r="C77" s="3"/>
      <c r="D77" s="3"/>
      <c r="E77" s="3"/>
      <c r="F77" s="3"/>
      <c r="G77" s="3"/>
      <c r="H77" s="3"/>
      <c r="I77" s="3"/>
      <c r="J77" s="3"/>
      <c r="K77" s="3"/>
      <c r="L77" s="100"/>
    </row>
    <row r="78" spans="2:12">
      <c r="B78" s="99"/>
      <c r="C78" s="3"/>
      <c r="D78" s="3"/>
      <c r="E78" s="3"/>
      <c r="F78" s="3"/>
      <c r="G78" s="3"/>
      <c r="H78" s="3"/>
      <c r="I78" s="3"/>
      <c r="J78" s="3"/>
      <c r="K78" s="3"/>
      <c r="L78" s="100"/>
    </row>
    <row r="79" spans="2:12">
      <c r="B79" s="99"/>
      <c r="C79" s="3"/>
      <c r="D79" s="3"/>
      <c r="E79" s="194" t="s">
        <v>440</v>
      </c>
      <c r="F79" s="194"/>
      <c r="G79" s="194"/>
      <c r="H79" s="194"/>
      <c r="I79" s="194"/>
      <c r="J79" s="194"/>
      <c r="K79" s="3"/>
      <c r="L79" s="100"/>
    </row>
    <row r="80" spans="2:12">
      <c r="B80" s="99"/>
      <c r="C80" s="3"/>
      <c r="D80" s="3"/>
      <c r="E80" s="194"/>
      <c r="F80" s="194"/>
      <c r="G80" s="194"/>
      <c r="H80" s="194"/>
      <c r="I80" s="194"/>
      <c r="J80" s="194"/>
      <c r="K80" s="3"/>
      <c r="L80" s="100"/>
    </row>
    <row r="81" spans="2:12">
      <c r="B81" s="99"/>
      <c r="C81" s="3"/>
      <c r="D81" s="3"/>
      <c r="E81" s="194"/>
      <c r="F81" s="194"/>
      <c r="G81" s="194"/>
      <c r="H81" s="194"/>
      <c r="I81" s="194"/>
      <c r="J81" s="194"/>
      <c r="K81" s="3"/>
      <c r="L81" s="100"/>
    </row>
    <row r="82" spans="2:12">
      <c r="B82" s="99"/>
      <c r="C82" s="3"/>
      <c r="D82" s="3"/>
      <c r="E82" s="194"/>
      <c r="F82" s="194"/>
      <c r="G82" s="194"/>
      <c r="H82" s="194"/>
      <c r="I82" s="194"/>
      <c r="J82" s="194"/>
      <c r="K82" s="3"/>
      <c r="L82" s="100"/>
    </row>
    <row r="83" spans="2:12">
      <c r="B83" s="99"/>
      <c r="C83" s="3"/>
      <c r="D83" s="3"/>
      <c r="E83" s="194"/>
      <c r="F83" s="194"/>
      <c r="G83" s="194"/>
      <c r="H83" s="194"/>
      <c r="I83" s="194"/>
      <c r="J83" s="194"/>
      <c r="K83" s="3"/>
      <c r="L83" s="100"/>
    </row>
    <row r="84" spans="2:12">
      <c r="B84" s="99"/>
      <c r="C84" s="3"/>
      <c r="D84" s="3"/>
      <c r="E84" s="194"/>
      <c r="F84" s="194"/>
      <c r="G84" s="194"/>
      <c r="H84" s="194"/>
      <c r="I84" s="194"/>
      <c r="J84" s="194"/>
      <c r="K84" s="3"/>
      <c r="L84" s="100"/>
    </row>
    <row r="85" spans="2:12">
      <c r="B85" s="99"/>
      <c r="C85" s="3"/>
      <c r="D85" s="3"/>
      <c r="E85" s="3"/>
      <c r="F85" s="3"/>
      <c r="G85" s="3"/>
      <c r="H85" s="3"/>
      <c r="I85" s="3"/>
      <c r="J85" s="3"/>
      <c r="K85" s="3"/>
      <c r="L85" s="100"/>
    </row>
    <row r="86" spans="2:12">
      <c r="B86" s="99"/>
      <c r="C86" s="3"/>
      <c r="D86" s="3"/>
      <c r="E86" s="3"/>
      <c r="F86" s="3"/>
      <c r="G86" s="3"/>
      <c r="H86" s="3"/>
      <c r="I86" s="3"/>
      <c r="J86" s="3"/>
      <c r="K86" s="3"/>
      <c r="L86" s="100"/>
    </row>
    <row r="87" spans="2:12">
      <c r="B87" s="99"/>
      <c r="C87" s="3"/>
      <c r="D87" s="195" t="s">
        <v>569</v>
      </c>
      <c r="E87" s="195"/>
      <c r="F87" s="195"/>
      <c r="G87" s="195"/>
      <c r="H87" s="195"/>
      <c r="I87" s="195"/>
      <c r="J87" s="195"/>
      <c r="K87" s="3"/>
      <c r="L87" s="100"/>
    </row>
    <row r="88" spans="2:12">
      <c r="B88" s="99"/>
      <c r="C88" s="3"/>
      <c r="D88" s="3"/>
      <c r="E88" s="196" t="s">
        <v>570</v>
      </c>
      <c r="F88" s="196"/>
      <c r="G88" s="196"/>
      <c r="H88" s="196"/>
      <c r="I88" s="196"/>
      <c r="J88" s="196"/>
      <c r="K88" s="3"/>
      <c r="L88" s="100"/>
    </row>
    <row r="89" spans="2:12">
      <c r="B89" s="99"/>
      <c r="C89" s="3"/>
      <c r="D89" s="3"/>
      <c r="E89" s="196"/>
      <c r="F89" s="196"/>
      <c r="G89" s="196"/>
      <c r="H89" s="196"/>
      <c r="I89" s="196"/>
      <c r="J89" s="196"/>
      <c r="K89" s="3"/>
      <c r="L89" s="100"/>
    </row>
    <row r="90" spans="2:12">
      <c r="B90" s="99"/>
      <c r="C90" s="3"/>
      <c r="D90" s="3"/>
      <c r="E90" s="196"/>
      <c r="F90" s="196"/>
      <c r="G90" s="196"/>
      <c r="H90" s="196"/>
      <c r="I90" s="196"/>
      <c r="J90" s="196"/>
      <c r="K90" s="3"/>
      <c r="L90" s="100"/>
    </row>
    <row r="91" spans="2:12">
      <c r="B91" s="99"/>
      <c r="C91" s="3"/>
      <c r="D91" s="3"/>
      <c r="E91" s="196"/>
      <c r="F91" s="196"/>
      <c r="G91" s="196"/>
      <c r="H91" s="196"/>
      <c r="I91" s="196"/>
      <c r="J91" s="196"/>
      <c r="K91" s="3"/>
      <c r="L91" s="100"/>
    </row>
    <row r="92" spans="2:12">
      <c r="B92" s="99"/>
      <c r="C92" s="3"/>
      <c r="D92" s="3"/>
      <c r="E92" s="196"/>
      <c r="F92" s="196"/>
      <c r="G92" s="196"/>
      <c r="H92" s="196"/>
      <c r="I92" s="196"/>
      <c r="J92" s="196"/>
      <c r="K92" s="3"/>
      <c r="L92" s="100"/>
    </row>
    <row r="93" spans="2:12">
      <c r="B93" s="99"/>
      <c r="C93" s="3"/>
      <c r="D93" s="3"/>
      <c r="E93" s="3"/>
      <c r="F93" s="3"/>
      <c r="G93" s="3"/>
      <c r="H93" s="3"/>
      <c r="I93" s="3"/>
      <c r="J93" s="3"/>
      <c r="K93" s="3"/>
      <c r="L93" s="100"/>
    </row>
    <row r="94" spans="2:12">
      <c r="B94" s="99"/>
      <c r="C94" s="3"/>
      <c r="D94" s="3"/>
      <c r="E94" s="3"/>
      <c r="F94" s="3"/>
      <c r="G94" s="3"/>
      <c r="H94" s="3"/>
      <c r="I94" s="3"/>
      <c r="J94" s="3"/>
      <c r="K94" s="3"/>
      <c r="L94" s="100"/>
    </row>
    <row r="95" spans="2:12">
      <c r="B95" s="99"/>
      <c r="C95" s="3"/>
      <c r="D95" s="3"/>
      <c r="E95" s="3"/>
      <c r="F95" s="3"/>
      <c r="G95" s="3"/>
      <c r="H95" s="3"/>
      <c r="I95" s="3"/>
      <c r="J95" s="3"/>
      <c r="K95" s="3"/>
      <c r="L95" s="100"/>
    </row>
    <row r="96" spans="2:12">
      <c r="B96" s="99"/>
      <c r="C96" s="3"/>
      <c r="D96" s="3"/>
      <c r="E96" s="3"/>
      <c r="F96" s="3"/>
      <c r="G96" s="3"/>
      <c r="H96" s="3"/>
      <c r="I96" s="3"/>
      <c r="J96" s="3"/>
      <c r="K96" s="3"/>
      <c r="L96" s="100"/>
    </row>
    <row r="97" spans="2:12">
      <c r="B97" s="99"/>
      <c r="C97" s="3"/>
      <c r="D97" s="3"/>
      <c r="E97" s="3"/>
      <c r="F97" s="3"/>
      <c r="G97" s="3"/>
      <c r="H97" s="3"/>
      <c r="I97" s="3"/>
      <c r="J97" s="3"/>
      <c r="K97" s="3"/>
      <c r="L97" s="100"/>
    </row>
    <row r="98" spans="2:12">
      <c r="B98" s="99"/>
      <c r="C98" s="3"/>
      <c r="D98" s="3"/>
      <c r="E98" s="3"/>
      <c r="F98" s="3"/>
      <c r="G98" s="3"/>
      <c r="H98" s="3"/>
      <c r="I98" s="3"/>
      <c r="J98" s="3"/>
      <c r="K98" s="3"/>
      <c r="L98" s="100"/>
    </row>
    <row r="99" spans="2:12">
      <c r="B99" s="99"/>
      <c r="C99" s="3"/>
      <c r="D99" s="3"/>
      <c r="E99" s="3"/>
      <c r="F99" s="3"/>
      <c r="G99" s="3"/>
      <c r="H99" s="3"/>
      <c r="I99" s="3"/>
      <c r="J99" s="3"/>
      <c r="K99" s="3"/>
      <c r="L99" s="100"/>
    </row>
    <row r="100" spans="2:12">
      <c r="B100" s="99"/>
      <c r="C100" s="3"/>
      <c r="D100" s="3"/>
      <c r="E100" s="3"/>
      <c r="F100" s="3"/>
      <c r="G100" s="3"/>
      <c r="H100" s="3"/>
      <c r="I100" s="3"/>
      <c r="J100" s="3"/>
      <c r="K100" s="3"/>
      <c r="L100" s="100"/>
    </row>
    <row r="101" spans="2:12">
      <c r="B101" s="99"/>
      <c r="C101" s="3"/>
      <c r="D101" s="3"/>
      <c r="E101" s="3"/>
      <c r="F101" s="3"/>
      <c r="G101" s="3"/>
      <c r="H101" s="3"/>
      <c r="I101" s="3"/>
      <c r="J101" s="3"/>
      <c r="K101" s="3"/>
      <c r="L101" s="100"/>
    </row>
    <row r="102" spans="2:12">
      <c r="B102" s="99"/>
      <c r="C102" s="3"/>
      <c r="D102" s="3"/>
      <c r="E102" s="3"/>
      <c r="F102" s="3"/>
      <c r="G102" s="3"/>
      <c r="H102" s="3"/>
      <c r="I102" s="3"/>
      <c r="J102" s="3"/>
      <c r="K102" s="3"/>
      <c r="L102" s="100"/>
    </row>
    <row r="103" spans="2:12">
      <c r="B103" s="99"/>
      <c r="C103" s="3"/>
      <c r="D103" s="3"/>
      <c r="E103" s="3"/>
      <c r="F103" s="3"/>
      <c r="G103" s="3"/>
      <c r="H103" s="3"/>
      <c r="I103" s="3"/>
      <c r="J103" s="3"/>
      <c r="K103" s="3"/>
      <c r="L103" s="100"/>
    </row>
    <row r="104" spans="2:12">
      <c r="B104" s="99"/>
      <c r="C104" s="3"/>
      <c r="D104" s="3"/>
      <c r="E104" s="3"/>
      <c r="F104" s="3"/>
      <c r="G104" s="3"/>
      <c r="H104" s="3"/>
      <c r="I104" s="3"/>
      <c r="J104" s="3"/>
      <c r="K104" s="3"/>
      <c r="L104" s="100"/>
    </row>
    <row r="105" spans="2:12">
      <c r="B105" s="99"/>
      <c r="C105" s="3"/>
      <c r="D105" s="3"/>
      <c r="E105" s="3"/>
      <c r="F105" s="3"/>
      <c r="G105" s="3"/>
      <c r="H105" s="3"/>
      <c r="I105" s="3"/>
      <c r="J105" s="3"/>
      <c r="K105" s="3"/>
      <c r="L105" s="100"/>
    </row>
    <row r="106" spans="2:12">
      <c r="B106" s="99"/>
      <c r="C106" s="3"/>
      <c r="D106" s="3"/>
      <c r="E106" s="3"/>
      <c r="F106" s="3"/>
      <c r="G106" s="3"/>
      <c r="H106" s="3"/>
      <c r="I106" s="3"/>
      <c r="J106" s="3"/>
      <c r="K106" s="3"/>
      <c r="L106" s="100"/>
    </row>
    <row r="107" spans="2:12">
      <c r="B107" s="99"/>
      <c r="C107" s="3"/>
      <c r="D107" s="3"/>
      <c r="E107" s="194" t="s">
        <v>571</v>
      </c>
      <c r="F107" s="194"/>
      <c r="G107" s="194"/>
      <c r="H107" s="194"/>
      <c r="I107" s="109"/>
      <c r="J107" s="109"/>
      <c r="K107" s="3"/>
      <c r="L107" s="100"/>
    </row>
    <row r="108" spans="2:12">
      <c r="B108" s="99"/>
      <c r="C108" s="3"/>
      <c r="D108" s="3"/>
      <c r="E108" s="194"/>
      <c r="F108" s="194"/>
      <c r="G108" s="194"/>
      <c r="H108" s="194"/>
      <c r="I108" s="109"/>
      <c r="J108" s="109"/>
      <c r="K108" s="3"/>
      <c r="L108" s="100"/>
    </row>
    <row r="109" spans="2:12">
      <c r="B109" s="99"/>
      <c r="C109" s="3"/>
      <c r="D109" s="3"/>
      <c r="E109" s="194"/>
      <c r="F109" s="194"/>
      <c r="G109" s="194"/>
      <c r="H109" s="194"/>
      <c r="I109" s="109"/>
      <c r="J109" s="109"/>
      <c r="K109" s="3"/>
      <c r="L109" s="100"/>
    </row>
    <row r="110" spans="2:12">
      <c r="B110" s="99"/>
      <c r="C110" s="3"/>
      <c r="D110" s="3"/>
      <c r="E110" s="194"/>
      <c r="F110" s="194"/>
      <c r="G110" s="194"/>
      <c r="H110" s="194"/>
      <c r="I110" s="109"/>
      <c r="J110" s="109"/>
      <c r="K110" s="3"/>
      <c r="L110" s="100"/>
    </row>
    <row r="111" spans="2:12">
      <c r="B111" s="99"/>
      <c r="C111" s="3"/>
      <c r="D111" s="3"/>
      <c r="E111" s="194"/>
      <c r="F111" s="194"/>
      <c r="G111" s="194"/>
      <c r="H111" s="194"/>
      <c r="I111" s="109"/>
      <c r="J111" s="109"/>
      <c r="K111" s="3"/>
      <c r="L111" s="100"/>
    </row>
    <row r="112" spans="2:12">
      <c r="B112" s="99"/>
      <c r="C112" s="3"/>
      <c r="D112" s="3"/>
      <c r="E112" s="196" t="s">
        <v>572</v>
      </c>
      <c r="F112" s="196"/>
      <c r="G112" s="196"/>
      <c r="H112" s="196"/>
      <c r="I112" s="3"/>
      <c r="J112" s="3"/>
      <c r="K112" s="3"/>
      <c r="L112" s="100"/>
    </row>
    <row r="113" spans="2:12">
      <c r="B113" s="99"/>
      <c r="C113" s="3"/>
      <c r="D113" s="3"/>
      <c r="E113" s="196"/>
      <c r="F113" s="196"/>
      <c r="G113" s="196"/>
      <c r="H113" s="196"/>
      <c r="I113" s="3"/>
      <c r="J113" s="3"/>
      <c r="K113" s="3"/>
      <c r="L113" s="100"/>
    </row>
    <row r="114" spans="2:12">
      <c r="B114" s="99"/>
      <c r="C114" s="3"/>
      <c r="D114" s="3"/>
      <c r="E114" s="196"/>
      <c r="F114" s="196"/>
      <c r="G114" s="196"/>
      <c r="H114" s="196"/>
      <c r="I114" s="3"/>
      <c r="J114" s="3"/>
      <c r="K114" s="3"/>
      <c r="L114" s="100"/>
    </row>
    <row r="115" spans="2:12">
      <c r="B115" s="99"/>
      <c r="C115" s="3"/>
      <c r="D115" s="3"/>
      <c r="E115" s="3"/>
      <c r="F115" s="3"/>
      <c r="G115" s="3"/>
      <c r="H115" s="3"/>
      <c r="I115" s="3"/>
      <c r="J115" s="3"/>
      <c r="K115" s="3"/>
      <c r="L115" s="100"/>
    </row>
    <row r="116" spans="2:12">
      <c r="B116" s="99"/>
      <c r="C116" s="3"/>
      <c r="D116" s="3"/>
      <c r="E116" s="194" t="s">
        <v>573</v>
      </c>
      <c r="F116" s="194"/>
      <c r="G116" s="194"/>
      <c r="H116" s="194"/>
      <c r="I116" s="194"/>
      <c r="J116" s="194"/>
      <c r="K116" s="3"/>
      <c r="L116" s="100"/>
    </row>
    <row r="117" spans="2:12">
      <c r="B117" s="99"/>
      <c r="C117" s="3"/>
      <c r="D117" s="3"/>
      <c r="E117" s="194"/>
      <c r="F117" s="194"/>
      <c r="G117" s="194"/>
      <c r="H117" s="194"/>
      <c r="I117" s="194"/>
      <c r="J117" s="194"/>
      <c r="K117" s="3"/>
      <c r="L117" s="100"/>
    </row>
    <row r="118" spans="2:12">
      <c r="B118" s="99"/>
      <c r="C118" s="3"/>
      <c r="D118" s="3"/>
      <c r="E118" s="194"/>
      <c r="F118" s="194"/>
      <c r="G118" s="194"/>
      <c r="H118" s="194"/>
      <c r="I118" s="194"/>
      <c r="J118" s="194"/>
      <c r="K118" s="3"/>
      <c r="L118" s="100"/>
    </row>
    <row r="119" spans="2:12">
      <c r="B119" s="99"/>
      <c r="C119" s="3"/>
      <c r="D119" s="3"/>
      <c r="E119" s="3"/>
      <c r="F119" s="3"/>
      <c r="G119" s="3"/>
      <c r="H119" s="3"/>
      <c r="I119" s="3"/>
      <c r="J119" s="3"/>
      <c r="K119" s="3"/>
      <c r="L119" s="100"/>
    </row>
    <row r="120" spans="2:12">
      <c r="B120" s="99"/>
      <c r="C120" s="3"/>
      <c r="D120" s="3"/>
      <c r="E120" s="3"/>
      <c r="F120" s="3"/>
      <c r="G120" s="3"/>
      <c r="H120" s="3"/>
      <c r="I120" s="3"/>
      <c r="J120" s="3"/>
      <c r="K120" s="3"/>
      <c r="L120" s="100"/>
    </row>
    <row r="121" spans="2:12">
      <c r="B121" s="99"/>
      <c r="C121" s="3"/>
      <c r="D121" s="3"/>
      <c r="E121" s="3"/>
      <c r="F121" s="3"/>
      <c r="G121" s="3"/>
      <c r="H121" s="3"/>
      <c r="I121" s="3"/>
      <c r="J121" s="3"/>
      <c r="K121" s="3"/>
      <c r="L121" s="100"/>
    </row>
    <row r="122" spans="2:12">
      <c r="B122" s="99"/>
      <c r="C122" s="3"/>
      <c r="D122" s="3"/>
      <c r="E122" s="3"/>
      <c r="F122" s="3"/>
      <c r="G122" s="3"/>
      <c r="H122" s="3"/>
      <c r="I122" s="3"/>
      <c r="J122" s="3"/>
      <c r="K122" s="3"/>
      <c r="L122" s="100"/>
    </row>
    <row r="123" spans="2:12">
      <c r="B123" s="99"/>
      <c r="C123" s="3"/>
      <c r="D123" s="3"/>
      <c r="E123" s="3"/>
      <c r="F123" s="3"/>
      <c r="G123" s="3"/>
      <c r="H123" s="3"/>
      <c r="I123" s="3"/>
      <c r="J123" s="3"/>
      <c r="K123" s="3"/>
      <c r="L123" s="100"/>
    </row>
    <row r="124" spans="2:12">
      <c r="B124" s="99"/>
      <c r="C124" s="3"/>
      <c r="D124" s="3"/>
      <c r="E124" s="3"/>
      <c r="F124" s="3"/>
      <c r="G124" s="3"/>
      <c r="H124" s="3"/>
      <c r="I124" s="3"/>
      <c r="J124" s="3"/>
      <c r="K124" s="3"/>
      <c r="L124" s="100"/>
    </row>
    <row r="125" spans="2:12">
      <c r="B125" s="99"/>
      <c r="C125" s="3"/>
      <c r="D125" s="3"/>
      <c r="E125" s="3"/>
      <c r="F125" s="3"/>
      <c r="G125" s="3"/>
      <c r="H125" s="3"/>
      <c r="I125" s="3"/>
      <c r="J125" s="3"/>
      <c r="K125" s="3"/>
      <c r="L125" s="100"/>
    </row>
    <row r="126" spans="2:12">
      <c r="B126" s="99"/>
      <c r="C126" s="3"/>
      <c r="D126" s="3"/>
      <c r="E126" s="3"/>
      <c r="F126" s="3"/>
      <c r="G126" s="3"/>
      <c r="H126" s="3"/>
      <c r="I126" s="3"/>
      <c r="J126" s="3"/>
      <c r="K126" s="3"/>
      <c r="L126" s="100"/>
    </row>
    <row r="127" spans="2:12">
      <c r="B127" s="99"/>
      <c r="C127" s="3"/>
      <c r="D127" s="3"/>
      <c r="E127" s="3"/>
      <c r="F127" s="3"/>
      <c r="G127" s="3"/>
      <c r="H127" s="3"/>
      <c r="I127" s="3"/>
      <c r="J127" s="3"/>
      <c r="K127" s="3"/>
      <c r="L127" s="100"/>
    </row>
    <row r="128" spans="2:12">
      <c r="B128" s="99"/>
      <c r="C128" s="3"/>
      <c r="D128" s="3"/>
      <c r="E128" s="3"/>
      <c r="F128" s="3"/>
      <c r="G128" s="3"/>
      <c r="H128" s="3"/>
      <c r="I128" s="3"/>
      <c r="J128" s="3"/>
      <c r="K128" s="3"/>
      <c r="L128" s="100"/>
    </row>
    <row r="129" spans="2:12">
      <c r="B129" s="99"/>
      <c r="C129" s="3"/>
      <c r="D129" s="3"/>
      <c r="E129" s="3"/>
      <c r="F129" s="3"/>
      <c r="G129" s="3"/>
      <c r="H129" s="3"/>
      <c r="I129" s="3"/>
      <c r="J129" s="3"/>
      <c r="K129" s="3"/>
      <c r="L129" s="100"/>
    </row>
    <row r="130" spans="2:12">
      <c r="B130" s="99"/>
      <c r="C130" s="3"/>
      <c r="D130" s="3"/>
      <c r="E130" s="3"/>
      <c r="F130" s="3"/>
      <c r="G130" s="3"/>
      <c r="H130" s="3"/>
      <c r="I130" s="3"/>
      <c r="J130" s="3"/>
      <c r="K130" s="3"/>
      <c r="L130" s="100"/>
    </row>
    <row r="131" spans="2:12">
      <c r="B131" s="99"/>
      <c r="C131" s="3"/>
      <c r="D131" s="3"/>
      <c r="E131" s="3"/>
      <c r="F131" s="3"/>
      <c r="G131" s="3"/>
      <c r="H131" s="3"/>
      <c r="I131" s="3"/>
      <c r="J131" s="3"/>
      <c r="K131" s="3"/>
      <c r="L131" s="100"/>
    </row>
    <row r="132" spans="2:12">
      <c r="B132" s="99"/>
      <c r="C132" s="3"/>
      <c r="D132" s="3"/>
      <c r="E132" s="3"/>
      <c r="F132" s="3"/>
      <c r="G132" s="3"/>
      <c r="H132" s="3"/>
      <c r="I132" s="3"/>
      <c r="J132" s="3"/>
      <c r="K132" s="3"/>
      <c r="L132" s="100"/>
    </row>
    <row r="133" spans="2:12">
      <c r="B133" s="99"/>
      <c r="C133" s="3"/>
      <c r="D133" s="3"/>
      <c r="E133" s="3"/>
      <c r="F133" s="3"/>
      <c r="G133" s="3"/>
      <c r="H133" s="3"/>
      <c r="I133" s="3"/>
      <c r="J133" s="3"/>
      <c r="K133" s="3"/>
      <c r="L133" s="100"/>
    </row>
    <row r="134" spans="2:12">
      <c r="B134" s="101"/>
      <c r="C134" s="102"/>
      <c r="D134" s="102"/>
      <c r="E134" s="102"/>
      <c r="F134" s="102"/>
      <c r="G134" s="102"/>
      <c r="H134" s="102"/>
      <c r="I134" s="102"/>
      <c r="J134" s="102"/>
      <c r="K134" s="102"/>
      <c r="L134" s="103"/>
    </row>
  </sheetData>
  <mergeCells count="19">
    <mergeCell ref="D13:I13"/>
    <mergeCell ref="E41:J44"/>
    <mergeCell ref="D7:J11"/>
    <mergeCell ref="C5:F5"/>
    <mergeCell ref="E14:J19"/>
    <mergeCell ref="E20:J22"/>
    <mergeCell ref="E23:J25"/>
    <mergeCell ref="E26:J31"/>
    <mergeCell ref="E45:J47"/>
    <mergeCell ref="E61:J64"/>
    <mergeCell ref="E79:J84"/>
    <mergeCell ref="E32:J34"/>
    <mergeCell ref="E36:J37"/>
    <mergeCell ref="D40:J40"/>
    <mergeCell ref="E116:J118"/>
    <mergeCell ref="D87:J87"/>
    <mergeCell ref="E88:J92"/>
    <mergeCell ref="E107:H111"/>
    <mergeCell ref="E112:H11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21902-7581-47B3-A720-1369AA13ED1E}">
  <dimension ref="B1:T1232"/>
  <sheetViews>
    <sheetView showGridLines="0" zoomScale="90" zoomScaleNormal="90" workbookViewId="0">
      <selection activeCell="E33" sqref="E33:R33"/>
    </sheetView>
  </sheetViews>
  <sheetFormatPr baseColWidth="10" defaultRowHeight="14.4"/>
  <cols>
    <col min="1" max="1" width="4.6640625" style="82" customWidth="1"/>
    <col min="2" max="2" width="3" style="82" customWidth="1"/>
    <col min="3" max="3" width="19.77734375" style="82" customWidth="1"/>
    <col min="4" max="4" width="6.77734375" style="82" customWidth="1"/>
    <col min="5" max="18" width="11.5546875" style="82"/>
    <col min="19" max="19" width="6.77734375" style="82" customWidth="1"/>
    <col min="20" max="20" width="3" style="82" customWidth="1"/>
    <col min="21" max="16384" width="11.5546875" style="82"/>
  </cols>
  <sheetData>
    <row r="1" spans="2:20" ht="18" customHeight="1"/>
    <row r="2" spans="2:20" ht="18" customHeight="1">
      <c r="B2" s="83"/>
      <c r="C2" s="84"/>
      <c r="D2" s="84"/>
      <c r="E2" s="84"/>
      <c r="F2" s="84"/>
      <c r="G2" s="84"/>
      <c r="H2" s="84"/>
      <c r="I2" s="84"/>
      <c r="J2" s="84"/>
      <c r="K2" s="84"/>
      <c r="L2" s="84"/>
      <c r="M2" s="84"/>
      <c r="N2" s="84"/>
      <c r="O2" s="84"/>
      <c r="P2" s="84"/>
      <c r="Q2" s="84"/>
      <c r="R2" s="84"/>
      <c r="S2" s="84"/>
      <c r="T2" s="85"/>
    </row>
    <row r="3" spans="2:20" ht="18" customHeight="1">
      <c r="B3" s="86"/>
      <c r="C3" s="143"/>
      <c r="D3" s="143"/>
      <c r="E3" s="143"/>
      <c r="F3" s="143"/>
      <c r="G3" s="143"/>
      <c r="H3" s="143"/>
      <c r="I3" s="143"/>
      <c r="J3" s="143"/>
      <c r="K3" s="143"/>
      <c r="L3" s="143"/>
      <c r="M3" s="143"/>
      <c r="N3" s="143"/>
      <c r="O3" s="143"/>
      <c r="P3" s="143"/>
      <c r="Q3" s="143"/>
      <c r="R3" s="143"/>
      <c r="S3" s="143"/>
      <c r="T3" s="87"/>
    </row>
    <row r="4" spans="2:20" ht="18" customHeight="1">
      <c r="B4" s="86"/>
      <c r="C4" s="143"/>
      <c r="D4" s="143"/>
      <c r="E4" s="143"/>
      <c r="F4" s="143"/>
      <c r="G4" s="143"/>
      <c r="H4" s="143"/>
      <c r="I4" s="143"/>
      <c r="J4" s="143"/>
      <c r="K4" s="143"/>
      <c r="L4" s="143"/>
      <c r="M4" s="143"/>
      <c r="N4" s="143"/>
      <c r="O4" s="143"/>
      <c r="P4" s="143"/>
      <c r="Q4" s="143"/>
      <c r="R4" s="143"/>
      <c r="S4" s="143"/>
      <c r="T4" s="87"/>
    </row>
    <row r="5" spans="2:20" ht="18" customHeight="1">
      <c r="B5" s="86"/>
      <c r="C5" s="143"/>
      <c r="D5" s="143"/>
      <c r="E5" s="143"/>
      <c r="F5" s="143"/>
      <c r="G5" s="199" t="s">
        <v>20</v>
      </c>
      <c r="H5" s="199"/>
      <c r="I5" s="199"/>
      <c r="J5" s="199"/>
      <c r="K5" s="199"/>
      <c r="L5" s="199"/>
      <c r="M5" s="199"/>
      <c r="N5" s="199"/>
      <c r="O5" s="199"/>
      <c r="P5" s="199"/>
      <c r="Q5" s="199"/>
      <c r="R5" s="199"/>
      <c r="S5" s="144"/>
      <c r="T5" s="87"/>
    </row>
    <row r="6" spans="2:20" ht="18" customHeight="1">
      <c r="B6" s="86"/>
      <c r="C6" s="143"/>
      <c r="D6" s="143"/>
      <c r="E6" s="143"/>
      <c r="F6" s="143"/>
      <c r="G6" s="199"/>
      <c r="H6" s="199"/>
      <c r="I6" s="199"/>
      <c r="J6" s="199"/>
      <c r="K6" s="199"/>
      <c r="L6" s="199"/>
      <c r="M6" s="199"/>
      <c r="N6" s="199"/>
      <c r="O6" s="199"/>
      <c r="P6" s="199"/>
      <c r="Q6" s="199"/>
      <c r="R6" s="199"/>
      <c r="S6" s="144"/>
      <c r="T6" s="87"/>
    </row>
    <row r="7" spans="2:20" ht="18" customHeight="1">
      <c r="B7" s="86"/>
      <c r="C7" s="143"/>
      <c r="D7" s="143"/>
      <c r="E7" s="143"/>
      <c r="F7" s="143"/>
      <c r="G7" s="199"/>
      <c r="H7" s="199"/>
      <c r="I7" s="199"/>
      <c r="J7" s="199"/>
      <c r="K7" s="199"/>
      <c r="L7" s="199"/>
      <c r="M7" s="199"/>
      <c r="N7" s="199"/>
      <c r="O7" s="199"/>
      <c r="P7" s="199"/>
      <c r="Q7" s="199"/>
      <c r="R7" s="199"/>
      <c r="S7" s="144"/>
      <c r="T7" s="87"/>
    </row>
    <row r="8" spans="2:20" ht="18" customHeight="1">
      <c r="B8" s="86"/>
      <c r="C8" s="143"/>
      <c r="D8" s="143"/>
      <c r="E8" s="143"/>
      <c r="F8" s="143"/>
      <c r="G8" s="199"/>
      <c r="H8" s="199"/>
      <c r="I8" s="199"/>
      <c r="J8" s="199"/>
      <c r="K8" s="199"/>
      <c r="L8" s="199"/>
      <c r="M8" s="199"/>
      <c r="N8" s="199"/>
      <c r="O8" s="199"/>
      <c r="P8" s="199"/>
      <c r="Q8" s="199"/>
      <c r="R8" s="199"/>
      <c r="S8" s="144"/>
      <c r="T8" s="87"/>
    </row>
    <row r="9" spans="2:20" ht="18" customHeight="1">
      <c r="B9" s="86"/>
      <c r="C9" s="143"/>
      <c r="D9" s="143"/>
      <c r="E9" s="143"/>
      <c r="F9" s="143"/>
      <c r="G9" s="143"/>
      <c r="H9" s="143"/>
      <c r="I9" s="143"/>
      <c r="J9" s="143"/>
      <c r="K9" s="143"/>
      <c r="L9" s="143"/>
      <c r="M9" s="143"/>
      <c r="N9" s="143"/>
      <c r="O9" s="143"/>
      <c r="P9" s="143"/>
      <c r="Q9" s="143"/>
      <c r="R9" s="143"/>
      <c r="S9" s="143"/>
      <c r="T9" s="87"/>
    </row>
    <row r="10" spans="2:20" ht="18" customHeight="1">
      <c r="B10" s="86"/>
      <c r="C10" s="143"/>
      <c r="D10" s="143"/>
      <c r="E10" s="143"/>
      <c r="F10" s="143"/>
      <c r="G10" s="201" t="s">
        <v>1</v>
      </c>
      <c r="H10" s="201"/>
      <c r="I10" s="201"/>
      <c r="J10" s="201"/>
      <c r="K10" s="201"/>
      <c r="L10" s="201"/>
      <c r="M10" s="201"/>
      <c r="N10" s="201"/>
      <c r="O10" s="201"/>
      <c r="P10" s="201"/>
      <c r="Q10" s="201"/>
      <c r="R10" s="201"/>
      <c r="S10" s="143"/>
      <c r="T10" s="87"/>
    </row>
    <row r="11" spans="2:20" ht="18" customHeight="1">
      <c r="B11" s="86"/>
      <c r="C11" s="143"/>
      <c r="D11" s="143"/>
      <c r="E11" s="143"/>
      <c r="F11" s="143"/>
      <c r="G11" s="143"/>
      <c r="H11" s="143"/>
      <c r="I11" s="143"/>
      <c r="J11" s="143"/>
      <c r="K11" s="143"/>
      <c r="L11" s="143"/>
      <c r="M11" s="143"/>
      <c r="N11" s="143"/>
      <c r="O11" s="143"/>
      <c r="P11" s="143"/>
      <c r="Q11" s="143"/>
      <c r="R11" s="143"/>
      <c r="S11" s="143"/>
      <c r="T11" s="87"/>
    </row>
    <row r="12" spans="2:20" ht="18" customHeight="1">
      <c r="B12" s="86"/>
      <c r="C12" s="143"/>
      <c r="D12" s="143"/>
      <c r="E12" s="143"/>
      <c r="F12" s="143"/>
      <c r="G12" s="143"/>
      <c r="H12" s="143"/>
      <c r="I12" s="143"/>
      <c r="J12" s="143"/>
      <c r="K12" s="143"/>
      <c r="L12" s="143"/>
      <c r="M12" s="143"/>
      <c r="N12" s="143"/>
      <c r="O12" s="143"/>
      <c r="P12" s="143"/>
      <c r="Q12" s="143"/>
      <c r="R12" s="143"/>
      <c r="S12" s="143"/>
      <c r="T12" s="87"/>
    </row>
    <row r="13" spans="2:20" ht="18" customHeight="1">
      <c r="B13" s="86"/>
      <c r="C13" s="143"/>
      <c r="D13" s="143"/>
      <c r="E13" s="200" t="s">
        <v>0</v>
      </c>
      <c r="F13" s="200"/>
      <c r="G13" s="143"/>
      <c r="H13" s="143"/>
      <c r="I13" s="143"/>
      <c r="J13" s="143"/>
      <c r="K13" s="143"/>
      <c r="L13" s="143"/>
      <c r="M13" s="143"/>
      <c r="N13" s="143"/>
      <c r="O13" s="143"/>
      <c r="P13" s="143"/>
      <c r="Q13" s="143"/>
      <c r="R13" s="143"/>
      <c r="S13" s="143"/>
      <c r="T13" s="87"/>
    </row>
    <row r="14" spans="2:20" ht="18" customHeight="1">
      <c r="B14" s="86"/>
      <c r="C14" s="143"/>
      <c r="D14" s="143"/>
      <c r="E14" s="145"/>
      <c r="F14" s="145"/>
      <c r="G14" s="143"/>
      <c r="H14" s="143"/>
      <c r="I14" s="143"/>
      <c r="J14" s="143"/>
      <c r="K14" s="143"/>
      <c r="L14" s="143"/>
      <c r="M14" s="143"/>
      <c r="N14" s="143"/>
      <c r="O14" s="143"/>
      <c r="P14" s="143"/>
      <c r="Q14" s="143"/>
      <c r="R14" s="143"/>
      <c r="S14" s="143"/>
      <c r="T14" s="87"/>
    </row>
    <row r="15" spans="2:20" ht="18" customHeight="1">
      <c r="B15" s="86"/>
      <c r="C15" s="143"/>
      <c r="D15" s="143"/>
      <c r="E15" s="202" t="s">
        <v>429</v>
      </c>
      <c r="F15" s="202"/>
      <c r="G15" s="202"/>
      <c r="H15" s="202"/>
      <c r="I15" s="202"/>
      <c r="J15" s="202"/>
      <c r="K15" s="202"/>
      <c r="L15" s="202"/>
      <c r="M15" s="202"/>
      <c r="N15" s="202"/>
      <c r="O15" s="202"/>
      <c r="P15" s="202"/>
      <c r="Q15" s="202"/>
      <c r="R15" s="202"/>
      <c r="S15" s="143"/>
      <c r="T15" s="87"/>
    </row>
    <row r="16" spans="2:20" ht="18" customHeight="1">
      <c r="B16" s="86"/>
      <c r="C16" s="143"/>
      <c r="D16" s="143"/>
      <c r="E16" s="202"/>
      <c r="F16" s="202"/>
      <c r="G16" s="202"/>
      <c r="H16" s="202"/>
      <c r="I16" s="202"/>
      <c r="J16" s="202"/>
      <c r="K16" s="202"/>
      <c r="L16" s="202"/>
      <c r="M16" s="202"/>
      <c r="N16" s="202"/>
      <c r="O16" s="202"/>
      <c r="P16" s="202"/>
      <c r="Q16" s="202"/>
      <c r="R16" s="202"/>
      <c r="S16" s="143"/>
      <c r="T16" s="87"/>
    </row>
    <row r="17" spans="2:20" ht="18" customHeight="1">
      <c r="B17" s="86"/>
      <c r="C17" s="143"/>
      <c r="D17" s="143"/>
      <c r="E17" s="202"/>
      <c r="F17" s="202"/>
      <c r="G17" s="202"/>
      <c r="H17" s="202"/>
      <c r="I17" s="202"/>
      <c r="J17" s="202"/>
      <c r="K17" s="202"/>
      <c r="L17" s="202"/>
      <c r="M17" s="202"/>
      <c r="N17" s="202"/>
      <c r="O17" s="202"/>
      <c r="P17" s="202"/>
      <c r="Q17" s="202"/>
      <c r="R17" s="202"/>
      <c r="S17" s="143"/>
      <c r="T17" s="87"/>
    </row>
    <row r="18" spans="2:20" ht="18" customHeight="1">
      <c r="B18" s="86"/>
      <c r="C18" s="143"/>
      <c r="D18" s="143"/>
      <c r="E18" s="202"/>
      <c r="F18" s="202"/>
      <c r="G18" s="202"/>
      <c r="H18" s="202"/>
      <c r="I18" s="202"/>
      <c r="J18" s="202"/>
      <c r="K18" s="202"/>
      <c r="L18" s="202"/>
      <c r="M18" s="202"/>
      <c r="N18" s="202"/>
      <c r="O18" s="202"/>
      <c r="P18" s="202"/>
      <c r="Q18" s="202"/>
      <c r="R18" s="202"/>
      <c r="S18" s="143"/>
      <c r="T18" s="87"/>
    </row>
    <row r="19" spans="2:20" ht="18" customHeight="1">
      <c r="B19" s="86"/>
      <c r="C19" s="143"/>
      <c r="D19" s="143"/>
      <c r="E19" s="202"/>
      <c r="F19" s="202"/>
      <c r="G19" s="202"/>
      <c r="H19" s="202"/>
      <c r="I19" s="202"/>
      <c r="J19" s="202"/>
      <c r="K19" s="202"/>
      <c r="L19" s="202"/>
      <c r="M19" s="202"/>
      <c r="N19" s="202"/>
      <c r="O19" s="202"/>
      <c r="P19" s="202"/>
      <c r="Q19" s="202"/>
      <c r="R19" s="202"/>
      <c r="S19" s="143"/>
      <c r="T19" s="87"/>
    </row>
    <row r="20" spans="2:20" ht="18" customHeight="1">
      <c r="B20" s="86"/>
      <c r="C20" s="143"/>
      <c r="D20" s="143"/>
      <c r="E20" s="202"/>
      <c r="F20" s="202"/>
      <c r="G20" s="202"/>
      <c r="H20" s="202"/>
      <c r="I20" s="202"/>
      <c r="J20" s="202"/>
      <c r="K20" s="202"/>
      <c r="L20" s="202"/>
      <c r="M20" s="202"/>
      <c r="N20" s="202"/>
      <c r="O20" s="202"/>
      <c r="P20" s="202"/>
      <c r="Q20" s="202"/>
      <c r="R20" s="202"/>
      <c r="S20" s="143"/>
      <c r="T20" s="87"/>
    </row>
    <row r="21" spans="2:20" ht="18" customHeight="1">
      <c r="B21" s="86"/>
      <c r="C21" s="143"/>
      <c r="D21" s="143"/>
      <c r="E21" s="202"/>
      <c r="F21" s="202"/>
      <c r="G21" s="202"/>
      <c r="H21" s="202"/>
      <c r="I21" s="202"/>
      <c r="J21" s="202"/>
      <c r="K21" s="202"/>
      <c r="L21" s="202"/>
      <c r="M21" s="202"/>
      <c r="N21" s="202"/>
      <c r="O21" s="202"/>
      <c r="P21" s="202"/>
      <c r="Q21" s="202"/>
      <c r="R21" s="202"/>
      <c r="S21" s="143"/>
      <c r="T21" s="87"/>
    </row>
    <row r="22" spans="2:20" ht="18" customHeight="1">
      <c r="B22" s="86"/>
      <c r="C22" s="143"/>
      <c r="D22" s="143"/>
      <c r="E22" s="202"/>
      <c r="F22" s="202"/>
      <c r="G22" s="202"/>
      <c r="H22" s="202"/>
      <c r="I22" s="202"/>
      <c r="J22" s="202"/>
      <c r="K22" s="202"/>
      <c r="L22" s="202"/>
      <c r="M22" s="202"/>
      <c r="N22" s="202"/>
      <c r="O22" s="202"/>
      <c r="P22" s="202"/>
      <c r="Q22" s="202"/>
      <c r="R22" s="202"/>
      <c r="S22" s="143"/>
      <c r="T22" s="87"/>
    </row>
    <row r="23" spans="2:20" ht="18" customHeight="1">
      <c r="B23" s="86"/>
      <c r="C23" s="143"/>
      <c r="D23" s="143"/>
      <c r="E23" s="202"/>
      <c r="F23" s="202"/>
      <c r="G23" s="202"/>
      <c r="H23" s="202"/>
      <c r="I23" s="202"/>
      <c r="J23" s="202"/>
      <c r="K23" s="202"/>
      <c r="L23" s="202"/>
      <c r="M23" s="202"/>
      <c r="N23" s="202"/>
      <c r="O23" s="202"/>
      <c r="P23" s="202"/>
      <c r="Q23" s="202"/>
      <c r="R23" s="202"/>
      <c r="S23" s="143"/>
      <c r="T23" s="87"/>
    </row>
    <row r="24" spans="2:20" ht="18" customHeight="1">
      <c r="B24" s="86"/>
      <c r="C24" s="143"/>
      <c r="D24" s="143"/>
      <c r="E24" s="202"/>
      <c r="F24" s="202"/>
      <c r="G24" s="202"/>
      <c r="H24" s="202"/>
      <c r="I24" s="202"/>
      <c r="J24" s="202"/>
      <c r="K24" s="202"/>
      <c r="L24" s="202"/>
      <c r="M24" s="202"/>
      <c r="N24" s="202"/>
      <c r="O24" s="202"/>
      <c r="P24" s="202"/>
      <c r="Q24" s="202"/>
      <c r="R24" s="202"/>
      <c r="S24" s="143"/>
      <c r="T24" s="87"/>
    </row>
    <row r="25" spans="2:20" ht="18" customHeight="1">
      <c r="B25" s="86"/>
      <c r="C25" s="143"/>
      <c r="D25" s="143"/>
      <c r="E25" s="202"/>
      <c r="F25" s="202"/>
      <c r="G25" s="202"/>
      <c r="H25" s="202"/>
      <c r="I25" s="202"/>
      <c r="J25" s="202"/>
      <c r="K25" s="202"/>
      <c r="L25" s="202"/>
      <c r="M25" s="202"/>
      <c r="N25" s="202"/>
      <c r="O25" s="202"/>
      <c r="P25" s="202"/>
      <c r="Q25" s="202"/>
      <c r="R25" s="202"/>
      <c r="S25" s="143"/>
      <c r="T25" s="87"/>
    </row>
    <row r="26" spans="2:20" ht="18" customHeight="1">
      <c r="B26" s="86"/>
      <c r="C26" s="143"/>
      <c r="D26" s="143"/>
      <c r="E26" s="202"/>
      <c r="F26" s="202"/>
      <c r="G26" s="202"/>
      <c r="H26" s="202"/>
      <c r="I26" s="202"/>
      <c r="J26" s="202"/>
      <c r="K26" s="202"/>
      <c r="L26" s="202"/>
      <c r="M26" s="202"/>
      <c r="N26" s="202"/>
      <c r="O26" s="202"/>
      <c r="P26" s="202"/>
      <c r="Q26" s="202"/>
      <c r="R26" s="202"/>
      <c r="S26" s="143"/>
      <c r="T26" s="87"/>
    </row>
    <row r="27" spans="2:20" ht="18" customHeight="1">
      <c r="B27" s="86"/>
      <c r="C27" s="143"/>
      <c r="D27" s="143"/>
      <c r="E27" s="202"/>
      <c r="F27" s="202"/>
      <c r="G27" s="202"/>
      <c r="H27" s="202"/>
      <c r="I27" s="202"/>
      <c r="J27" s="202"/>
      <c r="K27" s="202"/>
      <c r="L27" s="202"/>
      <c r="M27" s="202"/>
      <c r="N27" s="202"/>
      <c r="O27" s="202"/>
      <c r="P27" s="202"/>
      <c r="Q27" s="202"/>
      <c r="R27" s="202"/>
      <c r="S27" s="143"/>
      <c r="T27" s="87"/>
    </row>
    <row r="28" spans="2:20" ht="18" customHeight="1">
      <c r="B28" s="86"/>
      <c r="C28" s="143"/>
      <c r="D28" s="143"/>
      <c r="E28" s="143"/>
      <c r="F28" s="143"/>
      <c r="G28" s="143"/>
      <c r="H28" s="143"/>
      <c r="I28" s="143"/>
      <c r="J28" s="143"/>
      <c r="K28" s="143"/>
      <c r="L28" s="143"/>
      <c r="M28" s="143"/>
      <c r="N28" s="143"/>
      <c r="O28" s="143"/>
      <c r="P28" s="143"/>
      <c r="Q28" s="143"/>
      <c r="R28" s="143"/>
      <c r="S28" s="143"/>
      <c r="T28" s="87"/>
    </row>
    <row r="29" spans="2:20" ht="18" customHeight="1">
      <c r="B29" s="86"/>
      <c r="C29" s="146"/>
      <c r="D29" s="143"/>
      <c r="E29" s="143"/>
      <c r="F29" s="143"/>
      <c r="G29" s="143"/>
      <c r="H29" s="143"/>
      <c r="I29" s="143"/>
      <c r="J29" s="143"/>
      <c r="K29" s="143"/>
      <c r="L29" s="143"/>
      <c r="M29" s="143"/>
      <c r="N29" s="143"/>
      <c r="O29" s="143"/>
      <c r="P29" s="143"/>
      <c r="Q29" s="143"/>
      <c r="R29" s="143"/>
      <c r="S29" s="143"/>
      <c r="T29" s="87"/>
    </row>
    <row r="30" spans="2:20" ht="18" customHeight="1" thickBot="1">
      <c r="B30" s="86"/>
      <c r="C30" s="147"/>
      <c r="D30" s="147"/>
      <c r="E30" s="147"/>
      <c r="F30" s="147"/>
      <c r="G30" s="147"/>
      <c r="H30" s="147"/>
      <c r="I30" s="147"/>
      <c r="J30" s="147"/>
      <c r="K30" s="147"/>
      <c r="L30" s="147"/>
      <c r="M30" s="147"/>
      <c r="N30" s="147"/>
      <c r="O30" s="147"/>
      <c r="P30" s="147"/>
      <c r="Q30" s="147"/>
      <c r="R30" s="147"/>
      <c r="S30" s="147"/>
      <c r="T30" s="87"/>
    </row>
    <row r="31" spans="2:20" ht="18" customHeight="1" thickBot="1">
      <c r="B31" s="86"/>
      <c r="D31" s="88"/>
      <c r="E31" s="88"/>
      <c r="F31" s="88"/>
      <c r="G31" s="88"/>
      <c r="H31" s="88"/>
      <c r="I31" s="88"/>
      <c r="J31" s="88"/>
      <c r="K31" s="88"/>
      <c r="L31" s="88"/>
      <c r="M31" s="88"/>
      <c r="N31" s="88"/>
      <c r="O31" s="88"/>
      <c r="P31" s="88"/>
      <c r="Q31" s="88"/>
      <c r="R31" s="88"/>
      <c r="S31" s="88"/>
      <c r="T31" s="87"/>
    </row>
    <row r="32" spans="2:20" ht="18" customHeight="1" thickTop="1" thickBot="1">
      <c r="B32" s="86"/>
      <c r="C32" s="224" t="s">
        <v>21</v>
      </c>
      <c r="D32" s="112"/>
      <c r="E32" s="203" t="s">
        <v>30</v>
      </c>
      <c r="F32" s="204"/>
      <c r="G32" s="204"/>
      <c r="H32" s="204"/>
      <c r="I32" s="204"/>
      <c r="J32" s="204"/>
      <c r="K32" s="204"/>
      <c r="L32" s="204"/>
      <c r="M32" s="204"/>
      <c r="N32" s="204"/>
      <c r="O32" s="204"/>
      <c r="P32" s="204"/>
      <c r="Q32" s="204"/>
      <c r="R32" s="205"/>
      <c r="S32" s="88"/>
      <c r="T32" s="87"/>
    </row>
    <row r="33" spans="2:20" ht="28.2" customHeight="1" thickTop="1" thickBot="1">
      <c r="B33" s="86"/>
      <c r="C33" s="224"/>
      <c r="D33" s="112"/>
      <c r="E33" s="206"/>
      <c r="F33" s="207"/>
      <c r="G33" s="207"/>
      <c r="H33" s="207"/>
      <c r="I33" s="207"/>
      <c r="J33" s="207"/>
      <c r="K33" s="207"/>
      <c r="L33" s="207"/>
      <c r="M33" s="207"/>
      <c r="N33" s="207"/>
      <c r="O33" s="207"/>
      <c r="P33" s="207"/>
      <c r="Q33" s="207"/>
      <c r="R33" s="208"/>
      <c r="S33" s="88"/>
      <c r="T33" s="87"/>
    </row>
    <row r="34" spans="2:20" ht="19.8" customHeight="1" thickBot="1">
      <c r="B34" s="86"/>
      <c r="C34" s="224"/>
      <c r="D34" s="88"/>
      <c r="E34" s="88"/>
      <c r="F34" s="88"/>
      <c r="G34" s="88"/>
      <c r="H34" s="88"/>
      <c r="I34" s="88"/>
      <c r="J34" s="88"/>
      <c r="K34" s="88"/>
      <c r="L34" s="88"/>
      <c r="M34" s="88"/>
      <c r="N34" s="88"/>
      <c r="O34" s="88"/>
      <c r="P34" s="88"/>
      <c r="Q34" s="88"/>
      <c r="R34" s="88"/>
      <c r="S34" s="88"/>
      <c r="T34" s="87"/>
    </row>
    <row r="35" spans="2:20" ht="19.8" customHeight="1" thickTop="1" thickBot="1">
      <c r="B35" s="86"/>
      <c r="C35" s="224"/>
      <c r="D35" s="112"/>
      <c r="E35" s="203" t="s">
        <v>36</v>
      </c>
      <c r="F35" s="204"/>
      <c r="G35" s="204"/>
      <c r="H35" s="204"/>
      <c r="I35" s="204"/>
      <c r="J35" s="204"/>
      <c r="K35" s="204"/>
      <c r="L35" s="204"/>
      <c r="M35" s="204"/>
      <c r="N35" s="204"/>
      <c r="O35" s="204"/>
      <c r="P35" s="204"/>
      <c r="Q35" s="204"/>
      <c r="R35" s="205"/>
      <c r="S35" s="88"/>
      <c r="T35" s="87"/>
    </row>
    <row r="36" spans="2:20" ht="31.8" customHeight="1" thickTop="1" thickBot="1">
      <c r="B36" s="86"/>
      <c r="C36" s="224"/>
      <c r="D36" s="112"/>
      <c r="E36" s="213"/>
      <c r="F36" s="214"/>
      <c r="G36" s="214"/>
      <c r="H36" s="214"/>
      <c r="I36" s="214"/>
      <c r="J36" s="214"/>
      <c r="K36" s="214"/>
      <c r="L36" s="214"/>
      <c r="M36" s="214"/>
      <c r="N36" s="214"/>
      <c r="O36" s="214"/>
      <c r="P36" s="214"/>
      <c r="Q36" s="214"/>
      <c r="R36" s="215"/>
      <c r="S36" s="88"/>
      <c r="T36" s="87"/>
    </row>
    <row r="37" spans="2:20" ht="19.8" customHeight="1" thickBot="1">
      <c r="B37" s="86"/>
      <c r="C37" s="224"/>
      <c r="D37" s="88"/>
      <c r="E37" s="88"/>
      <c r="F37" s="88"/>
      <c r="G37" s="88"/>
      <c r="H37" s="88"/>
      <c r="I37" s="88"/>
      <c r="J37" s="88"/>
      <c r="K37" s="88"/>
      <c r="L37" s="88"/>
      <c r="M37" s="88"/>
      <c r="N37" s="88"/>
      <c r="O37" s="88"/>
      <c r="P37" s="88"/>
      <c r="Q37" s="88"/>
      <c r="R37" s="88"/>
      <c r="S37" s="88"/>
      <c r="T37" s="87"/>
    </row>
    <row r="38" spans="2:20" ht="19.8" customHeight="1" thickTop="1" thickBot="1">
      <c r="B38" s="86"/>
      <c r="C38" s="224"/>
      <c r="D38" s="88"/>
      <c r="E38" s="203" t="s">
        <v>42</v>
      </c>
      <c r="F38" s="204"/>
      <c r="G38" s="204"/>
      <c r="H38" s="204"/>
      <c r="I38" s="204"/>
      <c r="J38" s="204"/>
      <c r="K38" s="204"/>
      <c r="L38" s="204"/>
      <c r="M38" s="204"/>
      <c r="N38" s="204"/>
      <c r="O38" s="204"/>
      <c r="P38" s="204"/>
      <c r="Q38" s="204"/>
      <c r="R38" s="205"/>
      <c r="S38" s="88"/>
      <c r="T38" s="87"/>
    </row>
    <row r="39" spans="2:20" ht="19.8" customHeight="1" thickTop="1" thickBot="1">
      <c r="B39" s="86"/>
      <c r="C39" s="224"/>
      <c r="D39" s="88"/>
      <c r="E39" s="209"/>
      <c r="F39" s="210"/>
      <c r="G39" s="210"/>
      <c r="H39" s="210"/>
      <c r="I39" s="210"/>
      <c r="J39" s="210"/>
      <c r="K39" s="210"/>
      <c r="L39" s="210"/>
      <c r="M39" s="210"/>
      <c r="N39" s="210"/>
      <c r="O39" s="210"/>
      <c r="P39" s="210"/>
      <c r="Q39" s="210"/>
      <c r="R39" s="211"/>
      <c r="S39" s="88"/>
      <c r="T39" s="87"/>
    </row>
    <row r="40" spans="2:20" ht="19.8" customHeight="1" thickBot="1">
      <c r="B40" s="86"/>
      <c r="C40" s="224"/>
      <c r="D40" s="88"/>
      <c r="E40" s="88"/>
      <c r="F40" s="88"/>
      <c r="G40" s="88"/>
      <c r="H40" s="88"/>
      <c r="I40" s="88"/>
      <c r="J40" s="88"/>
      <c r="K40" s="88"/>
      <c r="L40" s="88"/>
      <c r="M40" s="88"/>
      <c r="N40" s="88"/>
      <c r="O40" s="88"/>
      <c r="P40" s="88"/>
      <c r="Q40" s="88"/>
      <c r="R40" s="88"/>
      <c r="S40" s="88"/>
      <c r="T40" s="87"/>
    </row>
    <row r="41" spans="2:20" ht="19.8" customHeight="1" thickTop="1" thickBot="1">
      <c r="B41" s="86"/>
      <c r="C41" s="224"/>
      <c r="D41" s="88"/>
      <c r="E41" s="203" t="s">
        <v>43</v>
      </c>
      <c r="F41" s="204"/>
      <c r="G41" s="204"/>
      <c r="H41" s="204"/>
      <c r="I41" s="204"/>
      <c r="J41" s="204"/>
      <c r="K41" s="204"/>
      <c r="L41" s="204"/>
      <c r="M41" s="204"/>
      <c r="N41" s="204"/>
      <c r="O41" s="204"/>
      <c r="P41" s="204"/>
      <c r="Q41" s="204"/>
      <c r="R41" s="205"/>
      <c r="S41" s="88"/>
      <c r="T41" s="87"/>
    </row>
    <row r="42" spans="2:20" ht="48.6" customHeight="1" thickTop="1" thickBot="1">
      <c r="B42" s="86"/>
      <c r="C42" s="224"/>
      <c r="D42" s="88"/>
      <c r="E42" s="213"/>
      <c r="F42" s="214"/>
      <c r="G42" s="214"/>
      <c r="H42" s="214"/>
      <c r="I42" s="214"/>
      <c r="J42" s="214"/>
      <c r="K42" s="214"/>
      <c r="L42" s="214"/>
      <c r="M42" s="214"/>
      <c r="N42" s="214"/>
      <c r="O42" s="214"/>
      <c r="P42" s="214"/>
      <c r="Q42" s="214"/>
      <c r="R42" s="215"/>
      <c r="S42" s="88"/>
      <c r="T42" s="87"/>
    </row>
    <row r="43" spans="2:20" ht="19.8" customHeight="1" thickBot="1">
      <c r="B43" s="86"/>
      <c r="C43" s="224"/>
      <c r="D43" s="88"/>
      <c r="E43" s="88"/>
      <c r="F43" s="88"/>
      <c r="G43" s="88"/>
      <c r="H43" s="88"/>
      <c r="I43" s="88"/>
      <c r="J43" s="88"/>
      <c r="K43" s="88"/>
      <c r="L43" s="88"/>
      <c r="M43" s="88"/>
      <c r="N43" s="88"/>
      <c r="O43" s="88"/>
      <c r="P43" s="88"/>
      <c r="Q43" s="88"/>
      <c r="R43" s="88"/>
      <c r="S43" s="88"/>
      <c r="T43" s="87"/>
    </row>
    <row r="44" spans="2:20" ht="19.8" customHeight="1" thickTop="1" thickBot="1">
      <c r="B44" s="86"/>
      <c r="C44" s="224"/>
      <c r="D44" s="88"/>
      <c r="E44" s="203" t="s">
        <v>49</v>
      </c>
      <c r="F44" s="204"/>
      <c r="G44" s="204"/>
      <c r="H44" s="204"/>
      <c r="I44" s="204"/>
      <c r="J44" s="204"/>
      <c r="K44" s="204"/>
      <c r="L44" s="204"/>
      <c r="M44" s="204"/>
      <c r="N44" s="204"/>
      <c r="O44" s="204"/>
      <c r="P44" s="204"/>
      <c r="Q44" s="204"/>
      <c r="R44" s="205"/>
      <c r="S44" s="88"/>
      <c r="T44" s="87"/>
    </row>
    <row r="45" spans="2:20" ht="19.8" customHeight="1" thickTop="1" thickBot="1">
      <c r="B45" s="86"/>
      <c r="C45" s="224"/>
      <c r="D45" s="88"/>
      <c r="E45" s="209"/>
      <c r="F45" s="210"/>
      <c r="G45" s="210"/>
      <c r="H45" s="210"/>
      <c r="I45" s="210"/>
      <c r="J45" s="210"/>
      <c r="K45" s="210"/>
      <c r="L45" s="210"/>
      <c r="M45" s="210"/>
      <c r="N45" s="210"/>
      <c r="O45" s="210"/>
      <c r="P45" s="210"/>
      <c r="Q45" s="210"/>
      <c r="R45" s="211"/>
      <c r="S45" s="88"/>
      <c r="T45" s="87"/>
    </row>
    <row r="46" spans="2:20" ht="19.8" customHeight="1" thickBot="1">
      <c r="B46" s="86"/>
      <c r="C46" s="224"/>
      <c r="D46" s="88"/>
      <c r="E46" s="88"/>
      <c r="F46" s="88"/>
      <c r="G46" s="88"/>
      <c r="H46" s="88"/>
      <c r="I46" s="88"/>
      <c r="J46" s="88"/>
      <c r="K46" s="88"/>
      <c r="L46" s="88"/>
      <c r="M46" s="88"/>
      <c r="N46" s="88"/>
      <c r="O46" s="88"/>
      <c r="P46" s="88"/>
      <c r="Q46" s="88"/>
      <c r="R46" s="88"/>
      <c r="S46" s="88"/>
      <c r="T46" s="87"/>
    </row>
    <row r="47" spans="2:20" ht="19.8" customHeight="1" thickTop="1" thickBot="1">
      <c r="B47" s="86"/>
      <c r="C47" s="224"/>
      <c r="D47" s="88"/>
      <c r="E47" s="203" t="s">
        <v>50</v>
      </c>
      <c r="F47" s="204"/>
      <c r="G47" s="204"/>
      <c r="H47" s="204"/>
      <c r="I47" s="204"/>
      <c r="J47" s="204"/>
      <c r="K47" s="204"/>
      <c r="L47" s="204"/>
      <c r="M47" s="204"/>
      <c r="N47" s="204"/>
      <c r="O47" s="204"/>
      <c r="P47" s="204"/>
      <c r="Q47" s="204"/>
      <c r="R47" s="205"/>
      <c r="S47" s="88"/>
      <c r="T47" s="87"/>
    </row>
    <row r="48" spans="2:20" ht="31.8" customHeight="1" thickTop="1" thickBot="1">
      <c r="B48" s="86"/>
      <c r="C48" s="224"/>
      <c r="D48" s="88"/>
      <c r="E48" s="213"/>
      <c r="F48" s="214"/>
      <c r="G48" s="214"/>
      <c r="H48" s="214"/>
      <c r="I48" s="214"/>
      <c r="J48" s="214"/>
      <c r="K48" s="214"/>
      <c r="L48" s="214"/>
      <c r="M48" s="214"/>
      <c r="N48" s="214"/>
      <c r="O48" s="214"/>
      <c r="P48" s="214"/>
      <c r="Q48" s="214"/>
      <c r="R48" s="215"/>
      <c r="S48" s="88"/>
      <c r="T48" s="87"/>
    </row>
    <row r="49" spans="2:20" ht="19.8" customHeight="1" thickBot="1">
      <c r="B49" s="86"/>
      <c r="C49" s="224"/>
      <c r="D49" s="88"/>
      <c r="E49" s="88"/>
      <c r="F49" s="88"/>
      <c r="G49" s="88"/>
      <c r="H49" s="88"/>
      <c r="I49" s="88"/>
      <c r="J49" s="88"/>
      <c r="K49" s="88"/>
      <c r="L49" s="88"/>
      <c r="M49" s="88"/>
      <c r="N49" s="88"/>
      <c r="O49" s="88"/>
      <c r="P49" s="88"/>
      <c r="Q49" s="88"/>
      <c r="R49" s="88"/>
      <c r="S49" s="88"/>
      <c r="T49" s="87"/>
    </row>
    <row r="50" spans="2:20" ht="19.8" customHeight="1" thickTop="1" thickBot="1">
      <c r="B50" s="86"/>
      <c r="C50" s="224"/>
      <c r="D50" s="88"/>
      <c r="E50" s="203" t="s">
        <v>56</v>
      </c>
      <c r="F50" s="204"/>
      <c r="G50" s="204"/>
      <c r="H50" s="204"/>
      <c r="I50" s="204"/>
      <c r="J50" s="204"/>
      <c r="K50" s="204"/>
      <c r="L50" s="204"/>
      <c r="M50" s="204"/>
      <c r="N50" s="204"/>
      <c r="O50" s="204"/>
      <c r="P50" s="204"/>
      <c r="Q50" s="204"/>
      <c r="R50" s="205"/>
      <c r="S50" s="88"/>
      <c r="T50" s="87"/>
    </row>
    <row r="51" spans="2:20" ht="19.8" customHeight="1" thickTop="1" thickBot="1">
      <c r="B51" s="86"/>
      <c r="C51" s="224"/>
      <c r="D51" s="88"/>
      <c r="E51" s="209"/>
      <c r="F51" s="210"/>
      <c r="G51" s="210"/>
      <c r="H51" s="210"/>
      <c r="I51" s="210"/>
      <c r="J51" s="210"/>
      <c r="K51" s="210"/>
      <c r="L51" s="210"/>
      <c r="M51" s="210"/>
      <c r="N51" s="210"/>
      <c r="O51" s="210"/>
      <c r="P51" s="210"/>
      <c r="Q51" s="210"/>
      <c r="R51" s="211"/>
      <c r="S51" s="88"/>
      <c r="T51" s="87"/>
    </row>
    <row r="52" spans="2:20" ht="19.8" customHeight="1" thickBot="1">
      <c r="B52" s="86"/>
      <c r="C52" s="224"/>
      <c r="D52" s="88"/>
      <c r="E52" s="88"/>
      <c r="F52" s="88"/>
      <c r="G52" s="88"/>
      <c r="H52" s="88"/>
      <c r="I52" s="88"/>
      <c r="J52" s="88"/>
      <c r="K52" s="88"/>
      <c r="L52" s="88"/>
      <c r="M52" s="88"/>
      <c r="N52" s="88"/>
      <c r="O52" s="88"/>
      <c r="P52" s="88"/>
      <c r="Q52" s="88"/>
      <c r="R52" s="88"/>
      <c r="S52" s="88"/>
      <c r="T52" s="87"/>
    </row>
    <row r="53" spans="2:20" ht="18" customHeight="1" thickTop="1" thickBot="1">
      <c r="B53" s="86"/>
      <c r="C53" s="224"/>
      <c r="D53" s="89"/>
      <c r="E53" s="203" t="s">
        <v>57</v>
      </c>
      <c r="F53" s="204"/>
      <c r="G53" s="204"/>
      <c r="H53" s="204"/>
      <c r="I53" s="204"/>
      <c r="J53" s="204"/>
      <c r="K53" s="204"/>
      <c r="L53" s="204"/>
      <c r="M53" s="204"/>
      <c r="N53" s="204"/>
      <c r="O53" s="204"/>
      <c r="P53" s="204"/>
      <c r="Q53" s="204"/>
      <c r="R53" s="205"/>
      <c r="S53" s="88"/>
      <c r="T53" s="87"/>
    </row>
    <row r="54" spans="2:20" ht="18" customHeight="1" thickTop="1" thickBot="1">
      <c r="B54" s="86"/>
      <c r="C54" s="224"/>
      <c r="D54" s="88"/>
      <c r="E54" s="209"/>
      <c r="F54" s="210"/>
      <c r="G54" s="210"/>
      <c r="H54" s="210"/>
      <c r="I54" s="210"/>
      <c r="J54" s="210"/>
      <c r="K54" s="210"/>
      <c r="L54" s="210"/>
      <c r="M54" s="210"/>
      <c r="N54" s="210"/>
      <c r="O54" s="210"/>
      <c r="P54" s="210"/>
      <c r="Q54" s="210"/>
      <c r="R54" s="211"/>
      <c r="S54" s="88"/>
      <c r="T54" s="87"/>
    </row>
    <row r="55" spans="2:20" ht="19.8" customHeight="1" thickBot="1">
      <c r="B55" s="86"/>
      <c r="C55" s="224"/>
      <c r="D55" s="88"/>
      <c r="E55" s="212"/>
      <c r="F55" s="212"/>
      <c r="G55" s="212"/>
      <c r="H55" s="212"/>
      <c r="I55" s="212"/>
      <c r="J55" s="212"/>
      <c r="K55" s="212"/>
      <c r="L55" s="212"/>
      <c r="M55" s="212"/>
      <c r="N55" s="212"/>
      <c r="O55" s="212"/>
      <c r="P55" s="212"/>
      <c r="Q55" s="212"/>
      <c r="R55" s="212"/>
      <c r="S55" s="88"/>
      <c r="T55" s="87"/>
    </row>
    <row r="56" spans="2:20" ht="18" customHeight="1" thickTop="1" thickBot="1">
      <c r="B56" s="86"/>
      <c r="C56" s="224"/>
      <c r="D56" s="88"/>
      <c r="E56" s="203" t="s">
        <v>63</v>
      </c>
      <c r="F56" s="204"/>
      <c r="G56" s="204"/>
      <c r="H56" s="204"/>
      <c r="I56" s="204"/>
      <c r="J56" s="204"/>
      <c r="K56" s="204"/>
      <c r="L56" s="204"/>
      <c r="M56" s="204"/>
      <c r="N56" s="204"/>
      <c r="O56" s="204"/>
      <c r="P56" s="204"/>
      <c r="Q56" s="204"/>
      <c r="R56" s="205"/>
      <c r="S56" s="90"/>
      <c r="T56" s="87"/>
    </row>
    <row r="57" spans="2:20" ht="18" customHeight="1" thickTop="1" thickBot="1">
      <c r="B57" s="86"/>
      <c r="C57" s="224"/>
      <c r="D57" s="88"/>
      <c r="E57" s="209"/>
      <c r="F57" s="210"/>
      <c r="G57" s="210"/>
      <c r="H57" s="210"/>
      <c r="I57" s="210"/>
      <c r="J57" s="210"/>
      <c r="K57" s="210"/>
      <c r="L57" s="210"/>
      <c r="M57" s="210"/>
      <c r="N57" s="210"/>
      <c r="O57" s="210"/>
      <c r="P57" s="210"/>
      <c r="Q57" s="210"/>
      <c r="R57" s="211"/>
      <c r="S57" s="88"/>
      <c r="T57" s="87"/>
    </row>
    <row r="58" spans="2:20" ht="19.8" customHeight="1" thickBot="1">
      <c r="B58" s="86"/>
      <c r="C58" s="224"/>
      <c r="D58" s="88"/>
      <c r="E58" s="212"/>
      <c r="F58" s="212"/>
      <c r="G58" s="212"/>
      <c r="H58" s="212"/>
      <c r="I58" s="212"/>
      <c r="J58" s="212"/>
      <c r="K58" s="212"/>
      <c r="L58" s="212"/>
      <c r="M58" s="212"/>
      <c r="N58" s="212"/>
      <c r="O58" s="212"/>
      <c r="P58" s="212"/>
      <c r="Q58" s="212"/>
      <c r="R58" s="212"/>
      <c r="S58" s="88"/>
      <c r="T58" s="87"/>
    </row>
    <row r="59" spans="2:20" ht="18" customHeight="1" thickTop="1" thickBot="1">
      <c r="B59" s="86"/>
      <c r="C59" s="224"/>
      <c r="D59" s="88"/>
      <c r="E59" s="203" t="s">
        <v>64</v>
      </c>
      <c r="F59" s="204"/>
      <c r="G59" s="204"/>
      <c r="H59" s="204"/>
      <c r="I59" s="204"/>
      <c r="J59" s="204"/>
      <c r="K59" s="204"/>
      <c r="L59" s="204"/>
      <c r="M59" s="204"/>
      <c r="N59" s="204"/>
      <c r="O59" s="204"/>
      <c r="P59" s="204"/>
      <c r="Q59" s="204"/>
      <c r="R59" s="205"/>
      <c r="S59" s="88"/>
      <c r="T59" s="87"/>
    </row>
    <row r="60" spans="2:20" ht="18" customHeight="1" thickTop="1" thickBot="1">
      <c r="B60" s="86"/>
      <c r="C60" s="224"/>
      <c r="D60" s="88"/>
      <c r="E60" s="209"/>
      <c r="F60" s="210"/>
      <c r="G60" s="210"/>
      <c r="H60" s="210"/>
      <c r="I60" s="210"/>
      <c r="J60" s="210"/>
      <c r="K60" s="210"/>
      <c r="L60" s="210"/>
      <c r="M60" s="210"/>
      <c r="N60" s="210"/>
      <c r="O60" s="210"/>
      <c r="P60" s="210"/>
      <c r="Q60" s="210"/>
      <c r="R60" s="211"/>
      <c r="S60" s="88"/>
      <c r="T60" s="87"/>
    </row>
    <row r="61" spans="2:20" ht="19.8" customHeight="1" thickBot="1">
      <c r="B61" s="86"/>
      <c r="C61" s="224"/>
      <c r="D61" s="88"/>
      <c r="E61" s="212"/>
      <c r="F61" s="212"/>
      <c r="G61" s="212"/>
      <c r="H61" s="212"/>
      <c r="I61" s="212"/>
      <c r="J61" s="212"/>
      <c r="K61" s="212"/>
      <c r="L61" s="212"/>
      <c r="M61" s="212"/>
      <c r="N61" s="212"/>
      <c r="O61" s="212"/>
      <c r="P61" s="212"/>
      <c r="Q61" s="212"/>
      <c r="R61" s="212"/>
      <c r="S61" s="88"/>
      <c r="T61" s="87"/>
    </row>
    <row r="62" spans="2:20" ht="18" customHeight="1" thickTop="1" thickBot="1">
      <c r="B62" s="86"/>
      <c r="C62" s="224"/>
      <c r="D62" s="88"/>
      <c r="E62" s="203" t="s">
        <v>65</v>
      </c>
      <c r="F62" s="204"/>
      <c r="G62" s="204"/>
      <c r="H62" s="204"/>
      <c r="I62" s="204"/>
      <c r="J62" s="204"/>
      <c r="K62" s="204"/>
      <c r="L62" s="204"/>
      <c r="M62" s="204"/>
      <c r="N62" s="204"/>
      <c r="O62" s="204"/>
      <c r="P62" s="204"/>
      <c r="Q62" s="204"/>
      <c r="R62" s="205"/>
      <c r="S62" s="88"/>
      <c r="T62" s="87"/>
    </row>
    <row r="63" spans="2:20" ht="18" customHeight="1" thickTop="1" thickBot="1">
      <c r="B63" s="86"/>
      <c r="C63" s="224"/>
      <c r="D63" s="88"/>
      <c r="E63" s="209"/>
      <c r="F63" s="210"/>
      <c r="G63" s="210"/>
      <c r="H63" s="210"/>
      <c r="I63" s="210"/>
      <c r="J63" s="210"/>
      <c r="K63" s="210"/>
      <c r="L63" s="210"/>
      <c r="M63" s="210"/>
      <c r="N63" s="210"/>
      <c r="O63" s="210"/>
      <c r="P63" s="210"/>
      <c r="Q63" s="210"/>
      <c r="R63" s="211"/>
      <c r="S63" s="88"/>
      <c r="T63" s="87"/>
    </row>
    <row r="64" spans="2:20" ht="19.8" customHeight="1" thickBot="1">
      <c r="B64" s="86"/>
      <c r="C64" s="224"/>
      <c r="D64" s="88"/>
      <c r="E64" s="212"/>
      <c r="F64" s="212"/>
      <c r="G64" s="212"/>
      <c r="H64" s="212"/>
      <c r="I64" s="212"/>
      <c r="J64" s="212"/>
      <c r="K64" s="212"/>
      <c r="L64" s="212"/>
      <c r="M64" s="212"/>
      <c r="N64" s="212"/>
      <c r="O64" s="212"/>
      <c r="P64" s="212"/>
      <c r="Q64" s="212"/>
      <c r="R64" s="212"/>
      <c r="S64" s="88"/>
      <c r="T64" s="87"/>
    </row>
    <row r="65" spans="2:20" ht="18" customHeight="1" thickTop="1" thickBot="1">
      <c r="B65" s="86"/>
      <c r="C65" s="224"/>
      <c r="D65" s="88"/>
      <c r="E65" s="203" t="s">
        <v>66</v>
      </c>
      <c r="F65" s="204"/>
      <c r="G65" s="204"/>
      <c r="H65" s="204"/>
      <c r="I65" s="204"/>
      <c r="J65" s="204"/>
      <c r="K65" s="204"/>
      <c r="L65" s="204"/>
      <c r="M65" s="204"/>
      <c r="N65" s="204"/>
      <c r="O65" s="204"/>
      <c r="P65" s="204"/>
      <c r="Q65" s="204"/>
      <c r="R65" s="205"/>
      <c r="S65" s="88"/>
      <c r="T65" s="87"/>
    </row>
    <row r="66" spans="2:20" ht="33" customHeight="1" thickTop="1" thickBot="1">
      <c r="B66" s="86"/>
      <c r="C66" s="224"/>
      <c r="D66" s="88"/>
      <c r="E66" s="213"/>
      <c r="F66" s="214"/>
      <c r="G66" s="214"/>
      <c r="H66" s="214"/>
      <c r="I66" s="214"/>
      <c r="J66" s="214"/>
      <c r="K66" s="214"/>
      <c r="L66" s="214"/>
      <c r="M66" s="214"/>
      <c r="N66" s="214"/>
      <c r="O66" s="214"/>
      <c r="P66" s="214"/>
      <c r="Q66" s="214"/>
      <c r="R66" s="215"/>
      <c r="S66" s="88"/>
      <c r="T66" s="87"/>
    </row>
    <row r="67" spans="2:20" ht="19.8" customHeight="1" thickBot="1">
      <c r="B67" s="86"/>
      <c r="C67" s="224"/>
      <c r="D67" s="88"/>
      <c r="E67" s="212"/>
      <c r="F67" s="212"/>
      <c r="G67" s="212"/>
      <c r="H67" s="212"/>
      <c r="I67" s="212"/>
      <c r="J67" s="212"/>
      <c r="K67" s="212"/>
      <c r="L67" s="212"/>
      <c r="M67" s="212"/>
      <c r="N67" s="212"/>
      <c r="O67" s="212"/>
      <c r="P67" s="212"/>
      <c r="Q67" s="212"/>
      <c r="R67" s="212"/>
      <c r="S67" s="88"/>
      <c r="T67" s="87"/>
    </row>
    <row r="68" spans="2:20" ht="18" customHeight="1" thickTop="1" thickBot="1">
      <c r="B68" s="86"/>
      <c r="C68" s="224"/>
      <c r="D68" s="88"/>
      <c r="E68" s="203" t="s">
        <v>71</v>
      </c>
      <c r="F68" s="204"/>
      <c r="G68" s="204"/>
      <c r="H68" s="204"/>
      <c r="I68" s="204"/>
      <c r="J68" s="204"/>
      <c r="K68" s="204"/>
      <c r="L68" s="204"/>
      <c r="M68" s="204"/>
      <c r="N68" s="204"/>
      <c r="O68" s="204"/>
      <c r="P68" s="204"/>
      <c r="Q68" s="204"/>
      <c r="R68" s="205"/>
      <c r="S68" s="88"/>
      <c r="T68" s="87"/>
    </row>
    <row r="69" spans="2:20" ht="18" customHeight="1" thickTop="1" thickBot="1">
      <c r="B69" s="86"/>
      <c r="C69" s="224"/>
      <c r="D69" s="88"/>
      <c r="E69" s="209"/>
      <c r="F69" s="210"/>
      <c r="G69" s="210"/>
      <c r="H69" s="210"/>
      <c r="I69" s="210"/>
      <c r="J69" s="210"/>
      <c r="K69" s="210"/>
      <c r="L69" s="210"/>
      <c r="M69" s="210"/>
      <c r="N69" s="210"/>
      <c r="O69" s="210"/>
      <c r="P69" s="210"/>
      <c r="Q69" s="210"/>
      <c r="R69" s="211"/>
      <c r="S69" s="90"/>
      <c r="T69" s="87"/>
    </row>
    <row r="70" spans="2:20" ht="19.8" customHeight="1" thickBot="1">
      <c r="B70" s="86"/>
      <c r="C70" s="224"/>
      <c r="D70" s="88"/>
      <c r="E70" s="212"/>
      <c r="F70" s="212"/>
      <c r="G70" s="212"/>
      <c r="H70" s="212"/>
      <c r="I70" s="212"/>
      <c r="J70" s="212"/>
      <c r="K70" s="212"/>
      <c r="L70" s="212"/>
      <c r="M70" s="212"/>
      <c r="N70" s="212"/>
      <c r="O70" s="212"/>
      <c r="P70" s="212"/>
      <c r="Q70" s="212"/>
      <c r="R70" s="212"/>
      <c r="S70" s="88"/>
      <c r="T70" s="87"/>
    </row>
    <row r="71" spans="2:20" ht="18" customHeight="1" thickTop="1" thickBot="1">
      <c r="B71" s="86"/>
      <c r="C71" s="224"/>
      <c r="D71" s="88"/>
      <c r="E71" s="203" t="s">
        <v>72</v>
      </c>
      <c r="F71" s="204"/>
      <c r="G71" s="204"/>
      <c r="H71" s="204"/>
      <c r="I71" s="204"/>
      <c r="J71" s="204"/>
      <c r="K71" s="204"/>
      <c r="L71" s="204"/>
      <c r="M71" s="204"/>
      <c r="N71" s="204"/>
      <c r="O71" s="204"/>
      <c r="P71" s="204"/>
      <c r="Q71" s="204"/>
      <c r="R71" s="205"/>
      <c r="S71" s="90"/>
      <c r="T71" s="87"/>
    </row>
    <row r="72" spans="2:20" ht="18" customHeight="1" thickTop="1" thickBot="1">
      <c r="B72" s="86"/>
      <c r="C72" s="224"/>
      <c r="D72" s="88"/>
      <c r="E72" s="209"/>
      <c r="F72" s="210"/>
      <c r="G72" s="210"/>
      <c r="H72" s="210"/>
      <c r="I72" s="210"/>
      <c r="J72" s="210"/>
      <c r="K72" s="210"/>
      <c r="L72" s="210"/>
      <c r="M72" s="210"/>
      <c r="N72" s="210"/>
      <c r="O72" s="210"/>
      <c r="P72" s="210"/>
      <c r="Q72" s="210"/>
      <c r="R72" s="211"/>
      <c r="S72" s="88"/>
      <c r="T72" s="87"/>
    </row>
    <row r="73" spans="2:20" ht="19.8" customHeight="1" thickBot="1">
      <c r="B73" s="86"/>
      <c r="C73" s="224"/>
      <c r="D73" s="88"/>
      <c r="E73" s="212"/>
      <c r="F73" s="212"/>
      <c r="G73" s="212"/>
      <c r="H73" s="212"/>
      <c r="I73" s="212"/>
      <c r="J73" s="212"/>
      <c r="K73" s="212"/>
      <c r="L73" s="212"/>
      <c r="M73" s="212"/>
      <c r="N73" s="212"/>
      <c r="O73" s="212"/>
      <c r="P73" s="212"/>
      <c r="Q73" s="212"/>
      <c r="R73" s="212"/>
      <c r="S73" s="88"/>
      <c r="T73" s="87"/>
    </row>
    <row r="74" spans="2:20" ht="18" customHeight="1" thickTop="1" thickBot="1">
      <c r="B74" s="86"/>
      <c r="C74" s="224"/>
      <c r="D74" s="88"/>
      <c r="E74" s="203" t="s">
        <v>79</v>
      </c>
      <c r="F74" s="204"/>
      <c r="G74" s="204"/>
      <c r="H74" s="204"/>
      <c r="I74" s="204"/>
      <c r="J74" s="204"/>
      <c r="K74" s="204"/>
      <c r="L74" s="204"/>
      <c r="M74" s="204"/>
      <c r="N74" s="204"/>
      <c r="O74" s="204"/>
      <c r="P74" s="204"/>
      <c r="Q74" s="204"/>
      <c r="R74" s="205"/>
      <c r="S74" s="90"/>
      <c r="T74" s="87"/>
    </row>
    <row r="75" spans="2:20" ht="18" customHeight="1" thickTop="1" thickBot="1">
      <c r="B75" s="86"/>
      <c r="C75" s="224"/>
      <c r="D75" s="88"/>
      <c r="E75" s="209"/>
      <c r="F75" s="210"/>
      <c r="G75" s="210"/>
      <c r="H75" s="210"/>
      <c r="I75" s="210"/>
      <c r="J75" s="210"/>
      <c r="K75" s="210"/>
      <c r="L75" s="210"/>
      <c r="M75" s="210"/>
      <c r="N75" s="210"/>
      <c r="O75" s="210"/>
      <c r="P75" s="210"/>
      <c r="Q75" s="210"/>
      <c r="R75" s="211"/>
      <c r="S75" s="90"/>
      <c r="T75" s="87"/>
    </row>
    <row r="76" spans="2:20" ht="19.8" customHeight="1" thickBot="1">
      <c r="B76" s="86"/>
      <c r="C76" s="224"/>
      <c r="D76" s="88"/>
      <c r="E76" s="212"/>
      <c r="F76" s="212"/>
      <c r="G76" s="212"/>
      <c r="H76" s="212"/>
      <c r="I76" s="212"/>
      <c r="J76" s="212"/>
      <c r="K76" s="212"/>
      <c r="L76" s="212"/>
      <c r="M76" s="212"/>
      <c r="N76" s="212"/>
      <c r="O76" s="212"/>
      <c r="P76" s="212"/>
      <c r="Q76" s="212"/>
      <c r="R76" s="212"/>
      <c r="S76" s="88"/>
      <c r="T76" s="87"/>
    </row>
    <row r="77" spans="2:20" ht="18" customHeight="1" thickTop="1" thickBot="1">
      <c r="B77" s="86"/>
      <c r="C77" s="224"/>
      <c r="D77" s="88"/>
      <c r="E77" s="203" t="s">
        <v>87</v>
      </c>
      <c r="F77" s="204"/>
      <c r="G77" s="204"/>
      <c r="H77" s="204"/>
      <c r="I77" s="204"/>
      <c r="J77" s="204"/>
      <c r="K77" s="204"/>
      <c r="L77" s="204"/>
      <c r="M77" s="204"/>
      <c r="N77" s="204"/>
      <c r="O77" s="204"/>
      <c r="P77" s="204"/>
      <c r="Q77" s="204"/>
      <c r="R77" s="205"/>
      <c r="S77" s="90"/>
      <c r="T77" s="87"/>
    </row>
    <row r="78" spans="2:20" ht="18" customHeight="1" thickTop="1" thickBot="1">
      <c r="B78" s="86"/>
      <c r="C78" s="224"/>
      <c r="D78" s="88"/>
      <c r="E78" s="209"/>
      <c r="F78" s="210"/>
      <c r="G78" s="210"/>
      <c r="H78" s="210"/>
      <c r="I78" s="210"/>
      <c r="J78" s="210"/>
      <c r="K78" s="210"/>
      <c r="L78" s="210"/>
      <c r="M78" s="210"/>
      <c r="N78" s="210"/>
      <c r="O78" s="210"/>
      <c r="P78" s="210"/>
      <c r="Q78" s="210"/>
      <c r="R78" s="211"/>
      <c r="S78" s="88"/>
      <c r="T78" s="87"/>
    </row>
    <row r="79" spans="2:20" ht="19.8" customHeight="1" thickBot="1">
      <c r="B79" s="86"/>
      <c r="C79" s="224"/>
      <c r="D79" s="88"/>
      <c r="E79" s="212"/>
      <c r="F79" s="212"/>
      <c r="G79" s="212"/>
      <c r="H79" s="212"/>
      <c r="I79" s="212"/>
      <c r="J79" s="212"/>
      <c r="K79" s="212"/>
      <c r="L79" s="212"/>
      <c r="M79" s="212"/>
      <c r="N79" s="212"/>
      <c r="O79" s="212"/>
      <c r="P79" s="212"/>
      <c r="Q79" s="212"/>
      <c r="R79" s="212"/>
      <c r="S79" s="88"/>
      <c r="T79" s="87"/>
    </row>
    <row r="80" spans="2:20" ht="18" customHeight="1" thickTop="1" thickBot="1">
      <c r="B80" s="86"/>
      <c r="C80" s="224"/>
      <c r="D80" s="88"/>
      <c r="E80" s="203" t="s">
        <v>88</v>
      </c>
      <c r="F80" s="204"/>
      <c r="G80" s="204"/>
      <c r="H80" s="204"/>
      <c r="I80" s="204"/>
      <c r="J80" s="204"/>
      <c r="K80" s="204"/>
      <c r="L80" s="204"/>
      <c r="M80" s="204"/>
      <c r="N80" s="204"/>
      <c r="O80" s="204"/>
      <c r="P80" s="204"/>
      <c r="Q80" s="204"/>
      <c r="R80" s="205"/>
      <c r="S80" s="88"/>
      <c r="T80" s="87"/>
    </row>
    <row r="81" spans="2:20" ht="31.8" customHeight="1" thickTop="1" thickBot="1">
      <c r="B81" s="86"/>
      <c r="C81" s="224"/>
      <c r="D81" s="88"/>
      <c r="E81" s="213"/>
      <c r="F81" s="214"/>
      <c r="G81" s="214"/>
      <c r="H81" s="214"/>
      <c r="I81" s="214"/>
      <c r="J81" s="214"/>
      <c r="K81" s="214"/>
      <c r="L81" s="214"/>
      <c r="M81" s="214"/>
      <c r="N81" s="214"/>
      <c r="O81" s="214"/>
      <c r="P81" s="214"/>
      <c r="Q81" s="214"/>
      <c r="R81" s="215"/>
      <c r="S81" s="88"/>
      <c r="T81" s="87"/>
    </row>
    <row r="82" spans="2:20" ht="19.8" customHeight="1" thickBot="1">
      <c r="B82" s="86"/>
      <c r="C82" s="224"/>
      <c r="D82" s="88"/>
      <c r="E82" s="216"/>
      <c r="F82" s="216"/>
      <c r="G82" s="216"/>
      <c r="H82" s="216"/>
      <c r="I82" s="216"/>
      <c r="J82" s="216"/>
      <c r="K82" s="216"/>
      <c r="L82" s="216"/>
      <c r="M82" s="216"/>
      <c r="N82" s="216"/>
      <c r="O82" s="216"/>
      <c r="P82" s="216"/>
      <c r="Q82" s="216"/>
      <c r="R82" s="216"/>
      <c r="S82" s="88"/>
      <c r="T82" s="87"/>
    </row>
    <row r="83" spans="2:20" ht="18" customHeight="1" thickTop="1" thickBot="1">
      <c r="B83" s="86"/>
      <c r="C83" s="224"/>
      <c r="D83" s="88"/>
      <c r="E83" s="203" t="s">
        <v>94</v>
      </c>
      <c r="F83" s="204"/>
      <c r="G83" s="204"/>
      <c r="H83" s="204"/>
      <c r="I83" s="204"/>
      <c r="J83" s="204"/>
      <c r="K83" s="204"/>
      <c r="L83" s="204"/>
      <c r="M83" s="204"/>
      <c r="N83" s="204"/>
      <c r="O83" s="204"/>
      <c r="P83" s="204"/>
      <c r="Q83" s="204"/>
      <c r="R83" s="205"/>
      <c r="S83" s="90"/>
      <c r="T83" s="87"/>
    </row>
    <row r="84" spans="2:20" ht="32.4" customHeight="1" thickTop="1" thickBot="1">
      <c r="B84" s="86"/>
      <c r="C84" s="224"/>
      <c r="D84" s="88"/>
      <c r="E84" s="213"/>
      <c r="F84" s="214"/>
      <c r="G84" s="214"/>
      <c r="H84" s="214"/>
      <c r="I84" s="214"/>
      <c r="J84" s="214"/>
      <c r="K84" s="214"/>
      <c r="L84" s="214"/>
      <c r="M84" s="214"/>
      <c r="N84" s="214"/>
      <c r="O84" s="214"/>
      <c r="P84" s="214"/>
      <c r="Q84" s="214"/>
      <c r="R84" s="215"/>
      <c r="S84" s="88"/>
      <c r="T84" s="87"/>
    </row>
    <row r="85" spans="2:20" ht="19.8" customHeight="1" thickBot="1">
      <c r="B85" s="86"/>
      <c r="C85" s="224"/>
      <c r="D85" s="88"/>
      <c r="E85" s="212"/>
      <c r="F85" s="212"/>
      <c r="G85" s="212"/>
      <c r="H85" s="212"/>
      <c r="I85" s="212"/>
      <c r="J85" s="212"/>
      <c r="K85" s="212"/>
      <c r="L85" s="212"/>
      <c r="M85" s="212"/>
      <c r="N85" s="212"/>
      <c r="O85" s="212"/>
      <c r="P85" s="212"/>
      <c r="Q85" s="212"/>
      <c r="R85" s="212"/>
      <c r="S85" s="88"/>
      <c r="T85" s="87"/>
    </row>
    <row r="86" spans="2:20" ht="18" customHeight="1" thickTop="1" thickBot="1">
      <c r="B86" s="86"/>
      <c r="C86" s="224"/>
      <c r="D86" s="88"/>
      <c r="E86" s="203" t="s">
        <v>100</v>
      </c>
      <c r="F86" s="204"/>
      <c r="G86" s="204"/>
      <c r="H86" s="204"/>
      <c r="I86" s="204"/>
      <c r="J86" s="204"/>
      <c r="K86" s="204"/>
      <c r="L86" s="204"/>
      <c r="M86" s="204"/>
      <c r="N86" s="204"/>
      <c r="O86" s="204"/>
      <c r="P86" s="204"/>
      <c r="Q86" s="204"/>
      <c r="R86" s="205"/>
      <c r="S86" s="90"/>
      <c r="T86" s="87"/>
    </row>
    <row r="87" spans="2:20" ht="18" customHeight="1" thickTop="1" thickBot="1">
      <c r="B87" s="86"/>
      <c r="C87" s="224"/>
      <c r="D87" s="88"/>
      <c r="E87" s="209"/>
      <c r="F87" s="210"/>
      <c r="G87" s="210"/>
      <c r="H87" s="210"/>
      <c r="I87" s="210"/>
      <c r="J87" s="210"/>
      <c r="K87" s="210"/>
      <c r="L87" s="210"/>
      <c r="M87" s="210"/>
      <c r="N87" s="210"/>
      <c r="O87" s="210"/>
      <c r="P87" s="210"/>
      <c r="Q87" s="210"/>
      <c r="R87" s="211"/>
      <c r="S87" s="88"/>
      <c r="T87" s="87"/>
    </row>
    <row r="88" spans="2:20" ht="19.8" customHeight="1" thickBot="1">
      <c r="B88" s="86"/>
      <c r="C88" s="224"/>
      <c r="D88" s="88"/>
      <c r="E88" s="212"/>
      <c r="F88" s="212"/>
      <c r="G88" s="212"/>
      <c r="H88" s="212"/>
      <c r="I88" s="212"/>
      <c r="J88" s="212"/>
      <c r="K88" s="212"/>
      <c r="L88" s="212"/>
      <c r="M88" s="212"/>
      <c r="N88" s="212"/>
      <c r="O88" s="212"/>
      <c r="P88" s="212"/>
      <c r="Q88" s="212"/>
      <c r="R88" s="212"/>
      <c r="S88" s="88"/>
      <c r="T88" s="87"/>
    </row>
    <row r="89" spans="2:20" ht="18" customHeight="1" thickTop="1" thickBot="1">
      <c r="B89" s="86"/>
      <c r="C89" s="224"/>
      <c r="D89" s="88"/>
      <c r="E89" s="203" t="s">
        <v>107</v>
      </c>
      <c r="F89" s="204"/>
      <c r="G89" s="204"/>
      <c r="H89" s="204"/>
      <c r="I89" s="204"/>
      <c r="J89" s="204"/>
      <c r="K89" s="204"/>
      <c r="L89" s="204"/>
      <c r="M89" s="204"/>
      <c r="N89" s="204"/>
      <c r="O89" s="204"/>
      <c r="P89" s="204"/>
      <c r="Q89" s="204"/>
      <c r="R89" s="205"/>
      <c r="S89" s="88"/>
      <c r="T89" s="87"/>
    </row>
    <row r="90" spans="2:20" ht="18" customHeight="1" thickTop="1" thickBot="1">
      <c r="B90" s="86"/>
      <c r="C90" s="224"/>
      <c r="D90" s="88"/>
      <c r="E90" s="209"/>
      <c r="F90" s="210"/>
      <c r="G90" s="210"/>
      <c r="H90" s="210"/>
      <c r="I90" s="210"/>
      <c r="J90" s="210"/>
      <c r="K90" s="210"/>
      <c r="L90" s="210"/>
      <c r="M90" s="210"/>
      <c r="N90" s="210"/>
      <c r="O90" s="210"/>
      <c r="P90" s="210"/>
      <c r="Q90" s="210"/>
      <c r="R90" s="211"/>
      <c r="S90" s="88"/>
      <c r="T90" s="87"/>
    </row>
    <row r="91" spans="2:20" ht="19.8" customHeight="1" thickBot="1">
      <c r="B91" s="86"/>
      <c r="C91" s="224"/>
      <c r="D91" s="88"/>
      <c r="E91" s="212"/>
      <c r="F91" s="212"/>
      <c r="G91" s="212"/>
      <c r="H91" s="212"/>
      <c r="I91" s="212"/>
      <c r="J91" s="212"/>
      <c r="K91" s="212"/>
      <c r="L91" s="212"/>
      <c r="M91" s="212"/>
      <c r="N91" s="212"/>
      <c r="O91" s="212"/>
      <c r="P91" s="212"/>
      <c r="Q91" s="212"/>
      <c r="R91" s="212"/>
      <c r="S91" s="88"/>
      <c r="T91" s="87"/>
    </row>
    <row r="92" spans="2:20" ht="18" customHeight="1" thickTop="1" thickBot="1">
      <c r="B92" s="86"/>
      <c r="C92" s="224"/>
      <c r="D92" s="88"/>
      <c r="E92" s="203" t="s">
        <v>108</v>
      </c>
      <c r="F92" s="204"/>
      <c r="G92" s="204"/>
      <c r="H92" s="204"/>
      <c r="I92" s="204"/>
      <c r="J92" s="204"/>
      <c r="K92" s="204"/>
      <c r="L92" s="204"/>
      <c r="M92" s="204"/>
      <c r="N92" s="204"/>
      <c r="O92" s="204"/>
      <c r="P92" s="204"/>
      <c r="Q92" s="204"/>
      <c r="R92" s="205"/>
      <c r="S92" s="90"/>
      <c r="T92" s="87"/>
    </row>
    <row r="93" spans="2:20" ht="18" customHeight="1" thickTop="1" thickBot="1">
      <c r="B93" s="86"/>
      <c r="C93" s="224"/>
      <c r="D93" s="88"/>
      <c r="E93" s="209"/>
      <c r="F93" s="210"/>
      <c r="G93" s="210"/>
      <c r="H93" s="210"/>
      <c r="I93" s="210"/>
      <c r="J93" s="210"/>
      <c r="K93" s="210"/>
      <c r="L93" s="210"/>
      <c r="M93" s="210"/>
      <c r="N93" s="210"/>
      <c r="O93" s="210"/>
      <c r="P93" s="210"/>
      <c r="Q93" s="210"/>
      <c r="R93" s="211"/>
      <c r="S93" s="88"/>
      <c r="T93" s="87"/>
    </row>
    <row r="94" spans="2:20" ht="19.8" customHeight="1" thickBot="1">
      <c r="B94" s="86"/>
      <c r="C94" s="224"/>
      <c r="D94" s="88"/>
      <c r="E94" s="212"/>
      <c r="F94" s="212"/>
      <c r="G94" s="212"/>
      <c r="H94" s="212"/>
      <c r="I94" s="212"/>
      <c r="J94" s="212"/>
      <c r="K94" s="212"/>
      <c r="L94" s="212"/>
      <c r="M94" s="212"/>
      <c r="N94" s="212"/>
      <c r="O94" s="212"/>
      <c r="P94" s="212"/>
      <c r="Q94" s="212"/>
      <c r="R94" s="212"/>
      <c r="S94" s="88"/>
      <c r="T94" s="87"/>
    </row>
    <row r="95" spans="2:20" ht="18" customHeight="1" thickTop="1" thickBot="1">
      <c r="B95" s="86"/>
      <c r="C95" s="224"/>
      <c r="D95" s="88"/>
      <c r="E95" s="203" t="s">
        <v>113</v>
      </c>
      <c r="F95" s="204"/>
      <c r="G95" s="204"/>
      <c r="H95" s="204"/>
      <c r="I95" s="204"/>
      <c r="J95" s="204"/>
      <c r="K95" s="204"/>
      <c r="L95" s="204"/>
      <c r="M95" s="204"/>
      <c r="N95" s="204"/>
      <c r="O95" s="204"/>
      <c r="P95" s="204"/>
      <c r="Q95" s="204"/>
      <c r="R95" s="205"/>
      <c r="S95" s="88"/>
      <c r="T95" s="87"/>
    </row>
    <row r="96" spans="2:20" ht="30.6" customHeight="1" thickTop="1" thickBot="1">
      <c r="B96" s="86"/>
      <c r="C96" s="224"/>
      <c r="D96" s="88"/>
      <c r="E96" s="213"/>
      <c r="F96" s="214"/>
      <c r="G96" s="214"/>
      <c r="H96" s="214"/>
      <c r="I96" s="214"/>
      <c r="J96" s="214"/>
      <c r="K96" s="214"/>
      <c r="L96" s="214"/>
      <c r="M96" s="214"/>
      <c r="N96" s="214"/>
      <c r="O96" s="214"/>
      <c r="P96" s="214"/>
      <c r="Q96" s="214"/>
      <c r="R96" s="215"/>
      <c r="S96" s="88"/>
      <c r="T96" s="87"/>
    </row>
    <row r="97" spans="2:20" ht="19.8" customHeight="1" thickBot="1">
      <c r="B97" s="86"/>
      <c r="C97" s="224"/>
      <c r="D97" s="88"/>
      <c r="E97" s="217"/>
      <c r="F97" s="217"/>
      <c r="G97" s="217"/>
      <c r="H97" s="217"/>
      <c r="I97" s="217"/>
      <c r="J97" s="217"/>
      <c r="K97" s="217"/>
      <c r="L97" s="217"/>
      <c r="M97" s="217"/>
      <c r="N97" s="217"/>
      <c r="O97" s="217"/>
      <c r="P97" s="217"/>
      <c r="Q97" s="217"/>
      <c r="R97" s="217"/>
      <c r="S97" s="88"/>
      <c r="T97" s="87"/>
    </row>
    <row r="98" spans="2:20" ht="18" customHeight="1" thickTop="1" thickBot="1">
      <c r="B98" s="86"/>
      <c r="C98" s="224"/>
      <c r="D98" s="88"/>
      <c r="E98" s="203" t="s">
        <v>118</v>
      </c>
      <c r="F98" s="204"/>
      <c r="G98" s="204"/>
      <c r="H98" s="204"/>
      <c r="I98" s="204"/>
      <c r="J98" s="204"/>
      <c r="K98" s="204"/>
      <c r="L98" s="204"/>
      <c r="M98" s="204"/>
      <c r="N98" s="204"/>
      <c r="O98" s="204"/>
      <c r="P98" s="204"/>
      <c r="Q98" s="204"/>
      <c r="R98" s="205"/>
      <c r="S98" s="90"/>
      <c r="T98" s="87"/>
    </row>
    <row r="99" spans="2:20" ht="18" customHeight="1" thickTop="1" thickBot="1">
      <c r="B99" s="86"/>
      <c r="C99" s="224"/>
      <c r="D99" s="88"/>
      <c r="E99" s="209"/>
      <c r="F99" s="210"/>
      <c r="G99" s="210"/>
      <c r="H99" s="210"/>
      <c r="I99" s="210"/>
      <c r="J99" s="210"/>
      <c r="K99" s="210"/>
      <c r="L99" s="210"/>
      <c r="M99" s="210"/>
      <c r="N99" s="210"/>
      <c r="O99" s="210"/>
      <c r="P99" s="210"/>
      <c r="Q99" s="210"/>
      <c r="R99" s="211"/>
      <c r="S99" s="90"/>
      <c r="T99" s="87"/>
    </row>
    <row r="100" spans="2:20" ht="19.8" customHeight="1" thickBot="1">
      <c r="B100" s="86"/>
      <c r="C100" s="224"/>
      <c r="D100" s="88"/>
      <c r="E100" s="88"/>
      <c r="F100" s="88"/>
      <c r="G100" s="88"/>
      <c r="H100" s="88"/>
      <c r="I100" s="88"/>
      <c r="J100" s="88"/>
      <c r="K100" s="88"/>
      <c r="L100" s="88"/>
      <c r="M100" s="88"/>
      <c r="N100" s="88"/>
      <c r="O100" s="88"/>
      <c r="P100" s="88"/>
      <c r="Q100" s="88"/>
      <c r="R100" s="88"/>
      <c r="S100" s="88"/>
      <c r="T100" s="87"/>
    </row>
    <row r="101" spans="2:20" ht="18" customHeight="1" thickTop="1" thickBot="1">
      <c r="B101" s="86"/>
      <c r="C101" s="224"/>
      <c r="D101" s="88"/>
      <c r="E101" s="203" t="s">
        <v>123</v>
      </c>
      <c r="F101" s="204"/>
      <c r="G101" s="204"/>
      <c r="H101" s="204"/>
      <c r="I101" s="204"/>
      <c r="J101" s="204"/>
      <c r="K101" s="204"/>
      <c r="L101" s="204"/>
      <c r="M101" s="204"/>
      <c r="N101" s="204"/>
      <c r="O101" s="204"/>
      <c r="P101" s="204"/>
      <c r="Q101" s="204"/>
      <c r="R101" s="205"/>
      <c r="S101" s="90"/>
      <c r="T101" s="87"/>
    </row>
    <row r="102" spans="2:20" ht="52.8" customHeight="1" thickTop="1" thickBot="1">
      <c r="B102" s="86"/>
      <c r="C102" s="224"/>
      <c r="D102" s="88"/>
      <c r="E102" s="213"/>
      <c r="F102" s="214"/>
      <c r="G102" s="214"/>
      <c r="H102" s="214"/>
      <c r="I102" s="214"/>
      <c r="J102" s="214"/>
      <c r="K102" s="214"/>
      <c r="L102" s="214"/>
      <c r="M102" s="214"/>
      <c r="N102" s="214"/>
      <c r="O102" s="214"/>
      <c r="P102" s="214"/>
      <c r="Q102" s="214"/>
      <c r="R102" s="215"/>
      <c r="S102" s="88"/>
      <c r="T102" s="87"/>
    </row>
    <row r="103" spans="2:20" ht="19.8" customHeight="1" thickBot="1">
      <c r="B103" s="86"/>
      <c r="C103" s="224"/>
      <c r="D103" s="88"/>
      <c r="E103" s="88"/>
      <c r="F103" s="88"/>
      <c r="G103" s="88"/>
      <c r="H103" s="88"/>
      <c r="I103" s="88"/>
      <c r="J103" s="88"/>
      <c r="K103" s="88"/>
      <c r="L103" s="88"/>
      <c r="M103" s="88"/>
      <c r="N103" s="88"/>
      <c r="O103" s="88"/>
      <c r="P103" s="88"/>
      <c r="Q103" s="88"/>
      <c r="R103" s="88"/>
      <c r="S103" s="88"/>
      <c r="T103" s="87"/>
    </row>
    <row r="104" spans="2:20" ht="18" customHeight="1" thickTop="1" thickBot="1">
      <c r="B104" s="86"/>
      <c r="C104" s="224"/>
      <c r="D104" s="88"/>
      <c r="E104" s="203" t="s">
        <v>129</v>
      </c>
      <c r="F104" s="204"/>
      <c r="G104" s="204"/>
      <c r="H104" s="204"/>
      <c r="I104" s="204"/>
      <c r="J104" s="204"/>
      <c r="K104" s="204"/>
      <c r="L104" s="204"/>
      <c r="M104" s="204"/>
      <c r="N104" s="204"/>
      <c r="O104" s="204"/>
      <c r="P104" s="204"/>
      <c r="Q104" s="204"/>
      <c r="R104" s="205"/>
      <c r="S104" s="88"/>
      <c r="T104" s="87"/>
    </row>
    <row r="105" spans="2:20" ht="18" customHeight="1" thickTop="1" thickBot="1">
      <c r="B105" s="86"/>
      <c r="C105" s="224"/>
      <c r="D105" s="88"/>
      <c r="E105" s="209"/>
      <c r="F105" s="210"/>
      <c r="G105" s="210"/>
      <c r="H105" s="210"/>
      <c r="I105" s="210"/>
      <c r="J105" s="210"/>
      <c r="K105" s="210"/>
      <c r="L105" s="210"/>
      <c r="M105" s="210"/>
      <c r="N105" s="210"/>
      <c r="O105" s="210"/>
      <c r="P105" s="210"/>
      <c r="Q105" s="210"/>
      <c r="R105" s="211"/>
      <c r="S105" s="88"/>
      <c r="T105" s="87"/>
    </row>
    <row r="106" spans="2:20" ht="18" customHeight="1" thickBot="1">
      <c r="B106" s="86"/>
      <c r="C106" s="224"/>
      <c r="D106" s="88"/>
      <c r="E106" s="111"/>
      <c r="F106" s="111"/>
      <c r="G106" s="111"/>
      <c r="H106" s="111"/>
      <c r="I106" s="111"/>
      <c r="J106" s="111"/>
      <c r="K106" s="111"/>
      <c r="L106" s="111"/>
      <c r="M106" s="111"/>
      <c r="N106" s="111"/>
      <c r="O106" s="111"/>
      <c r="P106" s="111"/>
      <c r="Q106" s="111"/>
      <c r="R106" s="111"/>
      <c r="S106" s="88"/>
      <c r="T106" s="87"/>
    </row>
    <row r="107" spans="2:20" ht="18" customHeight="1" thickTop="1" thickBot="1">
      <c r="B107" s="86"/>
      <c r="C107" s="224"/>
      <c r="D107" s="112"/>
      <c r="E107" s="203" t="s">
        <v>575</v>
      </c>
      <c r="F107" s="204"/>
      <c r="G107" s="204"/>
      <c r="H107" s="204"/>
      <c r="I107" s="204"/>
      <c r="J107" s="204"/>
      <c r="K107" s="204"/>
      <c r="L107" s="204"/>
      <c r="M107" s="204"/>
      <c r="N107" s="204"/>
      <c r="O107" s="204"/>
      <c r="P107" s="204"/>
      <c r="Q107" s="204"/>
      <c r="R107" s="205"/>
      <c r="S107" s="88"/>
      <c r="T107" s="87"/>
    </row>
    <row r="108" spans="2:20" ht="18" customHeight="1" thickTop="1" thickBot="1">
      <c r="B108" s="86"/>
      <c r="C108" s="224"/>
      <c r="D108" s="88"/>
      <c r="E108" s="209"/>
      <c r="F108" s="210"/>
      <c r="G108" s="210"/>
      <c r="H108" s="210"/>
      <c r="I108" s="210"/>
      <c r="J108" s="210"/>
      <c r="K108" s="210"/>
      <c r="L108" s="210"/>
      <c r="M108" s="210"/>
      <c r="N108" s="210"/>
      <c r="O108" s="210"/>
      <c r="P108" s="210"/>
      <c r="Q108" s="210"/>
      <c r="R108" s="211"/>
      <c r="S108" s="88"/>
      <c r="T108" s="87"/>
    </row>
    <row r="109" spans="2:20" ht="18" customHeight="1" thickBot="1">
      <c r="B109" s="86"/>
      <c r="C109" s="224"/>
      <c r="D109" s="88"/>
      <c r="E109" s="111"/>
      <c r="F109" s="111"/>
      <c r="G109" s="111"/>
      <c r="H109" s="111"/>
      <c r="I109" s="111"/>
      <c r="J109" s="111"/>
      <c r="K109" s="111"/>
      <c r="L109" s="111"/>
      <c r="M109" s="111"/>
      <c r="N109" s="111"/>
      <c r="O109" s="111"/>
      <c r="P109" s="111"/>
      <c r="Q109" s="111"/>
      <c r="R109" s="111"/>
      <c r="S109" s="88"/>
      <c r="T109" s="87"/>
    </row>
    <row r="110" spans="2:20" ht="18" customHeight="1" thickTop="1" thickBot="1">
      <c r="B110" s="86"/>
      <c r="C110" s="224"/>
      <c r="D110" s="88"/>
      <c r="E110" s="203" t="s">
        <v>576</v>
      </c>
      <c r="F110" s="204"/>
      <c r="G110" s="204"/>
      <c r="H110" s="204"/>
      <c r="I110" s="204"/>
      <c r="J110" s="204"/>
      <c r="K110" s="204"/>
      <c r="L110" s="204"/>
      <c r="M110" s="204"/>
      <c r="N110" s="204"/>
      <c r="O110" s="204"/>
      <c r="P110" s="204"/>
      <c r="Q110" s="204"/>
      <c r="R110" s="205"/>
      <c r="S110" s="88"/>
      <c r="T110" s="87"/>
    </row>
    <row r="111" spans="2:20" ht="18" customHeight="1" thickTop="1" thickBot="1">
      <c r="B111" s="86"/>
      <c r="C111" s="224"/>
      <c r="D111" s="88"/>
      <c r="E111" s="209"/>
      <c r="F111" s="210"/>
      <c r="G111" s="210"/>
      <c r="H111" s="210"/>
      <c r="I111" s="210"/>
      <c r="J111" s="210"/>
      <c r="K111" s="210"/>
      <c r="L111" s="210"/>
      <c r="M111" s="210"/>
      <c r="N111" s="210"/>
      <c r="O111" s="210"/>
      <c r="P111" s="210"/>
      <c r="Q111" s="210"/>
      <c r="R111" s="211"/>
      <c r="S111" s="88"/>
      <c r="T111" s="87"/>
    </row>
    <row r="112" spans="2:20" ht="18" customHeight="1" thickBot="1">
      <c r="B112" s="86"/>
      <c r="C112" s="224"/>
      <c r="D112" s="88"/>
      <c r="E112" s="111"/>
      <c r="F112" s="111"/>
      <c r="G112" s="111"/>
      <c r="H112" s="111"/>
      <c r="I112" s="111"/>
      <c r="J112" s="111"/>
      <c r="K112" s="111"/>
      <c r="L112" s="111"/>
      <c r="M112" s="111"/>
      <c r="N112" s="111"/>
      <c r="O112" s="111"/>
      <c r="P112" s="111"/>
      <c r="Q112" s="111"/>
      <c r="R112" s="111"/>
      <c r="S112" s="88"/>
      <c r="T112" s="87"/>
    </row>
    <row r="113" spans="2:20" ht="18" customHeight="1" thickTop="1" thickBot="1">
      <c r="B113" s="86"/>
      <c r="C113" s="224"/>
      <c r="D113" s="88"/>
      <c r="E113" s="203" t="s">
        <v>577</v>
      </c>
      <c r="F113" s="204"/>
      <c r="G113" s="204"/>
      <c r="H113" s="204"/>
      <c r="I113" s="204"/>
      <c r="J113" s="204"/>
      <c r="K113" s="204"/>
      <c r="L113" s="204"/>
      <c r="M113" s="204"/>
      <c r="N113" s="204"/>
      <c r="O113" s="204"/>
      <c r="P113" s="204"/>
      <c r="Q113" s="204"/>
      <c r="R113" s="205"/>
      <c r="S113" s="88"/>
      <c r="T113" s="87"/>
    </row>
    <row r="114" spans="2:20" ht="18" customHeight="1" thickTop="1" thickBot="1">
      <c r="B114" s="86"/>
      <c r="C114" s="224"/>
      <c r="D114" s="88"/>
      <c r="E114" s="209"/>
      <c r="F114" s="210"/>
      <c r="G114" s="210"/>
      <c r="H114" s="210"/>
      <c r="I114" s="210"/>
      <c r="J114" s="210"/>
      <c r="K114" s="210"/>
      <c r="L114" s="210"/>
      <c r="M114" s="210"/>
      <c r="N114" s="210"/>
      <c r="O114" s="210"/>
      <c r="P114" s="210"/>
      <c r="Q114" s="210"/>
      <c r="R114" s="211"/>
      <c r="S114" s="88"/>
      <c r="T114" s="87"/>
    </row>
    <row r="115" spans="2:20" ht="18" customHeight="1" thickBot="1">
      <c r="B115" s="86"/>
      <c r="C115" s="224"/>
      <c r="D115" s="88"/>
      <c r="E115" s="111"/>
      <c r="F115" s="111"/>
      <c r="G115" s="111"/>
      <c r="H115" s="111"/>
      <c r="I115" s="111"/>
      <c r="J115" s="111"/>
      <c r="K115" s="111"/>
      <c r="L115" s="111"/>
      <c r="M115" s="111"/>
      <c r="N115" s="111"/>
      <c r="O115" s="111"/>
      <c r="P115" s="111"/>
      <c r="Q115" s="111"/>
      <c r="R115" s="111"/>
      <c r="S115" s="88"/>
      <c r="T115" s="87"/>
    </row>
    <row r="116" spans="2:20" ht="18" customHeight="1" thickTop="1" thickBot="1">
      <c r="B116" s="86"/>
      <c r="C116" s="224"/>
      <c r="D116" s="88"/>
      <c r="E116" s="203" t="s">
        <v>615</v>
      </c>
      <c r="F116" s="204"/>
      <c r="G116" s="204"/>
      <c r="H116" s="204"/>
      <c r="I116" s="204"/>
      <c r="J116" s="204"/>
      <c r="K116" s="204"/>
      <c r="L116" s="204"/>
      <c r="M116" s="204"/>
      <c r="N116" s="204"/>
      <c r="O116" s="204"/>
      <c r="P116" s="204"/>
      <c r="Q116" s="204"/>
      <c r="R116" s="205"/>
      <c r="S116" s="88"/>
      <c r="T116" s="87"/>
    </row>
    <row r="117" spans="2:20" ht="18" customHeight="1" thickTop="1" thickBot="1">
      <c r="B117" s="86"/>
      <c r="C117" s="224"/>
      <c r="D117" s="88"/>
      <c r="E117" s="209"/>
      <c r="F117" s="210"/>
      <c r="G117" s="210"/>
      <c r="H117" s="210"/>
      <c r="I117" s="210"/>
      <c r="J117" s="210"/>
      <c r="K117" s="210"/>
      <c r="L117" s="210"/>
      <c r="M117" s="210"/>
      <c r="N117" s="210"/>
      <c r="O117" s="210"/>
      <c r="P117" s="210"/>
      <c r="Q117" s="210"/>
      <c r="R117" s="211"/>
      <c r="S117" s="88"/>
      <c r="T117" s="87"/>
    </row>
    <row r="118" spans="2:20" ht="18" customHeight="1" thickBot="1">
      <c r="B118" s="86"/>
      <c r="C118" s="91"/>
      <c r="D118" s="91"/>
      <c r="E118" s="91"/>
      <c r="F118" s="91"/>
      <c r="G118" s="91"/>
      <c r="H118" s="91"/>
      <c r="I118" s="91"/>
      <c r="J118" s="91"/>
      <c r="K118" s="91"/>
      <c r="L118" s="91"/>
      <c r="M118" s="91"/>
      <c r="N118" s="91"/>
      <c r="O118" s="91"/>
      <c r="P118" s="91"/>
      <c r="Q118" s="91"/>
      <c r="R118" s="91"/>
      <c r="S118" s="91"/>
      <c r="T118" s="87"/>
    </row>
    <row r="119" spans="2:20" ht="18" customHeight="1" thickBot="1">
      <c r="B119" s="86"/>
      <c r="D119" s="88"/>
      <c r="E119" s="88"/>
      <c r="F119" s="88"/>
      <c r="G119" s="88"/>
      <c r="H119" s="88"/>
      <c r="I119" s="88"/>
      <c r="J119" s="88"/>
      <c r="K119" s="88"/>
      <c r="L119" s="88"/>
      <c r="M119" s="88"/>
      <c r="N119" s="88"/>
      <c r="O119" s="88"/>
      <c r="P119" s="88"/>
      <c r="Q119" s="88"/>
      <c r="R119" s="88"/>
      <c r="S119" s="88"/>
      <c r="T119" s="87"/>
    </row>
    <row r="120" spans="2:20" ht="18" customHeight="1" thickTop="1" thickBot="1">
      <c r="B120" s="86"/>
      <c r="C120" s="225" t="s">
        <v>11</v>
      </c>
      <c r="D120" s="88"/>
      <c r="E120" s="203" t="s">
        <v>135</v>
      </c>
      <c r="F120" s="204"/>
      <c r="G120" s="204"/>
      <c r="H120" s="204"/>
      <c r="I120" s="204"/>
      <c r="J120" s="204"/>
      <c r="K120" s="204"/>
      <c r="L120" s="204"/>
      <c r="M120" s="204"/>
      <c r="N120" s="204"/>
      <c r="O120" s="204"/>
      <c r="P120" s="204"/>
      <c r="Q120" s="204"/>
      <c r="R120" s="205"/>
      <c r="S120" s="88"/>
      <c r="T120" s="87"/>
    </row>
    <row r="121" spans="2:20" ht="18" customHeight="1" thickTop="1" thickBot="1">
      <c r="B121" s="86"/>
      <c r="C121" s="225"/>
      <c r="D121" s="88"/>
      <c r="E121" s="209"/>
      <c r="F121" s="210"/>
      <c r="G121" s="210"/>
      <c r="H121" s="210"/>
      <c r="I121" s="210"/>
      <c r="J121" s="210"/>
      <c r="K121" s="210"/>
      <c r="L121" s="210"/>
      <c r="M121" s="210"/>
      <c r="N121" s="210"/>
      <c r="O121" s="210"/>
      <c r="P121" s="210"/>
      <c r="Q121" s="210"/>
      <c r="R121" s="211"/>
      <c r="S121" s="88"/>
      <c r="T121" s="87"/>
    </row>
    <row r="122" spans="2:20" ht="18" customHeight="1" thickBot="1">
      <c r="B122" s="86"/>
      <c r="C122" s="225"/>
      <c r="D122" s="88"/>
      <c r="E122" s="88"/>
      <c r="F122" s="88"/>
      <c r="G122" s="88"/>
      <c r="H122" s="88"/>
      <c r="I122" s="88"/>
      <c r="J122" s="88"/>
      <c r="K122" s="88"/>
      <c r="L122" s="88"/>
      <c r="M122" s="88"/>
      <c r="N122" s="88"/>
      <c r="O122" s="88"/>
      <c r="P122" s="88"/>
      <c r="Q122" s="88"/>
      <c r="R122" s="88"/>
      <c r="S122" s="88"/>
      <c r="T122" s="87"/>
    </row>
    <row r="123" spans="2:20" ht="18" customHeight="1" thickTop="1" thickBot="1">
      <c r="B123" s="86"/>
      <c r="C123" s="225"/>
      <c r="D123" s="88"/>
      <c r="E123" s="203" t="s">
        <v>136</v>
      </c>
      <c r="F123" s="204"/>
      <c r="G123" s="204"/>
      <c r="H123" s="204"/>
      <c r="I123" s="204"/>
      <c r="J123" s="204"/>
      <c r="K123" s="204"/>
      <c r="L123" s="204"/>
      <c r="M123" s="204"/>
      <c r="N123" s="204"/>
      <c r="O123" s="204"/>
      <c r="P123" s="204"/>
      <c r="Q123" s="204"/>
      <c r="R123" s="205"/>
      <c r="S123" s="88"/>
      <c r="T123" s="87"/>
    </row>
    <row r="124" spans="2:20" ht="18" customHeight="1" thickTop="1" thickBot="1">
      <c r="B124" s="86"/>
      <c r="C124" s="225"/>
      <c r="D124" s="88"/>
      <c r="E124" s="209"/>
      <c r="F124" s="210"/>
      <c r="G124" s="210"/>
      <c r="H124" s="210"/>
      <c r="I124" s="210"/>
      <c r="J124" s="210"/>
      <c r="K124" s="210"/>
      <c r="L124" s="210"/>
      <c r="M124" s="210"/>
      <c r="N124" s="210"/>
      <c r="O124" s="210"/>
      <c r="P124" s="210"/>
      <c r="Q124" s="210"/>
      <c r="R124" s="211"/>
      <c r="S124" s="88"/>
      <c r="T124" s="87"/>
    </row>
    <row r="125" spans="2:20" ht="18" customHeight="1" thickBot="1">
      <c r="B125" s="86"/>
      <c r="C125" s="225"/>
      <c r="D125" s="88"/>
      <c r="E125" s="88"/>
      <c r="F125" s="88"/>
      <c r="G125" s="88"/>
      <c r="H125" s="88"/>
      <c r="I125" s="88"/>
      <c r="J125" s="88"/>
      <c r="K125" s="88"/>
      <c r="L125" s="88"/>
      <c r="M125" s="88"/>
      <c r="N125" s="88"/>
      <c r="O125" s="88"/>
      <c r="P125" s="88"/>
      <c r="Q125" s="88"/>
      <c r="R125" s="88"/>
      <c r="S125" s="88"/>
      <c r="T125" s="87"/>
    </row>
    <row r="126" spans="2:20" ht="18" customHeight="1" thickTop="1" thickBot="1">
      <c r="B126" s="86"/>
      <c r="C126" s="225"/>
      <c r="D126" s="88"/>
      <c r="E126" s="203" t="s">
        <v>137</v>
      </c>
      <c r="F126" s="204"/>
      <c r="G126" s="204"/>
      <c r="H126" s="204"/>
      <c r="I126" s="204"/>
      <c r="J126" s="204"/>
      <c r="K126" s="204"/>
      <c r="L126" s="204"/>
      <c r="M126" s="204"/>
      <c r="N126" s="204"/>
      <c r="O126" s="204"/>
      <c r="P126" s="204"/>
      <c r="Q126" s="204"/>
      <c r="R126" s="205"/>
      <c r="S126" s="88"/>
      <c r="T126" s="87"/>
    </row>
    <row r="127" spans="2:20" ht="18" customHeight="1" thickTop="1" thickBot="1">
      <c r="B127" s="86"/>
      <c r="C127" s="225"/>
      <c r="D127" s="88"/>
      <c r="E127" s="209"/>
      <c r="F127" s="210"/>
      <c r="G127" s="210"/>
      <c r="H127" s="210"/>
      <c r="I127" s="210"/>
      <c r="J127" s="210"/>
      <c r="K127" s="210"/>
      <c r="L127" s="210"/>
      <c r="M127" s="210"/>
      <c r="N127" s="210"/>
      <c r="O127" s="210"/>
      <c r="P127" s="210"/>
      <c r="Q127" s="210"/>
      <c r="R127" s="211"/>
      <c r="S127" s="88"/>
      <c r="T127" s="87"/>
    </row>
    <row r="128" spans="2:20" ht="18" customHeight="1" thickBot="1">
      <c r="B128" s="86"/>
      <c r="C128" s="225"/>
      <c r="D128" s="88"/>
      <c r="E128" s="88"/>
      <c r="F128" s="88"/>
      <c r="G128" s="88"/>
      <c r="H128" s="88"/>
      <c r="I128" s="88"/>
      <c r="J128" s="88"/>
      <c r="K128" s="88"/>
      <c r="L128" s="88"/>
      <c r="M128" s="88"/>
      <c r="N128" s="88"/>
      <c r="O128" s="88"/>
      <c r="P128" s="88"/>
      <c r="Q128" s="88"/>
      <c r="R128" s="88"/>
      <c r="S128" s="88"/>
      <c r="T128" s="87"/>
    </row>
    <row r="129" spans="2:20" ht="18" customHeight="1" thickTop="1" thickBot="1">
      <c r="B129" s="86"/>
      <c r="C129" s="225"/>
      <c r="D129" s="88"/>
      <c r="E129" s="203" t="s">
        <v>144</v>
      </c>
      <c r="F129" s="204"/>
      <c r="G129" s="204"/>
      <c r="H129" s="204"/>
      <c r="I129" s="204"/>
      <c r="J129" s="204"/>
      <c r="K129" s="204"/>
      <c r="L129" s="204"/>
      <c r="M129" s="204"/>
      <c r="N129" s="204"/>
      <c r="O129" s="204"/>
      <c r="P129" s="204"/>
      <c r="Q129" s="204"/>
      <c r="R129" s="205"/>
      <c r="S129" s="88"/>
      <c r="T129" s="87"/>
    </row>
    <row r="130" spans="2:20" ht="18" customHeight="1" thickTop="1" thickBot="1">
      <c r="B130" s="86"/>
      <c r="C130" s="225"/>
      <c r="D130" s="88"/>
      <c r="E130" s="209"/>
      <c r="F130" s="210"/>
      <c r="G130" s="210"/>
      <c r="H130" s="210"/>
      <c r="I130" s="210"/>
      <c r="J130" s="210"/>
      <c r="K130" s="210"/>
      <c r="L130" s="210"/>
      <c r="M130" s="210"/>
      <c r="N130" s="210"/>
      <c r="O130" s="210"/>
      <c r="P130" s="210"/>
      <c r="Q130" s="210"/>
      <c r="R130" s="211"/>
      <c r="S130" s="88"/>
      <c r="T130" s="87"/>
    </row>
    <row r="131" spans="2:20" ht="18" customHeight="1" thickBot="1">
      <c r="B131" s="86"/>
      <c r="C131" s="225"/>
      <c r="D131" s="88"/>
      <c r="E131" s="88"/>
      <c r="F131" s="88"/>
      <c r="G131" s="88"/>
      <c r="H131" s="88"/>
      <c r="I131" s="88"/>
      <c r="J131" s="88"/>
      <c r="K131" s="88"/>
      <c r="L131" s="88"/>
      <c r="M131" s="88"/>
      <c r="N131" s="88"/>
      <c r="O131" s="88"/>
      <c r="P131" s="88"/>
      <c r="Q131" s="88"/>
      <c r="R131" s="88"/>
      <c r="S131" s="88"/>
      <c r="T131" s="87"/>
    </row>
    <row r="132" spans="2:20" ht="18" customHeight="1" thickTop="1" thickBot="1">
      <c r="B132" s="86"/>
      <c r="C132" s="225"/>
      <c r="D132" s="88"/>
      <c r="E132" s="203" t="s">
        <v>148</v>
      </c>
      <c r="F132" s="204"/>
      <c r="G132" s="204"/>
      <c r="H132" s="204"/>
      <c r="I132" s="204"/>
      <c r="J132" s="204"/>
      <c r="K132" s="204"/>
      <c r="L132" s="204"/>
      <c r="M132" s="204"/>
      <c r="N132" s="204"/>
      <c r="O132" s="204"/>
      <c r="P132" s="204"/>
      <c r="Q132" s="204"/>
      <c r="R132" s="205"/>
      <c r="S132" s="88"/>
      <c r="T132" s="87"/>
    </row>
    <row r="133" spans="2:20" ht="18" customHeight="1" thickTop="1" thickBot="1">
      <c r="B133" s="86"/>
      <c r="C133" s="225"/>
      <c r="D133" s="88"/>
      <c r="E133" s="209"/>
      <c r="F133" s="210"/>
      <c r="G133" s="210"/>
      <c r="H133" s="210"/>
      <c r="I133" s="210"/>
      <c r="J133" s="210"/>
      <c r="K133" s="210"/>
      <c r="L133" s="210"/>
      <c r="M133" s="210"/>
      <c r="N133" s="210"/>
      <c r="O133" s="210"/>
      <c r="P133" s="210"/>
      <c r="Q133" s="210"/>
      <c r="R133" s="211"/>
      <c r="S133" s="88"/>
      <c r="T133" s="87"/>
    </row>
    <row r="134" spans="2:20" ht="18" customHeight="1" thickBot="1">
      <c r="B134" s="86"/>
      <c r="C134" s="225"/>
      <c r="D134" s="88"/>
      <c r="E134" s="88"/>
      <c r="F134" s="88"/>
      <c r="G134" s="88"/>
      <c r="H134" s="88"/>
      <c r="I134" s="88"/>
      <c r="J134" s="88"/>
      <c r="K134" s="88"/>
      <c r="L134" s="88"/>
      <c r="M134" s="88"/>
      <c r="N134" s="88"/>
      <c r="O134" s="88"/>
      <c r="P134" s="88"/>
      <c r="Q134" s="88"/>
      <c r="R134" s="88"/>
      <c r="S134" s="88"/>
      <c r="T134" s="87"/>
    </row>
    <row r="135" spans="2:20" ht="18" customHeight="1" thickTop="1" thickBot="1">
      <c r="B135" s="86"/>
      <c r="C135" s="225"/>
      <c r="D135" s="88"/>
      <c r="E135" s="203" t="s">
        <v>149</v>
      </c>
      <c r="F135" s="204"/>
      <c r="G135" s="204"/>
      <c r="H135" s="204"/>
      <c r="I135" s="204"/>
      <c r="J135" s="204"/>
      <c r="K135" s="204"/>
      <c r="L135" s="204"/>
      <c r="M135" s="204"/>
      <c r="N135" s="204"/>
      <c r="O135" s="204"/>
      <c r="P135" s="204"/>
      <c r="Q135" s="204"/>
      <c r="R135" s="205"/>
      <c r="S135" s="88"/>
      <c r="T135" s="87"/>
    </row>
    <row r="136" spans="2:20" ht="18" customHeight="1" thickTop="1" thickBot="1">
      <c r="B136" s="86"/>
      <c r="C136" s="225"/>
      <c r="D136" s="88"/>
      <c r="E136" s="209"/>
      <c r="F136" s="210"/>
      <c r="G136" s="210"/>
      <c r="H136" s="210"/>
      <c r="I136" s="210"/>
      <c r="J136" s="210"/>
      <c r="K136" s="210"/>
      <c r="L136" s="210"/>
      <c r="M136" s="210"/>
      <c r="N136" s="210"/>
      <c r="O136" s="210"/>
      <c r="P136" s="210"/>
      <c r="Q136" s="210"/>
      <c r="R136" s="211"/>
      <c r="S136" s="88"/>
      <c r="T136" s="87"/>
    </row>
    <row r="137" spans="2:20" ht="18" customHeight="1" thickBot="1">
      <c r="B137" s="86"/>
      <c r="C137" s="225"/>
      <c r="D137" s="88"/>
      <c r="E137" s="88"/>
      <c r="F137" s="88"/>
      <c r="G137" s="88"/>
      <c r="H137" s="88"/>
      <c r="I137" s="88"/>
      <c r="J137" s="88"/>
      <c r="K137" s="88"/>
      <c r="L137" s="88"/>
      <c r="M137" s="88"/>
      <c r="N137" s="88"/>
      <c r="O137" s="88"/>
      <c r="P137" s="88"/>
      <c r="Q137" s="88"/>
      <c r="R137" s="88"/>
      <c r="S137" s="88"/>
      <c r="T137" s="87"/>
    </row>
    <row r="138" spans="2:20" ht="18" customHeight="1" thickTop="1" thickBot="1">
      <c r="B138" s="86"/>
      <c r="C138" s="225"/>
      <c r="D138" s="88"/>
      <c r="E138" s="203" t="s">
        <v>155</v>
      </c>
      <c r="F138" s="204"/>
      <c r="G138" s="204"/>
      <c r="H138" s="204"/>
      <c r="I138" s="204"/>
      <c r="J138" s="204"/>
      <c r="K138" s="204"/>
      <c r="L138" s="204"/>
      <c r="M138" s="204"/>
      <c r="N138" s="204"/>
      <c r="O138" s="204"/>
      <c r="P138" s="204"/>
      <c r="Q138" s="204"/>
      <c r="R138" s="205"/>
      <c r="S138" s="88"/>
      <c r="T138" s="87"/>
    </row>
    <row r="139" spans="2:20" ht="18" customHeight="1" thickTop="1" thickBot="1">
      <c r="B139" s="86"/>
      <c r="C139" s="225"/>
      <c r="D139" s="88"/>
      <c r="E139" s="209"/>
      <c r="F139" s="210"/>
      <c r="G139" s="210"/>
      <c r="H139" s="210"/>
      <c r="I139" s="210"/>
      <c r="J139" s="210"/>
      <c r="K139" s="210"/>
      <c r="L139" s="210"/>
      <c r="M139" s="210"/>
      <c r="N139" s="210"/>
      <c r="O139" s="210"/>
      <c r="P139" s="210"/>
      <c r="Q139" s="210"/>
      <c r="R139" s="211"/>
      <c r="S139" s="88"/>
      <c r="T139" s="87"/>
    </row>
    <row r="140" spans="2:20" ht="18" customHeight="1" thickBot="1">
      <c r="B140" s="86"/>
      <c r="C140" s="225"/>
      <c r="D140" s="88"/>
      <c r="E140" s="88"/>
      <c r="F140" s="88"/>
      <c r="G140" s="88"/>
      <c r="H140" s="88"/>
      <c r="I140" s="88"/>
      <c r="J140" s="88"/>
      <c r="K140" s="88"/>
      <c r="L140" s="88"/>
      <c r="M140" s="88"/>
      <c r="N140" s="88"/>
      <c r="O140" s="88"/>
      <c r="P140" s="88"/>
      <c r="Q140" s="88"/>
      <c r="R140" s="88"/>
      <c r="S140" s="88"/>
      <c r="T140" s="87"/>
    </row>
    <row r="141" spans="2:20" ht="18" customHeight="1" thickTop="1" thickBot="1">
      <c r="B141" s="86"/>
      <c r="C141" s="225"/>
      <c r="D141" s="88"/>
      <c r="E141" s="203" t="s">
        <v>156</v>
      </c>
      <c r="F141" s="204"/>
      <c r="G141" s="204"/>
      <c r="H141" s="204"/>
      <c r="I141" s="204"/>
      <c r="J141" s="204"/>
      <c r="K141" s="204"/>
      <c r="L141" s="204"/>
      <c r="M141" s="204"/>
      <c r="N141" s="204"/>
      <c r="O141" s="204"/>
      <c r="P141" s="204"/>
      <c r="Q141" s="204"/>
      <c r="R141" s="205"/>
      <c r="S141" s="88"/>
      <c r="T141" s="87"/>
    </row>
    <row r="142" spans="2:20" ht="18" customHeight="1" thickTop="1" thickBot="1">
      <c r="B142" s="86"/>
      <c r="C142" s="225"/>
      <c r="D142" s="88"/>
      <c r="E142" s="209"/>
      <c r="F142" s="210"/>
      <c r="G142" s="210"/>
      <c r="H142" s="210"/>
      <c r="I142" s="210"/>
      <c r="J142" s="210"/>
      <c r="K142" s="210"/>
      <c r="L142" s="210"/>
      <c r="M142" s="210"/>
      <c r="N142" s="210"/>
      <c r="O142" s="210"/>
      <c r="P142" s="210"/>
      <c r="Q142" s="210"/>
      <c r="R142" s="211"/>
      <c r="S142" s="88"/>
      <c r="T142" s="87"/>
    </row>
    <row r="143" spans="2:20" ht="18" customHeight="1" thickBot="1">
      <c r="B143" s="86"/>
      <c r="C143" s="225"/>
      <c r="D143" s="88"/>
      <c r="E143" s="88"/>
      <c r="F143" s="88"/>
      <c r="G143" s="88"/>
      <c r="H143" s="88"/>
      <c r="I143" s="88"/>
      <c r="J143" s="88"/>
      <c r="K143" s="88"/>
      <c r="L143" s="88"/>
      <c r="M143" s="88"/>
      <c r="N143" s="88"/>
      <c r="O143" s="88"/>
      <c r="P143" s="88"/>
      <c r="Q143" s="88"/>
      <c r="R143" s="88"/>
      <c r="S143" s="88"/>
      <c r="T143" s="87"/>
    </row>
    <row r="144" spans="2:20" ht="18" customHeight="1" thickTop="1" thickBot="1">
      <c r="B144" s="86"/>
      <c r="C144" s="225"/>
      <c r="D144" s="88"/>
      <c r="E144" s="203" t="s">
        <v>578</v>
      </c>
      <c r="F144" s="204"/>
      <c r="G144" s="204"/>
      <c r="H144" s="204"/>
      <c r="I144" s="204"/>
      <c r="J144" s="204"/>
      <c r="K144" s="204"/>
      <c r="L144" s="204"/>
      <c r="M144" s="204"/>
      <c r="N144" s="204"/>
      <c r="O144" s="204"/>
      <c r="P144" s="204"/>
      <c r="Q144" s="204"/>
      <c r="R144" s="205"/>
      <c r="S144" s="88"/>
      <c r="T144" s="87"/>
    </row>
    <row r="145" spans="2:20" ht="18" customHeight="1" thickTop="1" thickBot="1">
      <c r="B145" s="86"/>
      <c r="C145" s="225"/>
      <c r="D145" s="88"/>
      <c r="E145" s="209"/>
      <c r="F145" s="210"/>
      <c r="G145" s="210"/>
      <c r="H145" s="210"/>
      <c r="I145" s="210"/>
      <c r="J145" s="210"/>
      <c r="K145" s="210"/>
      <c r="L145" s="210"/>
      <c r="M145" s="210"/>
      <c r="N145" s="210"/>
      <c r="O145" s="210"/>
      <c r="P145" s="210"/>
      <c r="Q145" s="210"/>
      <c r="R145" s="211"/>
      <c r="S145" s="88"/>
      <c r="T145" s="87"/>
    </row>
    <row r="146" spans="2:20" ht="18" customHeight="1" thickBot="1">
      <c r="B146" s="86"/>
      <c r="C146" s="225"/>
      <c r="D146" s="88"/>
      <c r="E146" s="88"/>
      <c r="F146" s="88"/>
      <c r="G146" s="88"/>
      <c r="H146" s="88"/>
      <c r="I146" s="88"/>
      <c r="J146" s="88"/>
      <c r="K146" s="88"/>
      <c r="L146" s="88"/>
      <c r="M146" s="88"/>
      <c r="N146" s="88"/>
      <c r="O146" s="88"/>
      <c r="P146" s="88"/>
      <c r="Q146" s="88"/>
      <c r="R146" s="88"/>
      <c r="S146" s="88"/>
      <c r="T146" s="87"/>
    </row>
    <row r="147" spans="2:20" ht="18" customHeight="1" thickTop="1" thickBot="1">
      <c r="B147" s="86"/>
      <c r="C147" s="225"/>
      <c r="D147" s="88"/>
      <c r="E147" s="203" t="s">
        <v>583</v>
      </c>
      <c r="F147" s="204"/>
      <c r="G147" s="204"/>
      <c r="H147" s="204"/>
      <c r="I147" s="204"/>
      <c r="J147" s="204"/>
      <c r="K147" s="204"/>
      <c r="L147" s="204"/>
      <c r="M147" s="204"/>
      <c r="N147" s="204"/>
      <c r="O147" s="204"/>
      <c r="P147" s="204"/>
      <c r="Q147" s="204"/>
      <c r="R147" s="205"/>
      <c r="S147" s="88"/>
      <c r="T147" s="87"/>
    </row>
    <row r="148" spans="2:20" ht="18" customHeight="1" thickTop="1" thickBot="1">
      <c r="B148" s="86"/>
      <c r="C148" s="225"/>
      <c r="D148" s="88"/>
      <c r="E148" s="209"/>
      <c r="F148" s="210"/>
      <c r="G148" s="210"/>
      <c r="H148" s="210"/>
      <c r="I148" s="210"/>
      <c r="J148" s="210"/>
      <c r="K148" s="210"/>
      <c r="L148" s="210"/>
      <c r="M148" s="210"/>
      <c r="N148" s="210"/>
      <c r="O148" s="210"/>
      <c r="P148" s="210"/>
      <c r="Q148" s="210"/>
      <c r="R148" s="211"/>
      <c r="S148" s="88"/>
      <c r="T148" s="87"/>
    </row>
    <row r="149" spans="2:20" ht="18" customHeight="1" thickBot="1">
      <c r="B149" s="86"/>
      <c r="C149" s="225"/>
      <c r="D149" s="88"/>
      <c r="E149" s="88"/>
      <c r="F149" s="88"/>
      <c r="G149" s="88"/>
      <c r="H149" s="88"/>
      <c r="I149" s="88"/>
      <c r="J149" s="88"/>
      <c r="K149" s="88"/>
      <c r="L149" s="88"/>
      <c r="M149" s="88"/>
      <c r="N149" s="88"/>
      <c r="O149" s="88"/>
      <c r="P149" s="88"/>
      <c r="Q149" s="88"/>
      <c r="R149" s="88"/>
      <c r="S149" s="88"/>
      <c r="T149" s="87"/>
    </row>
    <row r="150" spans="2:20" ht="18" customHeight="1" thickTop="1" thickBot="1">
      <c r="B150" s="86"/>
      <c r="C150" s="225"/>
      <c r="D150" s="88"/>
      <c r="E150" s="203" t="s">
        <v>589</v>
      </c>
      <c r="F150" s="204"/>
      <c r="G150" s="204"/>
      <c r="H150" s="204"/>
      <c r="I150" s="204"/>
      <c r="J150" s="204"/>
      <c r="K150" s="204"/>
      <c r="L150" s="204"/>
      <c r="M150" s="204"/>
      <c r="N150" s="204"/>
      <c r="O150" s="204"/>
      <c r="P150" s="204"/>
      <c r="Q150" s="204"/>
      <c r="R150" s="205"/>
      <c r="S150" s="88"/>
      <c r="T150" s="87"/>
    </row>
    <row r="151" spans="2:20" ht="18" customHeight="1" thickTop="1" thickBot="1">
      <c r="B151" s="86"/>
      <c r="C151" s="225"/>
      <c r="D151" s="88"/>
      <c r="E151" s="209"/>
      <c r="F151" s="210"/>
      <c r="G151" s="210"/>
      <c r="H151" s="210"/>
      <c r="I151" s="210"/>
      <c r="J151" s="210"/>
      <c r="K151" s="210"/>
      <c r="L151" s="210"/>
      <c r="M151" s="210"/>
      <c r="N151" s="210"/>
      <c r="O151" s="210"/>
      <c r="P151" s="210"/>
      <c r="Q151" s="210"/>
      <c r="R151" s="211"/>
      <c r="S151" s="88"/>
      <c r="T151" s="87"/>
    </row>
    <row r="152" spans="2:20" ht="18" customHeight="1" thickBot="1">
      <c r="B152" s="86"/>
      <c r="C152" s="225"/>
      <c r="D152" s="88"/>
      <c r="E152" s="111"/>
      <c r="F152" s="111"/>
      <c r="G152" s="111"/>
      <c r="H152" s="111"/>
      <c r="I152" s="111"/>
      <c r="J152" s="111"/>
      <c r="K152" s="111"/>
      <c r="L152" s="111"/>
      <c r="M152" s="111"/>
      <c r="N152" s="111"/>
      <c r="O152" s="111"/>
      <c r="P152" s="111"/>
      <c r="Q152" s="111"/>
      <c r="R152" s="111"/>
      <c r="S152" s="88"/>
      <c r="T152" s="87"/>
    </row>
    <row r="153" spans="2:20" ht="18" customHeight="1" thickTop="1" thickBot="1">
      <c r="B153" s="86"/>
      <c r="C153" s="225"/>
      <c r="D153" s="88"/>
      <c r="E153" s="203" t="s">
        <v>595</v>
      </c>
      <c r="F153" s="204"/>
      <c r="G153" s="204"/>
      <c r="H153" s="204"/>
      <c r="I153" s="204"/>
      <c r="J153" s="204"/>
      <c r="K153" s="204"/>
      <c r="L153" s="204"/>
      <c r="M153" s="204"/>
      <c r="N153" s="204"/>
      <c r="O153" s="204"/>
      <c r="P153" s="204"/>
      <c r="Q153" s="204"/>
      <c r="R153" s="205"/>
      <c r="S153" s="88"/>
      <c r="T153" s="87"/>
    </row>
    <row r="154" spans="2:20" ht="18" customHeight="1" thickTop="1" thickBot="1">
      <c r="B154" s="86"/>
      <c r="C154" s="225"/>
      <c r="D154" s="88"/>
      <c r="E154" s="209"/>
      <c r="F154" s="210"/>
      <c r="G154" s="210"/>
      <c r="H154" s="210"/>
      <c r="I154" s="210"/>
      <c r="J154" s="210"/>
      <c r="K154" s="210"/>
      <c r="L154" s="210"/>
      <c r="M154" s="210"/>
      <c r="N154" s="210"/>
      <c r="O154" s="210"/>
      <c r="P154" s="210"/>
      <c r="Q154" s="210"/>
      <c r="R154" s="211"/>
      <c r="S154" s="88"/>
      <c r="T154" s="87"/>
    </row>
    <row r="155" spans="2:20" ht="18" customHeight="1" thickBot="1">
      <c r="B155" s="86"/>
      <c r="C155" s="225"/>
      <c r="D155" s="88"/>
      <c r="E155" s="111"/>
      <c r="F155" s="111"/>
      <c r="G155" s="111"/>
      <c r="H155" s="111"/>
      <c r="I155" s="111"/>
      <c r="J155" s="111"/>
      <c r="K155" s="111"/>
      <c r="L155" s="111"/>
      <c r="M155" s="111"/>
      <c r="N155" s="111"/>
      <c r="O155" s="111"/>
      <c r="P155" s="111"/>
      <c r="Q155" s="111"/>
      <c r="R155" s="111"/>
      <c r="S155" s="88"/>
      <c r="T155" s="87"/>
    </row>
    <row r="156" spans="2:20" ht="18" customHeight="1" thickTop="1" thickBot="1">
      <c r="B156" s="86"/>
      <c r="C156" s="225"/>
      <c r="D156" s="88"/>
      <c r="E156" s="203" t="s">
        <v>608</v>
      </c>
      <c r="F156" s="204"/>
      <c r="G156" s="204"/>
      <c r="H156" s="204"/>
      <c r="I156" s="204"/>
      <c r="J156" s="204"/>
      <c r="K156" s="204"/>
      <c r="L156" s="204"/>
      <c r="M156" s="204"/>
      <c r="N156" s="204"/>
      <c r="O156" s="204"/>
      <c r="P156" s="204"/>
      <c r="Q156" s="204"/>
      <c r="R156" s="205"/>
      <c r="S156" s="88"/>
      <c r="T156" s="87"/>
    </row>
    <row r="157" spans="2:20" ht="18" customHeight="1" thickTop="1" thickBot="1">
      <c r="B157" s="86"/>
      <c r="C157" s="225"/>
      <c r="D157" s="88"/>
      <c r="E157" s="209"/>
      <c r="F157" s="210"/>
      <c r="G157" s="210"/>
      <c r="H157" s="210"/>
      <c r="I157" s="210"/>
      <c r="J157" s="210"/>
      <c r="K157" s="210"/>
      <c r="L157" s="210"/>
      <c r="M157" s="210"/>
      <c r="N157" s="210"/>
      <c r="O157" s="210"/>
      <c r="P157" s="210"/>
      <c r="Q157" s="210"/>
      <c r="R157" s="211"/>
      <c r="S157" s="88"/>
      <c r="T157" s="87"/>
    </row>
    <row r="158" spans="2:20" ht="18" customHeight="1" thickBot="1">
      <c r="B158" s="86"/>
      <c r="C158" s="225"/>
      <c r="D158" s="88"/>
      <c r="E158" s="111"/>
      <c r="F158" s="111"/>
      <c r="G158" s="111"/>
      <c r="H158" s="111"/>
      <c r="I158" s="111"/>
      <c r="J158" s="111"/>
      <c r="K158" s="111"/>
      <c r="L158" s="111"/>
      <c r="M158" s="111"/>
      <c r="N158" s="111"/>
      <c r="O158" s="111"/>
      <c r="P158" s="111"/>
      <c r="Q158" s="111"/>
      <c r="R158" s="111"/>
      <c r="S158" s="88"/>
      <c r="T158" s="87"/>
    </row>
    <row r="159" spans="2:20" ht="18" customHeight="1" thickTop="1" thickBot="1">
      <c r="B159" s="86"/>
      <c r="C159" s="225"/>
      <c r="D159" s="88"/>
      <c r="E159" s="203" t="s">
        <v>607</v>
      </c>
      <c r="F159" s="204"/>
      <c r="G159" s="204"/>
      <c r="H159" s="204"/>
      <c r="I159" s="204"/>
      <c r="J159" s="204"/>
      <c r="K159" s="204"/>
      <c r="L159" s="204"/>
      <c r="M159" s="204"/>
      <c r="N159" s="204"/>
      <c r="O159" s="204"/>
      <c r="P159" s="204"/>
      <c r="Q159" s="204"/>
      <c r="R159" s="205"/>
      <c r="S159" s="88"/>
      <c r="T159" s="87"/>
    </row>
    <row r="160" spans="2:20" ht="18" customHeight="1" thickTop="1" thickBot="1">
      <c r="B160" s="86"/>
      <c r="C160" s="225"/>
      <c r="D160" s="88"/>
      <c r="E160" s="209"/>
      <c r="F160" s="210"/>
      <c r="G160" s="210"/>
      <c r="H160" s="210"/>
      <c r="I160" s="210"/>
      <c r="J160" s="210"/>
      <c r="K160" s="210"/>
      <c r="L160" s="210"/>
      <c r="M160" s="210"/>
      <c r="N160" s="210"/>
      <c r="O160" s="210"/>
      <c r="P160" s="210"/>
      <c r="Q160" s="210"/>
      <c r="R160" s="211"/>
      <c r="S160" s="88"/>
      <c r="T160" s="87"/>
    </row>
    <row r="161" spans="2:20" ht="18" customHeight="1" thickBot="1">
      <c r="B161" s="86"/>
      <c r="C161" s="91"/>
      <c r="D161" s="91"/>
      <c r="E161" s="91"/>
      <c r="F161" s="91"/>
      <c r="G161" s="91"/>
      <c r="H161" s="91"/>
      <c r="I161" s="91"/>
      <c r="J161" s="91"/>
      <c r="K161" s="91"/>
      <c r="L161" s="91"/>
      <c r="M161" s="91"/>
      <c r="N161" s="91"/>
      <c r="O161" s="91"/>
      <c r="P161" s="91"/>
      <c r="Q161" s="91"/>
      <c r="R161" s="91"/>
      <c r="S161" s="91"/>
      <c r="T161" s="87"/>
    </row>
    <row r="162" spans="2:20" ht="18" customHeight="1" thickBot="1">
      <c r="B162" s="86"/>
      <c r="D162" s="88"/>
      <c r="E162" s="88"/>
      <c r="F162" s="88"/>
      <c r="G162" s="88"/>
      <c r="H162" s="88"/>
      <c r="I162" s="88"/>
      <c r="J162" s="88"/>
      <c r="K162" s="88"/>
      <c r="L162" s="88"/>
      <c r="M162" s="88"/>
      <c r="N162" s="88"/>
      <c r="O162" s="88"/>
      <c r="P162" s="88"/>
      <c r="Q162" s="88"/>
      <c r="R162" s="88"/>
      <c r="S162" s="88"/>
      <c r="T162" s="87"/>
    </row>
    <row r="163" spans="2:20" ht="18" customHeight="1" thickTop="1" thickBot="1">
      <c r="B163" s="86"/>
      <c r="C163" s="225" t="s">
        <v>15</v>
      </c>
      <c r="D163" s="88"/>
      <c r="E163" s="203" t="s">
        <v>16</v>
      </c>
      <c r="F163" s="204"/>
      <c r="G163" s="204"/>
      <c r="H163" s="204"/>
      <c r="I163" s="204"/>
      <c r="J163" s="204"/>
      <c r="K163" s="204"/>
      <c r="L163" s="204"/>
      <c r="M163" s="204"/>
      <c r="N163" s="204"/>
      <c r="O163" s="204"/>
      <c r="P163" s="204"/>
      <c r="Q163" s="204"/>
      <c r="R163" s="205"/>
      <c r="S163" s="88"/>
      <c r="T163" s="87"/>
    </row>
    <row r="164" spans="2:20" ht="18" customHeight="1" thickTop="1" thickBot="1">
      <c r="B164" s="86"/>
      <c r="C164" s="225"/>
      <c r="D164" s="88"/>
      <c r="E164" s="209"/>
      <c r="F164" s="210"/>
      <c r="G164" s="210"/>
      <c r="H164" s="210"/>
      <c r="I164" s="210"/>
      <c r="J164" s="210"/>
      <c r="K164" s="210"/>
      <c r="L164" s="210"/>
      <c r="M164" s="210"/>
      <c r="N164" s="210"/>
      <c r="O164" s="210"/>
      <c r="P164" s="210"/>
      <c r="Q164" s="210"/>
      <c r="R164" s="211"/>
      <c r="S164" s="88"/>
      <c r="T164" s="87"/>
    </row>
    <row r="165" spans="2:20" ht="18" customHeight="1" thickBot="1">
      <c r="B165" s="86"/>
      <c r="C165" s="225"/>
      <c r="D165" s="88"/>
      <c r="E165" s="88"/>
      <c r="F165" s="88"/>
      <c r="G165" s="88"/>
      <c r="H165" s="88"/>
      <c r="I165" s="88"/>
      <c r="J165" s="88"/>
      <c r="K165" s="88"/>
      <c r="L165" s="88"/>
      <c r="M165" s="88"/>
      <c r="N165" s="88"/>
      <c r="O165" s="88"/>
      <c r="P165" s="88"/>
      <c r="Q165" s="88"/>
      <c r="R165" s="88"/>
      <c r="S165" s="88"/>
      <c r="T165" s="87"/>
    </row>
    <row r="166" spans="2:20" ht="18" customHeight="1" thickTop="1" thickBot="1">
      <c r="B166" s="86"/>
      <c r="C166" s="225"/>
      <c r="D166" s="88"/>
      <c r="E166" s="203" t="s">
        <v>17</v>
      </c>
      <c r="F166" s="204"/>
      <c r="G166" s="204"/>
      <c r="H166" s="204"/>
      <c r="I166" s="204"/>
      <c r="J166" s="204"/>
      <c r="K166" s="204"/>
      <c r="L166" s="204"/>
      <c r="M166" s="204"/>
      <c r="N166" s="204"/>
      <c r="O166" s="204"/>
      <c r="P166" s="204"/>
      <c r="Q166" s="204"/>
      <c r="R166" s="205"/>
      <c r="S166" s="88"/>
      <c r="T166" s="87"/>
    </row>
    <row r="167" spans="2:20" ht="18" customHeight="1" thickTop="1" thickBot="1">
      <c r="B167" s="86"/>
      <c r="C167" s="225"/>
      <c r="D167" s="88"/>
      <c r="E167" s="209"/>
      <c r="F167" s="210"/>
      <c r="G167" s="210"/>
      <c r="H167" s="210"/>
      <c r="I167" s="210"/>
      <c r="J167" s="210"/>
      <c r="K167" s="210"/>
      <c r="L167" s="210"/>
      <c r="M167" s="210"/>
      <c r="N167" s="210"/>
      <c r="O167" s="210"/>
      <c r="P167" s="210"/>
      <c r="Q167" s="210"/>
      <c r="R167" s="211"/>
      <c r="S167" s="88"/>
      <c r="T167" s="87"/>
    </row>
    <row r="168" spans="2:20" ht="18" customHeight="1" thickBot="1">
      <c r="B168" s="86"/>
      <c r="C168" s="225"/>
      <c r="D168" s="88"/>
      <c r="E168" s="88"/>
      <c r="F168" s="88"/>
      <c r="G168" s="88"/>
      <c r="H168" s="88"/>
      <c r="I168" s="88"/>
      <c r="J168" s="88"/>
      <c r="K168" s="88"/>
      <c r="L168" s="88"/>
      <c r="M168" s="88"/>
      <c r="N168" s="88"/>
      <c r="O168" s="88"/>
      <c r="P168" s="88"/>
      <c r="Q168" s="88"/>
      <c r="R168" s="88"/>
      <c r="S168" s="88"/>
      <c r="T168" s="87"/>
    </row>
    <row r="169" spans="2:20" ht="18" customHeight="1" thickTop="1" thickBot="1">
      <c r="B169" s="86"/>
      <c r="C169" s="225"/>
      <c r="D169" s="88"/>
      <c r="E169" s="218" t="s">
        <v>162</v>
      </c>
      <c r="F169" s="219"/>
      <c r="G169" s="219"/>
      <c r="H169" s="219"/>
      <c r="I169" s="219"/>
      <c r="J169" s="219"/>
      <c r="K169" s="219"/>
      <c r="L169" s="219"/>
      <c r="M169" s="219"/>
      <c r="N169" s="219"/>
      <c r="O169" s="219"/>
      <c r="P169" s="219"/>
      <c r="Q169" s="219"/>
      <c r="R169" s="220"/>
      <c r="S169" s="88"/>
      <c r="T169" s="87"/>
    </row>
    <row r="170" spans="2:20" ht="18" customHeight="1" thickTop="1" thickBot="1">
      <c r="B170" s="86"/>
      <c r="C170" s="225"/>
      <c r="D170" s="88"/>
      <c r="E170" s="209"/>
      <c r="F170" s="210"/>
      <c r="G170" s="210"/>
      <c r="H170" s="210"/>
      <c r="I170" s="210"/>
      <c r="J170" s="210"/>
      <c r="K170" s="210"/>
      <c r="L170" s="210"/>
      <c r="M170" s="210"/>
      <c r="N170" s="210"/>
      <c r="O170" s="210"/>
      <c r="P170" s="210"/>
      <c r="Q170" s="210"/>
      <c r="R170" s="211"/>
      <c r="S170" s="88"/>
      <c r="T170" s="87"/>
    </row>
    <row r="171" spans="2:20" ht="18" customHeight="1" thickBot="1">
      <c r="B171" s="86"/>
      <c r="C171" s="225"/>
      <c r="D171" s="88"/>
      <c r="E171" s="88"/>
      <c r="F171" s="88"/>
      <c r="G171" s="88"/>
      <c r="H171" s="88"/>
      <c r="I171" s="88"/>
      <c r="J171" s="88"/>
      <c r="K171" s="88"/>
      <c r="L171" s="88"/>
      <c r="M171" s="88"/>
      <c r="N171" s="88"/>
      <c r="O171" s="88"/>
      <c r="P171" s="88"/>
      <c r="Q171" s="88"/>
      <c r="R171" s="88"/>
      <c r="S171" s="88"/>
      <c r="T171" s="87"/>
    </row>
    <row r="172" spans="2:20" ht="18" customHeight="1" thickTop="1" thickBot="1">
      <c r="B172" s="86"/>
      <c r="C172" s="225"/>
      <c r="D172" s="88"/>
      <c r="E172" s="203" t="s">
        <v>163</v>
      </c>
      <c r="F172" s="204"/>
      <c r="G172" s="204"/>
      <c r="H172" s="204"/>
      <c r="I172" s="204"/>
      <c r="J172" s="204"/>
      <c r="K172" s="204"/>
      <c r="L172" s="204"/>
      <c r="M172" s="204"/>
      <c r="N172" s="204"/>
      <c r="O172" s="204"/>
      <c r="P172" s="204"/>
      <c r="Q172" s="204"/>
      <c r="R172" s="205"/>
      <c r="S172" s="88"/>
      <c r="T172" s="87"/>
    </row>
    <row r="173" spans="2:20" ht="18" customHeight="1" thickTop="1" thickBot="1">
      <c r="B173" s="86"/>
      <c r="C173" s="225"/>
      <c r="D173" s="88"/>
      <c r="E173" s="209"/>
      <c r="F173" s="210"/>
      <c r="G173" s="210"/>
      <c r="H173" s="210"/>
      <c r="I173" s="210"/>
      <c r="J173" s="210"/>
      <c r="K173" s="210"/>
      <c r="L173" s="210"/>
      <c r="M173" s="210"/>
      <c r="N173" s="210"/>
      <c r="O173" s="210"/>
      <c r="P173" s="210"/>
      <c r="Q173" s="210"/>
      <c r="R173" s="211"/>
      <c r="S173" s="88"/>
      <c r="T173" s="87"/>
    </row>
    <row r="174" spans="2:20" ht="18" customHeight="1" thickBot="1">
      <c r="B174" s="86"/>
      <c r="C174" s="225"/>
      <c r="D174" s="88"/>
      <c r="E174" s="88"/>
      <c r="F174" s="88"/>
      <c r="G174" s="88"/>
      <c r="H174" s="88"/>
      <c r="I174" s="88"/>
      <c r="J174" s="88"/>
      <c r="K174" s="88"/>
      <c r="L174" s="88"/>
      <c r="M174" s="88"/>
      <c r="N174" s="88"/>
      <c r="O174" s="88"/>
      <c r="P174" s="88"/>
      <c r="Q174" s="88"/>
      <c r="R174" s="88"/>
      <c r="S174" s="88"/>
      <c r="T174" s="87"/>
    </row>
    <row r="175" spans="2:20" ht="18" customHeight="1" thickTop="1" thickBot="1">
      <c r="B175" s="86"/>
      <c r="C175" s="225"/>
      <c r="D175" s="88"/>
      <c r="E175" s="203" t="s">
        <v>164</v>
      </c>
      <c r="F175" s="204"/>
      <c r="G175" s="204"/>
      <c r="H175" s="204"/>
      <c r="I175" s="204"/>
      <c r="J175" s="204"/>
      <c r="K175" s="204"/>
      <c r="L175" s="204"/>
      <c r="M175" s="204"/>
      <c r="N175" s="204"/>
      <c r="O175" s="204"/>
      <c r="P175" s="204"/>
      <c r="Q175" s="204"/>
      <c r="R175" s="205"/>
      <c r="S175" s="88"/>
      <c r="T175" s="87"/>
    </row>
    <row r="176" spans="2:20" ht="18" customHeight="1" thickTop="1" thickBot="1">
      <c r="B176" s="86"/>
      <c r="C176" s="225"/>
      <c r="D176" s="88"/>
      <c r="E176" s="209"/>
      <c r="F176" s="210"/>
      <c r="G176" s="210"/>
      <c r="H176" s="210"/>
      <c r="I176" s="210"/>
      <c r="J176" s="210"/>
      <c r="K176" s="210"/>
      <c r="L176" s="210"/>
      <c r="M176" s="210"/>
      <c r="N176" s="210"/>
      <c r="O176" s="210"/>
      <c r="P176" s="210"/>
      <c r="Q176" s="210"/>
      <c r="R176" s="211"/>
      <c r="S176" s="88"/>
      <c r="T176" s="87"/>
    </row>
    <row r="177" spans="2:20" ht="18" customHeight="1" thickBot="1">
      <c r="B177" s="86"/>
      <c r="C177" s="225"/>
      <c r="D177" s="88"/>
      <c r="E177" s="88"/>
      <c r="F177" s="88"/>
      <c r="G177" s="88"/>
      <c r="H177" s="88"/>
      <c r="I177" s="88"/>
      <c r="J177" s="88"/>
      <c r="K177" s="88"/>
      <c r="L177" s="88"/>
      <c r="M177" s="88"/>
      <c r="N177" s="88"/>
      <c r="O177" s="88"/>
      <c r="P177" s="88"/>
      <c r="Q177" s="88"/>
      <c r="R177" s="88"/>
      <c r="S177" s="88"/>
      <c r="T177" s="87"/>
    </row>
    <row r="178" spans="2:20" ht="18" customHeight="1" thickTop="1" thickBot="1">
      <c r="B178" s="86"/>
      <c r="C178" s="225"/>
      <c r="D178" s="88"/>
      <c r="E178" s="203" t="s">
        <v>18</v>
      </c>
      <c r="F178" s="204"/>
      <c r="G178" s="204"/>
      <c r="H178" s="204"/>
      <c r="I178" s="204"/>
      <c r="J178" s="204"/>
      <c r="K178" s="204"/>
      <c r="L178" s="204"/>
      <c r="M178" s="204"/>
      <c r="N178" s="204"/>
      <c r="O178" s="204"/>
      <c r="P178" s="204"/>
      <c r="Q178" s="204"/>
      <c r="R178" s="205"/>
      <c r="S178" s="88"/>
      <c r="T178" s="87"/>
    </row>
    <row r="179" spans="2:20" ht="18" customHeight="1" thickTop="1" thickBot="1">
      <c r="B179" s="86"/>
      <c r="C179" s="225"/>
      <c r="D179" s="88"/>
      <c r="E179" s="209"/>
      <c r="F179" s="210"/>
      <c r="G179" s="210"/>
      <c r="H179" s="210"/>
      <c r="I179" s="210"/>
      <c r="J179" s="210"/>
      <c r="K179" s="210"/>
      <c r="L179" s="210"/>
      <c r="M179" s="210"/>
      <c r="N179" s="210"/>
      <c r="O179" s="210"/>
      <c r="P179" s="210"/>
      <c r="Q179" s="210"/>
      <c r="R179" s="211"/>
      <c r="S179" s="88"/>
      <c r="T179" s="87"/>
    </row>
    <row r="180" spans="2:20" ht="18" customHeight="1" thickBot="1">
      <c r="B180" s="86"/>
      <c r="C180" s="225"/>
      <c r="D180" s="88"/>
      <c r="E180" s="88"/>
      <c r="F180" s="88"/>
      <c r="G180" s="88"/>
      <c r="H180" s="88"/>
      <c r="I180" s="88"/>
      <c r="J180" s="88"/>
      <c r="K180" s="88"/>
      <c r="L180" s="88"/>
      <c r="M180" s="88"/>
      <c r="N180" s="88"/>
      <c r="O180" s="88"/>
      <c r="P180" s="88"/>
      <c r="Q180" s="88"/>
      <c r="R180" s="88"/>
      <c r="S180" s="88"/>
      <c r="T180" s="87"/>
    </row>
    <row r="181" spans="2:20" ht="18" customHeight="1" thickTop="1" thickBot="1">
      <c r="B181" s="86"/>
      <c r="C181" s="225"/>
      <c r="D181" s="88"/>
      <c r="E181" s="203" t="s">
        <v>172</v>
      </c>
      <c r="F181" s="204"/>
      <c r="G181" s="204"/>
      <c r="H181" s="204"/>
      <c r="I181" s="204"/>
      <c r="J181" s="204"/>
      <c r="K181" s="204"/>
      <c r="L181" s="204"/>
      <c r="M181" s="204"/>
      <c r="N181" s="204"/>
      <c r="O181" s="204"/>
      <c r="P181" s="204"/>
      <c r="Q181" s="204"/>
      <c r="R181" s="205"/>
      <c r="S181" s="88"/>
      <c r="T181" s="87"/>
    </row>
    <row r="182" spans="2:20" ht="18" customHeight="1" thickTop="1" thickBot="1">
      <c r="B182" s="86"/>
      <c r="C182" s="225"/>
      <c r="D182" s="88"/>
      <c r="E182" s="209"/>
      <c r="F182" s="210"/>
      <c r="G182" s="210"/>
      <c r="H182" s="210"/>
      <c r="I182" s="210"/>
      <c r="J182" s="210"/>
      <c r="K182" s="210"/>
      <c r="L182" s="210"/>
      <c r="M182" s="210"/>
      <c r="N182" s="210"/>
      <c r="O182" s="210"/>
      <c r="P182" s="210"/>
      <c r="Q182" s="210"/>
      <c r="R182" s="211"/>
      <c r="S182" s="88"/>
      <c r="T182" s="87"/>
    </row>
    <row r="183" spans="2:20" ht="18" customHeight="1" thickBot="1">
      <c r="B183" s="86"/>
      <c r="C183" s="225"/>
      <c r="D183" s="88"/>
      <c r="E183" s="88"/>
      <c r="F183" s="88"/>
      <c r="G183" s="88"/>
      <c r="H183" s="88"/>
      <c r="I183" s="88"/>
      <c r="J183" s="88"/>
      <c r="K183" s="88"/>
      <c r="L183" s="88"/>
      <c r="M183" s="88"/>
      <c r="N183" s="88"/>
      <c r="O183" s="88"/>
      <c r="P183" s="88"/>
      <c r="Q183" s="88"/>
      <c r="R183" s="88"/>
      <c r="S183" s="88"/>
      <c r="T183" s="87"/>
    </row>
    <row r="184" spans="2:20" ht="18" customHeight="1" thickTop="1" thickBot="1">
      <c r="B184" s="86"/>
      <c r="C184" s="225"/>
      <c r="D184" s="88"/>
      <c r="E184" s="203" t="s">
        <v>173</v>
      </c>
      <c r="F184" s="204"/>
      <c r="G184" s="204"/>
      <c r="H184" s="204"/>
      <c r="I184" s="204"/>
      <c r="J184" s="204"/>
      <c r="K184" s="204"/>
      <c r="L184" s="204"/>
      <c r="M184" s="204"/>
      <c r="N184" s="204"/>
      <c r="O184" s="204"/>
      <c r="P184" s="204"/>
      <c r="Q184" s="204"/>
      <c r="R184" s="205"/>
      <c r="S184" s="88"/>
      <c r="T184" s="87"/>
    </row>
    <row r="185" spans="2:20" ht="18" customHeight="1" thickTop="1" thickBot="1">
      <c r="B185" s="86"/>
      <c r="C185" s="225"/>
      <c r="D185" s="88"/>
      <c r="E185" s="209"/>
      <c r="F185" s="210"/>
      <c r="G185" s="210"/>
      <c r="H185" s="210"/>
      <c r="I185" s="210"/>
      <c r="J185" s="210"/>
      <c r="K185" s="210"/>
      <c r="L185" s="210"/>
      <c r="M185" s="210"/>
      <c r="N185" s="210"/>
      <c r="O185" s="210"/>
      <c r="P185" s="210"/>
      <c r="Q185" s="210"/>
      <c r="R185" s="211"/>
      <c r="S185" s="88"/>
      <c r="T185" s="87"/>
    </row>
    <row r="186" spans="2:20" ht="18" customHeight="1" thickBot="1">
      <c r="B186" s="86"/>
      <c r="C186" s="225"/>
      <c r="D186" s="88"/>
      <c r="E186" s="88"/>
      <c r="F186" s="88"/>
      <c r="G186" s="88"/>
      <c r="H186" s="88"/>
      <c r="I186" s="88"/>
      <c r="J186" s="88"/>
      <c r="K186" s="88"/>
      <c r="L186" s="88"/>
      <c r="M186" s="88"/>
      <c r="N186" s="88"/>
      <c r="O186" s="88"/>
      <c r="P186" s="88"/>
      <c r="Q186" s="88"/>
      <c r="R186" s="88"/>
      <c r="S186" s="88"/>
      <c r="T186" s="87"/>
    </row>
    <row r="187" spans="2:20" ht="18" customHeight="1" thickTop="1" thickBot="1">
      <c r="B187" s="86"/>
      <c r="C187" s="225"/>
      <c r="D187" s="88"/>
      <c r="E187" s="203" t="s">
        <v>174</v>
      </c>
      <c r="F187" s="204"/>
      <c r="G187" s="204"/>
      <c r="H187" s="204"/>
      <c r="I187" s="204"/>
      <c r="J187" s="204"/>
      <c r="K187" s="204"/>
      <c r="L187" s="204"/>
      <c r="M187" s="204"/>
      <c r="N187" s="204"/>
      <c r="O187" s="204"/>
      <c r="P187" s="204"/>
      <c r="Q187" s="204"/>
      <c r="R187" s="205"/>
      <c r="S187" s="88"/>
      <c r="T187" s="87"/>
    </row>
    <row r="188" spans="2:20" ht="18" customHeight="1" thickTop="1" thickBot="1">
      <c r="B188" s="86"/>
      <c r="C188" s="225"/>
      <c r="D188" s="88"/>
      <c r="E188" s="209"/>
      <c r="F188" s="210"/>
      <c r="G188" s="210"/>
      <c r="H188" s="210"/>
      <c r="I188" s="210"/>
      <c r="J188" s="210"/>
      <c r="K188" s="210"/>
      <c r="L188" s="210"/>
      <c r="M188" s="210"/>
      <c r="N188" s="210"/>
      <c r="O188" s="210"/>
      <c r="P188" s="210"/>
      <c r="Q188" s="210"/>
      <c r="R188" s="211"/>
      <c r="S188" s="88"/>
      <c r="T188" s="87"/>
    </row>
    <row r="189" spans="2:20" ht="18" customHeight="1" thickBot="1">
      <c r="B189" s="86"/>
      <c r="C189" s="225"/>
      <c r="D189" s="88"/>
      <c r="E189" s="88"/>
      <c r="F189" s="88"/>
      <c r="G189" s="88"/>
      <c r="H189" s="88"/>
      <c r="I189" s="88"/>
      <c r="J189" s="88"/>
      <c r="K189" s="88"/>
      <c r="L189" s="88"/>
      <c r="M189" s="88"/>
      <c r="N189" s="88"/>
      <c r="O189" s="88"/>
      <c r="P189" s="88"/>
      <c r="Q189" s="88"/>
      <c r="R189" s="88"/>
      <c r="S189" s="88"/>
      <c r="T189" s="87"/>
    </row>
    <row r="190" spans="2:20" ht="18" customHeight="1" thickTop="1" thickBot="1">
      <c r="B190" s="86"/>
      <c r="C190" s="225"/>
      <c r="D190" s="88"/>
      <c r="E190" s="203" t="s">
        <v>175</v>
      </c>
      <c r="F190" s="204"/>
      <c r="G190" s="204"/>
      <c r="H190" s="204"/>
      <c r="I190" s="204"/>
      <c r="J190" s="204"/>
      <c r="K190" s="204"/>
      <c r="L190" s="204"/>
      <c r="M190" s="204"/>
      <c r="N190" s="204"/>
      <c r="O190" s="204"/>
      <c r="P190" s="204"/>
      <c r="Q190" s="204"/>
      <c r="R190" s="205"/>
      <c r="S190" s="88"/>
      <c r="T190" s="87"/>
    </row>
    <row r="191" spans="2:20" ht="18" customHeight="1" thickTop="1" thickBot="1">
      <c r="B191" s="86"/>
      <c r="C191" s="225"/>
      <c r="D191" s="88"/>
      <c r="E191" s="209"/>
      <c r="F191" s="210"/>
      <c r="G191" s="210"/>
      <c r="H191" s="210"/>
      <c r="I191" s="210"/>
      <c r="J191" s="210"/>
      <c r="K191" s="210"/>
      <c r="L191" s="210"/>
      <c r="M191" s="210"/>
      <c r="N191" s="210"/>
      <c r="O191" s="210"/>
      <c r="P191" s="210"/>
      <c r="Q191" s="210"/>
      <c r="R191" s="211"/>
      <c r="S191" s="88"/>
      <c r="T191" s="87"/>
    </row>
    <row r="192" spans="2:20" ht="18" customHeight="1" thickBot="1">
      <c r="B192" s="86"/>
      <c r="C192" s="225"/>
      <c r="D192" s="88"/>
      <c r="E192" s="88"/>
      <c r="F192" s="88"/>
      <c r="G192" s="88"/>
      <c r="H192" s="88"/>
      <c r="I192" s="88"/>
      <c r="J192" s="88"/>
      <c r="K192" s="88"/>
      <c r="L192" s="88"/>
      <c r="M192" s="88"/>
      <c r="N192" s="88"/>
      <c r="O192" s="88"/>
      <c r="P192" s="88"/>
      <c r="Q192" s="88"/>
      <c r="R192" s="88"/>
      <c r="S192" s="88"/>
      <c r="T192" s="87"/>
    </row>
    <row r="193" spans="2:20" ht="18" customHeight="1" thickTop="1" thickBot="1">
      <c r="B193" s="86"/>
      <c r="C193" s="225"/>
      <c r="D193" s="88"/>
      <c r="E193" s="203" t="s">
        <v>176</v>
      </c>
      <c r="F193" s="204"/>
      <c r="G193" s="204"/>
      <c r="H193" s="204"/>
      <c r="I193" s="204"/>
      <c r="J193" s="204"/>
      <c r="K193" s="204"/>
      <c r="L193" s="204"/>
      <c r="M193" s="204"/>
      <c r="N193" s="204"/>
      <c r="O193" s="204"/>
      <c r="P193" s="204"/>
      <c r="Q193" s="204"/>
      <c r="R193" s="205"/>
      <c r="S193" s="88"/>
      <c r="T193" s="87"/>
    </row>
    <row r="194" spans="2:20" ht="18" customHeight="1" thickTop="1" thickBot="1">
      <c r="B194" s="86"/>
      <c r="C194" s="225"/>
      <c r="D194" s="88"/>
      <c r="E194" s="209"/>
      <c r="F194" s="210"/>
      <c r="G194" s="210"/>
      <c r="H194" s="210"/>
      <c r="I194" s="210"/>
      <c r="J194" s="210"/>
      <c r="K194" s="210"/>
      <c r="L194" s="210"/>
      <c r="M194" s="210"/>
      <c r="N194" s="210"/>
      <c r="O194" s="210"/>
      <c r="P194" s="210"/>
      <c r="Q194" s="210"/>
      <c r="R194" s="211"/>
      <c r="S194" s="88"/>
      <c r="T194" s="87"/>
    </row>
    <row r="195" spans="2:20" ht="18" customHeight="1" thickBot="1">
      <c r="B195" s="86"/>
      <c r="C195" s="225"/>
      <c r="D195" s="88"/>
      <c r="E195" s="88"/>
      <c r="F195" s="88"/>
      <c r="G195" s="88"/>
      <c r="H195" s="88"/>
      <c r="I195" s="88"/>
      <c r="J195" s="88"/>
      <c r="K195" s="88"/>
      <c r="L195" s="88"/>
      <c r="M195" s="88"/>
      <c r="N195" s="88"/>
      <c r="O195" s="88"/>
      <c r="P195" s="88"/>
      <c r="Q195" s="88"/>
      <c r="R195" s="88"/>
      <c r="S195" s="88"/>
      <c r="T195" s="87"/>
    </row>
    <row r="196" spans="2:20" ht="18" customHeight="1" thickTop="1" thickBot="1">
      <c r="B196" s="86"/>
      <c r="C196" s="225"/>
      <c r="D196" s="88"/>
      <c r="E196" s="203" t="s">
        <v>177</v>
      </c>
      <c r="F196" s="204"/>
      <c r="G196" s="204"/>
      <c r="H196" s="204"/>
      <c r="I196" s="204"/>
      <c r="J196" s="204"/>
      <c r="K196" s="204"/>
      <c r="L196" s="204"/>
      <c r="M196" s="204"/>
      <c r="N196" s="204"/>
      <c r="O196" s="204"/>
      <c r="P196" s="204"/>
      <c r="Q196" s="204"/>
      <c r="R196" s="205"/>
      <c r="S196" s="88"/>
      <c r="T196" s="87"/>
    </row>
    <row r="197" spans="2:20" ht="18" customHeight="1" thickTop="1" thickBot="1">
      <c r="B197" s="86"/>
      <c r="C197" s="225"/>
      <c r="D197" s="88"/>
      <c r="E197" s="221"/>
      <c r="F197" s="222"/>
      <c r="G197" s="222"/>
      <c r="H197" s="222"/>
      <c r="I197" s="222"/>
      <c r="J197" s="222"/>
      <c r="K197" s="222"/>
      <c r="L197" s="222"/>
      <c r="M197" s="222"/>
      <c r="N197" s="222"/>
      <c r="O197" s="222"/>
      <c r="P197" s="222"/>
      <c r="Q197" s="222"/>
      <c r="R197" s="223"/>
      <c r="S197" s="88"/>
      <c r="T197" s="87"/>
    </row>
    <row r="198" spans="2:20" ht="18" customHeight="1" thickBot="1">
      <c r="B198" s="86"/>
      <c r="C198" s="225"/>
      <c r="D198" s="88"/>
      <c r="E198" s="88"/>
      <c r="F198" s="88"/>
      <c r="G198" s="88"/>
      <c r="H198" s="88"/>
      <c r="I198" s="88"/>
      <c r="J198" s="88"/>
      <c r="K198" s="88"/>
      <c r="L198" s="88"/>
      <c r="M198" s="88"/>
      <c r="N198" s="88"/>
      <c r="O198" s="88"/>
      <c r="P198" s="88"/>
      <c r="Q198" s="88"/>
      <c r="R198" s="88"/>
      <c r="S198" s="88"/>
      <c r="T198" s="87"/>
    </row>
    <row r="199" spans="2:20" ht="18" customHeight="1" thickTop="1" thickBot="1">
      <c r="B199" s="86"/>
      <c r="C199" s="225"/>
      <c r="D199" s="88"/>
      <c r="E199" s="203" t="s">
        <v>178</v>
      </c>
      <c r="F199" s="204"/>
      <c r="G199" s="204"/>
      <c r="H199" s="204"/>
      <c r="I199" s="204"/>
      <c r="J199" s="204"/>
      <c r="K199" s="204"/>
      <c r="L199" s="204"/>
      <c r="M199" s="204"/>
      <c r="N199" s="204"/>
      <c r="O199" s="204"/>
      <c r="P199" s="204"/>
      <c r="Q199" s="204"/>
      <c r="R199" s="205"/>
      <c r="S199" s="88"/>
      <c r="T199" s="87"/>
    </row>
    <row r="200" spans="2:20" ht="18" customHeight="1" thickTop="1" thickBot="1">
      <c r="B200" s="86"/>
      <c r="C200" s="225"/>
      <c r="D200" s="88"/>
      <c r="E200" s="209"/>
      <c r="F200" s="210"/>
      <c r="G200" s="210"/>
      <c r="H200" s="210"/>
      <c r="I200" s="210"/>
      <c r="J200" s="210"/>
      <c r="K200" s="210"/>
      <c r="L200" s="210"/>
      <c r="M200" s="210"/>
      <c r="N200" s="210"/>
      <c r="O200" s="210"/>
      <c r="P200" s="210"/>
      <c r="Q200" s="210"/>
      <c r="R200" s="211"/>
      <c r="S200" s="88"/>
      <c r="T200" s="87"/>
    </row>
    <row r="201" spans="2:20" ht="18" customHeight="1" thickBot="1">
      <c r="B201" s="86"/>
      <c r="C201" s="225"/>
      <c r="D201" s="88"/>
      <c r="E201" s="88"/>
      <c r="F201" s="88"/>
      <c r="G201" s="88"/>
      <c r="H201" s="88"/>
      <c r="I201" s="88"/>
      <c r="J201" s="88"/>
      <c r="K201" s="88"/>
      <c r="L201" s="88"/>
      <c r="M201" s="88"/>
      <c r="N201" s="88"/>
      <c r="O201" s="88"/>
      <c r="P201" s="88"/>
      <c r="Q201" s="88"/>
      <c r="R201" s="88"/>
      <c r="S201" s="88"/>
      <c r="T201" s="87"/>
    </row>
    <row r="202" spans="2:20" ht="18" customHeight="1" thickTop="1" thickBot="1">
      <c r="B202" s="86"/>
      <c r="C202" s="225"/>
      <c r="D202" s="88"/>
      <c r="E202" s="203" t="s">
        <v>179</v>
      </c>
      <c r="F202" s="204"/>
      <c r="G202" s="204"/>
      <c r="H202" s="204"/>
      <c r="I202" s="204"/>
      <c r="J202" s="204"/>
      <c r="K202" s="204"/>
      <c r="L202" s="204"/>
      <c r="M202" s="204"/>
      <c r="N202" s="204"/>
      <c r="O202" s="204"/>
      <c r="P202" s="204"/>
      <c r="Q202" s="204"/>
      <c r="R202" s="205"/>
      <c r="S202" s="88"/>
      <c r="T202" s="87"/>
    </row>
    <row r="203" spans="2:20" ht="18" customHeight="1" thickTop="1" thickBot="1">
      <c r="B203" s="86"/>
      <c r="C203" s="225"/>
      <c r="D203" s="88"/>
      <c r="E203" s="209"/>
      <c r="F203" s="210"/>
      <c r="G203" s="210"/>
      <c r="H203" s="210"/>
      <c r="I203" s="210"/>
      <c r="J203" s="210"/>
      <c r="K203" s="210"/>
      <c r="L203" s="210"/>
      <c r="M203" s="210"/>
      <c r="N203" s="210"/>
      <c r="O203" s="210"/>
      <c r="P203" s="210"/>
      <c r="Q203" s="210"/>
      <c r="R203" s="211"/>
      <c r="S203" s="88"/>
      <c r="T203" s="87"/>
    </row>
    <row r="204" spans="2:20" ht="18" customHeight="1" thickBot="1">
      <c r="B204" s="86"/>
      <c r="C204" s="225"/>
      <c r="D204" s="88"/>
      <c r="E204" s="88"/>
      <c r="F204" s="88"/>
      <c r="G204" s="88"/>
      <c r="H204" s="88"/>
      <c r="I204" s="88"/>
      <c r="J204" s="88"/>
      <c r="K204" s="88"/>
      <c r="L204" s="88"/>
      <c r="M204" s="88"/>
      <c r="N204" s="88"/>
      <c r="O204" s="88"/>
      <c r="P204" s="88"/>
      <c r="Q204" s="88"/>
      <c r="R204" s="88"/>
      <c r="S204" s="88"/>
      <c r="T204" s="87"/>
    </row>
    <row r="205" spans="2:20" ht="18" customHeight="1" thickTop="1" thickBot="1">
      <c r="B205" s="86"/>
      <c r="C205" s="225"/>
      <c r="D205" s="88"/>
      <c r="E205" s="203" t="s">
        <v>180</v>
      </c>
      <c r="F205" s="204"/>
      <c r="G205" s="204"/>
      <c r="H205" s="204"/>
      <c r="I205" s="204"/>
      <c r="J205" s="204"/>
      <c r="K205" s="204"/>
      <c r="L205" s="204"/>
      <c r="M205" s="204"/>
      <c r="N205" s="204"/>
      <c r="O205" s="204"/>
      <c r="P205" s="204"/>
      <c r="Q205" s="204"/>
      <c r="R205" s="205"/>
      <c r="S205" s="88"/>
      <c r="T205" s="87"/>
    </row>
    <row r="206" spans="2:20" ht="18" customHeight="1" thickTop="1" thickBot="1">
      <c r="B206" s="86"/>
      <c r="C206" s="225"/>
      <c r="D206" s="88"/>
      <c r="E206" s="209"/>
      <c r="F206" s="210"/>
      <c r="G206" s="210"/>
      <c r="H206" s="210"/>
      <c r="I206" s="210"/>
      <c r="J206" s="210"/>
      <c r="K206" s="210"/>
      <c r="L206" s="210"/>
      <c r="M206" s="210"/>
      <c r="N206" s="210"/>
      <c r="O206" s="210"/>
      <c r="P206" s="210"/>
      <c r="Q206" s="210"/>
      <c r="R206" s="211"/>
      <c r="S206" s="88"/>
      <c r="T206" s="87"/>
    </row>
    <row r="207" spans="2:20" ht="18" customHeight="1" thickBot="1">
      <c r="B207" s="86"/>
      <c r="C207" s="225"/>
      <c r="D207" s="88"/>
      <c r="E207" s="111"/>
      <c r="F207" s="111"/>
      <c r="G207" s="111"/>
      <c r="H207" s="111"/>
      <c r="I207" s="111"/>
      <c r="J207" s="111"/>
      <c r="K207" s="111"/>
      <c r="L207" s="111"/>
      <c r="M207" s="111"/>
      <c r="N207" s="111"/>
      <c r="O207" s="111"/>
      <c r="P207" s="111"/>
      <c r="Q207" s="111"/>
      <c r="R207" s="111"/>
      <c r="S207" s="88"/>
      <c r="T207" s="87"/>
    </row>
    <row r="208" spans="2:20" ht="18" customHeight="1" thickTop="1" thickBot="1">
      <c r="B208" s="86"/>
      <c r="C208" s="225"/>
      <c r="D208" s="88"/>
      <c r="E208" s="203" t="s">
        <v>637</v>
      </c>
      <c r="F208" s="204"/>
      <c r="G208" s="204"/>
      <c r="H208" s="204"/>
      <c r="I208" s="204"/>
      <c r="J208" s="204"/>
      <c r="K208" s="204"/>
      <c r="L208" s="204"/>
      <c r="M208" s="204"/>
      <c r="N208" s="204"/>
      <c r="O208" s="204"/>
      <c r="P208" s="204"/>
      <c r="Q208" s="204"/>
      <c r="R208" s="205"/>
      <c r="S208" s="88"/>
      <c r="T208" s="87"/>
    </row>
    <row r="209" spans="2:20" ht="18" customHeight="1" thickTop="1" thickBot="1">
      <c r="B209" s="86"/>
      <c r="C209" s="225"/>
      <c r="D209" s="88"/>
      <c r="E209" s="209"/>
      <c r="F209" s="210"/>
      <c r="G209" s="210"/>
      <c r="H209" s="210"/>
      <c r="I209" s="210"/>
      <c r="J209" s="210"/>
      <c r="K209" s="210"/>
      <c r="L209" s="210"/>
      <c r="M209" s="210"/>
      <c r="N209" s="210"/>
      <c r="O209" s="210"/>
      <c r="P209" s="210"/>
      <c r="Q209" s="210"/>
      <c r="R209" s="211"/>
      <c r="S209" s="88"/>
      <c r="T209" s="87"/>
    </row>
    <row r="210" spans="2:20" ht="18" customHeight="1" thickBot="1">
      <c r="B210" s="86"/>
      <c r="C210" s="91"/>
      <c r="D210" s="91"/>
      <c r="E210" s="91"/>
      <c r="F210" s="91"/>
      <c r="G210" s="91"/>
      <c r="H210" s="91"/>
      <c r="I210" s="91"/>
      <c r="J210" s="91"/>
      <c r="K210" s="91"/>
      <c r="L210" s="91"/>
      <c r="M210" s="91"/>
      <c r="N210" s="91"/>
      <c r="O210" s="91"/>
      <c r="P210" s="91"/>
      <c r="Q210" s="91"/>
      <c r="R210" s="91"/>
      <c r="S210" s="91"/>
      <c r="T210" s="87"/>
    </row>
    <row r="211" spans="2:20" ht="18" customHeight="1" thickBot="1">
      <c r="B211" s="86"/>
      <c r="D211" s="88"/>
      <c r="E211" s="88"/>
      <c r="F211" s="88"/>
      <c r="G211" s="88"/>
      <c r="H211" s="88"/>
      <c r="I211" s="88"/>
      <c r="J211" s="88"/>
      <c r="K211" s="88"/>
      <c r="L211" s="88"/>
      <c r="M211" s="88"/>
      <c r="N211" s="88"/>
      <c r="O211" s="88"/>
      <c r="P211" s="88"/>
      <c r="Q211" s="88"/>
      <c r="R211" s="88"/>
      <c r="S211" s="88"/>
      <c r="T211" s="87"/>
    </row>
    <row r="212" spans="2:20" ht="18" customHeight="1" thickTop="1" thickBot="1">
      <c r="B212" s="86"/>
      <c r="C212" s="225" t="s">
        <v>22</v>
      </c>
      <c r="D212" s="88"/>
      <c r="E212" s="203" t="s">
        <v>181</v>
      </c>
      <c r="F212" s="204"/>
      <c r="G212" s="204"/>
      <c r="H212" s="204"/>
      <c r="I212" s="204"/>
      <c r="J212" s="204"/>
      <c r="K212" s="204"/>
      <c r="L212" s="204"/>
      <c r="M212" s="204"/>
      <c r="N212" s="204"/>
      <c r="O212" s="204"/>
      <c r="P212" s="204"/>
      <c r="Q212" s="204"/>
      <c r="R212" s="205"/>
      <c r="S212" s="88"/>
      <c r="T212" s="87"/>
    </row>
    <row r="213" spans="2:20" ht="18" customHeight="1" thickTop="1" thickBot="1">
      <c r="B213" s="86"/>
      <c r="C213" s="225"/>
      <c r="D213" s="88"/>
      <c r="E213" s="209"/>
      <c r="F213" s="210"/>
      <c r="G213" s="210"/>
      <c r="H213" s="210"/>
      <c r="I213" s="210"/>
      <c r="J213" s="210"/>
      <c r="K213" s="210"/>
      <c r="L213" s="210"/>
      <c r="M213" s="210"/>
      <c r="N213" s="210"/>
      <c r="O213" s="210"/>
      <c r="P213" s="210"/>
      <c r="Q213" s="210"/>
      <c r="R213" s="211"/>
      <c r="S213" s="88"/>
      <c r="T213" s="87"/>
    </row>
    <row r="214" spans="2:20" ht="18" customHeight="1" thickBot="1">
      <c r="B214" s="86"/>
      <c r="C214" s="225"/>
      <c r="D214" s="88"/>
      <c r="E214" s="88"/>
      <c r="F214" s="88"/>
      <c r="G214" s="88"/>
      <c r="H214" s="88"/>
      <c r="I214" s="88"/>
      <c r="J214" s="88"/>
      <c r="K214" s="88"/>
      <c r="L214" s="88"/>
      <c r="M214" s="88"/>
      <c r="N214" s="88"/>
      <c r="O214" s="88"/>
      <c r="P214" s="88"/>
      <c r="Q214" s="88"/>
      <c r="R214" s="88"/>
      <c r="S214" s="88"/>
      <c r="T214" s="87"/>
    </row>
    <row r="215" spans="2:20" ht="18" customHeight="1" thickTop="1" thickBot="1">
      <c r="B215" s="86"/>
      <c r="C215" s="225"/>
      <c r="D215" s="88"/>
      <c r="E215" s="203" t="s">
        <v>182</v>
      </c>
      <c r="F215" s="204"/>
      <c r="G215" s="204"/>
      <c r="H215" s="204"/>
      <c r="I215" s="204"/>
      <c r="J215" s="204"/>
      <c r="K215" s="204"/>
      <c r="L215" s="204"/>
      <c r="M215" s="204"/>
      <c r="N215" s="204"/>
      <c r="O215" s="204"/>
      <c r="P215" s="204"/>
      <c r="Q215" s="204"/>
      <c r="R215" s="205"/>
      <c r="S215" s="88"/>
      <c r="T215" s="87"/>
    </row>
    <row r="216" spans="2:20" ht="18" customHeight="1" thickTop="1" thickBot="1">
      <c r="B216" s="86"/>
      <c r="C216" s="225"/>
      <c r="D216" s="88"/>
      <c r="E216" s="209"/>
      <c r="F216" s="210"/>
      <c r="G216" s="210"/>
      <c r="H216" s="210"/>
      <c r="I216" s="210"/>
      <c r="J216" s="210"/>
      <c r="K216" s="210"/>
      <c r="L216" s="210"/>
      <c r="M216" s="210"/>
      <c r="N216" s="210"/>
      <c r="O216" s="210"/>
      <c r="P216" s="210"/>
      <c r="Q216" s="210"/>
      <c r="R216" s="211"/>
      <c r="S216" s="88"/>
      <c r="T216" s="87"/>
    </row>
    <row r="217" spans="2:20" ht="18" customHeight="1" thickBot="1">
      <c r="B217" s="86"/>
      <c r="C217" s="225"/>
      <c r="D217" s="88"/>
      <c r="E217" s="88"/>
      <c r="F217" s="88"/>
      <c r="G217" s="88"/>
      <c r="H217" s="88"/>
      <c r="I217" s="88"/>
      <c r="J217" s="88"/>
      <c r="K217" s="88"/>
      <c r="L217" s="88"/>
      <c r="M217" s="88"/>
      <c r="N217" s="88"/>
      <c r="O217" s="88"/>
      <c r="P217" s="88"/>
      <c r="Q217" s="88"/>
      <c r="R217" s="88"/>
      <c r="S217" s="88"/>
      <c r="T217" s="87"/>
    </row>
    <row r="218" spans="2:20" ht="18" customHeight="1" thickTop="1" thickBot="1">
      <c r="B218" s="86"/>
      <c r="C218" s="225"/>
      <c r="D218" s="88"/>
      <c r="E218" s="203" t="s">
        <v>183</v>
      </c>
      <c r="F218" s="204"/>
      <c r="G218" s="204"/>
      <c r="H218" s="204"/>
      <c r="I218" s="204"/>
      <c r="J218" s="204"/>
      <c r="K218" s="204"/>
      <c r="L218" s="204"/>
      <c r="M218" s="204"/>
      <c r="N218" s="204"/>
      <c r="O218" s="204"/>
      <c r="P218" s="204"/>
      <c r="Q218" s="204"/>
      <c r="R218" s="205"/>
      <c r="S218" s="88"/>
      <c r="T218" s="87"/>
    </row>
    <row r="219" spans="2:20" ht="18" customHeight="1" thickTop="1" thickBot="1">
      <c r="B219" s="86"/>
      <c r="C219" s="225"/>
      <c r="D219" s="88"/>
      <c r="E219" s="209"/>
      <c r="F219" s="210"/>
      <c r="G219" s="210"/>
      <c r="H219" s="210"/>
      <c r="I219" s="210"/>
      <c r="J219" s="210"/>
      <c r="K219" s="210"/>
      <c r="L219" s="210"/>
      <c r="M219" s="210"/>
      <c r="N219" s="210"/>
      <c r="O219" s="210"/>
      <c r="P219" s="210"/>
      <c r="Q219" s="210"/>
      <c r="R219" s="211"/>
      <c r="S219" s="88"/>
      <c r="T219" s="87"/>
    </row>
    <row r="220" spans="2:20" ht="18" customHeight="1" thickBot="1">
      <c r="B220" s="86"/>
      <c r="C220" s="225"/>
      <c r="D220" s="88"/>
      <c r="E220" s="88"/>
      <c r="F220" s="88"/>
      <c r="G220" s="88"/>
      <c r="H220" s="88"/>
      <c r="I220" s="88"/>
      <c r="J220" s="88"/>
      <c r="K220" s="88"/>
      <c r="L220" s="88"/>
      <c r="M220" s="88"/>
      <c r="N220" s="88"/>
      <c r="O220" s="88"/>
      <c r="P220" s="88"/>
      <c r="Q220" s="88"/>
      <c r="R220" s="88"/>
      <c r="S220" s="88"/>
      <c r="T220" s="87"/>
    </row>
    <row r="221" spans="2:20" ht="18" customHeight="1" thickTop="1" thickBot="1">
      <c r="B221" s="86"/>
      <c r="C221" s="225"/>
      <c r="D221" s="88"/>
      <c r="E221" s="203" t="s">
        <v>184</v>
      </c>
      <c r="F221" s="204"/>
      <c r="G221" s="204"/>
      <c r="H221" s="204"/>
      <c r="I221" s="204"/>
      <c r="J221" s="204"/>
      <c r="K221" s="204"/>
      <c r="L221" s="204"/>
      <c r="M221" s="204"/>
      <c r="N221" s="204"/>
      <c r="O221" s="204"/>
      <c r="P221" s="204"/>
      <c r="Q221" s="204"/>
      <c r="R221" s="205"/>
      <c r="S221" s="88"/>
      <c r="T221" s="87"/>
    </row>
    <row r="222" spans="2:20" ht="18" customHeight="1" thickTop="1" thickBot="1">
      <c r="B222" s="86"/>
      <c r="C222" s="225"/>
      <c r="D222" s="88"/>
      <c r="E222" s="209"/>
      <c r="F222" s="210"/>
      <c r="G222" s="210"/>
      <c r="H222" s="210"/>
      <c r="I222" s="210"/>
      <c r="J222" s="210"/>
      <c r="K222" s="210"/>
      <c r="L222" s="210"/>
      <c r="M222" s="210"/>
      <c r="N222" s="210"/>
      <c r="O222" s="210"/>
      <c r="P222" s="210"/>
      <c r="Q222" s="210"/>
      <c r="R222" s="211"/>
      <c r="S222" s="88"/>
      <c r="T222" s="87"/>
    </row>
    <row r="223" spans="2:20" ht="18" customHeight="1" thickBot="1">
      <c r="B223" s="86"/>
      <c r="C223" s="225"/>
      <c r="D223" s="88"/>
      <c r="E223" s="88"/>
      <c r="F223" s="88"/>
      <c r="G223" s="88"/>
      <c r="H223" s="88"/>
      <c r="I223" s="88"/>
      <c r="J223" s="88"/>
      <c r="K223" s="88"/>
      <c r="L223" s="88"/>
      <c r="M223" s="88"/>
      <c r="N223" s="88"/>
      <c r="O223" s="88"/>
      <c r="P223" s="88"/>
      <c r="Q223" s="88"/>
      <c r="R223" s="88"/>
      <c r="S223" s="88"/>
      <c r="T223" s="87"/>
    </row>
    <row r="224" spans="2:20" ht="18" customHeight="1" thickTop="1" thickBot="1">
      <c r="B224" s="86"/>
      <c r="C224" s="225"/>
      <c r="D224" s="88"/>
      <c r="E224" s="203" t="s">
        <v>185</v>
      </c>
      <c r="F224" s="204"/>
      <c r="G224" s="204"/>
      <c r="H224" s="204"/>
      <c r="I224" s="204"/>
      <c r="J224" s="204"/>
      <c r="K224" s="204"/>
      <c r="L224" s="204"/>
      <c r="M224" s="204"/>
      <c r="N224" s="204"/>
      <c r="O224" s="204"/>
      <c r="P224" s="204"/>
      <c r="Q224" s="204"/>
      <c r="R224" s="205"/>
      <c r="S224" s="88"/>
      <c r="T224" s="87"/>
    </row>
    <row r="225" spans="2:20" ht="18" customHeight="1" thickTop="1" thickBot="1">
      <c r="B225" s="86"/>
      <c r="C225" s="225"/>
      <c r="D225" s="88"/>
      <c r="E225" s="209"/>
      <c r="F225" s="210"/>
      <c r="G225" s="210"/>
      <c r="H225" s="210"/>
      <c r="I225" s="210"/>
      <c r="J225" s="210"/>
      <c r="K225" s="210"/>
      <c r="L225" s="210"/>
      <c r="M225" s="210"/>
      <c r="N225" s="210"/>
      <c r="O225" s="210"/>
      <c r="P225" s="210"/>
      <c r="Q225" s="210"/>
      <c r="R225" s="211"/>
      <c r="S225" s="88"/>
      <c r="T225" s="87"/>
    </row>
    <row r="226" spans="2:20" ht="18" customHeight="1" thickBot="1">
      <c r="B226" s="86"/>
      <c r="C226" s="225"/>
      <c r="D226" s="88"/>
      <c r="E226" s="88"/>
      <c r="F226" s="88"/>
      <c r="G226" s="88"/>
      <c r="H226" s="88"/>
      <c r="I226" s="88"/>
      <c r="J226" s="88"/>
      <c r="K226" s="88"/>
      <c r="L226" s="88"/>
      <c r="M226" s="88"/>
      <c r="N226" s="88"/>
      <c r="O226" s="88"/>
      <c r="P226" s="88"/>
      <c r="Q226" s="88"/>
      <c r="R226" s="88"/>
      <c r="S226" s="88"/>
      <c r="T226" s="87"/>
    </row>
    <row r="227" spans="2:20" ht="18" customHeight="1" thickTop="1" thickBot="1">
      <c r="B227" s="86"/>
      <c r="C227" s="225"/>
      <c r="D227" s="88"/>
      <c r="E227" s="203" t="s">
        <v>186</v>
      </c>
      <c r="F227" s="204"/>
      <c r="G227" s="204"/>
      <c r="H227" s="204"/>
      <c r="I227" s="204"/>
      <c r="J227" s="204"/>
      <c r="K227" s="204"/>
      <c r="L227" s="204"/>
      <c r="M227" s="204"/>
      <c r="N227" s="204"/>
      <c r="O227" s="204"/>
      <c r="P227" s="204"/>
      <c r="Q227" s="204"/>
      <c r="R227" s="205"/>
      <c r="S227" s="88"/>
      <c r="T227" s="87"/>
    </row>
    <row r="228" spans="2:20" ht="18" customHeight="1" thickTop="1" thickBot="1">
      <c r="B228" s="86"/>
      <c r="C228" s="225"/>
      <c r="D228" s="88"/>
      <c r="E228" s="209"/>
      <c r="F228" s="210"/>
      <c r="G228" s="210"/>
      <c r="H228" s="210"/>
      <c r="I228" s="210"/>
      <c r="J228" s="210"/>
      <c r="K228" s="210"/>
      <c r="L228" s="210"/>
      <c r="M228" s="210"/>
      <c r="N228" s="210"/>
      <c r="O228" s="210"/>
      <c r="P228" s="210"/>
      <c r="Q228" s="210"/>
      <c r="R228" s="211"/>
      <c r="S228" s="88"/>
      <c r="T228" s="87"/>
    </row>
    <row r="229" spans="2:20" ht="18" customHeight="1" thickBot="1">
      <c r="B229" s="86"/>
      <c r="C229" s="225"/>
      <c r="D229" s="88"/>
      <c r="E229" s="88"/>
      <c r="F229" s="88"/>
      <c r="G229" s="88"/>
      <c r="H229" s="88"/>
      <c r="I229" s="88"/>
      <c r="J229" s="88"/>
      <c r="K229" s="88"/>
      <c r="L229" s="88"/>
      <c r="M229" s="88"/>
      <c r="N229" s="88"/>
      <c r="O229" s="88"/>
      <c r="P229" s="88"/>
      <c r="Q229" s="88"/>
      <c r="R229" s="88"/>
      <c r="S229" s="88"/>
      <c r="T229" s="87"/>
    </row>
    <row r="230" spans="2:20" ht="18" customHeight="1" thickTop="1" thickBot="1">
      <c r="B230" s="86"/>
      <c r="C230" s="225"/>
      <c r="D230" s="88"/>
      <c r="E230" s="203" t="s">
        <v>187</v>
      </c>
      <c r="F230" s="204"/>
      <c r="G230" s="204"/>
      <c r="H230" s="204"/>
      <c r="I230" s="204"/>
      <c r="J230" s="204"/>
      <c r="K230" s="204"/>
      <c r="L230" s="204"/>
      <c r="M230" s="204"/>
      <c r="N230" s="204"/>
      <c r="O230" s="204"/>
      <c r="P230" s="204"/>
      <c r="Q230" s="204"/>
      <c r="R230" s="205"/>
      <c r="S230" s="88"/>
      <c r="T230" s="87"/>
    </row>
    <row r="231" spans="2:20" ht="18" customHeight="1" thickTop="1" thickBot="1">
      <c r="B231" s="86"/>
      <c r="C231" s="225"/>
      <c r="D231" s="88"/>
      <c r="E231" s="209"/>
      <c r="F231" s="210"/>
      <c r="G231" s="210"/>
      <c r="H231" s="210"/>
      <c r="I231" s="210"/>
      <c r="J231" s="210"/>
      <c r="K231" s="210"/>
      <c r="L231" s="210"/>
      <c r="M231" s="210"/>
      <c r="N231" s="210"/>
      <c r="O231" s="210"/>
      <c r="P231" s="210"/>
      <c r="Q231" s="210"/>
      <c r="R231" s="211"/>
      <c r="S231" s="88"/>
      <c r="T231" s="87"/>
    </row>
    <row r="232" spans="2:20" ht="18" customHeight="1" thickBot="1">
      <c r="B232" s="86"/>
      <c r="C232" s="225"/>
      <c r="D232" s="88"/>
      <c r="E232" s="88"/>
      <c r="F232" s="88"/>
      <c r="G232" s="88"/>
      <c r="H232" s="88"/>
      <c r="I232" s="88"/>
      <c r="J232" s="88"/>
      <c r="K232" s="88"/>
      <c r="L232" s="88"/>
      <c r="M232" s="88"/>
      <c r="N232" s="88"/>
      <c r="O232" s="88"/>
      <c r="P232" s="88"/>
      <c r="Q232" s="88"/>
      <c r="R232" s="88"/>
      <c r="S232" s="88"/>
      <c r="T232" s="87"/>
    </row>
    <row r="233" spans="2:20" ht="18" customHeight="1" thickTop="1" thickBot="1">
      <c r="B233" s="86"/>
      <c r="C233" s="225"/>
      <c r="D233" s="88"/>
      <c r="E233" s="203" t="s">
        <v>188</v>
      </c>
      <c r="F233" s="204"/>
      <c r="G233" s="204"/>
      <c r="H233" s="204"/>
      <c r="I233" s="204"/>
      <c r="J233" s="204"/>
      <c r="K233" s="204"/>
      <c r="L233" s="204"/>
      <c r="M233" s="204"/>
      <c r="N233" s="204"/>
      <c r="O233" s="204"/>
      <c r="P233" s="204"/>
      <c r="Q233" s="204"/>
      <c r="R233" s="205"/>
      <c r="S233" s="88"/>
      <c r="T233" s="87"/>
    </row>
    <row r="234" spans="2:20" ht="18" customHeight="1" thickTop="1" thickBot="1">
      <c r="B234" s="86"/>
      <c r="C234" s="225"/>
      <c r="D234" s="88"/>
      <c r="E234" s="209"/>
      <c r="F234" s="210"/>
      <c r="G234" s="210"/>
      <c r="H234" s="210"/>
      <c r="I234" s="210"/>
      <c r="J234" s="210"/>
      <c r="K234" s="210"/>
      <c r="L234" s="210"/>
      <c r="M234" s="210"/>
      <c r="N234" s="210"/>
      <c r="O234" s="210"/>
      <c r="P234" s="210"/>
      <c r="Q234" s="210"/>
      <c r="R234" s="211"/>
      <c r="S234" s="88"/>
      <c r="T234" s="87"/>
    </row>
    <row r="235" spans="2:20" ht="18" customHeight="1" thickBot="1">
      <c r="B235" s="86"/>
      <c r="C235" s="225"/>
      <c r="D235" s="88"/>
      <c r="E235" s="88"/>
      <c r="F235" s="88"/>
      <c r="G235" s="88"/>
      <c r="H235" s="88"/>
      <c r="I235" s="88"/>
      <c r="J235" s="88"/>
      <c r="K235" s="88"/>
      <c r="L235" s="88"/>
      <c r="M235" s="88"/>
      <c r="N235" s="88"/>
      <c r="O235" s="88"/>
      <c r="P235" s="88"/>
      <c r="Q235" s="88"/>
      <c r="R235" s="88"/>
      <c r="S235" s="88"/>
      <c r="T235" s="87"/>
    </row>
    <row r="236" spans="2:20" ht="18" customHeight="1" thickTop="1" thickBot="1">
      <c r="B236" s="86"/>
      <c r="C236" s="225"/>
      <c r="D236" s="88"/>
      <c r="E236" s="203" t="s">
        <v>189</v>
      </c>
      <c r="F236" s="204"/>
      <c r="G236" s="204"/>
      <c r="H236" s="204"/>
      <c r="I236" s="204"/>
      <c r="J236" s="204"/>
      <c r="K236" s="204"/>
      <c r="L236" s="204"/>
      <c r="M236" s="204"/>
      <c r="N236" s="204"/>
      <c r="O236" s="204"/>
      <c r="P236" s="204"/>
      <c r="Q236" s="204"/>
      <c r="R236" s="205"/>
      <c r="S236" s="88"/>
      <c r="T236" s="87"/>
    </row>
    <row r="237" spans="2:20" ht="18" customHeight="1" thickTop="1" thickBot="1">
      <c r="B237" s="86"/>
      <c r="C237" s="225"/>
      <c r="D237" s="88"/>
      <c r="E237" s="209"/>
      <c r="F237" s="210"/>
      <c r="G237" s="210"/>
      <c r="H237" s="210"/>
      <c r="I237" s="210"/>
      <c r="J237" s="210"/>
      <c r="K237" s="210"/>
      <c r="L237" s="210"/>
      <c r="M237" s="210"/>
      <c r="N237" s="210"/>
      <c r="O237" s="210"/>
      <c r="P237" s="210"/>
      <c r="Q237" s="210"/>
      <c r="R237" s="211"/>
      <c r="S237" s="88"/>
      <c r="T237" s="87"/>
    </row>
    <row r="238" spans="2:20" ht="18" customHeight="1" thickBot="1">
      <c r="B238" s="86"/>
      <c r="C238" s="225"/>
      <c r="D238" s="88"/>
      <c r="E238" s="88"/>
      <c r="F238" s="88"/>
      <c r="G238" s="88"/>
      <c r="H238" s="88"/>
      <c r="I238" s="88"/>
      <c r="J238" s="88"/>
      <c r="K238" s="88"/>
      <c r="L238" s="88"/>
      <c r="M238" s="88"/>
      <c r="N238" s="88"/>
      <c r="O238" s="88"/>
      <c r="P238" s="88"/>
      <c r="Q238" s="88"/>
      <c r="R238" s="88"/>
      <c r="S238" s="88"/>
      <c r="T238" s="87"/>
    </row>
    <row r="239" spans="2:20" ht="18" customHeight="1" thickTop="1" thickBot="1">
      <c r="B239" s="86"/>
      <c r="C239" s="225"/>
      <c r="D239" s="88"/>
      <c r="E239" s="203" t="s">
        <v>190</v>
      </c>
      <c r="F239" s="204"/>
      <c r="G239" s="204"/>
      <c r="H239" s="204"/>
      <c r="I239" s="204"/>
      <c r="J239" s="204"/>
      <c r="K239" s="204"/>
      <c r="L239" s="204"/>
      <c r="M239" s="204"/>
      <c r="N239" s="204"/>
      <c r="O239" s="204"/>
      <c r="P239" s="204"/>
      <c r="Q239" s="204"/>
      <c r="R239" s="205"/>
      <c r="S239" s="88"/>
      <c r="T239" s="87"/>
    </row>
    <row r="240" spans="2:20" ht="18" customHeight="1" thickTop="1" thickBot="1">
      <c r="B240" s="86"/>
      <c r="C240" s="225"/>
      <c r="D240" s="88"/>
      <c r="E240" s="209"/>
      <c r="F240" s="210"/>
      <c r="G240" s="210"/>
      <c r="H240" s="210"/>
      <c r="I240" s="210"/>
      <c r="J240" s="210"/>
      <c r="K240" s="210"/>
      <c r="L240" s="210"/>
      <c r="M240" s="210"/>
      <c r="N240" s="210"/>
      <c r="O240" s="210"/>
      <c r="P240" s="210"/>
      <c r="Q240" s="210"/>
      <c r="R240" s="211"/>
      <c r="S240" s="88"/>
      <c r="T240" s="87"/>
    </row>
    <row r="241" spans="2:20" ht="18" customHeight="1" thickBot="1">
      <c r="B241" s="86"/>
      <c r="C241" s="225"/>
      <c r="D241" s="88"/>
      <c r="E241" s="88"/>
      <c r="F241" s="88"/>
      <c r="G241" s="88"/>
      <c r="H241" s="88"/>
      <c r="I241" s="88"/>
      <c r="J241" s="88"/>
      <c r="K241" s="88"/>
      <c r="L241" s="88"/>
      <c r="M241" s="88"/>
      <c r="N241" s="88"/>
      <c r="O241" s="88"/>
      <c r="P241" s="88"/>
      <c r="Q241" s="88"/>
      <c r="R241" s="88"/>
      <c r="S241" s="88"/>
      <c r="T241" s="87"/>
    </row>
    <row r="242" spans="2:20" ht="18" customHeight="1" thickTop="1" thickBot="1">
      <c r="B242" s="86"/>
      <c r="C242" s="225"/>
      <c r="D242" s="88"/>
      <c r="E242" s="203" t="s">
        <v>191</v>
      </c>
      <c r="F242" s="204"/>
      <c r="G242" s="204"/>
      <c r="H242" s="204"/>
      <c r="I242" s="204"/>
      <c r="J242" s="204"/>
      <c r="K242" s="204"/>
      <c r="L242" s="204"/>
      <c r="M242" s="204"/>
      <c r="N242" s="204"/>
      <c r="O242" s="204"/>
      <c r="P242" s="204"/>
      <c r="Q242" s="204"/>
      <c r="R242" s="205"/>
      <c r="S242" s="88"/>
      <c r="T242" s="87"/>
    </row>
    <row r="243" spans="2:20" ht="18" customHeight="1" thickTop="1" thickBot="1">
      <c r="B243" s="86"/>
      <c r="C243" s="225"/>
      <c r="D243" s="88"/>
      <c r="E243" s="209"/>
      <c r="F243" s="210"/>
      <c r="G243" s="210"/>
      <c r="H243" s="210"/>
      <c r="I243" s="210"/>
      <c r="J243" s="210"/>
      <c r="K243" s="210"/>
      <c r="L243" s="210"/>
      <c r="M243" s="210"/>
      <c r="N243" s="210"/>
      <c r="O243" s="210"/>
      <c r="P243" s="210"/>
      <c r="Q243" s="210"/>
      <c r="R243" s="211"/>
      <c r="S243" s="88"/>
      <c r="T243" s="87"/>
    </row>
    <row r="244" spans="2:20" ht="18" customHeight="1" thickBot="1">
      <c r="B244" s="86"/>
      <c r="C244" s="225"/>
      <c r="D244" s="88"/>
      <c r="E244" s="111"/>
      <c r="F244" s="111"/>
      <c r="G244" s="111"/>
      <c r="H244" s="111"/>
      <c r="I244" s="111"/>
      <c r="J244" s="111"/>
      <c r="K244" s="111"/>
      <c r="L244" s="111"/>
      <c r="M244" s="111"/>
      <c r="N244" s="111"/>
      <c r="O244" s="111"/>
      <c r="P244" s="111"/>
      <c r="Q244" s="111"/>
      <c r="R244" s="111"/>
      <c r="S244" s="88"/>
      <c r="T244" s="87"/>
    </row>
    <row r="245" spans="2:20" ht="18" customHeight="1" thickTop="1" thickBot="1">
      <c r="B245" s="86"/>
      <c r="C245" s="225"/>
      <c r="D245" s="88"/>
      <c r="E245" s="203" t="s">
        <v>621</v>
      </c>
      <c r="F245" s="204"/>
      <c r="G245" s="204"/>
      <c r="H245" s="204"/>
      <c r="I245" s="204"/>
      <c r="J245" s="204"/>
      <c r="K245" s="204"/>
      <c r="L245" s="204"/>
      <c r="M245" s="204"/>
      <c r="N245" s="204"/>
      <c r="O245" s="204"/>
      <c r="P245" s="204"/>
      <c r="Q245" s="204"/>
      <c r="R245" s="205"/>
      <c r="S245" s="88"/>
      <c r="T245" s="87"/>
    </row>
    <row r="246" spans="2:20" ht="30" customHeight="1" thickTop="1" thickBot="1">
      <c r="B246" s="86"/>
      <c r="C246" s="225"/>
      <c r="D246" s="88"/>
      <c r="E246" s="213"/>
      <c r="F246" s="214"/>
      <c r="G246" s="214"/>
      <c r="H246" s="214"/>
      <c r="I246" s="214"/>
      <c r="J246" s="214"/>
      <c r="K246" s="214"/>
      <c r="L246" s="214"/>
      <c r="M246" s="214"/>
      <c r="N246" s="214"/>
      <c r="O246" s="214"/>
      <c r="P246" s="214"/>
      <c r="Q246" s="214"/>
      <c r="R246" s="215"/>
      <c r="S246" s="88"/>
      <c r="T246" s="87"/>
    </row>
    <row r="247" spans="2:20" ht="18" customHeight="1" thickBot="1">
      <c r="B247" s="86"/>
      <c r="C247" s="225"/>
      <c r="D247" s="88"/>
      <c r="E247" s="111"/>
      <c r="F247" s="111"/>
      <c r="G247" s="111"/>
      <c r="H247" s="111"/>
      <c r="I247" s="111"/>
      <c r="J247" s="111"/>
      <c r="K247" s="111"/>
      <c r="L247" s="111"/>
      <c r="M247" s="111"/>
      <c r="N247" s="111"/>
      <c r="O247" s="111"/>
      <c r="P247" s="111"/>
      <c r="Q247" s="111"/>
      <c r="R247" s="111"/>
      <c r="S247" s="88"/>
      <c r="T247" s="87"/>
    </row>
    <row r="248" spans="2:20" ht="18" customHeight="1" thickTop="1" thickBot="1">
      <c r="B248" s="86"/>
      <c r="C248" s="225"/>
      <c r="D248" s="88"/>
      <c r="E248" s="203" t="s">
        <v>626</v>
      </c>
      <c r="F248" s="204"/>
      <c r="G248" s="204"/>
      <c r="H248" s="204"/>
      <c r="I248" s="204"/>
      <c r="J248" s="204"/>
      <c r="K248" s="204"/>
      <c r="L248" s="204"/>
      <c r="M248" s="204"/>
      <c r="N248" s="204"/>
      <c r="O248" s="204"/>
      <c r="P248" s="204"/>
      <c r="Q248" s="204"/>
      <c r="R248" s="205"/>
      <c r="S248" s="88"/>
      <c r="T248" s="87"/>
    </row>
    <row r="249" spans="2:20" ht="18" customHeight="1" thickTop="1" thickBot="1">
      <c r="B249" s="86"/>
      <c r="C249" s="225"/>
      <c r="D249" s="88"/>
      <c r="E249" s="209"/>
      <c r="F249" s="210"/>
      <c r="G249" s="210"/>
      <c r="H249" s="210"/>
      <c r="I249" s="210"/>
      <c r="J249" s="210"/>
      <c r="K249" s="210"/>
      <c r="L249" s="210"/>
      <c r="M249" s="210"/>
      <c r="N249" s="210"/>
      <c r="O249" s="210"/>
      <c r="P249" s="210"/>
      <c r="Q249" s="210"/>
      <c r="R249" s="211"/>
      <c r="S249" s="88"/>
      <c r="T249" s="87"/>
    </row>
    <row r="250" spans="2:20" ht="18" customHeight="1" thickBot="1">
      <c r="B250" s="86"/>
      <c r="C250" s="225"/>
      <c r="D250" s="88"/>
      <c r="E250" s="111"/>
      <c r="F250" s="111"/>
      <c r="G250" s="111"/>
      <c r="H250" s="111"/>
      <c r="I250" s="111"/>
      <c r="J250" s="111"/>
      <c r="K250" s="111"/>
      <c r="L250" s="111"/>
      <c r="M250" s="111"/>
      <c r="N250" s="111"/>
      <c r="O250" s="111"/>
      <c r="P250" s="111"/>
      <c r="Q250" s="111"/>
      <c r="R250" s="111"/>
      <c r="S250" s="88"/>
      <c r="T250" s="87"/>
    </row>
    <row r="251" spans="2:20" ht="18" customHeight="1" thickTop="1" thickBot="1">
      <c r="B251" s="86"/>
      <c r="C251" s="225"/>
      <c r="D251" s="88"/>
      <c r="E251" s="203" t="s">
        <v>632</v>
      </c>
      <c r="F251" s="204"/>
      <c r="G251" s="204"/>
      <c r="H251" s="204"/>
      <c r="I251" s="204"/>
      <c r="J251" s="204"/>
      <c r="K251" s="204"/>
      <c r="L251" s="204"/>
      <c r="M251" s="204"/>
      <c r="N251" s="204"/>
      <c r="O251" s="204"/>
      <c r="P251" s="204"/>
      <c r="Q251" s="204"/>
      <c r="R251" s="205"/>
      <c r="S251" s="88"/>
      <c r="T251" s="87"/>
    </row>
    <row r="252" spans="2:20" ht="31.8" customHeight="1" thickTop="1" thickBot="1">
      <c r="B252" s="86"/>
      <c r="C252" s="225"/>
      <c r="D252" s="88"/>
      <c r="E252" s="213"/>
      <c r="F252" s="214"/>
      <c r="G252" s="214"/>
      <c r="H252" s="214"/>
      <c r="I252" s="214"/>
      <c r="J252" s="214"/>
      <c r="K252" s="214"/>
      <c r="L252" s="214"/>
      <c r="M252" s="214"/>
      <c r="N252" s="214"/>
      <c r="O252" s="214"/>
      <c r="P252" s="214"/>
      <c r="Q252" s="214"/>
      <c r="R252" s="215"/>
      <c r="S252" s="88"/>
      <c r="T252" s="87"/>
    </row>
    <row r="253" spans="2:20" ht="18" customHeight="1" thickBot="1">
      <c r="B253" s="86"/>
      <c r="C253" s="91"/>
      <c r="D253" s="91"/>
      <c r="E253" s="91"/>
      <c r="F253" s="91"/>
      <c r="G253" s="91"/>
      <c r="H253" s="91"/>
      <c r="I253" s="91"/>
      <c r="J253" s="91"/>
      <c r="K253" s="91"/>
      <c r="L253" s="91"/>
      <c r="M253" s="91"/>
      <c r="N253" s="91"/>
      <c r="O253" s="91"/>
      <c r="P253" s="91"/>
      <c r="Q253" s="91"/>
      <c r="R253" s="91"/>
      <c r="S253" s="91"/>
      <c r="T253" s="87"/>
    </row>
    <row r="254" spans="2:20" ht="8.4" customHeight="1">
      <c r="B254" s="86"/>
      <c r="D254" s="88"/>
      <c r="E254" s="88"/>
      <c r="F254" s="88"/>
      <c r="G254" s="88"/>
      <c r="H254" s="88"/>
      <c r="I254" s="88"/>
      <c r="J254" s="88"/>
      <c r="K254" s="88"/>
      <c r="L254" s="88"/>
      <c r="M254" s="88"/>
      <c r="N254" s="88"/>
      <c r="O254" s="88"/>
      <c r="P254" s="88"/>
      <c r="Q254" s="88"/>
      <c r="R254" s="88"/>
      <c r="S254" s="88"/>
      <c r="T254" s="87"/>
    </row>
    <row r="255" spans="2:20" ht="18" customHeight="1">
      <c r="B255" s="92"/>
      <c r="C255" s="93"/>
      <c r="D255" s="93"/>
      <c r="E255" s="93"/>
      <c r="F255" s="93"/>
      <c r="G255" s="93"/>
      <c r="H255" s="93"/>
      <c r="I255" s="93"/>
      <c r="J255" s="93"/>
      <c r="K255" s="93"/>
      <c r="L255" s="93"/>
      <c r="M255" s="93"/>
      <c r="N255" s="93"/>
      <c r="O255" s="93"/>
      <c r="P255" s="93"/>
      <c r="Q255" s="93"/>
      <c r="R255" s="93"/>
      <c r="S255" s="93"/>
      <c r="T255" s="94"/>
    </row>
    <row r="256" spans="2:20" ht="18" customHeight="1"/>
    <row r="257" spans="3:19" ht="18" customHeight="1"/>
    <row r="258" spans="3:19" ht="18" customHeight="1"/>
    <row r="259" spans="3:19" ht="18" customHeight="1">
      <c r="C259" s="95"/>
      <c r="D259" s="95"/>
      <c r="E259" s="95"/>
      <c r="F259" s="95"/>
      <c r="G259" s="95"/>
      <c r="H259" s="95"/>
      <c r="I259" s="95"/>
      <c r="J259" s="95"/>
      <c r="K259" s="95"/>
      <c r="L259" s="95"/>
      <c r="M259" s="95"/>
    </row>
    <row r="260" spans="3:19" ht="18" customHeight="1"/>
    <row r="261" spans="3:19" ht="18" customHeight="1"/>
    <row r="262" spans="3:19" ht="18" customHeight="1"/>
    <row r="263" spans="3:19" ht="18" customHeight="1"/>
    <row r="264" spans="3:19" ht="18" customHeight="1"/>
    <row r="265" spans="3:19" ht="18" customHeight="1"/>
    <row r="266" spans="3:19" ht="18" customHeight="1">
      <c r="D266" s="88"/>
      <c r="E266" s="88"/>
      <c r="F266" s="88"/>
      <c r="G266" s="88"/>
      <c r="H266" s="88"/>
      <c r="I266" s="88"/>
      <c r="J266" s="88"/>
      <c r="K266" s="88"/>
      <c r="L266" s="88"/>
      <c r="M266" s="88"/>
      <c r="N266" s="88"/>
      <c r="O266" s="88"/>
      <c r="P266" s="88"/>
      <c r="Q266" s="88"/>
      <c r="R266" s="88"/>
      <c r="S266" s="88"/>
    </row>
    <row r="267" spans="3:19" ht="18" customHeight="1">
      <c r="D267" s="88"/>
      <c r="E267" s="88"/>
      <c r="F267" s="88"/>
      <c r="G267" s="88"/>
      <c r="H267" s="88"/>
      <c r="I267" s="88"/>
      <c r="J267" s="88"/>
      <c r="K267" s="88"/>
      <c r="L267" s="88"/>
      <c r="M267" s="88"/>
      <c r="N267" s="88"/>
      <c r="O267" s="88"/>
      <c r="P267" s="88"/>
      <c r="Q267" s="88"/>
      <c r="R267" s="88"/>
      <c r="S267" s="88"/>
    </row>
    <row r="268" spans="3:19" ht="18" customHeight="1">
      <c r="D268" s="88"/>
      <c r="E268" s="88"/>
      <c r="F268" s="88"/>
      <c r="G268" s="88"/>
      <c r="H268" s="88"/>
      <c r="I268" s="88"/>
      <c r="J268" s="88"/>
      <c r="K268" s="88"/>
      <c r="L268" s="88"/>
      <c r="M268" s="88"/>
      <c r="N268" s="88"/>
      <c r="O268" s="88"/>
      <c r="P268" s="88"/>
      <c r="Q268" s="88"/>
      <c r="R268" s="88"/>
      <c r="S268" s="88"/>
    </row>
    <row r="269" spans="3:19" ht="18" customHeight="1">
      <c r="D269" s="88"/>
      <c r="E269" s="88"/>
      <c r="F269" s="88"/>
      <c r="G269" s="88"/>
      <c r="H269" s="88"/>
      <c r="I269" s="88"/>
      <c r="J269" s="88"/>
      <c r="K269" s="88"/>
      <c r="L269" s="88"/>
      <c r="M269" s="88"/>
      <c r="N269" s="88"/>
      <c r="O269" s="88"/>
      <c r="P269" s="88"/>
      <c r="Q269" s="88"/>
      <c r="R269" s="88"/>
      <c r="S269" s="88"/>
    </row>
    <row r="270" spans="3:19" ht="18" customHeight="1">
      <c r="D270" s="88"/>
      <c r="E270" s="88"/>
      <c r="F270" s="88"/>
      <c r="G270" s="88"/>
      <c r="H270" s="88"/>
      <c r="I270" s="88"/>
      <c r="J270" s="88"/>
      <c r="K270" s="88"/>
      <c r="L270" s="88"/>
      <c r="M270" s="88"/>
      <c r="N270" s="88"/>
      <c r="O270" s="88"/>
      <c r="P270" s="88"/>
      <c r="Q270" s="88"/>
      <c r="R270" s="88"/>
      <c r="S270" s="88"/>
    </row>
    <row r="271" spans="3:19" ht="18" customHeight="1">
      <c r="D271" s="88"/>
      <c r="E271" s="88"/>
      <c r="F271" s="88"/>
      <c r="G271" s="88"/>
      <c r="H271" s="88"/>
      <c r="I271" s="88"/>
      <c r="J271" s="88"/>
      <c r="K271" s="88"/>
      <c r="L271" s="88"/>
      <c r="M271" s="88"/>
      <c r="N271" s="88"/>
      <c r="O271" s="88"/>
      <c r="P271" s="88"/>
      <c r="Q271" s="88"/>
      <c r="R271" s="88"/>
      <c r="S271" s="88"/>
    </row>
    <row r="272" spans="3:19" ht="18" customHeight="1">
      <c r="D272" s="88"/>
      <c r="E272" s="88"/>
      <c r="F272" s="88"/>
      <c r="G272" s="88"/>
      <c r="H272" s="88"/>
      <c r="I272" s="88"/>
      <c r="J272" s="88"/>
      <c r="K272" s="88"/>
      <c r="L272" s="88"/>
      <c r="M272" s="88"/>
      <c r="N272" s="88"/>
      <c r="O272" s="88"/>
      <c r="P272" s="88"/>
      <c r="Q272" s="88"/>
      <c r="R272" s="88"/>
      <c r="S272" s="88"/>
    </row>
    <row r="273" spans="4:19" ht="18" customHeight="1">
      <c r="D273" s="88"/>
      <c r="E273" s="88"/>
      <c r="F273" s="88"/>
      <c r="G273" s="88"/>
      <c r="H273" s="88"/>
      <c r="I273" s="88"/>
      <c r="J273" s="88"/>
      <c r="K273" s="88"/>
      <c r="L273" s="88"/>
      <c r="M273" s="88"/>
      <c r="N273" s="88"/>
      <c r="O273" s="88"/>
      <c r="P273" s="88"/>
      <c r="Q273" s="88"/>
      <c r="R273" s="88"/>
      <c r="S273" s="88"/>
    </row>
    <row r="274" spans="4:19" ht="18" customHeight="1">
      <c r="D274" s="88"/>
      <c r="E274" s="88"/>
      <c r="F274" s="88"/>
      <c r="G274" s="88"/>
      <c r="H274" s="88"/>
      <c r="I274" s="88"/>
      <c r="J274" s="88"/>
      <c r="K274" s="88"/>
      <c r="L274" s="88"/>
      <c r="M274" s="88"/>
      <c r="N274" s="88"/>
      <c r="O274" s="88"/>
      <c r="P274" s="88"/>
      <c r="Q274" s="88"/>
      <c r="R274" s="88"/>
      <c r="S274" s="88"/>
    </row>
    <row r="275" spans="4:19" ht="18" customHeight="1">
      <c r="D275" s="88"/>
      <c r="E275" s="88"/>
      <c r="F275" s="88"/>
      <c r="G275" s="88"/>
      <c r="H275" s="88"/>
      <c r="I275" s="88"/>
      <c r="J275" s="88"/>
      <c r="K275" s="88"/>
      <c r="L275" s="88"/>
      <c r="M275" s="88"/>
      <c r="N275" s="88"/>
      <c r="O275" s="88"/>
      <c r="P275" s="88"/>
      <c r="Q275" s="88"/>
      <c r="R275" s="88"/>
      <c r="S275" s="88"/>
    </row>
    <row r="276" spans="4:19" ht="18" customHeight="1">
      <c r="D276" s="88"/>
      <c r="E276" s="88"/>
      <c r="F276" s="88"/>
      <c r="G276" s="88"/>
      <c r="H276" s="88"/>
      <c r="I276" s="88"/>
      <c r="J276" s="88"/>
      <c r="K276" s="88"/>
      <c r="L276" s="88"/>
      <c r="M276" s="88"/>
      <c r="N276" s="88"/>
      <c r="O276" s="88"/>
      <c r="P276" s="88"/>
      <c r="Q276" s="88"/>
      <c r="R276" s="88"/>
      <c r="S276" s="88"/>
    </row>
    <row r="277" spans="4:19" ht="18" customHeight="1">
      <c r="D277" s="88"/>
      <c r="E277" s="88"/>
      <c r="F277" s="88"/>
      <c r="G277" s="88"/>
      <c r="H277" s="88"/>
      <c r="I277" s="88"/>
      <c r="J277" s="88"/>
      <c r="K277" s="88"/>
      <c r="L277" s="88"/>
      <c r="M277" s="88"/>
      <c r="N277" s="88"/>
      <c r="O277" s="88"/>
      <c r="P277" s="88"/>
      <c r="Q277" s="88"/>
      <c r="R277" s="88"/>
      <c r="S277" s="88"/>
    </row>
    <row r="278" spans="4:19" ht="18" customHeight="1">
      <c r="D278" s="88"/>
      <c r="E278" s="88"/>
      <c r="F278" s="88"/>
      <c r="G278" s="88"/>
      <c r="H278" s="88"/>
      <c r="I278" s="88"/>
      <c r="J278" s="88"/>
      <c r="K278" s="88"/>
      <c r="L278" s="88"/>
      <c r="M278" s="88"/>
      <c r="N278" s="88"/>
      <c r="O278" s="88"/>
      <c r="P278" s="88"/>
      <c r="Q278" s="88"/>
      <c r="R278" s="88"/>
      <c r="S278" s="88"/>
    </row>
    <row r="279" spans="4:19" ht="18" customHeight="1">
      <c r="D279" s="88"/>
      <c r="E279" s="88"/>
      <c r="F279" s="88"/>
      <c r="G279" s="88"/>
      <c r="H279" s="88"/>
      <c r="I279" s="88"/>
      <c r="J279" s="88"/>
      <c r="K279" s="88"/>
      <c r="L279" s="88"/>
      <c r="M279" s="88"/>
      <c r="N279" s="88"/>
      <c r="O279" s="88"/>
      <c r="P279" s="88"/>
      <c r="Q279" s="88"/>
      <c r="R279" s="88"/>
      <c r="S279" s="88"/>
    </row>
    <row r="280" spans="4:19" ht="18" customHeight="1">
      <c r="D280" s="88"/>
      <c r="E280" s="88"/>
      <c r="F280" s="88"/>
      <c r="G280" s="88"/>
      <c r="H280" s="88"/>
      <c r="I280" s="88"/>
      <c r="J280" s="88"/>
      <c r="K280" s="88"/>
      <c r="L280" s="88"/>
      <c r="M280" s="88"/>
      <c r="N280" s="88"/>
      <c r="O280" s="88"/>
      <c r="P280" s="88"/>
      <c r="Q280" s="88"/>
      <c r="R280" s="88"/>
      <c r="S280" s="88"/>
    </row>
    <row r="281" spans="4:19" ht="18" customHeight="1">
      <c r="D281" s="88"/>
      <c r="E281" s="88"/>
      <c r="F281" s="88"/>
      <c r="G281" s="88"/>
      <c r="H281" s="88"/>
      <c r="I281" s="88"/>
      <c r="J281" s="88"/>
      <c r="K281" s="88"/>
      <c r="L281" s="88"/>
      <c r="M281" s="88"/>
      <c r="N281" s="88"/>
      <c r="O281" s="88"/>
      <c r="P281" s="88"/>
      <c r="Q281" s="88"/>
      <c r="R281" s="88"/>
      <c r="S281" s="88"/>
    </row>
    <row r="282" spans="4:19" ht="18" customHeight="1">
      <c r="D282" s="88"/>
      <c r="E282" s="88"/>
      <c r="F282" s="88"/>
      <c r="G282" s="88"/>
      <c r="H282" s="88"/>
      <c r="I282" s="88"/>
      <c r="J282" s="88"/>
      <c r="K282" s="88"/>
      <c r="L282" s="88"/>
      <c r="M282" s="88"/>
      <c r="N282" s="88"/>
      <c r="O282" s="88"/>
      <c r="P282" s="88"/>
      <c r="Q282" s="88"/>
      <c r="R282" s="88"/>
      <c r="S282" s="88"/>
    </row>
    <row r="283" spans="4:19" ht="18" customHeight="1">
      <c r="D283" s="88"/>
      <c r="E283" s="88"/>
      <c r="F283" s="88"/>
      <c r="G283" s="88"/>
      <c r="H283" s="88"/>
      <c r="I283" s="88"/>
      <c r="J283" s="88"/>
      <c r="K283" s="88"/>
      <c r="L283" s="88"/>
      <c r="M283" s="88"/>
      <c r="N283" s="88"/>
      <c r="O283" s="88"/>
      <c r="P283" s="88"/>
      <c r="Q283" s="88"/>
      <c r="R283" s="88"/>
      <c r="S283" s="88"/>
    </row>
    <row r="284" spans="4:19" ht="18" customHeight="1">
      <c r="D284" s="88"/>
      <c r="E284" s="88"/>
      <c r="F284" s="88"/>
      <c r="G284" s="88"/>
      <c r="H284" s="88"/>
      <c r="I284" s="88"/>
      <c r="J284" s="88"/>
      <c r="K284" s="88"/>
      <c r="L284" s="88"/>
      <c r="M284" s="88"/>
      <c r="N284" s="88"/>
      <c r="O284" s="88"/>
      <c r="P284" s="88"/>
      <c r="Q284" s="88"/>
      <c r="R284" s="88"/>
      <c r="S284" s="88"/>
    </row>
    <row r="285" spans="4:19" ht="18" customHeight="1">
      <c r="D285" s="88"/>
      <c r="E285" s="88"/>
      <c r="F285" s="88"/>
      <c r="G285" s="88"/>
      <c r="H285" s="88"/>
      <c r="I285" s="88"/>
      <c r="J285" s="88"/>
      <c r="K285" s="88"/>
      <c r="L285" s="88"/>
      <c r="M285" s="88"/>
      <c r="N285" s="88"/>
      <c r="O285" s="88"/>
      <c r="P285" s="88"/>
      <c r="Q285" s="88"/>
      <c r="R285" s="88"/>
      <c r="S285" s="88"/>
    </row>
    <row r="286" spans="4:19" ht="18" customHeight="1">
      <c r="D286" s="88"/>
      <c r="E286" s="88"/>
      <c r="F286" s="88"/>
      <c r="G286" s="88"/>
      <c r="H286" s="88"/>
      <c r="I286" s="88"/>
      <c r="J286" s="88"/>
      <c r="K286" s="88"/>
      <c r="L286" s="88"/>
      <c r="M286" s="88"/>
      <c r="N286" s="88"/>
      <c r="O286" s="88"/>
      <c r="P286" s="88"/>
      <c r="Q286" s="88"/>
      <c r="R286" s="88"/>
      <c r="S286" s="88"/>
    </row>
    <row r="287" spans="4:19" ht="18" customHeight="1">
      <c r="D287" s="88"/>
      <c r="E287" s="88"/>
      <c r="F287" s="88"/>
      <c r="G287" s="88"/>
      <c r="H287" s="88"/>
      <c r="I287" s="88"/>
      <c r="J287" s="88"/>
      <c r="K287" s="88"/>
      <c r="L287" s="88"/>
      <c r="M287" s="88"/>
      <c r="N287" s="88"/>
      <c r="O287" s="88"/>
      <c r="P287" s="88"/>
      <c r="Q287" s="88"/>
      <c r="R287" s="88"/>
      <c r="S287" s="88"/>
    </row>
    <row r="288" spans="4:19" ht="18" customHeight="1">
      <c r="D288" s="88"/>
      <c r="E288" s="88"/>
      <c r="F288" s="88"/>
      <c r="G288" s="88"/>
      <c r="H288" s="88"/>
      <c r="I288" s="88"/>
      <c r="J288" s="88"/>
      <c r="K288" s="88"/>
      <c r="L288" s="88"/>
      <c r="M288" s="88"/>
      <c r="N288" s="88"/>
      <c r="O288" s="88"/>
      <c r="P288" s="88"/>
      <c r="Q288" s="88"/>
      <c r="R288" s="88"/>
      <c r="S288" s="88"/>
    </row>
    <row r="289" spans="4:19" ht="18" customHeight="1">
      <c r="D289" s="88"/>
      <c r="E289" s="88"/>
      <c r="F289" s="88"/>
      <c r="G289" s="88"/>
      <c r="H289" s="88"/>
      <c r="I289" s="88"/>
      <c r="J289" s="88"/>
      <c r="K289" s="88"/>
      <c r="L289" s="88"/>
      <c r="M289" s="88"/>
      <c r="N289" s="88"/>
      <c r="O289" s="88"/>
      <c r="P289" s="88"/>
      <c r="Q289" s="88"/>
      <c r="R289" s="88"/>
      <c r="S289" s="88"/>
    </row>
    <row r="290" spans="4:19" ht="18" customHeight="1">
      <c r="D290" s="88"/>
      <c r="E290" s="88"/>
      <c r="F290" s="88"/>
      <c r="G290" s="88"/>
      <c r="H290" s="88"/>
      <c r="I290" s="88"/>
      <c r="J290" s="88"/>
      <c r="K290" s="88"/>
      <c r="L290" s="88"/>
      <c r="M290" s="88"/>
      <c r="N290" s="88"/>
      <c r="O290" s="88"/>
      <c r="P290" s="88"/>
      <c r="Q290" s="88"/>
      <c r="R290" s="88"/>
      <c r="S290" s="88"/>
    </row>
    <row r="291" spans="4:19" ht="18" customHeight="1">
      <c r="D291" s="88"/>
      <c r="E291" s="88"/>
      <c r="F291" s="88"/>
      <c r="G291" s="88"/>
      <c r="H291" s="88"/>
      <c r="I291" s="88"/>
      <c r="J291" s="88"/>
      <c r="K291" s="88"/>
      <c r="L291" s="88"/>
      <c r="M291" s="88"/>
      <c r="N291" s="88"/>
      <c r="O291" s="88"/>
      <c r="P291" s="88"/>
      <c r="Q291" s="88"/>
      <c r="R291" s="88"/>
      <c r="S291" s="88"/>
    </row>
    <row r="292" spans="4:19" ht="18" customHeight="1">
      <c r="D292" s="88"/>
      <c r="E292" s="88"/>
      <c r="F292" s="88"/>
      <c r="G292" s="88"/>
      <c r="H292" s="88"/>
      <c r="I292" s="88"/>
      <c r="J292" s="88"/>
      <c r="K292" s="88"/>
      <c r="L292" s="88"/>
      <c r="M292" s="88"/>
      <c r="N292" s="88"/>
      <c r="O292" s="88"/>
      <c r="P292" s="88"/>
      <c r="Q292" s="88"/>
      <c r="R292" s="88"/>
      <c r="S292" s="88"/>
    </row>
    <row r="293" spans="4:19" ht="18" customHeight="1">
      <c r="D293" s="88"/>
      <c r="E293" s="88"/>
      <c r="F293" s="88"/>
      <c r="G293" s="88"/>
      <c r="H293" s="88"/>
      <c r="I293" s="88"/>
      <c r="J293" s="88"/>
      <c r="K293" s="88"/>
      <c r="L293" s="88"/>
      <c r="M293" s="88"/>
      <c r="N293" s="88"/>
      <c r="O293" s="88"/>
      <c r="P293" s="88"/>
      <c r="Q293" s="88"/>
      <c r="R293" s="88"/>
      <c r="S293" s="88"/>
    </row>
    <row r="294" spans="4:19" ht="18" customHeight="1">
      <c r="D294" s="88"/>
      <c r="E294" s="88"/>
      <c r="F294" s="88"/>
      <c r="G294" s="88"/>
      <c r="H294" s="88"/>
      <c r="I294" s="88"/>
      <c r="J294" s="88"/>
      <c r="K294" s="88"/>
      <c r="L294" s="88"/>
      <c r="M294" s="88"/>
      <c r="N294" s="88"/>
      <c r="O294" s="88"/>
      <c r="P294" s="88"/>
      <c r="Q294" s="88"/>
      <c r="R294" s="88"/>
      <c r="S294" s="88"/>
    </row>
    <row r="295" spans="4:19" ht="18" customHeight="1">
      <c r="D295" s="88"/>
      <c r="E295" s="88"/>
      <c r="F295" s="88"/>
      <c r="G295" s="88"/>
      <c r="H295" s="88"/>
      <c r="I295" s="88"/>
      <c r="J295" s="88"/>
      <c r="K295" s="88"/>
      <c r="L295" s="88"/>
      <c r="M295" s="88"/>
      <c r="N295" s="88"/>
      <c r="O295" s="88"/>
      <c r="P295" s="88"/>
      <c r="Q295" s="88"/>
      <c r="R295" s="88"/>
      <c r="S295" s="88"/>
    </row>
    <row r="296" spans="4:19" ht="18" customHeight="1">
      <c r="D296" s="88"/>
      <c r="E296" s="88"/>
      <c r="F296" s="88"/>
      <c r="G296" s="88"/>
      <c r="H296" s="88"/>
      <c r="I296" s="88"/>
      <c r="J296" s="88"/>
      <c r="K296" s="88"/>
      <c r="L296" s="88"/>
      <c r="M296" s="88"/>
      <c r="N296" s="88"/>
      <c r="O296" s="88"/>
      <c r="P296" s="88"/>
      <c r="Q296" s="88"/>
      <c r="R296" s="88"/>
      <c r="S296" s="88"/>
    </row>
    <row r="297" spans="4:19" ht="18" customHeight="1">
      <c r="D297" s="88"/>
      <c r="E297" s="88"/>
      <c r="F297" s="88"/>
      <c r="G297" s="88"/>
      <c r="H297" s="88"/>
      <c r="I297" s="88"/>
      <c r="J297" s="88"/>
      <c r="K297" s="88"/>
      <c r="L297" s="88"/>
      <c r="M297" s="88"/>
      <c r="N297" s="88"/>
      <c r="O297" s="88"/>
      <c r="P297" s="88"/>
      <c r="Q297" s="88"/>
      <c r="R297" s="88"/>
      <c r="S297" s="88"/>
    </row>
    <row r="298" spans="4:19" ht="18" customHeight="1">
      <c r="D298" s="88"/>
      <c r="E298" s="88"/>
      <c r="F298" s="88"/>
      <c r="G298" s="88"/>
      <c r="H298" s="88"/>
      <c r="I298" s="88"/>
      <c r="J298" s="88"/>
      <c r="K298" s="88"/>
      <c r="L298" s="88"/>
      <c r="M298" s="88"/>
      <c r="N298" s="88"/>
      <c r="O298" s="88"/>
      <c r="P298" s="88"/>
      <c r="Q298" s="88"/>
      <c r="R298" s="88"/>
      <c r="S298" s="88"/>
    </row>
    <row r="299" spans="4:19" ht="18" customHeight="1">
      <c r="D299" s="88"/>
      <c r="E299" s="88"/>
      <c r="F299" s="88"/>
      <c r="G299" s="88"/>
      <c r="H299" s="88"/>
      <c r="I299" s="88"/>
      <c r="J299" s="88"/>
      <c r="K299" s="88"/>
      <c r="L299" s="88"/>
      <c r="M299" s="88"/>
      <c r="N299" s="88"/>
      <c r="O299" s="88"/>
      <c r="P299" s="88"/>
      <c r="Q299" s="88"/>
      <c r="R299" s="88"/>
      <c r="S299" s="88"/>
    </row>
    <row r="300" spans="4:19" ht="18" customHeight="1">
      <c r="D300" s="88"/>
      <c r="E300" s="88"/>
      <c r="F300" s="88"/>
      <c r="G300" s="88"/>
      <c r="H300" s="88"/>
      <c r="I300" s="88"/>
      <c r="J300" s="88"/>
      <c r="K300" s="88"/>
      <c r="L300" s="88"/>
      <c r="M300" s="88"/>
      <c r="N300" s="88"/>
      <c r="O300" s="88"/>
      <c r="P300" s="88"/>
      <c r="Q300" s="88"/>
      <c r="R300" s="88"/>
      <c r="S300" s="88"/>
    </row>
    <row r="301" spans="4:19" ht="18" customHeight="1">
      <c r="D301" s="88"/>
      <c r="E301" s="88"/>
      <c r="F301" s="88"/>
      <c r="G301" s="88"/>
      <c r="H301" s="88"/>
      <c r="I301" s="88"/>
      <c r="J301" s="88"/>
      <c r="K301" s="88"/>
      <c r="L301" s="88"/>
      <c r="M301" s="88"/>
      <c r="N301" s="88"/>
      <c r="O301" s="88"/>
      <c r="P301" s="88"/>
      <c r="Q301" s="88"/>
      <c r="R301" s="88"/>
      <c r="S301" s="88"/>
    </row>
    <row r="302" spans="4:19" ht="18" customHeight="1">
      <c r="D302" s="88"/>
      <c r="E302" s="88"/>
      <c r="F302" s="88"/>
      <c r="G302" s="88"/>
      <c r="H302" s="88"/>
      <c r="I302" s="88"/>
      <c r="J302" s="88"/>
      <c r="K302" s="88"/>
      <c r="L302" s="88"/>
      <c r="M302" s="88"/>
      <c r="N302" s="88"/>
      <c r="O302" s="88"/>
      <c r="P302" s="88"/>
      <c r="Q302" s="88"/>
      <c r="R302" s="88"/>
      <c r="S302" s="88"/>
    </row>
    <row r="303" spans="4:19" ht="18" customHeight="1">
      <c r="D303" s="88"/>
      <c r="E303" s="88"/>
      <c r="F303" s="88"/>
      <c r="G303" s="88"/>
      <c r="H303" s="88"/>
      <c r="I303" s="88"/>
      <c r="J303" s="88"/>
      <c r="K303" s="88"/>
      <c r="L303" s="88"/>
      <c r="M303" s="88"/>
      <c r="N303" s="88"/>
      <c r="O303" s="88"/>
      <c r="P303" s="88"/>
      <c r="Q303" s="88"/>
      <c r="R303" s="88"/>
      <c r="S303" s="88"/>
    </row>
    <row r="304" spans="4:19" ht="18" customHeight="1">
      <c r="D304" s="88"/>
      <c r="E304" s="88"/>
      <c r="F304" s="88"/>
      <c r="G304" s="88"/>
      <c r="H304" s="88"/>
      <c r="I304" s="88"/>
      <c r="J304" s="88"/>
      <c r="K304" s="88"/>
      <c r="L304" s="88"/>
      <c r="M304" s="88"/>
      <c r="N304" s="88"/>
      <c r="O304" s="88"/>
      <c r="P304" s="88"/>
      <c r="Q304" s="88"/>
      <c r="R304" s="88"/>
      <c r="S304" s="88"/>
    </row>
    <row r="305" spans="4:19" ht="18" customHeight="1">
      <c r="D305" s="88"/>
      <c r="E305" s="88"/>
      <c r="F305" s="88"/>
      <c r="G305" s="88"/>
      <c r="H305" s="88"/>
      <c r="I305" s="88"/>
      <c r="J305" s="88"/>
      <c r="K305" s="88"/>
      <c r="L305" s="88"/>
      <c r="M305" s="88"/>
      <c r="N305" s="88"/>
      <c r="O305" s="88"/>
      <c r="P305" s="88"/>
      <c r="Q305" s="88"/>
      <c r="R305" s="88"/>
      <c r="S305" s="88"/>
    </row>
    <row r="306" spans="4:19" ht="18" customHeight="1">
      <c r="D306" s="88"/>
      <c r="E306" s="88"/>
      <c r="F306" s="88"/>
      <c r="G306" s="88"/>
      <c r="H306" s="88"/>
      <c r="I306" s="88"/>
      <c r="J306" s="88"/>
      <c r="K306" s="88"/>
      <c r="L306" s="88"/>
      <c r="M306" s="88"/>
      <c r="N306" s="88"/>
      <c r="O306" s="88"/>
      <c r="P306" s="88"/>
      <c r="Q306" s="88"/>
      <c r="R306" s="88"/>
      <c r="S306" s="88"/>
    </row>
    <row r="307" spans="4:19" ht="18" customHeight="1">
      <c r="D307" s="88"/>
      <c r="E307" s="88"/>
      <c r="F307" s="88"/>
      <c r="G307" s="88"/>
      <c r="H307" s="88"/>
      <c r="I307" s="88"/>
      <c r="J307" s="88"/>
      <c r="K307" s="88"/>
      <c r="L307" s="88"/>
      <c r="M307" s="88"/>
      <c r="N307" s="88"/>
      <c r="O307" s="88"/>
      <c r="P307" s="88"/>
      <c r="Q307" s="88"/>
      <c r="R307" s="88"/>
      <c r="S307" s="88"/>
    </row>
    <row r="308" spans="4:19" ht="18" customHeight="1">
      <c r="D308" s="88"/>
      <c r="E308" s="88"/>
      <c r="F308" s="88"/>
      <c r="G308" s="88"/>
      <c r="H308" s="88"/>
      <c r="I308" s="88"/>
      <c r="J308" s="88"/>
      <c r="K308" s="88"/>
      <c r="L308" s="88"/>
      <c r="M308" s="88"/>
      <c r="N308" s="88"/>
      <c r="O308" s="88"/>
      <c r="P308" s="88"/>
      <c r="Q308" s="88"/>
      <c r="R308" s="88"/>
      <c r="S308" s="88"/>
    </row>
    <row r="309" spans="4:19" ht="18" customHeight="1">
      <c r="D309" s="88"/>
      <c r="E309" s="88"/>
      <c r="F309" s="88"/>
      <c r="G309" s="88"/>
      <c r="H309" s="88"/>
      <c r="I309" s="88"/>
      <c r="J309" s="88"/>
      <c r="K309" s="88"/>
      <c r="L309" s="88"/>
      <c r="M309" s="88"/>
      <c r="N309" s="88"/>
      <c r="O309" s="88"/>
      <c r="P309" s="88"/>
      <c r="Q309" s="88"/>
      <c r="R309" s="88"/>
      <c r="S309" s="88"/>
    </row>
    <row r="310" spans="4:19" ht="18" customHeight="1">
      <c r="D310" s="88"/>
      <c r="E310" s="88"/>
      <c r="F310" s="88"/>
      <c r="G310" s="88"/>
      <c r="H310" s="88"/>
      <c r="I310" s="88"/>
      <c r="J310" s="88"/>
      <c r="K310" s="88"/>
      <c r="L310" s="88"/>
      <c r="M310" s="88"/>
      <c r="N310" s="88"/>
      <c r="O310" s="88"/>
      <c r="P310" s="88"/>
      <c r="Q310" s="88"/>
      <c r="R310" s="88"/>
      <c r="S310" s="88"/>
    </row>
    <row r="311" spans="4:19" ht="18" customHeight="1">
      <c r="D311" s="88"/>
      <c r="E311" s="88"/>
      <c r="F311" s="88"/>
      <c r="G311" s="88"/>
      <c r="H311" s="88"/>
      <c r="I311" s="88"/>
      <c r="J311" s="88"/>
      <c r="K311" s="88"/>
      <c r="L311" s="88"/>
      <c r="M311" s="88"/>
      <c r="N311" s="88"/>
      <c r="O311" s="88"/>
      <c r="P311" s="88"/>
      <c r="Q311" s="88"/>
      <c r="R311" s="88"/>
      <c r="S311" s="88"/>
    </row>
    <row r="312" spans="4:19" ht="18" customHeight="1">
      <c r="D312" s="88"/>
      <c r="E312" s="88"/>
      <c r="F312" s="88"/>
      <c r="G312" s="88"/>
      <c r="H312" s="88"/>
      <c r="I312" s="88"/>
      <c r="J312" s="88"/>
      <c r="K312" s="88"/>
      <c r="L312" s="88"/>
      <c r="M312" s="88"/>
      <c r="N312" s="88"/>
      <c r="O312" s="88"/>
      <c r="P312" s="88"/>
      <c r="Q312" s="88"/>
      <c r="R312" s="88"/>
      <c r="S312" s="88"/>
    </row>
    <row r="313" spans="4:19" ht="18" customHeight="1">
      <c r="D313" s="88"/>
      <c r="E313" s="88"/>
      <c r="F313" s="88"/>
      <c r="G313" s="88"/>
      <c r="H313" s="88"/>
      <c r="I313" s="88"/>
      <c r="J313" s="88"/>
      <c r="K313" s="88"/>
      <c r="L313" s="88"/>
      <c r="M313" s="88"/>
      <c r="N313" s="88"/>
      <c r="O313" s="88"/>
      <c r="P313" s="88"/>
      <c r="Q313" s="88"/>
      <c r="R313" s="88"/>
      <c r="S313" s="88"/>
    </row>
    <row r="314" spans="4:19" ht="18" customHeight="1">
      <c r="D314" s="88"/>
      <c r="E314" s="88"/>
      <c r="F314" s="88"/>
      <c r="G314" s="88"/>
      <c r="H314" s="88"/>
      <c r="I314" s="88"/>
      <c r="J314" s="88"/>
      <c r="K314" s="88"/>
      <c r="L314" s="88"/>
      <c r="M314" s="88"/>
      <c r="N314" s="88"/>
      <c r="O314" s="88"/>
      <c r="P314" s="88"/>
      <c r="Q314" s="88"/>
      <c r="R314" s="88"/>
      <c r="S314" s="88"/>
    </row>
    <row r="315" spans="4:19" ht="18" customHeight="1">
      <c r="D315" s="88"/>
      <c r="E315" s="88"/>
      <c r="F315" s="88"/>
      <c r="G315" s="88"/>
      <c r="H315" s="88"/>
      <c r="I315" s="88"/>
      <c r="J315" s="88"/>
      <c r="K315" s="88"/>
      <c r="L315" s="88"/>
      <c r="M315" s="88"/>
      <c r="N315" s="88"/>
      <c r="O315" s="88"/>
      <c r="P315" s="88"/>
      <c r="Q315" s="88"/>
      <c r="R315" s="88"/>
      <c r="S315" s="88"/>
    </row>
    <row r="316" spans="4:19" ht="18" customHeight="1">
      <c r="D316" s="88"/>
      <c r="E316" s="88"/>
      <c r="F316" s="88"/>
      <c r="G316" s="88"/>
      <c r="H316" s="88"/>
      <c r="I316" s="88"/>
      <c r="J316" s="88"/>
      <c r="K316" s="88"/>
      <c r="L316" s="88"/>
      <c r="M316" s="88"/>
      <c r="N316" s="88"/>
      <c r="O316" s="88"/>
      <c r="P316" s="88"/>
      <c r="Q316" s="88"/>
      <c r="R316" s="88"/>
      <c r="S316" s="88"/>
    </row>
    <row r="317" spans="4:19" ht="18" customHeight="1">
      <c r="D317" s="88"/>
      <c r="E317" s="88"/>
      <c r="F317" s="88"/>
      <c r="G317" s="88"/>
      <c r="H317" s="88"/>
      <c r="I317" s="88"/>
      <c r="J317" s="88"/>
      <c r="K317" s="88"/>
      <c r="L317" s="88"/>
      <c r="M317" s="88"/>
      <c r="N317" s="88"/>
      <c r="O317" s="88"/>
      <c r="P317" s="88"/>
      <c r="Q317" s="88"/>
      <c r="R317" s="88"/>
      <c r="S317" s="88"/>
    </row>
    <row r="318" spans="4:19" ht="18" customHeight="1">
      <c r="D318" s="88"/>
      <c r="E318" s="88"/>
      <c r="F318" s="88"/>
      <c r="G318" s="88"/>
      <c r="H318" s="88"/>
      <c r="I318" s="88"/>
      <c r="J318" s="88"/>
      <c r="K318" s="88"/>
      <c r="L318" s="88"/>
      <c r="M318" s="88"/>
      <c r="N318" s="88"/>
      <c r="O318" s="88"/>
      <c r="P318" s="88"/>
      <c r="Q318" s="88"/>
      <c r="R318" s="88"/>
      <c r="S318" s="88"/>
    </row>
    <row r="319" spans="4:19" ht="18" customHeight="1">
      <c r="D319" s="88"/>
      <c r="E319" s="88"/>
      <c r="F319" s="88"/>
      <c r="G319" s="88"/>
      <c r="H319" s="88"/>
      <c r="I319" s="88"/>
      <c r="J319" s="88"/>
      <c r="K319" s="88"/>
      <c r="L319" s="88"/>
      <c r="M319" s="88"/>
      <c r="N319" s="88"/>
      <c r="O319" s="88"/>
      <c r="P319" s="88"/>
      <c r="Q319" s="88"/>
      <c r="R319" s="88"/>
      <c r="S319" s="88"/>
    </row>
    <row r="320" spans="4:19" ht="18" customHeight="1">
      <c r="D320" s="88"/>
      <c r="E320" s="88"/>
      <c r="F320" s="88"/>
      <c r="G320" s="88"/>
      <c r="H320" s="88"/>
      <c r="I320" s="88"/>
      <c r="J320" s="88"/>
      <c r="K320" s="88"/>
      <c r="L320" s="88"/>
      <c r="M320" s="88"/>
      <c r="N320" s="88"/>
      <c r="O320" s="88"/>
      <c r="P320" s="88"/>
      <c r="Q320" s="88"/>
      <c r="R320" s="88"/>
      <c r="S320" s="88"/>
    </row>
    <row r="321" spans="4:19" ht="18" customHeight="1">
      <c r="D321" s="88"/>
      <c r="E321" s="88"/>
      <c r="F321" s="88"/>
      <c r="G321" s="88"/>
      <c r="H321" s="88"/>
      <c r="I321" s="88"/>
      <c r="J321" s="88"/>
      <c r="K321" s="88"/>
      <c r="L321" s="88"/>
      <c r="M321" s="88"/>
      <c r="N321" s="88"/>
      <c r="O321" s="88"/>
      <c r="P321" s="88"/>
      <c r="Q321" s="88"/>
      <c r="R321" s="88"/>
      <c r="S321" s="88"/>
    </row>
    <row r="322" spans="4:19" ht="18" customHeight="1">
      <c r="D322" s="88"/>
      <c r="E322" s="88"/>
      <c r="F322" s="88"/>
      <c r="G322" s="88"/>
      <c r="H322" s="88"/>
      <c r="I322" s="88"/>
      <c r="J322" s="88"/>
      <c r="K322" s="88"/>
      <c r="L322" s="88"/>
      <c r="M322" s="88"/>
      <c r="N322" s="88"/>
      <c r="O322" s="88"/>
      <c r="P322" s="88"/>
      <c r="Q322" s="88"/>
      <c r="R322" s="88"/>
      <c r="S322" s="88"/>
    </row>
    <row r="323" spans="4:19" ht="18" customHeight="1">
      <c r="D323" s="88"/>
      <c r="E323" s="88"/>
      <c r="F323" s="88"/>
      <c r="G323" s="88"/>
      <c r="H323" s="88"/>
      <c r="I323" s="88"/>
      <c r="J323" s="88"/>
      <c r="K323" s="88"/>
      <c r="L323" s="88"/>
      <c r="M323" s="88"/>
      <c r="N323" s="88"/>
      <c r="O323" s="88"/>
      <c r="P323" s="88"/>
      <c r="Q323" s="88"/>
      <c r="R323" s="88"/>
      <c r="S323" s="88"/>
    </row>
    <row r="324" spans="4:19" ht="18" customHeight="1">
      <c r="D324" s="88"/>
      <c r="E324" s="88"/>
      <c r="F324" s="88"/>
      <c r="G324" s="88"/>
      <c r="H324" s="88"/>
      <c r="I324" s="88"/>
      <c r="J324" s="88"/>
      <c r="K324" s="88"/>
      <c r="L324" s="88"/>
      <c r="M324" s="88"/>
      <c r="N324" s="88"/>
      <c r="O324" s="88"/>
      <c r="P324" s="88"/>
      <c r="Q324" s="88"/>
      <c r="R324" s="88"/>
      <c r="S324" s="88"/>
    </row>
    <row r="325" spans="4:19" ht="18" customHeight="1">
      <c r="D325" s="88"/>
      <c r="E325" s="88"/>
      <c r="F325" s="88"/>
      <c r="G325" s="88"/>
      <c r="H325" s="88"/>
      <c r="I325" s="88"/>
      <c r="J325" s="88"/>
      <c r="K325" s="88"/>
      <c r="L325" s="88"/>
      <c r="M325" s="88"/>
      <c r="N325" s="88"/>
      <c r="O325" s="88"/>
      <c r="P325" s="88"/>
      <c r="Q325" s="88"/>
      <c r="R325" s="88"/>
      <c r="S325" s="88"/>
    </row>
    <row r="326" spans="4:19" ht="18" customHeight="1">
      <c r="D326" s="88"/>
      <c r="E326" s="88"/>
      <c r="F326" s="88"/>
      <c r="G326" s="88"/>
      <c r="H326" s="88"/>
      <c r="I326" s="88"/>
      <c r="J326" s="88"/>
      <c r="K326" s="88"/>
      <c r="L326" s="88"/>
      <c r="M326" s="88"/>
      <c r="N326" s="88"/>
      <c r="O326" s="88"/>
      <c r="P326" s="88"/>
      <c r="Q326" s="88"/>
      <c r="R326" s="88"/>
      <c r="S326" s="88"/>
    </row>
    <row r="327" spans="4:19" ht="18" customHeight="1">
      <c r="D327" s="88"/>
      <c r="E327" s="88"/>
      <c r="F327" s="88"/>
      <c r="G327" s="88"/>
      <c r="H327" s="88"/>
      <c r="I327" s="88"/>
      <c r="J327" s="88"/>
      <c r="K327" s="88"/>
      <c r="L327" s="88"/>
      <c r="M327" s="88"/>
      <c r="N327" s="88"/>
      <c r="O327" s="88"/>
      <c r="P327" s="88"/>
      <c r="Q327" s="88"/>
      <c r="R327" s="88"/>
      <c r="S327" s="88"/>
    </row>
    <row r="328" spans="4:19" ht="18" customHeight="1">
      <c r="D328" s="88"/>
      <c r="E328" s="88"/>
      <c r="F328" s="88"/>
      <c r="G328" s="88"/>
      <c r="H328" s="88"/>
      <c r="I328" s="88"/>
      <c r="J328" s="88"/>
      <c r="K328" s="88"/>
      <c r="L328" s="88"/>
      <c r="M328" s="88"/>
      <c r="N328" s="88"/>
      <c r="O328" s="88"/>
      <c r="P328" s="88"/>
      <c r="Q328" s="88"/>
      <c r="R328" s="88"/>
      <c r="S328" s="88"/>
    </row>
    <row r="329" spans="4:19" ht="18" customHeight="1">
      <c r="D329" s="88"/>
      <c r="E329" s="88"/>
      <c r="F329" s="88"/>
      <c r="G329" s="88"/>
      <c r="H329" s="88"/>
      <c r="I329" s="88"/>
      <c r="J329" s="88"/>
      <c r="K329" s="88"/>
      <c r="L329" s="88"/>
      <c r="M329" s="88"/>
      <c r="N329" s="88"/>
      <c r="O329" s="88"/>
      <c r="P329" s="88"/>
      <c r="Q329" s="88"/>
      <c r="R329" s="88"/>
      <c r="S329" s="88"/>
    </row>
    <row r="330" spans="4:19" ht="18" customHeight="1">
      <c r="D330" s="88"/>
      <c r="E330" s="88"/>
      <c r="F330" s="88"/>
      <c r="G330" s="88"/>
      <c r="H330" s="88"/>
      <c r="I330" s="88"/>
      <c r="J330" s="88"/>
      <c r="K330" s="88"/>
      <c r="L330" s="88"/>
      <c r="M330" s="88"/>
      <c r="N330" s="88"/>
      <c r="O330" s="88"/>
      <c r="P330" s="88"/>
      <c r="Q330" s="88"/>
      <c r="R330" s="88"/>
      <c r="S330" s="88"/>
    </row>
    <row r="331" spans="4:19" ht="18" customHeight="1">
      <c r="D331" s="88"/>
      <c r="E331" s="88"/>
      <c r="F331" s="88"/>
      <c r="G331" s="88"/>
      <c r="H331" s="88"/>
      <c r="I331" s="88"/>
      <c r="J331" s="88"/>
      <c r="K331" s="88"/>
      <c r="L331" s="88"/>
      <c r="M331" s="88"/>
      <c r="N331" s="88"/>
      <c r="O331" s="88"/>
      <c r="P331" s="88"/>
      <c r="Q331" s="88"/>
      <c r="R331" s="88"/>
      <c r="S331" s="88"/>
    </row>
    <row r="332" spans="4:19" ht="18" customHeight="1">
      <c r="D332" s="88"/>
      <c r="E332" s="88"/>
      <c r="F332" s="88"/>
      <c r="G332" s="88"/>
      <c r="H332" s="88"/>
      <c r="I332" s="88"/>
      <c r="J332" s="88"/>
      <c r="K332" s="88"/>
      <c r="L332" s="88"/>
      <c r="M332" s="88"/>
      <c r="N332" s="88"/>
      <c r="O332" s="88"/>
      <c r="P332" s="88"/>
      <c r="Q332" s="88"/>
      <c r="R332" s="88"/>
      <c r="S332" s="88"/>
    </row>
    <row r="333" spans="4:19" ht="18" customHeight="1">
      <c r="D333" s="88"/>
      <c r="E333" s="88"/>
      <c r="F333" s="88"/>
      <c r="G333" s="88"/>
      <c r="H333" s="88"/>
      <c r="I333" s="88"/>
      <c r="J333" s="88"/>
      <c r="K333" s="88"/>
      <c r="L333" s="88"/>
      <c r="M333" s="88"/>
      <c r="N333" s="88"/>
      <c r="O333" s="88"/>
      <c r="P333" s="88"/>
      <c r="Q333" s="88"/>
      <c r="R333" s="88"/>
      <c r="S333" s="88"/>
    </row>
    <row r="334" spans="4:19" ht="18" customHeight="1">
      <c r="D334" s="88"/>
      <c r="E334" s="88"/>
      <c r="F334" s="88"/>
      <c r="G334" s="88"/>
      <c r="H334" s="88"/>
      <c r="I334" s="88"/>
      <c r="J334" s="88"/>
      <c r="K334" s="88"/>
      <c r="L334" s="88"/>
      <c r="M334" s="88"/>
      <c r="N334" s="88"/>
      <c r="O334" s="88"/>
      <c r="P334" s="88"/>
      <c r="Q334" s="88"/>
      <c r="R334" s="88"/>
      <c r="S334" s="88"/>
    </row>
    <row r="335" spans="4:19" ht="18" customHeight="1">
      <c r="D335" s="88"/>
      <c r="E335" s="88"/>
      <c r="F335" s="88"/>
      <c r="G335" s="88"/>
      <c r="H335" s="88"/>
      <c r="I335" s="88"/>
      <c r="J335" s="88"/>
      <c r="K335" s="88"/>
      <c r="L335" s="88"/>
      <c r="M335" s="88"/>
      <c r="N335" s="88"/>
      <c r="O335" s="88"/>
      <c r="P335" s="88"/>
      <c r="Q335" s="88"/>
      <c r="R335" s="88"/>
      <c r="S335" s="88"/>
    </row>
    <row r="336" spans="4:19" ht="18" customHeight="1">
      <c r="D336" s="88"/>
      <c r="E336" s="88"/>
      <c r="F336" s="88"/>
      <c r="G336" s="88"/>
      <c r="H336" s="88"/>
      <c r="I336" s="88"/>
      <c r="J336" s="88"/>
      <c r="K336" s="88"/>
      <c r="L336" s="88"/>
      <c r="M336" s="88"/>
      <c r="N336" s="88"/>
      <c r="O336" s="88"/>
      <c r="P336" s="88"/>
      <c r="Q336" s="88"/>
      <c r="R336" s="88"/>
      <c r="S336" s="88"/>
    </row>
    <row r="337" spans="4:19" ht="18" customHeight="1">
      <c r="D337" s="88"/>
      <c r="E337" s="88"/>
      <c r="F337" s="88"/>
      <c r="G337" s="88"/>
      <c r="H337" s="88"/>
      <c r="I337" s="88"/>
      <c r="J337" s="88"/>
      <c r="K337" s="88"/>
      <c r="L337" s="88"/>
      <c r="M337" s="88"/>
      <c r="N337" s="88"/>
      <c r="O337" s="88"/>
      <c r="P337" s="88"/>
      <c r="Q337" s="88"/>
      <c r="R337" s="88"/>
      <c r="S337" s="88"/>
    </row>
    <row r="338" spans="4:19" ht="18" customHeight="1">
      <c r="D338" s="88"/>
      <c r="E338" s="88"/>
      <c r="F338" s="88"/>
      <c r="G338" s="88"/>
      <c r="H338" s="88"/>
      <c r="I338" s="88"/>
      <c r="J338" s="88"/>
      <c r="K338" s="88"/>
      <c r="L338" s="88"/>
      <c r="M338" s="88"/>
      <c r="N338" s="88"/>
      <c r="O338" s="88"/>
      <c r="P338" s="88"/>
      <c r="Q338" s="88"/>
      <c r="R338" s="88"/>
      <c r="S338" s="88"/>
    </row>
    <row r="339" spans="4:19" ht="18" customHeight="1">
      <c r="D339" s="88"/>
      <c r="E339" s="88"/>
      <c r="F339" s="88"/>
      <c r="G339" s="88"/>
      <c r="H339" s="88"/>
      <c r="I339" s="88"/>
      <c r="J339" s="88"/>
      <c r="K339" s="88"/>
      <c r="L339" s="88"/>
      <c r="M339" s="88"/>
      <c r="N339" s="88"/>
      <c r="O339" s="88"/>
      <c r="P339" s="88"/>
      <c r="Q339" s="88"/>
      <c r="R339" s="88"/>
      <c r="S339" s="88"/>
    </row>
    <row r="340" spans="4:19" ht="18" customHeight="1">
      <c r="D340" s="88"/>
      <c r="E340" s="88"/>
      <c r="F340" s="88"/>
      <c r="G340" s="88"/>
      <c r="H340" s="88"/>
      <c r="I340" s="88"/>
      <c r="J340" s="88"/>
      <c r="K340" s="88"/>
      <c r="L340" s="88"/>
      <c r="M340" s="88"/>
      <c r="N340" s="88"/>
      <c r="O340" s="88"/>
      <c r="P340" s="88"/>
      <c r="Q340" s="88"/>
      <c r="R340" s="88"/>
      <c r="S340" s="88"/>
    </row>
    <row r="341" spans="4:19" ht="18" customHeight="1">
      <c r="D341" s="88"/>
      <c r="E341" s="88"/>
      <c r="F341" s="88"/>
      <c r="G341" s="88"/>
      <c r="H341" s="88"/>
      <c r="I341" s="88"/>
      <c r="J341" s="88"/>
      <c r="K341" s="88"/>
      <c r="L341" s="88"/>
      <c r="M341" s="88"/>
      <c r="N341" s="88"/>
      <c r="O341" s="88"/>
      <c r="P341" s="88"/>
      <c r="Q341" s="88"/>
      <c r="R341" s="88"/>
      <c r="S341" s="88"/>
    </row>
    <row r="342" spans="4:19" ht="18" customHeight="1">
      <c r="D342" s="88"/>
      <c r="E342" s="88"/>
      <c r="F342" s="88"/>
      <c r="G342" s="88"/>
      <c r="H342" s="88"/>
      <c r="I342" s="88"/>
      <c r="J342" s="88"/>
      <c r="K342" s="88"/>
      <c r="L342" s="88"/>
      <c r="M342" s="88"/>
      <c r="N342" s="88"/>
      <c r="O342" s="88"/>
      <c r="P342" s="88"/>
      <c r="Q342" s="88"/>
      <c r="R342" s="88"/>
      <c r="S342" s="88"/>
    </row>
    <row r="343" spans="4:19" ht="18" customHeight="1">
      <c r="D343" s="88"/>
      <c r="E343" s="88"/>
      <c r="F343" s="88"/>
      <c r="G343" s="88"/>
      <c r="H343" s="88"/>
      <c r="I343" s="88"/>
      <c r="J343" s="88"/>
      <c r="K343" s="88"/>
      <c r="L343" s="88"/>
      <c r="M343" s="88"/>
      <c r="N343" s="88"/>
      <c r="O343" s="88"/>
      <c r="P343" s="88"/>
      <c r="Q343" s="88"/>
      <c r="R343" s="88"/>
      <c r="S343" s="88"/>
    </row>
    <row r="344" spans="4:19" ht="18" customHeight="1">
      <c r="D344" s="88"/>
      <c r="E344" s="88"/>
      <c r="F344" s="88"/>
      <c r="G344" s="88"/>
      <c r="H344" s="88"/>
      <c r="I344" s="88"/>
      <c r="J344" s="88"/>
      <c r="K344" s="88"/>
      <c r="L344" s="88"/>
      <c r="M344" s="88"/>
      <c r="N344" s="88"/>
      <c r="O344" s="88"/>
      <c r="P344" s="88"/>
      <c r="Q344" s="88"/>
      <c r="R344" s="88"/>
      <c r="S344" s="88"/>
    </row>
    <row r="345" spans="4:19" ht="18" customHeight="1">
      <c r="D345" s="88"/>
      <c r="E345" s="88"/>
      <c r="F345" s="88"/>
      <c r="G345" s="88"/>
      <c r="H345" s="88"/>
      <c r="I345" s="88"/>
      <c r="J345" s="88"/>
      <c r="K345" s="88"/>
      <c r="L345" s="88"/>
      <c r="M345" s="88"/>
      <c r="N345" s="88"/>
      <c r="O345" s="88"/>
      <c r="P345" s="88"/>
      <c r="Q345" s="88"/>
      <c r="R345" s="88"/>
      <c r="S345" s="88"/>
    </row>
    <row r="346" spans="4:19" ht="18" customHeight="1">
      <c r="D346" s="88"/>
      <c r="E346" s="88"/>
      <c r="F346" s="88"/>
      <c r="G346" s="88"/>
      <c r="H346" s="88"/>
      <c r="I346" s="88"/>
      <c r="J346" s="88"/>
      <c r="K346" s="88"/>
      <c r="L346" s="88"/>
      <c r="M346" s="88"/>
      <c r="N346" s="88"/>
      <c r="O346" s="88"/>
      <c r="P346" s="88"/>
      <c r="Q346" s="88"/>
      <c r="R346" s="88"/>
      <c r="S346" s="88"/>
    </row>
    <row r="347" spans="4:19" ht="18" customHeight="1">
      <c r="D347" s="88"/>
      <c r="E347" s="88"/>
      <c r="F347" s="88"/>
      <c r="G347" s="88"/>
      <c r="H347" s="88"/>
      <c r="I347" s="88"/>
      <c r="J347" s="88"/>
      <c r="K347" s="88"/>
      <c r="L347" s="88"/>
      <c r="M347" s="88"/>
      <c r="N347" s="88"/>
      <c r="O347" s="88"/>
      <c r="P347" s="88"/>
      <c r="Q347" s="88"/>
      <c r="R347" s="88"/>
      <c r="S347" s="88"/>
    </row>
    <row r="348" spans="4:19" ht="18" customHeight="1">
      <c r="D348" s="88"/>
      <c r="E348" s="88"/>
      <c r="F348" s="88"/>
      <c r="G348" s="88"/>
      <c r="H348" s="88"/>
      <c r="I348" s="88"/>
      <c r="J348" s="88"/>
      <c r="K348" s="88"/>
      <c r="L348" s="88"/>
      <c r="M348" s="88"/>
      <c r="N348" s="88"/>
      <c r="O348" s="88"/>
      <c r="P348" s="88"/>
      <c r="Q348" s="88"/>
      <c r="R348" s="88"/>
      <c r="S348" s="88"/>
    </row>
    <row r="349" spans="4:19" ht="18" customHeight="1">
      <c r="D349" s="88"/>
      <c r="E349" s="88"/>
      <c r="F349" s="88"/>
      <c r="G349" s="88"/>
      <c r="H349" s="88"/>
      <c r="I349" s="88"/>
      <c r="J349" s="88"/>
      <c r="K349" s="88"/>
      <c r="L349" s="88"/>
      <c r="M349" s="88"/>
      <c r="N349" s="88"/>
      <c r="O349" s="88"/>
      <c r="P349" s="88"/>
      <c r="Q349" s="88"/>
      <c r="R349" s="88"/>
      <c r="S349" s="88"/>
    </row>
    <row r="350" spans="4:19" ht="18" customHeight="1">
      <c r="D350" s="88"/>
      <c r="E350" s="88"/>
      <c r="F350" s="88"/>
      <c r="G350" s="88"/>
      <c r="H350" s="88"/>
      <c r="I350" s="88"/>
      <c r="J350" s="88"/>
      <c r="K350" s="88"/>
      <c r="L350" s="88"/>
      <c r="M350" s="88"/>
      <c r="N350" s="88"/>
      <c r="O350" s="88"/>
      <c r="P350" s="88"/>
      <c r="Q350" s="88"/>
      <c r="R350" s="88"/>
      <c r="S350" s="88"/>
    </row>
    <row r="351" spans="4:19" ht="18" customHeight="1">
      <c r="D351" s="88"/>
      <c r="E351" s="88"/>
      <c r="F351" s="88"/>
      <c r="G351" s="88"/>
      <c r="H351" s="88"/>
      <c r="I351" s="88"/>
      <c r="J351" s="88"/>
      <c r="K351" s="88"/>
      <c r="L351" s="88"/>
      <c r="M351" s="88"/>
      <c r="N351" s="88"/>
      <c r="O351" s="88"/>
      <c r="P351" s="88"/>
      <c r="Q351" s="88"/>
      <c r="R351" s="88"/>
      <c r="S351" s="88"/>
    </row>
    <row r="352" spans="4:19" ht="18" customHeight="1">
      <c r="D352" s="88"/>
      <c r="E352" s="88"/>
      <c r="F352" s="88"/>
      <c r="G352" s="88"/>
      <c r="H352" s="88"/>
      <c r="I352" s="88"/>
      <c r="J352" s="88"/>
      <c r="K352" s="88"/>
      <c r="L352" s="88"/>
      <c r="M352" s="88"/>
      <c r="N352" s="88"/>
      <c r="O352" s="88"/>
      <c r="P352" s="88"/>
      <c r="Q352" s="88"/>
      <c r="R352" s="88"/>
      <c r="S352" s="88"/>
    </row>
    <row r="353" spans="4:19" ht="18" customHeight="1">
      <c r="D353" s="88"/>
      <c r="E353" s="88"/>
      <c r="F353" s="88"/>
      <c r="G353" s="88"/>
      <c r="H353" s="88"/>
      <c r="I353" s="88"/>
      <c r="J353" s="88"/>
      <c r="K353" s="88"/>
      <c r="L353" s="88"/>
      <c r="M353" s="88"/>
      <c r="N353" s="88"/>
      <c r="O353" s="88"/>
      <c r="P353" s="88"/>
      <c r="Q353" s="88"/>
      <c r="R353" s="88"/>
      <c r="S353" s="88"/>
    </row>
    <row r="354" spans="4:19" ht="18" customHeight="1">
      <c r="D354" s="88"/>
      <c r="E354" s="88"/>
      <c r="F354" s="88"/>
      <c r="G354" s="88"/>
      <c r="H354" s="88"/>
      <c r="I354" s="88"/>
      <c r="J354" s="88"/>
      <c r="K354" s="88"/>
      <c r="L354" s="88"/>
      <c r="M354" s="88"/>
      <c r="N354" s="88"/>
      <c r="O354" s="88"/>
      <c r="P354" s="88"/>
      <c r="Q354" s="88"/>
      <c r="R354" s="88"/>
      <c r="S354" s="88"/>
    </row>
    <row r="355" spans="4:19" ht="18" customHeight="1">
      <c r="D355" s="88"/>
      <c r="E355" s="88"/>
      <c r="F355" s="88"/>
      <c r="G355" s="88"/>
      <c r="H355" s="88"/>
      <c r="I355" s="88"/>
      <c r="J355" s="88"/>
      <c r="K355" s="88"/>
      <c r="L355" s="88"/>
      <c r="M355" s="88"/>
      <c r="N355" s="88"/>
      <c r="O355" s="88"/>
      <c r="P355" s="88"/>
      <c r="Q355" s="88"/>
      <c r="R355" s="88"/>
      <c r="S355" s="88"/>
    </row>
    <row r="356" spans="4:19" ht="18" customHeight="1">
      <c r="D356" s="88"/>
      <c r="E356" s="88"/>
      <c r="F356" s="88"/>
      <c r="G356" s="88"/>
      <c r="H356" s="88"/>
      <c r="I356" s="88"/>
      <c r="J356" s="88"/>
      <c r="K356" s="88"/>
      <c r="L356" s="88"/>
      <c r="M356" s="88"/>
      <c r="N356" s="88"/>
      <c r="O356" s="88"/>
      <c r="P356" s="88"/>
      <c r="Q356" s="88"/>
      <c r="R356" s="88"/>
      <c r="S356" s="88"/>
    </row>
    <row r="357" spans="4:19" ht="18" customHeight="1">
      <c r="D357" s="88"/>
      <c r="E357" s="88"/>
      <c r="F357" s="88"/>
      <c r="G357" s="88"/>
      <c r="H357" s="88"/>
      <c r="I357" s="88"/>
      <c r="J357" s="88"/>
      <c r="K357" s="88"/>
      <c r="L357" s="88"/>
      <c r="M357" s="88"/>
      <c r="N357" s="88"/>
      <c r="O357" s="88"/>
      <c r="P357" s="88"/>
      <c r="Q357" s="88"/>
      <c r="R357" s="88"/>
      <c r="S357" s="88"/>
    </row>
    <row r="358" spans="4:19" ht="18" customHeight="1">
      <c r="D358" s="88"/>
      <c r="E358" s="88"/>
      <c r="F358" s="88"/>
      <c r="G358" s="88"/>
      <c r="H358" s="88"/>
      <c r="I358" s="88"/>
      <c r="J358" s="88"/>
      <c r="K358" s="88"/>
      <c r="L358" s="88"/>
      <c r="M358" s="88"/>
      <c r="N358" s="88"/>
      <c r="O358" s="88"/>
      <c r="P358" s="88"/>
      <c r="Q358" s="88"/>
      <c r="R358" s="88"/>
      <c r="S358" s="88"/>
    </row>
    <row r="359" spans="4:19" ht="18" customHeight="1">
      <c r="D359" s="88"/>
      <c r="E359" s="88"/>
      <c r="F359" s="88"/>
      <c r="G359" s="88"/>
      <c r="H359" s="88"/>
      <c r="I359" s="88"/>
      <c r="J359" s="88"/>
      <c r="K359" s="88"/>
      <c r="L359" s="88"/>
      <c r="M359" s="88"/>
      <c r="N359" s="88"/>
      <c r="O359" s="88"/>
      <c r="P359" s="88"/>
      <c r="Q359" s="88"/>
      <c r="R359" s="88"/>
      <c r="S359" s="88"/>
    </row>
    <row r="360" spans="4:19" ht="18" customHeight="1">
      <c r="D360" s="88"/>
      <c r="E360" s="88"/>
      <c r="F360" s="88"/>
      <c r="G360" s="88"/>
      <c r="H360" s="88"/>
      <c r="I360" s="88"/>
      <c r="J360" s="88"/>
      <c r="K360" s="88"/>
      <c r="L360" s="88"/>
      <c r="M360" s="88"/>
      <c r="N360" s="88"/>
      <c r="O360" s="88"/>
      <c r="P360" s="88"/>
      <c r="Q360" s="88"/>
      <c r="R360" s="88"/>
      <c r="S360" s="88"/>
    </row>
    <row r="361" spans="4:19" ht="18" customHeight="1">
      <c r="D361" s="88"/>
      <c r="E361" s="88"/>
      <c r="F361" s="88"/>
      <c r="G361" s="88"/>
      <c r="H361" s="88"/>
      <c r="I361" s="88"/>
      <c r="J361" s="88"/>
      <c r="K361" s="88"/>
      <c r="L361" s="88"/>
      <c r="M361" s="88"/>
      <c r="N361" s="88"/>
      <c r="O361" s="88"/>
      <c r="P361" s="88"/>
      <c r="Q361" s="88"/>
      <c r="R361" s="88"/>
      <c r="S361" s="88"/>
    </row>
    <row r="362" spans="4:19" ht="18" customHeight="1">
      <c r="D362" s="88"/>
      <c r="E362" s="88"/>
      <c r="F362" s="88"/>
      <c r="G362" s="88"/>
      <c r="H362" s="88"/>
      <c r="I362" s="88"/>
      <c r="J362" s="88"/>
      <c r="K362" s="88"/>
      <c r="L362" s="88"/>
      <c r="M362" s="88"/>
      <c r="N362" s="88"/>
      <c r="O362" s="88"/>
      <c r="P362" s="88"/>
      <c r="Q362" s="88"/>
      <c r="R362" s="88"/>
      <c r="S362" s="88"/>
    </row>
    <row r="363" spans="4:19" ht="18" customHeight="1">
      <c r="D363" s="88"/>
      <c r="E363" s="88"/>
      <c r="F363" s="88"/>
      <c r="G363" s="88"/>
      <c r="H363" s="88"/>
      <c r="I363" s="88"/>
      <c r="J363" s="88"/>
      <c r="K363" s="88"/>
      <c r="L363" s="88"/>
      <c r="M363" s="88"/>
      <c r="N363" s="88"/>
      <c r="O363" s="88"/>
      <c r="P363" s="88"/>
      <c r="Q363" s="88"/>
      <c r="R363" s="88"/>
      <c r="S363" s="88"/>
    </row>
    <row r="364" spans="4:19" ht="18" customHeight="1">
      <c r="D364" s="88"/>
      <c r="E364" s="88"/>
      <c r="F364" s="88"/>
      <c r="G364" s="88"/>
      <c r="H364" s="88"/>
      <c r="I364" s="88"/>
      <c r="J364" s="88"/>
      <c r="K364" s="88"/>
      <c r="L364" s="88"/>
      <c r="M364" s="88"/>
      <c r="N364" s="88"/>
      <c r="O364" s="88"/>
      <c r="P364" s="88"/>
      <c r="Q364" s="88"/>
      <c r="R364" s="88"/>
      <c r="S364" s="88"/>
    </row>
    <row r="365" spans="4:19" ht="18" customHeight="1">
      <c r="D365" s="88"/>
      <c r="E365" s="88"/>
      <c r="F365" s="88"/>
      <c r="G365" s="88"/>
      <c r="H365" s="88"/>
      <c r="I365" s="88"/>
      <c r="J365" s="88"/>
      <c r="K365" s="88"/>
      <c r="L365" s="88"/>
      <c r="M365" s="88"/>
      <c r="N365" s="88"/>
      <c r="O365" s="88"/>
      <c r="P365" s="88"/>
      <c r="Q365" s="88"/>
      <c r="R365" s="88"/>
      <c r="S365" s="88"/>
    </row>
    <row r="366" spans="4:19" ht="18" customHeight="1">
      <c r="D366" s="88"/>
      <c r="E366" s="88"/>
      <c r="F366" s="88"/>
      <c r="G366" s="88"/>
      <c r="H366" s="88"/>
      <c r="I366" s="88"/>
      <c r="J366" s="88"/>
      <c r="K366" s="88"/>
      <c r="L366" s="88"/>
      <c r="M366" s="88"/>
      <c r="N366" s="88"/>
      <c r="O366" s="88"/>
      <c r="P366" s="88"/>
      <c r="Q366" s="88"/>
      <c r="R366" s="88"/>
      <c r="S366" s="88"/>
    </row>
    <row r="367" spans="4:19" ht="18" customHeight="1">
      <c r="D367" s="88"/>
      <c r="E367" s="88"/>
      <c r="F367" s="88"/>
      <c r="G367" s="88"/>
      <c r="H367" s="88"/>
      <c r="I367" s="88"/>
      <c r="J367" s="88"/>
      <c r="K367" s="88"/>
      <c r="L367" s="88"/>
      <c r="M367" s="88"/>
      <c r="N367" s="88"/>
      <c r="O367" s="88"/>
      <c r="P367" s="88"/>
      <c r="Q367" s="88"/>
      <c r="R367" s="88"/>
      <c r="S367" s="88"/>
    </row>
    <row r="368" spans="4:19" ht="18" customHeight="1">
      <c r="D368" s="88"/>
      <c r="E368" s="88"/>
      <c r="F368" s="88"/>
      <c r="G368" s="88"/>
      <c r="H368" s="88"/>
      <c r="I368" s="88"/>
      <c r="J368" s="88"/>
      <c r="K368" s="88"/>
      <c r="L368" s="88"/>
      <c r="M368" s="88"/>
      <c r="N368" s="88"/>
      <c r="O368" s="88"/>
      <c r="P368" s="88"/>
      <c r="Q368" s="88"/>
      <c r="R368" s="88"/>
      <c r="S368" s="88"/>
    </row>
    <row r="369" spans="4:19" ht="18" customHeight="1">
      <c r="D369" s="88"/>
      <c r="E369" s="88"/>
      <c r="F369" s="88"/>
      <c r="G369" s="88"/>
      <c r="H369" s="88"/>
      <c r="I369" s="88"/>
      <c r="J369" s="88"/>
      <c r="K369" s="88"/>
      <c r="L369" s="88"/>
      <c r="M369" s="88"/>
      <c r="N369" s="88"/>
      <c r="O369" s="88"/>
      <c r="P369" s="88"/>
      <c r="Q369" s="88"/>
      <c r="R369" s="88"/>
      <c r="S369" s="88"/>
    </row>
    <row r="370" spans="4:19" ht="18" customHeight="1">
      <c r="D370" s="88"/>
      <c r="E370" s="88"/>
      <c r="F370" s="88"/>
      <c r="G370" s="88"/>
      <c r="H370" s="88"/>
      <c r="I370" s="88"/>
      <c r="J370" s="88"/>
      <c r="K370" s="88"/>
      <c r="L370" s="88"/>
      <c r="M370" s="88"/>
      <c r="N370" s="88"/>
      <c r="O370" s="88"/>
      <c r="P370" s="88"/>
      <c r="Q370" s="88"/>
      <c r="R370" s="88"/>
      <c r="S370" s="88"/>
    </row>
    <row r="371" spans="4:19" ht="18" customHeight="1">
      <c r="D371" s="88"/>
      <c r="E371" s="88"/>
      <c r="F371" s="88"/>
      <c r="G371" s="88"/>
      <c r="H371" s="88"/>
      <c r="I371" s="88"/>
      <c r="J371" s="88"/>
      <c r="K371" s="88"/>
      <c r="L371" s="88"/>
      <c r="M371" s="88"/>
      <c r="N371" s="88"/>
      <c r="O371" s="88"/>
      <c r="P371" s="88"/>
      <c r="Q371" s="88"/>
      <c r="R371" s="88"/>
      <c r="S371" s="88"/>
    </row>
    <row r="372" spans="4:19" ht="18" customHeight="1">
      <c r="D372" s="88"/>
      <c r="E372" s="88"/>
      <c r="F372" s="88"/>
      <c r="G372" s="88"/>
      <c r="H372" s="88"/>
      <c r="I372" s="88"/>
      <c r="J372" s="88"/>
      <c r="K372" s="88"/>
      <c r="L372" s="88"/>
      <c r="M372" s="88"/>
      <c r="N372" s="88"/>
      <c r="O372" s="88"/>
      <c r="P372" s="88"/>
      <c r="Q372" s="88"/>
      <c r="R372" s="88"/>
      <c r="S372" s="88"/>
    </row>
    <row r="373" spans="4:19" ht="18" customHeight="1">
      <c r="D373" s="88"/>
      <c r="E373" s="88"/>
      <c r="F373" s="88"/>
      <c r="G373" s="88"/>
      <c r="H373" s="88"/>
      <c r="I373" s="88"/>
      <c r="J373" s="88"/>
      <c r="K373" s="88"/>
      <c r="L373" s="88"/>
      <c r="M373" s="88"/>
      <c r="N373" s="88"/>
      <c r="O373" s="88"/>
      <c r="P373" s="88"/>
      <c r="Q373" s="88"/>
      <c r="R373" s="88"/>
      <c r="S373" s="88"/>
    </row>
    <row r="374" spans="4:19" ht="18" customHeight="1">
      <c r="D374" s="88"/>
      <c r="E374" s="88"/>
      <c r="F374" s="88"/>
      <c r="G374" s="88"/>
      <c r="H374" s="88"/>
      <c r="I374" s="88"/>
      <c r="J374" s="88"/>
      <c r="K374" s="88"/>
      <c r="L374" s="88"/>
      <c r="M374" s="88"/>
      <c r="N374" s="88"/>
      <c r="O374" s="88"/>
      <c r="P374" s="88"/>
      <c r="Q374" s="88"/>
      <c r="R374" s="88"/>
      <c r="S374" s="88"/>
    </row>
    <row r="375" spans="4:19" ht="18" customHeight="1">
      <c r="D375" s="88"/>
      <c r="E375" s="88"/>
      <c r="F375" s="88"/>
      <c r="G375" s="88"/>
      <c r="H375" s="88"/>
      <c r="I375" s="88"/>
      <c r="J375" s="88"/>
      <c r="K375" s="88"/>
      <c r="L375" s="88"/>
      <c r="M375" s="88"/>
      <c r="N375" s="88"/>
      <c r="O375" s="88"/>
      <c r="P375" s="88"/>
      <c r="Q375" s="88"/>
      <c r="R375" s="88"/>
      <c r="S375" s="88"/>
    </row>
    <row r="376" spans="4:19" ht="18" customHeight="1">
      <c r="D376" s="88"/>
      <c r="E376" s="88"/>
      <c r="F376" s="88"/>
      <c r="G376" s="88"/>
      <c r="H376" s="88"/>
      <c r="I376" s="88"/>
      <c r="J376" s="88"/>
      <c r="K376" s="88"/>
      <c r="L376" s="88"/>
      <c r="M376" s="88"/>
      <c r="N376" s="88"/>
      <c r="O376" s="88"/>
      <c r="P376" s="88"/>
      <c r="Q376" s="88"/>
      <c r="R376" s="88"/>
      <c r="S376" s="88"/>
    </row>
    <row r="377" spans="4:19" ht="18" customHeight="1">
      <c r="D377" s="88"/>
      <c r="E377" s="88"/>
      <c r="F377" s="88"/>
      <c r="G377" s="88"/>
      <c r="H377" s="88"/>
      <c r="I377" s="88"/>
      <c r="J377" s="88"/>
      <c r="K377" s="88"/>
      <c r="L377" s="88"/>
      <c r="M377" s="88"/>
      <c r="N377" s="88"/>
      <c r="O377" s="88"/>
      <c r="P377" s="88"/>
      <c r="Q377" s="88"/>
      <c r="R377" s="88"/>
      <c r="S377" s="88"/>
    </row>
    <row r="378" spans="4:19" ht="18" customHeight="1">
      <c r="D378" s="88"/>
      <c r="E378" s="88"/>
      <c r="F378" s="88"/>
      <c r="G378" s="88"/>
      <c r="H378" s="88"/>
      <c r="I378" s="88"/>
      <c r="J378" s="88"/>
      <c r="K378" s="88"/>
      <c r="L378" s="88"/>
      <c r="M378" s="88"/>
      <c r="N378" s="88"/>
      <c r="O378" s="88"/>
      <c r="P378" s="88"/>
      <c r="Q378" s="88"/>
      <c r="R378" s="88"/>
      <c r="S378" s="88"/>
    </row>
    <row r="379" spans="4:19" ht="18" customHeight="1">
      <c r="D379" s="88"/>
      <c r="E379" s="88"/>
      <c r="F379" s="88"/>
      <c r="G379" s="88"/>
      <c r="H379" s="88"/>
      <c r="I379" s="88"/>
      <c r="J379" s="88"/>
      <c r="K379" s="88"/>
      <c r="L379" s="88"/>
      <c r="M379" s="88"/>
      <c r="N379" s="88"/>
      <c r="O379" s="88"/>
      <c r="P379" s="88"/>
      <c r="Q379" s="88"/>
      <c r="R379" s="88"/>
      <c r="S379" s="88"/>
    </row>
    <row r="380" spans="4:19" ht="18" customHeight="1">
      <c r="D380" s="88"/>
      <c r="E380" s="88"/>
      <c r="F380" s="88"/>
      <c r="G380" s="88"/>
      <c r="H380" s="88"/>
      <c r="I380" s="88"/>
      <c r="J380" s="88"/>
      <c r="K380" s="88"/>
      <c r="L380" s="88"/>
      <c r="M380" s="88"/>
      <c r="N380" s="88"/>
      <c r="O380" s="88"/>
      <c r="P380" s="88"/>
      <c r="Q380" s="88"/>
      <c r="R380" s="88"/>
      <c r="S380" s="88"/>
    </row>
    <row r="381" spans="4:19" ht="18" customHeight="1">
      <c r="D381" s="88"/>
      <c r="E381" s="88"/>
      <c r="F381" s="88"/>
      <c r="G381" s="88"/>
      <c r="H381" s="88"/>
      <c r="I381" s="88"/>
      <c r="J381" s="88"/>
      <c r="K381" s="88"/>
      <c r="L381" s="88"/>
      <c r="M381" s="88"/>
      <c r="N381" s="88"/>
      <c r="O381" s="88"/>
      <c r="P381" s="88"/>
      <c r="Q381" s="88"/>
      <c r="R381" s="88"/>
      <c r="S381" s="88"/>
    </row>
    <row r="382" spans="4:19" ht="18" customHeight="1">
      <c r="D382" s="88"/>
      <c r="E382" s="88"/>
      <c r="F382" s="88"/>
      <c r="G382" s="88"/>
      <c r="H382" s="88"/>
      <c r="I382" s="88"/>
      <c r="J382" s="88"/>
      <c r="K382" s="88"/>
      <c r="L382" s="88"/>
      <c r="M382" s="88"/>
      <c r="N382" s="88"/>
      <c r="O382" s="88"/>
      <c r="P382" s="88"/>
      <c r="Q382" s="88"/>
      <c r="R382" s="88"/>
      <c r="S382" s="88"/>
    </row>
    <row r="383" spans="4:19" ht="18" customHeight="1">
      <c r="D383" s="88"/>
      <c r="E383" s="88"/>
      <c r="F383" s="88"/>
      <c r="G383" s="88"/>
      <c r="H383" s="88"/>
      <c r="I383" s="88"/>
      <c r="J383" s="88"/>
      <c r="K383" s="88"/>
      <c r="L383" s="88"/>
      <c r="M383" s="88"/>
      <c r="N383" s="88"/>
      <c r="O383" s="88"/>
      <c r="P383" s="88"/>
      <c r="Q383" s="88"/>
      <c r="R383" s="88"/>
      <c r="S383" s="88"/>
    </row>
    <row r="384" spans="4:19" ht="18" customHeight="1">
      <c r="D384" s="88"/>
      <c r="E384" s="88"/>
      <c r="F384" s="88"/>
      <c r="G384" s="88"/>
      <c r="H384" s="88"/>
      <c r="I384" s="88"/>
      <c r="J384" s="88"/>
      <c r="K384" s="88"/>
      <c r="L384" s="88"/>
      <c r="M384" s="88"/>
      <c r="N384" s="88"/>
      <c r="O384" s="88"/>
      <c r="P384" s="88"/>
      <c r="Q384" s="88"/>
      <c r="R384" s="88"/>
      <c r="S384" s="88"/>
    </row>
    <row r="385" spans="4:19" ht="18" customHeight="1">
      <c r="D385" s="88"/>
      <c r="E385" s="88"/>
      <c r="F385" s="88"/>
      <c r="G385" s="88"/>
      <c r="H385" s="88"/>
      <c r="I385" s="88"/>
      <c r="J385" s="88"/>
      <c r="K385" s="88"/>
      <c r="L385" s="88"/>
      <c r="M385" s="88"/>
      <c r="N385" s="88"/>
      <c r="O385" s="88"/>
      <c r="P385" s="88"/>
      <c r="Q385" s="88"/>
      <c r="R385" s="88"/>
      <c r="S385" s="88"/>
    </row>
    <row r="386" spans="4:19" ht="18" customHeight="1">
      <c r="D386" s="88"/>
      <c r="E386" s="88"/>
      <c r="F386" s="88"/>
      <c r="G386" s="88"/>
      <c r="H386" s="88"/>
      <c r="I386" s="88"/>
      <c r="J386" s="88"/>
      <c r="K386" s="88"/>
      <c r="L386" s="88"/>
      <c r="M386" s="88"/>
      <c r="N386" s="88"/>
      <c r="O386" s="88"/>
      <c r="P386" s="88"/>
      <c r="Q386" s="88"/>
      <c r="R386" s="88"/>
      <c r="S386" s="88"/>
    </row>
    <row r="387" spans="4:19" ht="18" customHeight="1">
      <c r="D387" s="88"/>
      <c r="E387" s="88"/>
      <c r="F387" s="88"/>
      <c r="G387" s="88"/>
      <c r="H387" s="88"/>
      <c r="I387" s="88"/>
      <c r="J387" s="88"/>
      <c r="K387" s="88"/>
      <c r="L387" s="88"/>
      <c r="M387" s="88"/>
      <c r="N387" s="88"/>
      <c r="O387" s="88"/>
      <c r="P387" s="88"/>
      <c r="Q387" s="88"/>
      <c r="R387" s="88"/>
      <c r="S387" s="88"/>
    </row>
    <row r="388" spans="4:19" ht="18" customHeight="1">
      <c r="D388" s="88"/>
      <c r="E388" s="88"/>
      <c r="F388" s="88"/>
      <c r="G388" s="88"/>
      <c r="H388" s="88"/>
      <c r="I388" s="88"/>
      <c r="J388" s="88"/>
      <c r="K388" s="88"/>
      <c r="L388" s="88"/>
      <c r="M388" s="88"/>
      <c r="N388" s="88"/>
      <c r="O388" s="88"/>
      <c r="P388" s="88"/>
      <c r="Q388" s="88"/>
      <c r="R388" s="88"/>
      <c r="S388" s="88"/>
    </row>
    <row r="389" spans="4:19" ht="18" customHeight="1">
      <c r="D389" s="88"/>
      <c r="E389" s="88"/>
      <c r="F389" s="88"/>
      <c r="G389" s="88"/>
      <c r="H389" s="88"/>
      <c r="I389" s="88"/>
      <c r="J389" s="88"/>
      <c r="K389" s="88"/>
      <c r="L389" s="88"/>
      <c r="M389" s="88"/>
      <c r="N389" s="88"/>
      <c r="O389" s="88"/>
      <c r="P389" s="88"/>
      <c r="Q389" s="88"/>
      <c r="R389" s="88"/>
      <c r="S389" s="88"/>
    </row>
    <row r="390" spans="4:19" ht="18" customHeight="1">
      <c r="D390" s="88"/>
      <c r="E390" s="88"/>
      <c r="F390" s="88"/>
      <c r="G390" s="88"/>
      <c r="H390" s="88"/>
      <c r="I390" s="88"/>
      <c r="J390" s="88"/>
      <c r="K390" s="88"/>
      <c r="L390" s="88"/>
      <c r="M390" s="88"/>
      <c r="N390" s="88"/>
      <c r="O390" s="88"/>
      <c r="P390" s="88"/>
      <c r="Q390" s="88"/>
      <c r="R390" s="88"/>
      <c r="S390" s="88"/>
    </row>
    <row r="391" spans="4:19" ht="18" customHeight="1">
      <c r="D391" s="88"/>
      <c r="E391" s="88"/>
      <c r="F391" s="88"/>
      <c r="G391" s="88"/>
      <c r="H391" s="88"/>
      <c r="I391" s="88"/>
      <c r="J391" s="88"/>
      <c r="K391" s="88"/>
      <c r="L391" s="88"/>
      <c r="M391" s="88"/>
      <c r="N391" s="88"/>
      <c r="O391" s="88"/>
      <c r="P391" s="88"/>
      <c r="Q391" s="88"/>
      <c r="R391" s="88"/>
      <c r="S391" s="88"/>
    </row>
    <row r="392" spans="4:19" ht="18" customHeight="1">
      <c r="D392" s="88"/>
      <c r="E392" s="88"/>
      <c r="F392" s="88"/>
      <c r="G392" s="88"/>
      <c r="H392" s="88"/>
      <c r="I392" s="88"/>
      <c r="J392" s="88"/>
      <c r="K392" s="88"/>
      <c r="L392" s="88"/>
      <c r="M392" s="88"/>
      <c r="N392" s="88"/>
      <c r="O392" s="88"/>
      <c r="P392" s="88"/>
      <c r="Q392" s="88"/>
      <c r="R392" s="88"/>
      <c r="S392" s="88"/>
    </row>
    <row r="393" spans="4:19" ht="18" customHeight="1">
      <c r="D393" s="88"/>
      <c r="E393" s="88"/>
      <c r="F393" s="88"/>
      <c r="G393" s="88"/>
      <c r="H393" s="88"/>
      <c r="I393" s="88"/>
      <c r="J393" s="88"/>
      <c r="K393" s="88"/>
      <c r="L393" s="88"/>
      <c r="M393" s="88"/>
      <c r="N393" s="88"/>
      <c r="O393" s="88"/>
      <c r="P393" s="88"/>
      <c r="Q393" s="88"/>
      <c r="R393" s="88"/>
      <c r="S393" s="88"/>
    </row>
    <row r="394" spans="4:19" ht="18" customHeight="1">
      <c r="D394" s="88"/>
      <c r="E394" s="88"/>
      <c r="F394" s="88"/>
      <c r="G394" s="88"/>
      <c r="H394" s="88"/>
      <c r="I394" s="88"/>
      <c r="J394" s="88"/>
      <c r="K394" s="88"/>
      <c r="L394" s="88"/>
      <c r="M394" s="88"/>
      <c r="N394" s="88"/>
      <c r="O394" s="88"/>
      <c r="P394" s="88"/>
      <c r="Q394" s="88"/>
      <c r="R394" s="88"/>
      <c r="S394" s="88"/>
    </row>
    <row r="395" spans="4:19" ht="18" customHeight="1">
      <c r="D395" s="88"/>
      <c r="E395" s="88"/>
      <c r="F395" s="88"/>
      <c r="G395" s="88"/>
      <c r="H395" s="88"/>
      <c r="I395" s="88"/>
      <c r="J395" s="88"/>
      <c r="K395" s="88"/>
      <c r="L395" s="88"/>
      <c r="M395" s="88"/>
      <c r="N395" s="88"/>
      <c r="O395" s="88"/>
      <c r="P395" s="88"/>
      <c r="Q395" s="88"/>
      <c r="R395" s="88"/>
      <c r="S395" s="88"/>
    </row>
    <row r="396" spans="4:19" ht="18" customHeight="1">
      <c r="D396" s="88"/>
      <c r="E396" s="88"/>
      <c r="F396" s="88"/>
      <c r="G396" s="88"/>
      <c r="H396" s="88"/>
      <c r="I396" s="88"/>
      <c r="J396" s="88"/>
      <c r="K396" s="88"/>
      <c r="L396" s="88"/>
      <c r="M396" s="88"/>
      <c r="N396" s="88"/>
      <c r="O396" s="88"/>
      <c r="P396" s="88"/>
      <c r="Q396" s="88"/>
      <c r="R396" s="88"/>
      <c r="S396" s="88"/>
    </row>
    <row r="397" spans="4:19" ht="18" customHeight="1">
      <c r="D397" s="88"/>
      <c r="E397" s="88"/>
      <c r="F397" s="88"/>
      <c r="G397" s="88"/>
      <c r="H397" s="88"/>
      <c r="I397" s="88"/>
      <c r="J397" s="88"/>
      <c r="K397" s="88"/>
      <c r="L397" s="88"/>
      <c r="M397" s="88"/>
      <c r="N397" s="88"/>
      <c r="O397" s="88"/>
      <c r="P397" s="88"/>
      <c r="Q397" s="88"/>
      <c r="R397" s="88"/>
      <c r="S397" s="88"/>
    </row>
    <row r="398" spans="4:19" ht="18" customHeight="1">
      <c r="D398" s="88"/>
      <c r="E398" s="88"/>
      <c r="F398" s="88"/>
      <c r="G398" s="88"/>
      <c r="H398" s="88"/>
      <c r="I398" s="88"/>
      <c r="J398" s="88"/>
      <c r="K398" s="88"/>
      <c r="L398" s="88"/>
      <c r="M398" s="88"/>
      <c r="N398" s="88"/>
      <c r="O398" s="88"/>
      <c r="P398" s="88"/>
      <c r="Q398" s="88"/>
      <c r="R398" s="88"/>
      <c r="S398" s="88"/>
    </row>
    <row r="399" spans="4:19" ht="18" customHeight="1">
      <c r="D399" s="88"/>
      <c r="E399" s="88"/>
      <c r="F399" s="88"/>
      <c r="G399" s="88"/>
      <c r="H399" s="88"/>
      <c r="I399" s="88"/>
      <c r="J399" s="88"/>
      <c r="K399" s="88"/>
      <c r="L399" s="88"/>
      <c r="M399" s="88"/>
      <c r="N399" s="88"/>
      <c r="O399" s="88"/>
      <c r="P399" s="88"/>
      <c r="Q399" s="88"/>
      <c r="R399" s="88"/>
      <c r="S399" s="88"/>
    </row>
    <row r="400" spans="4:19" ht="18" customHeight="1">
      <c r="D400" s="88"/>
      <c r="E400" s="88"/>
      <c r="F400" s="88"/>
      <c r="G400" s="88"/>
      <c r="H400" s="88"/>
      <c r="I400" s="88"/>
      <c r="J400" s="88"/>
      <c r="K400" s="88"/>
      <c r="L400" s="88"/>
      <c r="M400" s="88"/>
      <c r="N400" s="88"/>
      <c r="O400" s="88"/>
      <c r="P400" s="88"/>
      <c r="Q400" s="88"/>
      <c r="R400" s="88"/>
      <c r="S400" s="88"/>
    </row>
    <row r="401" spans="4:19" ht="18" customHeight="1">
      <c r="D401" s="88"/>
      <c r="E401" s="88"/>
      <c r="F401" s="88"/>
      <c r="G401" s="88"/>
      <c r="H401" s="88"/>
      <c r="I401" s="88"/>
      <c r="J401" s="88"/>
      <c r="K401" s="88"/>
      <c r="L401" s="88"/>
      <c r="M401" s="88"/>
      <c r="N401" s="88"/>
      <c r="O401" s="88"/>
      <c r="P401" s="88"/>
      <c r="Q401" s="88"/>
      <c r="R401" s="88"/>
      <c r="S401" s="88"/>
    </row>
    <row r="402" spans="4:19" ht="18" customHeight="1">
      <c r="D402" s="88"/>
      <c r="E402" s="88"/>
      <c r="F402" s="88"/>
      <c r="G402" s="88"/>
      <c r="H402" s="88"/>
      <c r="I402" s="88"/>
      <c r="J402" s="88"/>
      <c r="K402" s="88"/>
      <c r="L402" s="88"/>
      <c r="M402" s="88"/>
      <c r="N402" s="88"/>
      <c r="O402" s="88"/>
      <c r="P402" s="88"/>
      <c r="Q402" s="88"/>
      <c r="R402" s="88"/>
      <c r="S402" s="88"/>
    </row>
    <row r="403" spans="4:19" ht="18" customHeight="1">
      <c r="D403" s="88"/>
      <c r="E403" s="88"/>
      <c r="F403" s="88"/>
      <c r="G403" s="88"/>
      <c r="H403" s="88"/>
      <c r="I403" s="88"/>
      <c r="J403" s="88"/>
      <c r="K403" s="88"/>
      <c r="L403" s="88"/>
      <c r="M403" s="88"/>
      <c r="N403" s="88"/>
      <c r="O403" s="88"/>
      <c r="P403" s="88"/>
      <c r="Q403" s="88"/>
      <c r="R403" s="88"/>
      <c r="S403" s="88"/>
    </row>
    <row r="404" spans="4:19" ht="18" customHeight="1">
      <c r="D404" s="88"/>
      <c r="E404" s="88"/>
      <c r="F404" s="88"/>
      <c r="G404" s="88"/>
      <c r="H404" s="88"/>
      <c r="I404" s="88"/>
      <c r="J404" s="88"/>
      <c r="K404" s="88"/>
      <c r="L404" s="88"/>
      <c r="M404" s="88"/>
      <c r="N404" s="88"/>
      <c r="O404" s="88"/>
      <c r="P404" s="88"/>
      <c r="Q404" s="88"/>
      <c r="R404" s="88"/>
      <c r="S404" s="88"/>
    </row>
    <row r="405" spans="4:19" ht="18" customHeight="1">
      <c r="D405" s="88"/>
      <c r="E405" s="88"/>
      <c r="F405" s="88"/>
      <c r="G405" s="88"/>
      <c r="H405" s="88"/>
      <c r="I405" s="88"/>
      <c r="J405" s="88"/>
      <c r="K405" s="88"/>
      <c r="L405" s="88"/>
      <c r="M405" s="88"/>
      <c r="N405" s="88"/>
      <c r="O405" s="88"/>
      <c r="P405" s="88"/>
      <c r="Q405" s="88"/>
      <c r="R405" s="88"/>
      <c r="S405" s="88"/>
    </row>
    <row r="406" spans="4:19" ht="18" customHeight="1">
      <c r="D406" s="88"/>
      <c r="E406" s="88"/>
      <c r="F406" s="88"/>
      <c r="G406" s="88"/>
      <c r="H406" s="88"/>
      <c r="I406" s="88"/>
      <c r="J406" s="88"/>
      <c r="K406" s="88"/>
      <c r="L406" s="88"/>
      <c r="M406" s="88"/>
      <c r="N406" s="88"/>
      <c r="O406" s="88"/>
      <c r="P406" s="88"/>
      <c r="Q406" s="88"/>
      <c r="R406" s="88"/>
      <c r="S406" s="88"/>
    </row>
    <row r="407" spans="4:19" ht="18" customHeight="1">
      <c r="D407" s="88"/>
      <c r="E407" s="88"/>
      <c r="F407" s="88"/>
      <c r="G407" s="88"/>
      <c r="H407" s="88"/>
      <c r="I407" s="88"/>
      <c r="J407" s="88"/>
      <c r="K407" s="88"/>
      <c r="L407" s="88"/>
      <c r="M407" s="88"/>
      <c r="N407" s="88"/>
      <c r="O407" s="88"/>
      <c r="P407" s="88"/>
      <c r="Q407" s="88"/>
      <c r="R407" s="88"/>
      <c r="S407" s="88"/>
    </row>
    <row r="408" spans="4:19" ht="18" customHeight="1">
      <c r="D408" s="88"/>
      <c r="E408" s="88"/>
      <c r="F408" s="88"/>
      <c r="G408" s="88"/>
      <c r="H408" s="88"/>
      <c r="I408" s="88"/>
      <c r="J408" s="88"/>
      <c r="K408" s="88"/>
      <c r="L408" s="88"/>
      <c r="M408" s="88"/>
      <c r="N408" s="88"/>
      <c r="O408" s="88"/>
      <c r="P408" s="88"/>
      <c r="Q408" s="88"/>
      <c r="R408" s="88"/>
      <c r="S408" s="88"/>
    </row>
    <row r="409" spans="4:19" ht="18" customHeight="1">
      <c r="D409" s="88"/>
      <c r="E409" s="88"/>
      <c r="F409" s="88"/>
      <c r="G409" s="88"/>
      <c r="H409" s="88"/>
      <c r="I409" s="88"/>
      <c r="J409" s="88"/>
      <c r="K409" s="88"/>
      <c r="L409" s="88"/>
      <c r="M409" s="88"/>
      <c r="N409" s="88"/>
      <c r="O409" s="88"/>
      <c r="P409" s="88"/>
      <c r="Q409" s="88"/>
      <c r="R409" s="88"/>
      <c r="S409" s="88"/>
    </row>
    <row r="410" spans="4:19" ht="18" customHeight="1">
      <c r="D410" s="88"/>
      <c r="E410" s="88"/>
      <c r="F410" s="88"/>
      <c r="G410" s="88"/>
      <c r="H410" s="88"/>
      <c r="I410" s="88"/>
      <c r="J410" s="88"/>
      <c r="K410" s="88"/>
      <c r="L410" s="88"/>
      <c r="M410" s="88"/>
      <c r="N410" s="88"/>
      <c r="O410" s="88"/>
      <c r="P410" s="88"/>
      <c r="Q410" s="88"/>
      <c r="R410" s="88"/>
      <c r="S410" s="88"/>
    </row>
    <row r="411" spans="4:19" ht="18" customHeight="1">
      <c r="D411" s="88"/>
      <c r="E411" s="88"/>
      <c r="F411" s="88"/>
      <c r="G411" s="88"/>
      <c r="H411" s="88"/>
      <c r="I411" s="88"/>
      <c r="J411" s="88"/>
      <c r="K411" s="88"/>
      <c r="L411" s="88"/>
      <c r="M411" s="88"/>
      <c r="N411" s="88"/>
      <c r="O411" s="88"/>
      <c r="P411" s="88"/>
      <c r="Q411" s="88"/>
      <c r="R411" s="88"/>
      <c r="S411" s="88"/>
    </row>
    <row r="412" spans="4:19" ht="18" customHeight="1">
      <c r="D412" s="88"/>
      <c r="E412" s="88"/>
      <c r="F412" s="88"/>
      <c r="G412" s="88"/>
      <c r="H412" s="88"/>
      <c r="I412" s="88"/>
      <c r="J412" s="88"/>
      <c r="K412" s="88"/>
      <c r="L412" s="88"/>
      <c r="M412" s="88"/>
      <c r="N412" s="88"/>
      <c r="O412" s="88"/>
      <c r="P412" s="88"/>
      <c r="Q412" s="88"/>
      <c r="R412" s="88"/>
      <c r="S412" s="88"/>
    </row>
    <row r="413" spans="4:19" ht="18" customHeight="1">
      <c r="D413" s="88"/>
      <c r="E413" s="88"/>
      <c r="F413" s="88"/>
      <c r="G413" s="88"/>
      <c r="H413" s="88"/>
      <c r="I413" s="88"/>
      <c r="J413" s="88"/>
      <c r="K413" s="88"/>
      <c r="L413" s="88"/>
      <c r="M413" s="88"/>
      <c r="N413" s="88"/>
      <c r="O413" s="88"/>
      <c r="P413" s="88"/>
      <c r="Q413" s="88"/>
      <c r="R413" s="88"/>
      <c r="S413" s="88"/>
    </row>
    <row r="414" spans="4:19" ht="18" customHeight="1">
      <c r="D414" s="88"/>
      <c r="E414" s="88"/>
      <c r="F414" s="88"/>
      <c r="G414" s="88"/>
      <c r="H414" s="88"/>
      <c r="I414" s="88"/>
      <c r="J414" s="88"/>
      <c r="K414" s="88"/>
      <c r="L414" s="88"/>
      <c r="M414" s="88"/>
      <c r="N414" s="88"/>
      <c r="O414" s="88"/>
      <c r="P414" s="88"/>
      <c r="Q414" s="88"/>
      <c r="R414" s="88"/>
      <c r="S414" s="88"/>
    </row>
    <row r="415" spans="4:19" ht="18" customHeight="1">
      <c r="D415" s="88"/>
      <c r="E415" s="88"/>
      <c r="F415" s="88"/>
      <c r="G415" s="88"/>
      <c r="H415" s="88"/>
      <c r="I415" s="88"/>
      <c r="J415" s="88"/>
      <c r="K415" s="88"/>
      <c r="L415" s="88"/>
      <c r="M415" s="88"/>
      <c r="N415" s="88"/>
      <c r="O415" s="88"/>
      <c r="P415" s="88"/>
      <c r="Q415" s="88"/>
      <c r="R415" s="88"/>
      <c r="S415" s="88"/>
    </row>
    <row r="416" spans="4:19" ht="18" customHeight="1">
      <c r="D416" s="88"/>
      <c r="E416" s="88"/>
      <c r="F416" s="88"/>
      <c r="G416" s="88"/>
      <c r="H416" s="88"/>
      <c r="I416" s="88"/>
      <c r="J416" s="88"/>
      <c r="K416" s="88"/>
      <c r="L416" s="88"/>
      <c r="M416" s="88"/>
      <c r="N416" s="88"/>
      <c r="O416" s="88"/>
      <c r="P416" s="88"/>
      <c r="Q416" s="88"/>
      <c r="R416" s="88"/>
      <c r="S416" s="88"/>
    </row>
    <row r="417" spans="4:19" ht="18" customHeight="1">
      <c r="D417" s="88"/>
      <c r="E417" s="88"/>
      <c r="F417" s="88"/>
      <c r="G417" s="88"/>
      <c r="H417" s="88"/>
      <c r="I417" s="88"/>
      <c r="J417" s="88"/>
      <c r="K417" s="88"/>
      <c r="L417" s="88"/>
      <c r="M417" s="88"/>
      <c r="N417" s="88"/>
      <c r="O417" s="88"/>
      <c r="P417" s="88"/>
      <c r="Q417" s="88"/>
      <c r="R417" s="88"/>
      <c r="S417" s="88"/>
    </row>
    <row r="418" spans="4:19" ht="18" customHeight="1">
      <c r="D418" s="88"/>
      <c r="E418" s="88"/>
      <c r="F418" s="88"/>
      <c r="G418" s="88"/>
      <c r="H418" s="88"/>
      <c r="I418" s="88"/>
      <c r="J418" s="88"/>
      <c r="K418" s="88"/>
      <c r="L418" s="88"/>
      <c r="M418" s="88"/>
      <c r="N418" s="88"/>
      <c r="O418" s="88"/>
      <c r="P418" s="88"/>
      <c r="Q418" s="88"/>
      <c r="R418" s="88"/>
      <c r="S418" s="88"/>
    </row>
    <row r="419" spans="4:19" ht="18" customHeight="1">
      <c r="D419" s="88"/>
      <c r="E419" s="88"/>
      <c r="F419" s="88"/>
      <c r="G419" s="88"/>
      <c r="H419" s="88"/>
      <c r="I419" s="88"/>
      <c r="J419" s="88"/>
      <c r="K419" s="88"/>
      <c r="L419" s="88"/>
      <c r="M419" s="88"/>
      <c r="N419" s="88"/>
      <c r="O419" s="88"/>
      <c r="P419" s="88"/>
      <c r="Q419" s="88"/>
      <c r="R419" s="88"/>
      <c r="S419" s="88"/>
    </row>
    <row r="420" spans="4:19" ht="18" customHeight="1">
      <c r="D420" s="88"/>
      <c r="E420" s="88"/>
      <c r="F420" s="88"/>
      <c r="G420" s="88"/>
      <c r="H420" s="88"/>
      <c r="I420" s="88"/>
      <c r="J420" s="88"/>
      <c r="K420" s="88"/>
      <c r="L420" s="88"/>
      <c r="M420" s="88"/>
      <c r="N420" s="88"/>
      <c r="O420" s="88"/>
      <c r="P420" s="88"/>
      <c r="Q420" s="88"/>
      <c r="R420" s="88"/>
      <c r="S420" s="88"/>
    </row>
    <row r="421" spans="4:19" ht="18" customHeight="1">
      <c r="D421" s="88"/>
      <c r="E421" s="88"/>
      <c r="F421" s="88"/>
      <c r="G421" s="88"/>
      <c r="H421" s="88"/>
      <c r="I421" s="88"/>
      <c r="J421" s="88"/>
      <c r="K421" s="88"/>
      <c r="L421" s="88"/>
      <c r="M421" s="88"/>
      <c r="N421" s="88"/>
      <c r="O421" s="88"/>
      <c r="P421" s="88"/>
      <c r="Q421" s="88"/>
      <c r="R421" s="88"/>
      <c r="S421" s="88"/>
    </row>
    <row r="422" spans="4:19" ht="18" customHeight="1">
      <c r="D422" s="88"/>
      <c r="E422" s="88"/>
      <c r="F422" s="88"/>
      <c r="G422" s="88"/>
      <c r="H422" s="88"/>
      <c r="I422" s="88"/>
      <c r="J422" s="88"/>
      <c r="K422" s="88"/>
      <c r="L422" s="88"/>
      <c r="M422" s="88"/>
      <c r="N422" s="88"/>
      <c r="O422" s="88"/>
      <c r="P422" s="88"/>
      <c r="Q422" s="88"/>
      <c r="R422" s="88"/>
      <c r="S422" s="88"/>
    </row>
    <row r="423" spans="4:19" ht="18" customHeight="1">
      <c r="D423" s="88"/>
      <c r="E423" s="88"/>
      <c r="F423" s="88"/>
      <c r="G423" s="88"/>
      <c r="H423" s="88"/>
      <c r="I423" s="88"/>
      <c r="J423" s="88"/>
      <c r="K423" s="88"/>
      <c r="L423" s="88"/>
      <c r="M423" s="88"/>
      <c r="N423" s="88"/>
      <c r="O423" s="88"/>
      <c r="P423" s="88"/>
      <c r="Q423" s="88"/>
      <c r="R423" s="88"/>
      <c r="S423" s="88"/>
    </row>
    <row r="424" spans="4:19" ht="18" customHeight="1">
      <c r="D424" s="88"/>
      <c r="E424" s="88"/>
      <c r="F424" s="88"/>
      <c r="G424" s="88"/>
      <c r="H424" s="88"/>
      <c r="I424" s="88"/>
      <c r="J424" s="88"/>
      <c r="K424" s="88"/>
      <c r="L424" s="88"/>
      <c r="M424" s="88"/>
      <c r="N424" s="88"/>
      <c r="O424" s="88"/>
      <c r="P424" s="88"/>
      <c r="Q424" s="88"/>
      <c r="R424" s="88"/>
      <c r="S424" s="88"/>
    </row>
    <row r="425" spans="4:19" ht="18" customHeight="1">
      <c r="D425" s="88"/>
      <c r="E425" s="88"/>
      <c r="F425" s="88"/>
      <c r="G425" s="88"/>
      <c r="H425" s="88"/>
      <c r="I425" s="88"/>
      <c r="J425" s="88"/>
      <c r="K425" s="88"/>
      <c r="L425" s="88"/>
      <c r="M425" s="88"/>
      <c r="N425" s="88"/>
      <c r="O425" s="88"/>
      <c r="P425" s="88"/>
      <c r="Q425" s="88"/>
      <c r="R425" s="88"/>
      <c r="S425" s="88"/>
    </row>
    <row r="426" spans="4:19" ht="18" customHeight="1">
      <c r="D426" s="88"/>
      <c r="E426" s="88"/>
      <c r="F426" s="88"/>
      <c r="G426" s="88"/>
      <c r="H426" s="88"/>
      <c r="I426" s="88"/>
      <c r="J426" s="88"/>
      <c r="K426" s="88"/>
      <c r="L426" s="88"/>
      <c r="M426" s="88"/>
      <c r="N426" s="88"/>
      <c r="O426" s="88"/>
      <c r="P426" s="88"/>
      <c r="Q426" s="88"/>
      <c r="R426" s="88"/>
      <c r="S426" s="88"/>
    </row>
    <row r="427" spans="4:19" ht="18" customHeight="1">
      <c r="D427" s="88"/>
      <c r="E427" s="88"/>
      <c r="F427" s="88"/>
      <c r="G427" s="88"/>
      <c r="H427" s="88"/>
      <c r="I427" s="88"/>
      <c r="J427" s="88"/>
      <c r="K427" s="88"/>
      <c r="L427" s="88"/>
      <c r="M427" s="88"/>
      <c r="N427" s="88"/>
      <c r="O427" s="88"/>
      <c r="P427" s="88"/>
      <c r="Q427" s="88"/>
      <c r="R427" s="88"/>
      <c r="S427" s="88"/>
    </row>
    <row r="428" spans="4:19" ht="18" customHeight="1">
      <c r="D428" s="88"/>
      <c r="E428" s="88"/>
      <c r="F428" s="88"/>
      <c r="G428" s="88"/>
      <c r="H428" s="88"/>
      <c r="I428" s="88"/>
      <c r="J428" s="88"/>
      <c r="K428" s="88"/>
      <c r="L428" s="88"/>
      <c r="M428" s="88"/>
      <c r="N428" s="88"/>
      <c r="O428" s="88"/>
      <c r="P428" s="88"/>
      <c r="Q428" s="88"/>
      <c r="R428" s="88"/>
      <c r="S428" s="88"/>
    </row>
    <row r="429" spans="4:19" ht="18" customHeight="1">
      <c r="D429" s="88"/>
      <c r="E429" s="88"/>
      <c r="F429" s="88"/>
      <c r="G429" s="88"/>
      <c r="H429" s="88"/>
      <c r="I429" s="88"/>
      <c r="J429" s="88"/>
      <c r="K429" s="88"/>
      <c r="L429" s="88"/>
      <c r="M429" s="88"/>
      <c r="N429" s="88"/>
      <c r="O429" s="88"/>
      <c r="P429" s="88"/>
      <c r="Q429" s="88"/>
      <c r="R429" s="88"/>
      <c r="S429" s="88"/>
    </row>
    <row r="430" spans="4:19" ht="18" customHeight="1">
      <c r="D430" s="88"/>
      <c r="E430" s="88"/>
      <c r="F430" s="88"/>
      <c r="G430" s="88"/>
      <c r="H430" s="88"/>
      <c r="I430" s="88"/>
      <c r="J430" s="88"/>
      <c r="K430" s="88"/>
      <c r="L430" s="88"/>
      <c r="M430" s="88"/>
      <c r="N430" s="88"/>
      <c r="O430" s="88"/>
      <c r="P430" s="88"/>
      <c r="Q430" s="88"/>
      <c r="R430" s="88"/>
      <c r="S430" s="88"/>
    </row>
    <row r="431" spans="4:19" ht="18" customHeight="1">
      <c r="D431" s="88"/>
      <c r="E431" s="88"/>
      <c r="F431" s="88"/>
      <c r="G431" s="88"/>
      <c r="H431" s="88"/>
      <c r="I431" s="88"/>
      <c r="J431" s="88"/>
      <c r="K431" s="88"/>
      <c r="L431" s="88"/>
      <c r="M431" s="88"/>
      <c r="N431" s="88"/>
      <c r="O431" s="88"/>
      <c r="P431" s="88"/>
      <c r="Q431" s="88"/>
      <c r="R431" s="88"/>
      <c r="S431" s="88"/>
    </row>
    <row r="432" spans="4:19" ht="18" customHeight="1">
      <c r="D432" s="88"/>
      <c r="E432" s="88"/>
      <c r="F432" s="88"/>
      <c r="G432" s="88"/>
      <c r="H432" s="88"/>
      <c r="I432" s="88"/>
      <c r="J432" s="88"/>
      <c r="K432" s="88"/>
      <c r="L432" s="88"/>
      <c r="M432" s="88"/>
      <c r="N432" s="88"/>
      <c r="O432" s="88"/>
      <c r="P432" s="88"/>
      <c r="Q432" s="88"/>
      <c r="R432" s="88"/>
      <c r="S432" s="88"/>
    </row>
    <row r="433" spans="4:19" ht="18" customHeight="1">
      <c r="D433" s="88"/>
      <c r="E433" s="88"/>
      <c r="F433" s="88"/>
      <c r="G433" s="88"/>
      <c r="H433" s="88"/>
      <c r="I433" s="88"/>
      <c r="J433" s="88"/>
      <c r="K433" s="88"/>
      <c r="L433" s="88"/>
      <c r="M433" s="88"/>
      <c r="N433" s="88"/>
      <c r="O433" s="88"/>
      <c r="P433" s="88"/>
      <c r="Q433" s="88"/>
      <c r="R433" s="88"/>
      <c r="S433" s="88"/>
    </row>
    <row r="434" spans="4:19" ht="18" customHeight="1">
      <c r="D434" s="88"/>
      <c r="E434" s="88"/>
      <c r="F434" s="88"/>
      <c r="G434" s="88"/>
      <c r="H434" s="88"/>
      <c r="I434" s="88"/>
      <c r="J434" s="88"/>
      <c r="K434" s="88"/>
      <c r="L434" s="88"/>
      <c r="M434" s="88"/>
      <c r="N434" s="88"/>
      <c r="O434" s="88"/>
      <c r="P434" s="88"/>
      <c r="Q434" s="88"/>
      <c r="R434" s="88"/>
      <c r="S434" s="88"/>
    </row>
    <row r="435" spans="4:19" ht="18" customHeight="1">
      <c r="D435" s="88"/>
      <c r="E435" s="88"/>
      <c r="F435" s="88"/>
      <c r="G435" s="88"/>
      <c r="H435" s="88"/>
      <c r="I435" s="88"/>
      <c r="J435" s="88"/>
      <c r="K435" s="88"/>
      <c r="L435" s="88"/>
      <c r="M435" s="88"/>
      <c r="N435" s="88"/>
      <c r="O435" s="88"/>
      <c r="P435" s="88"/>
      <c r="Q435" s="88"/>
      <c r="R435" s="88"/>
      <c r="S435" s="88"/>
    </row>
    <row r="436" spans="4:19" ht="18" customHeight="1">
      <c r="D436" s="88"/>
      <c r="E436" s="88"/>
      <c r="F436" s="88"/>
      <c r="G436" s="88"/>
      <c r="H436" s="88"/>
      <c r="I436" s="88"/>
      <c r="J436" s="88"/>
      <c r="K436" s="88"/>
      <c r="L436" s="88"/>
      <c r="M436" s="88"/>
      <c r="N436" s="88"/>
      <c r="O436" s="88"/>
      <c r="P436" s="88"/>
      <c r="Q436" s="88"/>
      <c r="R436" s="88"/>
      <c r="S436" s="88"/>
    </row>
    <row r="437" spans="4:19" ht="18" customHeight="1">
      <c r="D437" s="88"/>
      <c r="E437" s="88"/>
      <c r="F437" s="88"/>
      <c r="G437" s="88"/>
      <c r="H437" s="88"/>
      <c r="I437" s="88"/>
      <c r="J437" s="88"/>
      <c r="K437" s="88"/>
      <c r="L437" s="88"/>
      <c r="M437" s="88"/>
      <c r="N437" s="88"/>
      <c r="O437" s="88"/>
      <c r="P437" s="88"/>
      <c r="Q437" s="88"/>
      <c r="R437" s="88"/>
      <c r="S437" s="88"/>
    </row>
    <row r="438" spans="4:19" ht="18" customHeight="1">
      <c r="D438" s="88"/>
      <c r="E438" s="88"/>
      <c r="F438" s="88"/>
      <c r="G438" s="88"/>
      <c r="H438" s="88"/>
      <c r="I438" s="88"/>
      <c r="J438" s="88"/>
      <c r="K438" s="88"/>
      <c r="L438" s="88"/>
      <c r="M438" s="88"/>
      <c r="N438" s="88"/>
      <c r="O438" s="88"/>
      <c r="P438" s="88"/>
      <c r="Q438" s="88"/>
      <c r="R438" s="88"/>
      <c r="S438" s="88"/>
    </row>
    <row r="439" spans="4:19" ht="18" customHeight="1">
      <c r="D439" s="88"/>
      <c r="E439" s="88"/>
      <c r="F439" s="88"/>
      <c r="G439" s="88"/>
      <c r="H439" s="88"/>
      <c r="I439" s="88"/>
      <c r="J439" s="88"/>
      <c r="K439" s="88"/>
      <c r="L439" s="88"/>
      <c r="M439" s="88"/>
      <c r="N439" s="88"/>
      <c r="O439" s="88"/>
      <c r="P439" s="88"/>
      <c r="Q439" s="88"/>
      <c r="R439" s="88"/>
      <c r="S439" s="88"/>
    </row>
    <row r="440" spans="4:19" ht="18" customHeight="1">
      <c r="D440" s="88"/>
      <c r="E440" s="88"/>
      <c r="F440" s="88"/>
      <c r="G440" s="88"/>
      <c r="H440" s="88"/>
      <c r="I440" s="88"/>
      <c r="J440" s="88"/>
      <c r="K440" s="88"/>
      <c r="L440" s="88"/>
      <c r="M440" s="88"/>
      <c r="N440" s="88"/>
      <c r="O440" s="88"/>
      <c r="P440" s="88"/>
      <c r="Q440" s="88"/>
      <c r="R440" s="88"/>
      <c r="S440" s="88"/>
    </row>
    <row r="441" spans="4:19" ht="18" customHeight="1">
      <c r="D441" s="88"/>
      <c r="E441" s="88"/>
      <c r="F441" s="88"/>
      <c r="G441" s="88"/>
      <c r="H441" s="88"/>
      <c r="I441" s="88"/>
      <c r="J441" s="88"/>
      <c r="K441" s="88"/>
      <c r="L441" s="88"/>
      <c r="M441" s="88"/>
      <c r="N441" s="88"/>
      <c r="O441" s="88"/>
      <c r="P441" s="88"/>
      <c r="Q441" s="88"/>
      <c r="R441" s="88"/>
      <c r="S441" s="88"/>
    </row>
    <row r="442" spans="4:19" ht="18" customHeight="1">
      <c r="D442" s="88"/>
      <c r="E442" s="88"/>
      <c r="F442" s="88"/>
      <c r="G442" s="88"/>
      <c r="H442" s="88"/>
      <c r="I442" s="88"/>
      <c r="J442" s="88"/>
      <c r="K442" s="88"/>
      <c r="L442" s="88"/>
      <c r="M442" s="88"/>
      <c r="N442" s="88"/>
      <c r="O442" s="88"/>
      <c r="P442" s="88"/>
      <c r="Q442" s="88"/>
      <c r="R442" s="88"/>
      <c r="S442" s="88"/>
    </row>
    <row r="443" spans="4:19" ht="18" customHeight="1">
      <c r="D443" s="88"/>
      <c r="E443" s="88"/>
      <c r="F443" s="88"/>
      <c r="G443" s="88"/>
      <c r="H443" s="88"/>
      <c r="I443" s="88"/>
      <c r="J443" s="88"/>
      <c r="K443" s="88"/>
      <c r="L443" s="88"/>
      <c r="M443" s="88"/>
      <c r="N443" s="88"/>
      <c r="O443" s="88"/>
      <c r="P443" s="88"/>
      <c r="Q443" s="88"/>
      <c r="R443" s="88"/>
      <c r="S443" s="88"/>
    </row>
    <row r="444" spans="4:19" ht="18" customHeight="1">
      <c r="D444" s="88"/>
      <c r="E444" s="88"/>
      <c r="F444" s="88"/>
      <c r="G444" s="88"/>
      <c r="H444" s="88"/>
      <c r="I444" s="88"/>
      <c r="J444" s="88"/>
      <c r="K444" s="88"/>
      <c r="L444" s="88"/>
      <c r="M444" s="88"/>
      <c r="N444" s="88"/>
      <c r="O444" s="88"/>
      <c r="P444" s="88"/>
      <c r="Q444" s="88"/>
      <c r="R444" s="88"/>
      <c r="S444" s="88"/>
    </row>
    <row r="445" spans="4:19" ht="18" customHeight="1">
      <c r="D445" s="88"/>
      <c r="E445" s="88"/>
      <c r="F445" s="88"/>
      <c r="G445" s="88"/>
      <c r="H445" s="88"/>
      <c r="I445" s="88"/>
      <c r="J445" s="88"/>
      <c r="K445" s="88"/>
      <c r="L445" s="88"/>
      <c r="M445" s="88"/>
      <c r="N445" s="88"/>
      <c r="O445" s="88"/>
      <c r="P445" s="88"/>
      <c r="Q445" s="88"/>
      <c r="R445" s="88"/>
      <c r="S445" s="88"/>
    </row>
    <row r="446" spans="4:19" ht="18" customHeight="1">
      <c r="D446" s="88"/>
      <c r="E446" s="88"/>
      <c r="F446" s="88"/>
      <c r="G446" s="88"/>
      <c r="H446" s="88"/>
      <c r="I446" s="88"/>
      <c r="J446" s="88"/>
      <c r="K446" s="88"/>
      <c r="L446" s="88"/>
      <c r="M446" s="88"/>
      <c r="N446" s="88"/>
      <c r="O446" s="88"/>
      <c r="P446" s="88"/>
      <c r="Q446" s="88"/>
      <c r="R446" s="88"/>
      <c r="S446" s="88"/>
    </row>
    <row r="447" spans="4:19" ht="18" customHeight="1">
      <c r="D447" s="88"/>
      <c r="E447" s="88"/>
      <c r="F447" s="88"/>
      <c r="G447" s="88"/>
      <c r="H447" s="88"/>
      <c r="I447" s="88"/>
      <c r="J447" s="88"/>
      <c r="K447" s="88"/>
      <c r="L447" s="88"/>
      <c r="M447" s="88"/>
      <c r="N447" s="88"/>
      <c r="O447" s="88"/>
      <c r="P447" s="88"/>
      <c r="Q447" s="88"/>
      <c r="R447" s="88"/>
      <c r="S447" s="88"/>
    </row>
    <row r="448" spans="4:19" ht="18" customHeight="1">
      <c r="D448" s="88"/>
      <c r="E448" s="88"/>
      <c r="F448" s="88"/>
      <c r="G448" s="88"/>
      <c r="H448" s="88"/>
      <c r="I448" s="88"/>
      <c r="J448" s="88"/>
      <c r="K448" s="88"/>
      <c r="L448" s="88"/>
      <c r="M448" s="88"/>
      <c r="N448" s="88"/>
      <c r="O448" s="88"/>
      <c r="P448" s="88"/>
      <c r="Q448" s="88"/>
      <c r="R448" s="88"/>
      <c r="S448" s="88"/>
    </row>
    <row r="449" spans="4:19" ht="18" customHeight="1">
      <c r="D449" s="88"/>
      <c r="E449" s="88"/>
      <c r="F449" s="88"/>
      <c r="G449" s="88"/>
      <c r="H449" s="88"/>
      <c r="I449" s="88"/>
      <c r="J449" s="88"/>
      <c r="K449" s="88"/>
      <c r="L449" s="88"/>
      <c r="M449" s="88"/>
      <c r="N449" s="88"/>
      <c r="O449" s="88"/>
      <c r="P449" s="88"/>
      <c r="Q449" s="88"/>
      <c r="R449" s="88"/>
      <c r="S449" s="88"/>
    </row>
    <row r="450" spans="4:19" ht="18" customHeight="1">
      <c r="D450" s="88"/>
      <c r="E450" s="88"/>
      <c r="F450" s="88"/>
      <c r="G450" s="88"/>
      <c r="H450" s="88"/>
      <c r="I450" s="88"/>
      <c r="J450" s="88"/>
      <c r="K450" s="88"/>
      <c r="L450" s="88"/>
      <c r="M450" s="88"/>
      <c r="N450" s="88"/>
      <c r="O450" s="88"/>
      <c r="P450" s="88"/>
      <c r="Q450" s="88"/>
      <c r="R450" s="88"/>
      <c r="S450" s="88"/>
    </row>
    <row r="451" spans="4:19" ht="18" customHeight="1">
      <c r="D451" s="88"/>
      <c r="E451" s="88"/>
      <c r="F451" s="88"/>
      <c r="G451" s="88"/>
      <c r="H451" s="88"/>
      <c r="I451" s="88"/>
      <c r="J451" s="88"/>
      <c r="K451" s="88"/>
      <c r="L451" s="88"/>
      <c r="M451" s="88"/>
      <c r="N451" s="88"/>
      <c r="O451" s="88"/>
      <c r="P451" s="88"/>
      <c r="Q451" s="88"/>
      <c r="R451" s="88"/>
      <c r="S451" s="88"/>
    </row>
    <row r="452" spans="4:19" ht="18" customHeight="1">
      <c r="D452" s="88"/>
      <c r="E452" s="88"/>
      <c r="F452" s="88"/>
      <c r="G452" s="88"/>
      <c r="H452" s="88"/>
      <c r="I452" s="88"/>
      <c r="J452" s="88"/>
      <c r="K452" s="88"/>
      <c r="L452" s="88"/>
      <c r="M452" s="88"/>
      <c r="N452" s="88"/>
      <c r="O452" s="88"/>
      <c r="P452" s="88"/>
      <c r="Q452" s="88"/>
      <c r="R452" s="88"/>
      <c r="S452" s="88"/>
    </row>
    <row r="453" spans="4:19" ht="18" customHeight="1">
      <c r="D453" s="88"/>
      <c r="E453" s="88"/>
      <c r="F453" s="88"/>
      <c r="G453" s="88"/>
      <c r="H453" s="88"/>
      <c r="I453" s="88"/>
      <c r="J453" s="88"/>
      <c r="K453" s="88"/>
      <c r="L453" s="88"/>
      <c r="M453" s="88"/>
      <c r="N453" s="88"/>
      <c r="O453" s="88"/>
      <c r="P453" s="88"/>
      <c r="Q453" s="88"/>
      <c r="R453" s="88"/>
      <c r="S453" s="88"/>
    </row>
    <row r="454" spans="4:19" ht="18" customHeight="1">
      <c r="D454" s="88"/>
      <c r="E454" s="88"/>
      <c r="F454" s="88"/>
      <c r="G454" s="88"/>
      <c r="H454" s="88"/>
      <c r="I454" s="88"/>
      <c r="J454" s="88"/>
      <c r="K454" s="88"/>
      <c r="L454" s="88"/>
      <c r="M454" s="88"/>
      <c r="N454" s="88"/>
      <c r="O454" s="88"/>
      <c r="P454" s="88"/>
      <c r="Q454" s="88"/>
      <c r="R454" s="88"/>
      <c r="S454" s="88"/>
    </row>
    <row r="455" spans="4:19" ht="18" customHeight="1">
      <c r="D455" s="88"/>
      <c r="E455" s="88"/>
      <c r="F455" s="88"/>
      <c r="G455" s="88"/>
      <c r="H455" s="88"/>
      <c r="I455" s="88"/>
      <c r="J455" s="88"/>
      <c r="K455" s="88"/>
      <c r="L455" s="88"/>
      <c r="M455" s="88"/>
      <c r="N455" s="88"/>
      <c r="O455" s="88"/>
      <c r="P455" s="88"/>
      <c r="Q455" s="88"/>
      <c r="R455" s="88"/>
      <c r="S455" s="88"/>
    </row>
    <row r="456" spans="4:19" ht="18" customHeight="1">
      <c r="D456" s="88"/>
      <c r="E456" s="88"/>
      <c r="F456" s="88"/>
      <c r="G456" s="88"/>
      <c r="H456" s="88"/>
      <c r="I456" s="88"/>
      <c r="J456" s="88"/>
      <c r="K456" s="88"/>
      <c r="L456" s="88"/>
      <c r="M456" s="88"/>
      <c r="N456" s="88"/>
      <c r="O456" s="88"/>
      <c r="P456" s="88"/>
      <c r="Q456" s="88"/>
      <c r="R456" s="88"/>
      <c r="S456" s="88"/>
    </row>
    <row r="457" spans="4:19" ht="18" customHeight="1">
      <c r="D457" s="88"/>
      <c r="E457" s="88"/>
      <c r="F457" s="88"/>
      <c r="G457" s="88"/>
      <c r="H457" s="88"/>
      <c r="I457" s="88"/>
      <c r="J457" s="88"/>
      <c r="K457" s="88"/>
      <c r="L457" s="88"/>
      <c r="M457" s="88"/>
      <c r="N457" s="88"/>
      <c r="O457" s="88"/>
      <c r="P457" s="88"/>
      <c r="Q457" s="88"/>
      <c r="R457" s="88"/>
      <c r="S457" s="88"/>
    </row>
    <row r="458" spans="4:19" ht="18" customHeight="1">
      <c r="D458" s="88"/>
      <c r="E458" s="88"/>
      <c r="F458" s="88"/>
      <c r="G458" s="88"/>
      <c r="H458" s="88"/>
      <c r="I458" s="88"/>
      <c r="J458" s="88"/>
      <c r="K458" s="88"/>
      <c r="L458" s="88"/>
      <c r="M458" s="88"/>
      <c r="N458" s="88"/>
      <c r="O458" s="88"/>
      <c r="P458" s="88"/>
      <c r="Q458" s="88"/>
      <c r="R458" s="88"/>
      <c r="S458" s="88"/>
    </row>
    <row r="459" spans="4:19" ht="18" customHeight="1">
      <c r="D459" s="88"/>
      <c r="E459" s="88"/>
      <c r="F459" s="88"/>
      <c r="G459" s="88"/>
      <c r="H459" s="88"/>
      <c r="I459" s="88"/>
      <c r="J459" s="88"/>
      <c r="K459" s="88"/>
      <c r="L459" s="88"/>
      <c r="M459" s="88"/>
      <c r="N459" s="88"/>
      <c r="O459" s="88"/>
      <c r="P459" s="88"/>
      <c r="Q459" s="88"/>
      <c r="R459" s="88"/>
      <c r="S459" s="88"/>
    </row>
    <row r="460" spans="4:19" ht="18" customHeight="1">
      <c r="D460" s="88"/>
      <c r="E460" s="88"/>
      <c r="F460" s="88"/>
      <c r="G460" s="88"/>
      <c r="H460" s="88"/>
      <c r="I460" s="88"/>
      <c r="J460" s="88"/>
      <c r="K460" s="88"/>
      <c r="L460" s="88"/>
      <c r="M460" s="88"/>
      <c r="N460" s="88"/>
      <c r="O460" s="88"/>
      <c r="P460" s="88"/>
      <c r="Q460" s="88"/>
      <c r="R460" s="88"/>
      <c r="S460" s="88"/>
    </row>
    <row r="461" spans="4:19" ht="18" customHeight="1">
      <c r="D461" s="88"/>
      <c r="E461" s="88"/>
      <c r="F461" s="88"/>
      <c r="G461" s="88"/>
      <c r="H461" s="88"/>
      <c r="I461" s="88"/>
      <c r="J461" s="88"/>
      <c r="K461" s="88"/>
      <c r="L461" s="88"/>
      <c r="M461" s="88"/>
      <c r="N461" s="88"/>
      <c r="O461" s="88"/>
      <c r="P461" s="88"/>
      <c r="Q461" s="88"/>
      <c r="R461" s="88"/>
      <c r="S461" s="88"/>
    </row>
    <row r="462" spans="4:19" ht="18" customHeight="1">
      <c r="D462" s="88"/>
      <c r="E462" s="88"/>
      <c r="F462" s="88"/>
      <c r="G462" s="88"/>
      <c r="H462" s="88"/>
      <c r="I462" s="88"/>
      <c r="J462" s="88"/>
      <c r="K462" s="88"/>
      <c r="L462" s="88"/>
      <c r="M462" s="88"/>
      <c r="N462" s="88"/>
      <c r="O462" s="88"/>
      <c r="P462" s="88"/>
      <c r="Q462" s="88"/>
      <c r="R462" s="88"/>
      <c r="S462" s="88"/>
    </row>
    <row r="463" spans="4:19" ht="18" customHeight="1">
      <c r="D463" s="88"/>
      <c r="E463" s="88"/>
      <c r="F463" s="88"/>
      <c r="G463" s="88"/>
      <c r="H463" s="88"/>
      <c r="I463" s="88"/>
      <c r="J463" s="88"/>
      <c r="K463" s="88"/>
      <c r="L463" s="88"/>
      <c r="M463" s="88"/>
      <c r="N463" s="88"/>
      <c r="O463" s="88"/>
      <c r="P463" s="88"/>
      <c r="Q463" s="88"/>
      <c r="R463" s="88"/>
      <c r="S463" s="88"/>
    </row>
    <row r="464" spans="4:19" ht="18" customHeight="1">
      <c r="D464" s="88"/>
      <c r="E464" s="88"/>
      <c r="F464" s="88"/>
      <c r="G464" s="88"/>
      <c r="H464" s="88"/>
      <c r="I464" s="88"/>
      <c r="J464" s="88"/>
      <c r="K464" s="88"/>
      <c r="L464" s="88"/>
      <c r="M464" s="88"/>
      <c r="N464" s="88"/>
      <c r="O464" s="88"/>
      <c r="P464" s="88"/>
      <c r="Q464" s="88"/>
      <c r="R464" s="88"/>
      <c r="S464" s="88"/>
    </row>
    <row r="465" spans="4:19" ht="18" customHeight="1">
      <c r="D465" s="88"/>
      <c r="E465" s="88"/>
      <c r="F465" s="88"/>
      <c r="G465" s="88"/>
      <c r="H465" s="88"/>
      <c r="I465" s="88"/>
      <c r="J465" s="88"/>
      <c r="K465" s="88"/>
      <c r="L465" s="88"/>
      <c r="M465" s="88"/>
      <c r="N465" s="88"/>
      <c r="O465" s="88"/>
      <c r="P465" s="88"/>
      <c r="Q465" s="88"/>
      <c r="R465" s="88"/>
      <c r="S465" s="88"/>
    </row>
    <row r="466" spans="4:19" ht="18" customHeight="1">
      <c r="D466" s="88"/>
      <c r="E466" s="88"/>
      <c r="F466" s="88"/>
      <c r="G466" s="88"/>
      <c r="H466" s="88"/>
      <c r="I466" s="88"/>
      <c r="J466" s="88"/>
      <c r="K466" s="88"/>
      <c r="L466" s="88"/>
      <c r="M466" s="88"/>
      <c r="N466" s="88"/>
      <c r="O466" s="88"/>
      <c r="P466" s="88"/>
      <c r="Q466" s="88"/>
      <c r="R466" s="88"/>
      <c r="S466" s="88"/>
    </row>
    <row r="467" spans="4:19" ht="18" customHeight="1">
      <c r="D467" s="88"/>
      <c r="E467" s="88"/>
      <c r="F467" s="88"/>
      <c r="G467" s="88"/>
      <c r="H467" s="88"/>
      <c r="I467" s="88"/>
      <c r="J467" s="88"/>
      <c r="K467" s="88"/>
      <c r="L467" s="88"/>
      <c r="M467" s="88"/>
      <c r="N467" s="88"/>
      <c r="O467" s="88"/>
      <c r="P467" s="88"/>
      <c r="Q467" s="88"/>
      <c r="R467" s="88"/>
      <c r="S467" s="88"/>
    </row>
    <row r="468" spans="4:19" ht="18" customHeight="1">
      <c r="D468" s="88"/>
      <c r="E468" s="88"/>
      <c r="F468" s="88"/>
      <c r="G468" s="88"/>
      <c r="H468" s="88"/>
      <c r="I468" s="88"/>
      <c r="J468" s="88"/>
      <c r="K468" s="88"/>
      <c r="L468" s="88"/>
      <c r="M468" s="88"/>
      <c r="N468" s="88"/>
      <c r="O468" s="88"/>
      <c r="P468" s="88"/>
      <c r="Q468" s="88"/>
      <c r="R468" s="88"/>
      <c r="S468" s="88"/>
    </row>
    <row r="469" spans="4:19" ht="18" customHeight="1">
      <c r="D469" s="88"/>
      <c r="E469" s="88"/>
      <c r="F469" s="88"/>
      <c r="G469" s="88"/>
      <c r="H469" s="88"/>
      <c r="I469" s="88"/>
      <c r="J469" s="88"/>
      <c r="K469" s="88"/>
      <c r="L469" s="88"/>
      <c r="M469" s="88"/>
      <c r="N469" s="88"/>
      <c r="O469" s="88"/>
      <c r="P469" s="88"/>
      <c r="Q469" s="88"/>
      <c r="R469" s="88"/>
      <c r="S469" s="88"/>
    </row>
    <row r="470" spans="4:19" ht="18" customHeight="1">
      <c r="D470" s="88"/>
      <c r="E470" s="88"/>
      <c r="F470" s="88"/>
      <c r="G470" s="88"/>
      <c r="H470" s="88"/>
      <c r="I470" s="88"/>
      <c r="J470" s="88"/>
      <c r="K470" s="88"/>
      <c r="L470" s="88"/>
      <c r="M470" s="88"/>
      <c r="N470" s="88"/>
      <c r="O470" s="88"/>
      <c r="P470" s="88"/>
      <c r="Q470" s="88"/>
      <c r="R470" s="88"/>
      <c r="S470" s="88"/>
    </row>
    <row r="471" spans="4:19" ht="18" customHeight="1">
      <c r="D471" s="88"/>
      <c r="E471" s="88"/>
      <c r="F471" s="88"/>
      <c r="G471" s="88"/>
      <c r="H471" s="88"/>
      <c r="I471" s="88"/>
      <c r="J471" s="88"/>
      <c r="K471" s="88"/>
      <c r="L471" s="88"/>
      <c r="M471" s="88"/>
      <c r="N471" s="88"/>
      <c r="O471" s="88"/>
      <c r="P471" s="88"/>
      <c r="Q471" s="88"/>
      <c r="R471" s="88"/>
      <c r="S471" s="88"/>
    </row>
    <row r="472" spans="4:19" ht="18" customHeight="1">
      <c r="D472" s="88"/>
      <c r="E472" s="88"/>
      <c r="F472" s="88"/>
      <c r="G472" s="88"/>
      <c r="H472" s="88"/>
      <c r="I472" s="88"/>
      <c r="J472" s="88"/>
      <c r="K472" s="88"/>
      <c r="L472" s="88"/>
      <c r="M472" s="88"/>
      <c r="N472" s="88"/>
      <c r="O472" s="88"/>
      <c r="P472" s="88"/>
      <c r="Q472" s="88"/>
      <c r="R472" s="88"/>
      <c r="S472" s="88"/>
    </row>
    <row r="473" spans="4:19" ht="18" customHeight="1">
      <c r="D473" s="88"/>
      <c r="E473" s="88"/>
      <c r="F473" s="88"/>
      <c r="G473" s="88"/>
      <c r="H473" s="88"/>
      <c r="I473" s="88"/>
      <c r="J473" s="88"/>
      <c r="K473" s="88"/>
      <c r="L473" s="88"/>
      <c r="M473" s="88"/>
      <c r="N473" s="88"/>
      <c r="O473" s="88"/>
      <c r="P473" s="88"/>
      <c r="Q473" s="88"/>
      <c r="R473" s="88"/>
      <c r="S473" s="88"/>
    </row>
    <row r="474" spans="4:19" ht="18" customHeight="1">
      <c r="D474" s="88"/>
      <c r="E474" s="88"/>
      <c r="F474" s="88"/>
      <c r="G474" s="88"/>
      <c r="H474" s="88"/>
      <c r="I474" s="88"/>
      <c r="J474" s="88"/>
      <c r="K474" s="88"/>
      <c r="L474" s="88"/>
      <c r="M474" s="88"/>
      <c r="N474" s="88"/>
      <c r="O474" s="88"/>
      <c r="P474" s="88"/>
      <c r="Q474" s="88"/>
      <c r="R474" s="88"/>
      <c r="S474" s="88"/>
    </row>
    <row r="475" spans="4:19" ht="18" customHeight="1">
      <c r="D475" s="88"/>
      <c r="E475" s="88"/>
      <c r="F475" s="88"/>
      <c r="G475" s="88"/>
      <c r="H475" s="88"/>
      <c r="I475" s="88"/>
      <c r="J475" s="88"/>
      <c r="K475" s="88"/>
      <c r="L475" s="88"/>
      <c r="M475" s="88"/>
      <c r="N475" s="88"/>
      <c r="O475" s="88"/>
      <c r="P475" s="88"/>
      <c r="Q475" s="88"/>
      <c r="R475" s="88"/>
      <c r="S475" s="88"/>
    </row>
    <row r="476" spans="4:19" ht="18" customHeight="1">
      <c r="D476" s="88"/>
      <c r="E476" s="88"/>
      <c r="F476" s="88"/>
      <c r="G476" s="88"/>
      <c r="H476" s="88"/>
      <c r="I476" s="88"/>
      <c r="J476" s="88"/>
      <c r="K476" s="88"/>
      <c r="L476" s="88"/>
      <c r="M476" s="88"/>
      <c r="N476" s="88"/>
      <c r="O476" s="88"/>
      <c r="P476" s="88"/>
      <c r="Q476" s="88"/>
      <c r="R476" s="88"/>
      <c r="S476" s="88"/>
    </row>
    <row r="477" spans="4:19" ht="18" customHeight="1">
      <c r="D477" s="88"/>
      <c r="E477" s="88"/>
      <c r="F477" s="88"/>
      <c r="G477" s="88"/>
      <c r="H477" s="88"/>
      <c r="I477" s="88"/>
      <c r="J477" s="88"/>
      <c r="K477" s="88"/>
      <c r="L477" s="88"/>
      <c r="M477" s="88"/>
      <c r="N477" s="88"/>
      <c r="O477" s="88"/>
      <c r="P477" s="88"/>
      <c r="Q477" s="88"/>
      <c r="R477" s="88"/>
      <c r="S477" s="88"/>
    </row>
    <row r="478" spans="4:19" ht="18" customHeight="1">
      <c r="D478" s="88"/>
      <c r="E478" s="88"/>
      <c r="F478" s="88"/>
      <c r="G478" s="88"/>
      <c r="H478" s="88"/>
      <c r="I478" s="88"/>
      <c r="J478" s="88"/>
      <c r="K478" s="88"/>
      <c r="L478" s="88"/>
      <c r="M478" s="88"/>
      <c r="N478" s="88"/>
      <c r="O478" s="88"/>
      <c r="P478" s="88"/>
      <c r="Q478" s="88"/>
      <c r="R478" s="88"/>
      <c r="S478" s="88"/>
    </row>
    <row r="479" spans="4:19" ht="18" customHeight="1">
      <c r="D479" s="88"/>
      <c r="E479" s="88"/>
      <c r="F479" s="88"/>
      <c r="G479" s="88"/>
      <c r="H479" s="88"/>
      <c r="I479" s="88"/>
      <c r="J479" s="88"/>
      <c r="K479" s="88"/>
      <c r="L479" s="88"/>
      <c r="M479" s="88"/>
      <c r="N479" s="88"/>
      <c r="O479" s="88"/>
      <c r="P479" s="88"/>
      <c r="Q479" s="88"/>
      <c r="R479" s="88"/>
      <c r="S479" s="88"/>
    </row>
    <row r="480" spans="4:19" ht="18" customHeight="1">
      <c r="D480" s="88"/>
      <c r="E480" s="88"/>
      <c r="F480" s="88"/>
      <c r="G480" s="88"/>
      <c r="H480" s="88"/>
      <c r="I480" s="88"/>
      <c r="J480" s="88"/>
      <c r="K480" s="88"/>
      <c r="L480" s="88"/>
      <c r="M480" s="88"/>
      <c r="N480" s="88"/>
      <c r="O480" s="88"/>
      <c r="P480" s="88"/>
      <c r="Q480" s="88"/>
      <c r="R480" s="88"/>
      <c r="S480" s="88"/>
    </row>
    <row r="481" spans="4:19" ht="18" customHeight="1">
      <c r="D481" s="88"/>
      <c r="E481" s="88"/>
      <c r="F481" s="88"/>
      <c r="G481" s="88"/>
      <c r="H481" s="88"/>
      <c r="I481" s="88"/>
      <c r="J481" s="88"/>
      <c r="K481" s="88"/>
      <c r="L481" s="88"/>
      <c r="M481" s="88"/>
      <c r="N481" s="88"/>
      <c r="O481" s="88"/>
      <c r="P481" s="88"/>
      <c r="Q481" s="88"/>
      <c r="R481" s="88"/>
      <c r="S481" s="88"/>
    </row>
    <row r="482" spans="4:19" ht="18" customHeight="1">
      <c r="D482" s="88"/>
      <c r="E482" s="88"/>
      <c r="F482" s="88"/>
      <c r="G482" s="88"/>
      <c r="H482" s="88"/>
      <c r="I482" s="88"/>
      <c r="J482" s="88"/>
      <c r="K482" s="88"/>
      <c r="L482" s="88"/>
      <c r="M482" s="88"/>
      <c r="N482" s="88"/>
      <c r="O482" s="88"/>
      <c r="P482" s="88"/>
      <c r="Q482" s="88"/>
      <c r="R482" s="88"/>
      <c r="S482" s="88"/>
    </row>
    <row r="483" spans="4:19" ht="18" customHeight="1">
      <c r="D483" s="88"/>
      <c r="E483" s="88"/>
      <c r="F483" s="88"/>
      <c r="G483" s="88"/>
      <c r="H483" s="88"/>
      <c r="I483" s="88"/>
      <c r="J483" s="88"/>
      <c r="K483" s="88"/>
      <c r="L483" s="88"/>
      <c r="M483" s="88"/>
      <c r="N483" s="88"/>
      <c r="O483" s="88"/>
      <c r="P483" s="88"/>
      <c r="Q483" s="88"/>
      <c r="R483" s="88"/>
      <c r="S483" s="88"/>
    </row>
    <row r="484" spans="4:19" ht="18" customHeight="1">
      <c r="D484" s="88"/>
      <c r="E484" s="88"/>
      <c r="F484" s="88"/>
      <c r="G484" s="88"/>
      <c r="H484" s="88"/>
      <c r="I484" s="88"/>
      <c r="J484" s="88"/>
      <c r="K484" s="88"/>
      <c r="L484" s="88"/>
      <c r="M484" s="88"/>
      <c r="N484" s="88"/>
      <c r="O484" s="88"/>
      <c r="P484" s="88"/>
      <c r="Q484" s="88"/>
      <c r="R484" s="88"/>
      <c r="S484" s="88"/>
    </row>
    <row r="485" spans="4:19" ht="18" customHeight="1">
      <c r="D485" s="88"/>
      <c r="E485" s="88"/>
      <c r="F485" s="88"/>
      <c r="G485" s="88"/>
      <c r="H485" s="88"/>
      <c r="I485" s="88"/>
      <c r="J485" s="88"/>
      <c r="K485" s="88"/>
      <c r="L485" s="88"/>
      <c r="M485" s="88"/>
      <c r="N485" s="88"/>
      <c r="O485" s="88"/>
      <c r="P485" s="88"/>
      <c r="Q485" s="88"/>
      <c r="R485" s="88"/>
      <c r="S485" s="88"/>
    </row>
    <row r="486" spans="4:19" ht="18" customHeight="1">
      <c r="D486" s="88"/>
      <c r="E486" s="88"/>
      <c r="F486" s="88"/>
      <c r="G486" s="88"/>
      <c r="H486" s="88"/>
      <c r="I486" s="88"/>
      <c r="J486" s="88"/>
      <c r="K486" s="88"/>
      <c r="L486" s="88"/>
      <c r="M486" s="88"/>
      <c r="N486" s="88"/>
      <c r="O486" s="88"/>
      <c r="P486" s="88"/>
      <c r="Q486" s="88"/>
      <c r="R486" s="88"/>
      <c r="S486" s="88"/>
    </row>
    <row r="487" spans="4:19" ht="18" customHeight="1">
      <c r="D487" s="88"/>
      <c r="E487" s="88"/>
      <c r="F487" s="88"/>
      <c r="G487" s="88"/>
      <c r="H487" s="88"/>
      <c r="I487" s="88"/>
      <c r="J487" s="88"/>
      <c r="K487" s="88"/>
      <c r="L487" s="88"/>
      <c r="M487" s="88"/>
      <c r="N487" s="88"/>
      <c r="O487" s="88"/>
      <c r="P487" s="88"/>
      <c r="Q487" s="88"/>
      <c r="R487" s="88"/>
      <c r="S487" s="88"/>
    </row>
    <row r="488" spans="4:19" ht="18" customHeight="1">
      <c r="D488" s="88"/>
      <c r="E488" s="88"/>
      <c r="F488" s="88"/>
      <c r="G488" s="88"/>
      <c r="H488" s="88"/>
      <c r="I488" s="88"/>
      <c r="J488" s="88"/>
      <c r="K488" s="88"/>
      <c r="L488" s="88"/>
      <c r="M488" s="88"/>
      <c r="N488" s="88"/>
      <c r="O488" s="88"/>
      <c r="P488" s="88"/>
      <c r="Q488" s="88"/>
      <c r="R488" s="88"/>
      <c r="S488" s="88"/>
    </row>
    <row r="489" spans="4:19" ht="18" customHeight="1">
      <c r="D489" s="88"/>
      <c r="E489" s="88"/>
      <c r="F489" s="88"/>
      <c r="G489" s="88"/>
      <c r="H489" s="88"/>
      <c r="I489" s="88"/>
      <c r="J489" s="88"/>
      <c r="K489" s="88"/>
      <c r="L489" s="88"/>
      <c r="M489" s="88"/>
      <c r="N489" s="88"/>
      <c r="O489" s="88"/>
      <c r="P489" s="88"/>
      <c r="Q489" s="88"/>
      <c r="R489" s="88"/>
      <c r="S489" s="88"/>
    </row>
    <row r="490" spans="4:19" ht="18" customHeight="1">
      <c r="D490" s="88"/>
      <c r="E490" s="88"/>
      <c r="F490" s="88"/>
      <c r="G490" s="88"/>
      <c r="H490" s="88"/>
      <c r="I490" s="88"/>
      <c r="J490" s="88"/>
      <c r="K490" s="88"/>
      <c r="L490" s="88"/>
      <c r="M490" s="88"/>
      <c r="N490" s="88"/>
      <c r="O490" s="88"/>
      <c r="P490" s="88"/>
      <c r="Q490" s="88"/>
      <c r="R490" s="88"/>
      <c r="S490" s="88"/>
    </row>
    <row r="491" spans="4:19" ht="18" customHeight="1">
      <c r="D491" s="88"/>
      <c r="E491" s="88"/>
      <c r="F491" s="88"/>
      <c r="G491" s="88"/>
      <c r="H491" s="88"/>
      <c r="I491" s="88"/>
      <c r="J491" s="88"/>
      <c r="K491" s="88"/>
      <c r="L491" s="88"/>
      <c r="M491" s="88"/>
      <c r="N491" s="88"/>
      <c r="O491" s="88"/>
      <c r="P491" s="88"/>
      <c r="Q491" s="88"/>
      <c r="R491" s="88"/>
      <c r="S491" s="88"/>
    </row>
    <row r="492" spans="4:19" ht="18" customHeight="1">
      <c r="D492" s="88"/>
      <c r="E492" s="88"/>
      <c r="F492" s="88"/>
      <c r="G492" s="88"/>
      <c r="H492" s="88"/>
      <c r="I492" s="88"/>
      <c r="J492" s="88"/>
      <c r="K492" s="88"/>
      <c r="L492" s="88"/>
      <c r="M492" s="88"/>
      <c r="N492" s="88"/>
      <c r="O492" s="88"/>
      <c r="P492" s="88"/>
      <c r="Q492" s="88"/>
      <c r="R492" s="88"/>
      <c r="S492" s="88"/>
    </row>
    <row r="493" spans="4:19" ht="18" customHeight="1">
      <c r="D493" s="88"/>
      <c r="E493" s="88"/>
      <c r="F493" s="88"/>
      <c r="G493" s="88"/>
      <c r="H493" s="88"/>
      <c r="I493" s="88"/>
      <c r="J493" s="88"/>
      <c r="K493" s="88"/>
      <c r="L493" s="88"/>
      <c r="M493" s="88"/>
      <c r="N493" s="88"/>
      <c r="O493" s="88"/>
      <c r="P493" s="88"/>
      <c r="Q493" s="88"/>
      <c r="R493" s="88"/>
      <c r="S493" s="88"/>
    </row>
    <row r="494" spans="4:19" ht="18" customHeight="1">
      <c r="D494" s="88"/>
      <c r="E494" s="88"/>
      <c r="F494" s="88"/>
      <c r="G494" s="88"/>
      <c r="H494" s="88"/>
      <c r="I494" s="88"/>
      <c r="J494" s="88"/>
      <c r="K494" s="88"/>
      <c r="L494" s="88"/>
      <c r="M494" s="88"/>
      <c r="N494" s="88"/>
      <c r="O494" s="88"/>
      <c r="P494" s="88"/>
      <c r="Q494" s="88"/>
      <c r="R494" s="88"/>
      <c r="S494" s="88"/>
    </row>
    <row r="495" spans="4:19" ht="18" customHeight="1">
      <c r="D495" s="88"/>
      <c r="E495" s="88"/>
      <c r="F495" s="88"/>
      <c r="G495" s="88"/>
      <c r="H495" s="88"/>
      <c r="I495" s="88"/>
      <c r="J495" s="88"/>
      <c r="K495" s="88"/>
      <c r="L495" s="88"/>
      <c r="M495" s="88"/>
      <c r="N495" s="88"/>
      <c r="O495" s="88"/>
      <c r="P495" s="88"/>
      <c r="Q495" s="88"/>
      <c r="R495" s="88"/>
      <c r="S495" s="88"/>
    </row>
    <row r="496" spans="4:19" ht="18" customHeight="1">
      <c r="D496" s="88"/>
      <c r="E496" s="88"/>
      <c r="F496" s="88"/>
      <c r="G496" s="88"/>
      <c r="H496" s="88"/>
      <c r="I496" s="88"/>
      <c r="J496" s="88"/>
      <c r="K496" s="88"/>
      <c r="L496" s="88"/>
      <c r="M496" s="88"/>
      <c r="N496" s="88"/>
      <c r="O496" s="88"/>
      <c r="P496" s="88"/>
      <c r="Q496" s="88"/>
      <c r="R496" s="88"/>
      <c r="S496" s="88"/>
    </row>
    <row r="497" spans="4:19" ht="18" customHeight="1">
      <c r="D497" s="88"/>
      <c r="E497" s="88"/>
      <c r="F497" s="88"/>
      <c r="G497" s="88"/>
      <c r="H497" s="88"/>
      <c r="I497" s="88"/>
      <c r="J497" s="88"/>
      <c r="K497" s="88"/>
      <c r="L497" s="88"/>
      <c r="M497" s="88"/>
      <c r="N497" s="88"/>
      <c r="O497" s="88"/>
      <c r="P497" s="88"/>
      <c r="Q497" s="88"/>
      <c r="R497" s="88"/>
      <c r="S497" s="88"/>
    </row>
    <row r="498" spans="4:19" ht="18" customHeight="1">
      <c r="D498" s="88"/>
      <c r="E498" s="88"/>
      <c r="F498" s="88"/>
      <c r="G498" s="88"/>
      <c r="H498" s="88"/>
      <c r="I498" s="88"/>
      <c r="J498" s="88"/>
      <c r="K498" s="88"/>
      <c r="L498" s="88"/>
      <c r="M498" s="88"/>
      <c r="N498" s="88"/>
      <c r="O498" s="88"/>
      <c r="P498" s="88"/>
      <c r="Q498" s="88"/>
      <c r="R498" s="88"/>
      <c r="S498" s="88"/>
    </row>
    <row r="499" spans="4:19" ht="18" customHeight="1">
      <c r="D499" s="88"/>
      <c r="E499" s="88"/>
      <c r="F499" s="88"/>
      <c r="G499" s="88"/>
      <c r="H499" s="88"/>
      <c r="I499" s="88"/>
      <c r="J499" s="88"/>
      <c r="K499" s="88"/>
      <c r="L499" s="88"/>
      <c r="M499" s="88"/>
      <c r="N499" s="88"/>
      <c r="O499" s="88"/>
      <c r="P499" s="88"/>
      <c r="Q499" s="88"/>
      <c r="R499" s="88"/>
      <c r="S499" s="88"/>
    </row>
    <row r="500" spans="4:19" ht="18" customHeight="1">
      <c r="D500" s="88"/>
      <c r="E500" s="88"/>
      <c r="F500" s="88"/>
      <c r="G500" s="88"/>
      <c r="H500" s="88"/>
      <c r="I500" s="88"/>
      <c r="J500" s="88"/>
      <c r="K500" s="88"/>
      <c r="L500" s="88"/>
      <c r="M500" s="88"/>
      <c r="N500" s="88"/>
      <c r="O500" s="88"/>
      <c r="P500" s="88"/>
      <c r="Q500" s="88"/>
      <c r="R500" s="88"/>
      <c r="S500" s="88"/>
    </row>
    <row r="501" spans="4:19" ht="18" customHeight="1">
      <c r="D501" s="88"/>
      <c r="E501" s="88"/>
      <c r="F501" s="88"/>
      <c r="G501" s="88"/>
      <c r="H501" s="88"/>
      <c r="I501" s="88"/>
      <c r="J501" s="88"/>
      <c r="K501" s="88"/>
      <c r="L501" s="88"/>
      <c r="M501" s="88"/>
      <c r="N501" s="88"/>
      <c r="O501" s="88"/>
      <c r="P501" s="88"/>
      <c r="Q501" s="88"/>
      <c r="R501" s="88"/>
      <c r="S501" s="88"/>
    </row>
    <row r="502" spans="4:19" ht="18" customHeight="1">
      <c r="D502" s="88"/>
      <c r="E502" s="88"/>
      <c r="F502" s="88"/>
      <c r="G502" s="88"/>
      <c r="H502" s="88"/>
      <c r="I502" s="88"/>
      <c r="J502" s="88"/>
      <c r="K502" s="88"/>
      <c r="L502" s="88"/>
      <c r="M502" s="88"/>
      <c r="N502" s="88"/>
      <c r="O502" s="88"/>
      <c r="P502" s="88"/>
      <c r="Q502" s="88"/>
      <c r="R502" s="88"/>
      <c r="S502" s="88"/>
    </row>
    <row r="503" spans="4:19" ht="18" customHeight="1">
      <c r="D503" s="88"/>
      <c r="E503" s="88"/>
      <c r="F503" s="88"/>
      <c r="G503" s="88"/>
      <c r="H503" s="88"/>
      <c r="I503" s="88"/>
      <c r="J503" s="88"/>
      <c r="K503" s="88"/>
      <c r="L503" s="88"/>
      <c r="M503" s="88"/>
      <c r="N503" s="88"/>
      <c r="O503" s="88"/>
      <c r="P503" s="88"/>
      <c r="Q503" s="88"/>
      <c r="R503" s="88"/>
      <c r="S503" s="88"/>
    </row>
    <row r="504" spans="4:19" ht="18" customHeight="1">
      <c r="D504" s="88"/>
      <c r="E504" s="88"/>
      <c r="F504" s="88"/>
      <c r="G504" s="88"/>
      <c r="H504" s="88"/>
      <c r="I504" s="88"/>
      <c r="J504" s="88"/>
      <c r="K504" s="88"/>
      <c r="L504" s="88"/>
      <c r="M504" s="88"/>
      <c r="N504" s="88"/>
      <c r="O504" s="88"/>
      <c r="P504" s="88"/>
      <c r="Q504" s="88"/>
      <c r="R504" s="88"/>
      <c r="S504" s="88"/>
    </row>
    <row r="505" spans="4:19" ht="18" customHeight="1">
      <c r="D505" s="88"/>
      <c r="E505" s="88"/>
      <c r="F505" s="88"/>
      <c r="G505" s="88"/>
      <c r="H505" s="88"/>
      <c r="I505" s="88"/>
      <c r="J505" s="88"/>
      <c r="K505" s="88"/>
      <c r="L505" s="88"/>
      <c r="M505" s="88"/>
      <c r="N505" s="88"/>
      <c r="O505" s="88"/>
      <c r="P505" s="88"/>
      <c r="Q505" s="88"/>
      <c r="R505" s="88"/>
      <c r="S505" s="88"/>
    </row>
    <row r="506" spans="4:19" ht="18" customHeight="1">
      <c r="D506" s="88"/>
      <c r="E506" s="88"/>
      <c r="F506" s="88"/>
      <c r="G506" s="88"/>
      <c r="H506" s="88"/>
      <c r="I506" s="88"/>
      <c r="J506" s="88"/>
      <c r="K506" s="88"/>
      <c r="L506" s="88"/>
      <c r="M506" s="88"/>
      <c r="N506" s="88"/>
      <c r="O506" s="88"/>
      <c r="P506" s="88"/>
      <c r="Q506" s="88"/>
      <c r="R506" s="88"/>
      <c r="S506" s="88"/>
    </row>
    <row r="507" spans="4:19" ht="18" customHeight="1">
      <c r="D507" s="88"/>
      <c r="E507" s="88"/>
      <c r="F507" s="88"/>
      <c r="G507" s="88"/>
      <c r="H507" s="88"/>
      <c r="I507" s="88"/>
      <c r="J507" s="88"/>
      <c r="K507" s="88"/>
      <c r="L507" s="88"/>
      <c r="M507" s="88"/>
      <c r="N507" s="88"/>
      <c r="O507" s="88"/>
      <c r="P507" s="88"/>
      <c r="Q507" s="88"/>
      <c r="R507" s="88"/>
      <c r="S507" s="88"/>
    </row>
    <row r="508" spans="4:19" ht="18" customHeight="1">
      <c r="D508" s="88"/>
      <c r="E508" s="88"/>
      <c r="F508" s="88"/>
      <c r="G508" s="88"/>
      <c r="H508" s="88"/>
      <c r="I508" s="88"/>
      <c r="J508" s="88"/>
      <c r="K508" s="88"/>
      <c r="L508" s="88"/>
      <c r="M508" s="88"/>
      <c r="N508" s="88"/>
      <c r="O508" s="88"/>
      <c r="P508" s="88"/>
      <c r="Q508" s="88"/>
      <c r="R508" s="88"/>
      <c r="S508" s="88"/>
    </row>
    <row r="509" spans="4:19" ht="18" customHeight="1">
      <c r="D509" s="88"/>
      <c r="E509" s="88"/>
      <c r="F509" s="88"/>
      <c r="G509" s="88"/>
      <c r="H509" s="88"/>
      <c r="I509" s="88"/>
      <c r="J509" s="88"/>
      <c r="K509" s="88"/>
      <c r="L509" s="88"/>
      <c r="M509" s="88"/>
      <c r="N509" s="88"/>
      <c r="O509" s="88"/>
      <c r="P509" s="88"/>
      <c r="Q509" s="88"/>
      <c r="R509" s="88"/>
      <c r="S509" s="88"/>
    </row>
    <row r="510" spans="4:19" ht="18" customHeight="1">
      <c r="D510" s="88"/>
      <c r="E510" s="88"/>
      <c r="F510" s="88"/>
      <c r="G510" s="88"/>
      <c r="H510" s="88"/>
      <c r="I510" s="88"/>
      <c r="J510" s="88"/>
      <c r="K510" s="88"/>
      <c r="L510" s="88"/>
      <c r="M510" s="88"/>
      <c r="N510" s="88"/>
      <c r="O510" s="88"/>
      <c r="P510" s="88"/>
      <c r="Q510" s="88"/>
      <c r="R510" s="88"/>
      <c r="S510" s="88"/>
    </row>
    <row r="511" spans="4:19" ht="18" customHeight="1">
      <c r="D511" s="88"/>
      <c r="E511" s="88"/>
      <c r="F511" s="88"/>
      <c r="G511" s="88"/>
      <c r="H511" s="88"/>
      <c r="I511" s="88"/>
      <c r="J511" s="88"/>
      <c r="K511" s="88"/>
      <c r="L511" s="88"/>
      <c r="M511" s="88"/>
      <c r="N511" s="88"/>
      <c r="O511" s="88"/>
      <c r="P511" s="88"/>
      <c r="Q511" s="88"/>
      <c r="R511" s="88"/>
      <c r="S511" s="88"/>
    </row>
    <row r="512" spans="4:19" ht="18" customHeight="1">
      <c r="D512" s="88"/>
      <c r="E512" s="88"/>
      <c r="F512" s="88"/>
      <c r="G512" s="88"/>
      <c r="H512" s="88"/>
      <c r="I512" s="88"/>
      <c r="J512" s="88"/>
      <c r="K512" s="88"/>
      <c r="L512" s="88"/>
      <c r="M512" s="88"/>
      <c r="N512" s="88"/>
      <c r="O512" s="88"/>
      <c r="P512" s="88"/>
      <c r="Q512" s="88"/>
      <c r="R512" s="88"/>
      <c r="S512" s="88"/>
    </row>
    <row r="513" spans="4:19" ht="18" customHeight="1">
      <c r="D513" s="88"/>
      <c r="E513" s="88"/>
      <c r="F513" s="88"/>
      <c r="G513" s="88"/>
      <c r="H513" s="88"/>
      <c r="I513" s="88"/>
      <c r="J513" s="88"/>
      <c r="K513" s="88"/>
      <c r="L513" s="88"/>
      <c r="M513" s="88"/>
      <c r="N513" s="88"/>
      <c r="O513" s="88"/>
      <c r="P513" s="88"/>
      <c r="Q513" s="88"/>
      <c r="R513" s="88"/>
      <c r="S513" s="88"/>
    </row>
    <row r="514" spans="4:19" ht="18" customHeight="1">
      <c r="D514" s="88"/>
      <c r="E514" s="88"/>
      <c r="F514" s="88"/>
      <c r="G514" s="88"/>
      <c r="H514" s="88"/>
      <c r="I514" s="88"/>
      <c r="J514" s="88"/>
      <c r="K514" s="88"/>
      <c r="L514" s="88"/>
      <c r="M514" s="88"/>
      <c r="N514" s="88"/>
      <c r="O514" s="88"/>
      <c r="P514" s="88"/>
      <c r="Q514" s="88"/>
      <c r="R514" s="88"/>
      <c r="S514" s="88"/>
    </row>
    <row r="515" spans="4:19" ht="18" customHeight="1">
      <c r="D515" s="88"/>
      <c r="E515" s="88"/>
      <c r="F515" s="88"/>
      <c r="G515" s="88"/>
      <c r="H515" s="88"/>
      <c r="I515" s="88"/>
      <c r="J515" s="88"/>
      <c r="K515" s="88"/>
      <c r="L515" s="88"/>
      <c r="M515" s="88"/>
      <c r="N515" s="88"/>
      <c r="O515" s="88"/>
      <c r="P515" s="88"/>
      <c r="Q515" s="88"/>
      <c r="R515" s="88"/>
      <c r="S515" s="88"/>
    </row>
    <row r="516" spans="4:19" ht="18" customHeight="1">
      <c r="D516" s="88"/>
      <c r="E516" s="88"/>
      <c r="F516" s="88"/>
      <c r="G516" s="88"/>
      <c r="H516" s="88"/>
      <c r="I516" s="88"/>
      <c r="J516" s="88"/>
      <c r="K516" s="88"/>
      <c r="L516" s="88"/>
      <c r="M516" s="88"/>
      <c r="N516" s="88"/>
      <c r="O516" s="88"/>
      <c r="P516" s="88"/>
      <c r="Q516" s="88"/>
      <c r="R516" s="88"/>
      <c r="S516" s="88"/>
    </row>
    <row r="517" spans="4:19" ht="18" customHeight="1">
      <c r="D517" s="88"/>
      <c r="E517" s="88"/>
      <c r="F517" s="88"/>
      <c r="G517" s="88"/>
      <c r="H517" s="88"/>
      <c r="I517" s="88"/>
      <c r="J517" s="88"/>
      <c r="K517" s="88"/>
      <c r="L517" s="88"/>
      <c r="M517" s="88"/>
      <c r="N517" s="88"/>
      <c r="O517" s="88"/>
      <c r="P517" s="88"/>
      <c r="Q517" s="88"/>
      <c r="R517" s="88"/>
      <c r="S517" s="88"/>
    </row>
    <row r="518" spans="4:19" ht="18" customHeight="1">
      <c r="D518" s="88"/>
      <c r="E518" s="88"/>
      <c r="F518" s="88"/>
      <c r="G518" s="88"/>
      <c r="H518" s="88"/>
      <c r="I518" s="88"/>
      <c r="J518" s="88"/>
      <c r="K518" s="88"/>
      <c r="L518" s="88"/>
      <c r="M518" s="88"/>
      <c r="N518" s="88"/>
      <c r="O518" s="88"/>
      <c r="P518" s="88"/>
      <c r="Q518" s="88"/>
      <c r="R518" s="88"/>
      <c r="S518" s="88"/>
    </row>
    <row r="519" spans="4:19" ht="18" customHeight="1">
      <c r="D519" s="88"/>
      <c r="E519" s="88"/>
      <c r="F519" s="88"/>
      <c r="G519" s="88"/>
      <c r="H519" s="88"/>
      <c r="I519" s="88"/>
      <c r="J519" s="88"/>
      <c r="K519" s="88"/>
      <c r="L519" s="88"/>
      <c r="M519" s="88"/>
      <c r="N519" s="88"/>
      <c r="O519" s="88"/>
      <c r="P519" s="88"/>
      <c r="Q519" s="88"/>
      <c r="R519" s="88"/>
      <c r="S519" s="88"/>
    </row>
    <row r="520" spans="4:19" ht="18" customHeight="1">
      <c r="D520" s="88"/>
      <c r="E520" s="88"/>
      <c r="F520" s="88"/>
      <c r="G520" s="88"/>
      <c r="H520" s="88"/>
      <c r="I520" s="88"/>
      <c r="J520" s="88"/>
      <c r="K520" s="88"/>
      <c r="L520" s="88"/>
      <c r="M520" s="88"/>
      <c r="N520" s="88"/>
      <c r="O520" s="88"/>
      <c r="P520" s="88"/>
      <c r="Q520" s="88"/>
      <c r="R520" s="88"/>
      <c r="S520" s="88"/>
    </row>
    <row r="521" spans="4:19" ht="18" customHeight="1">
      <c r="D521" s="88"/>
      <c r="E521" s="88"/>
      <c r="F521" s="88"/>
      <c r="G521" s="88"/>
      <c r="H521" s="88"/>
      <c r="I521" s="88"/>
      <c r="J521" s="88"/>
      <c r="K521" s="88"/>
      <c r="L521" s="88"/>
      <c r="M521" s="88"/>
      <c r="N521" s="88"/>
      <c r="O521" s="88"/>
      <c r="P521" s="88"/>
      <c r="Q521" s="88"/>
      <c r="R521" s="88"/>
      <c r="S521" s="88"/>
    </row>
    <row r="522" spans="4:19" ht="18" customHeight="1">
      <c r="D522" s="88"/>
      <c r="E522" s="88"/>
      <c r="F522" s="88"/>
      <c r="G522" s="88"/>
      <c r="H522" s="88"/>
      <c r="I522" s="88"/>
      <c r="J522" s="88"/>
      <c r="K522" s="88"/>
      <c r="L522" s="88"/>
      <c r="M522" s="88"/>
      <c r="N522" s="88"/>
      <c r="O522" s="88"/>
      <c r="P522" s="88"/>
      <c r="Q522" s="88"/>
      <c r="R522" s="88"/>
      <c r="S522" s="88"/>
    </row>
    <row r="523" spans="4:19" ht="18" customHeight="1">
      <c r="D523" s="88"/>
      <c r="E523" s="88"/>
      <c r="F523" s="88"/>
      <c r="G523" s="88"/>
      <c r="H523" s="88"/>
      <c r="I523" s="88"/>
      <c r="J523" s="88"/>
      <c r="K523" s="88"/>
      <c r="L523" s="88"/>
      <c r="M523" s="88"/>
      <c r="N523" s="88"/>
      <c r="O523" s="88"/>
      <c r="P523" s="88"/>
      <c r="Q523" s="88"/>
      <c r="R523" s="88"/>
      <c r="S523" s="88"/>
    </row>
    <row r="524" spans="4:19" ht="18" customHeight="1">
      <c r="D524" s="88"/>
      <c r="E524" s="88"/>
      <c r="F524" s="88"/>
      <c r="G524" s="88"/>
      <c r="H524" s="88"/>
      <c r="I524" s="88"/>
      <c r="J524" s="88"/>
      <c r="K524" s="88"/>
      <c r="L524" s="88"/>
      <c r="M524" s="88"/>
      <c r="N524" s="88"/>
      <c r="O524" s="88"/>
      <c r="P524" s="88"/>
      <c r="Q524" s="88"/>
      <c r="R524" s="88"/>
      <c r="S524" s="88"/>
    </row>
    <row r="525" spans="4:19" ht="18" customHeight="1">
      <c r="D525" s="88"/>
      <c r="E525" s="88"/>
      <c r="F525" s="88"/>
      <c r="G525" s="88"/>
      <c r="H525" s="88"/>
      <c r="I525" s="88"/>
      <c r="J525" s="88"/>
      <c r="K525" s="88"/>
      <c r="L525" s="88"/>
      <c r="M525" s="88"/>
      <c r="N525" s="88"/>
      <c r="O525" s="88"/>
      <c r="P525" s="88"/>
      <c r="Q525" s="88"/>
      <c r="R525" s="88"/>
      <c r="S525" s="88"/>
    </row>
    <row r="526" spans="4:19" ht="18" customHeight="1">
      <c r="D526" s="88"/>
      <c r="E526" s="88"/>
      <c r="F526" s="88"/>
      <c r="G526" s="88"/>
      <c r="H526" s="88"/>
      <c r="I526" s="88"/>
      <c r="J526" s="88"/>
      <c r="K526" s="88"/>
      <c r="L526" s="88"/>
      <c r="M526" s="88"/>
      <c r="N526" s="88"/>
      <c r="O526" s="88"/>
      <c r="P526" s="88"/>
      <c r="Q526" s="88"/>
      <c r="R526" s="88"/>
      <c r="S526" s="88"/>
    </row>
    <row r="527" spans="4:19" ht="18" customHeight="1">
      <c r="D527" s="88"/>
      <c r="E527" s="88"/>
      <c r="F527" s="88"/>
      <c r="G527" s="88"/>
      <c r="H527" s="88"/>
      <c r="I527" s="88"/>
      <c r="J527" s="88"/>
      <c r="K527" s="88"/>
      <c r="L527" s="88"/>
      <c r="M527" s="88"/>
      <c r="N527" s="88"/>
      <c r="O527" s="88"/>
      <c r="P527" s="88"/>
      <c r="Q527" s="88"/>
      <c r="R527" s="88"/>
      <c r="S527" s="88"/>
    </row>
    <row r="528" spans="4:19" ht="18" customHeight="1">
      <c r="D528" s="88"/>
      <c r="E528" s="88"/>
      <c r="F528" s="88"/>
      <c r="G528" s="88"/>
      <c r="H528" s="88"/>
      <c r="I528" s="88"/>
      <c r="J528" s="88"/>
      <c r="K528" s="88"/>
      <c r="L528" s="88"/>
      <c r="M528" s="88"/>
      <c r="N528" s="88"/>
      <c r="O528" s="88"/>
      <c r="P528" s="88"/>
      <c r="Q528" s="88"/>
      <c r="R528" s="88"/>
      <c r="S528" s="88"/>
    </row>
    <row r="529" spans="4:19" ht="18" customHeight="1">
      <c r="D529" s="88"/>
      <c r="E529" s="88"/>
      <c r="F529" s="88"/>
      <c r="G529" s="88"/>
      <c r="H529" s="88"/>
      <c r="I529" s="88"/>
      <c r="J529" s="88"/>
      <c r="K529" s="88"/>
      <c r="L529" s="88"/>
      <c r="M529" s="88"/>
      <c r="N529" s="88"/>
      <c r="O529" s="88"/>
      <c r="P529" s="88"/>
      <c r="Q529" s="88"/>
      <c r="R529" s="88"/>
      <c r="S529" s="88"/>
    </row>
    <row r="530" spans="4:19" ht="18" customHeight="1">
      <c r="D530" s="88"/>
      <c r="E530" s="88"/>
      <c r="F530" s="88"/>
      <c r="G530" s="88"/>
      <c r="H530" s="88"/>
      <c r="I530" s="88"/>
      <c r="J530" s="88"/>
      <c r="K530" s="88"/>
      <c r="L530" s="88"/>
      <c r="M530" s="88"/>
      <c r="N530" s="88"/>
      <c r="O530" s="88"/>
      <c r="P530" s="88"/>
      <c r="Q530" s="88"/>
      <c r="R530" s="88"/>
      <c r="S530" s="88"/>
    </row>
    <row r="531" spans="4:19" ht="18" customHeight="1">
      <c r="D531" s="88"/>
      <c r="E531" s="88"/>
      <c r="F531" s="88"/>
      <c r="G531" s="88"/>
      <c r="H531" s="88"/>
      <c r="I531" s="88"/>
      <c r="J531" s="88"/>
      <c r="K531" s="88"/>
      <c r="L531" s="88"/>
      <c r="M531" s="88"/>
      <c r="N531" s="88"/>
      <c r="O531" s="88"/>
      <c r="P531" s="88"/>
      <c r="Q531" s="88"/>
      <c r="R531" s="88"/>
      <c r="S531" s="88"/>
    </row>
    <row r="532" spans="4:19" ht="18" customHeight="1">
      <c r="D532" s="88"/>
      <c r="E532" s="88"/>
      <c r="F532" s="88"/>
      <c r="G532" s="88"/>
      <c r="H532" s="88"/>
      <c r="I532" s="88"/>
      <c r="J532" s="88"/>
      <c r="K532" s="88"/>
      <c r="L532" s="88"/>
      <c r="M532" s="88"/>
      <c r="N532" s="88"/>
      <c r="O532" s="88"/>
      <c r="P532" s="88"/>
      <c r="Q532" s="88"/>
      <c r="R532" s="88"/>
      <c r="S532" s="88"/>
    </row>
    <row r="533" spans="4:19" ht="18" customHeight="1">
      <c r="D533" s="88"/>
      <c r="E533" s="88"/>
      <c r="F533" s="88"/>
      <c r="G533" s="88"/>
      <c r="H533" s="88"/>
      <c r="I533" s="88"/>
      <c r="J533" s="88"/>
      <c r="K533" s="88"/>
      <c r="L533" s="88"/>
      <c r="M533" s="88"/>
      <c r="N533" s="88"/>
      <c r="O533" s="88"/>
      <c r="P533" s="88"/>
      <c r="Q533" s="88"/>
      <c r="R533" s="88"/>
      <c r="S533" s="88"/>
    </row>
    <row r="534" spans="4:19" ht="18" customHeight="1">
      <c r="D534" s="88"/>
      <c r="E534" s="88"/>
      <c r="F534" s="88"/>
      <c r="G534" s="88"/>
      <c r="H534" s="88"/>
      <c r="I534" s="88"/>
      <c r="J534" s="88"/>
      <c r="K534" s="88"/>
      <c r="L534" s="88"/>
      <c r="M534" s="88"/>
      <c r="N534" s="88"/>
      <c r="O534" s="88"/>
      <c r="P534" s="88"/>
      <c r="Q534" s="88"/>
      <c r="R534" s="88"/>
      <c r="S534" s="88"/>
    </row>
    <row r="535" spans="4:19" ht="18" customHeight="1">
      <c r="D535" s="88"/>
      <c r="E535" s="88"/>
      <c r="F535" s="88"/>
      <c r="G535" s="88"/>
      <c r="H535" s="88"/>
      <c r="I535" s="88"/>
      <c r="J535" s="88"/>
      <c r="K535" s="88"/>
      <c r="L535" s="88"/>
      <c r="M535" s="88"/>
      <c r="N535" s="88"/>
      <c r="O535" s="88"/>
      <c r="P535" s="88"/>
      <c r="Q535" s="88"/>
      <c r="R535" s="88"/>
      <c r="S535" s="88"/>
    </row>
    <row r="536" spans="4:19" ht="18" customHeight="1">
      <c r="D536" s="88"/>
      <c r="E536" s="88"/>
      <c r="F536" s="88"/>
      <c r="G536" s="88"/>
      <c r="H536" s="88"/>
      <c r="I536" s="88"/>
      <c r="J536" s="88"/>
      <c r="K536" s="88"/>
      <c r="L536" s="88"/>
      <c r="M536" s="88"/>
      <c r="N536" s="88"/>
      <c r="O536" s="88"/>
      <c r="P536" s="88"/>
      <c r="Q536" s="88"/>
      <c r="R536" s="88"/>
      <c r="S536" s="88"/>
    </row>
    <row r="537" spans="4:19" ht="18" customHeight="1">
      <c r="D537" s="88"/>
      <c r="E537" s="88"/>
      <c r="F537" s="88"/>
      <c r="G537" s="88"/>
      <c r="H537" s="88"/>
      <c r="I537" s="88"/>
      <c r="J537" s="88"/>
      <c r="K537" s="88"/>
      <c r="L537" s="88"/>
      <c r="M537" s="88"/>
      <c r="N537" s="88"/>
      <c r="O537" s="88"/>
      <c r="P537" s="88"/>
      <c r="Q537" s="88"/>
      <c r="R537" s="88"/>
      <c r="S537" s="88"/>
    </row>
    <row r="538" spans="4:19" ht="18" customHeight="1">
      <c r="D538" s="88"/>
      <c r="E538" s="88"/>
      <c r="F538" s="88"/>
      <c r="G538" s="88"/>
      <c r="H538" s="88"/>
      <c r="I538" s="88"/>
      <c r="J538" s="88"/>
      <c r="K538" s="88"/>
      <c r="L538" s="88"/>
      <c r="M538" s="88"/>
      <c r="N538" s="88"/>
      <c r="O538" s="88"/>
      <c r="P538" s="88"/>
      <c r="Q538" s="88"/>
      <c r="R538" s="88"/>
      <c r="S538" s="88"/>
    </row>
    <row r="539" spans="4:19" ht="18" customHeight="1">
      <c r="D539" s="88"/>
      <c r="E539" s="88"/>
      <c r="F539" s="88"/>
      <c r="G539" s="88"/>
      <c r="H539" s="88"/>
      <c r="I539" s="88"/>
      <c r="J539" s="88"/>
      <c r="K539" s="88"/>
      <c r="L539" s="88"/>
      <c r="M539" s="88"/>
      <c r="N539" s="88"/>
      <c r="O539" s="88"/>
      <c r="P539" s="88"/>
      <c r="Q539" s="88"/>
      <c r="R539" s="88"/>
      <c r="S539" s="88"/>
    </row>
    <row r="540" spans="4:19" ht="18" customHeight="1">
      <c r="D540" s="88"/>
      <c r="E540" s="88"/>
      <c r="F540" s="88"/>
      <c r="G540" s="88"/>
      <c r="H540" s="88"/>
      <c r="I540" s="88"/>
      <c r="J540" s="88"/>
      <c r="K540" s="88"/>
      <c r="L540" s="88"/>
      <c r="M540" s="88"/>
      <c r="N540" s="88"/>
      <c r="O540" s="88"/>
      <c r="P540" s="88"/>
      <c r="Q540" s="88"/>
      <c r="R540" s="88"/>
      <c r="S540" s="88"/>
    </row>
    <row r="541" spans="4:19" ht="18" customHeight="1">
      <c r="D541" s="88"/>
      <c r="E541" s="88"/>
      <c r="F541" s="88"/>
      <c r="G541" s="88"/>
      <c r="H541" s="88"/>
      <c r="I541" s="88"/>
      <c r="J541" s="88"/>
      <c r="K541" s="88"/>
      <c r="L541" s="88"/>
      <c r="M541" s="88"/>
      <c r="N541" s="88"/>
      <c r="O541" s="88"/>
      <c r="P541" s="88"/>
      <c r="Q541" s="88"/>
      <c r="R541" s="88"/>
      <c r="S541" s="88"/>
    </row>
    <row r="542" spans="4:19" ht="18" customHeight="1">
      <c r="D542" s="88"/>
      <c r="E542" s="88"/>
      <c r="F542" s="88"/>
      <c r="G542" s="88"/>
      <c r="H542" s="88"/>
      <c r="I542" s="88"/>
      <c r="J542" s="88"/>
      <c r="K542" s="88"/>
      <c r="L542" s="88"/>
      <c r="M542" s="88"/>
      <c r="N542" s="88"/>
      <c r="O542" s="88"/>
      <c r="P542" s="88"/>
      <c r="Q542" s="88"/>
      <c r="R542" s="88"/>
      <c r="S542" s="88"/>
    </row>
    <row r="543" spans="4:19" ht="18" customHeight="1">
      <c r="D543" s="88"/>
      <c r="E543" s="88"/>
      <c r="F543" s="88"/>
      <c r="G543" s="88"/>
      <c r="H543" s="88"/>
      <c r="I543" s="88"/>
      <c r="J543" s="88"/>
      <c r="K543" s="88"/>
      <c r="L543" s="88"/>
      <c r="M543" s="88"/>
      <c r="N543" s="88"/>
      <c r="O543" s="88"/>
      <c r="P543" s="88"/>
      <c r="Q543" s="88"/>
      <c r="R543" s="88"/>
      <c r="S543" s="88"/>
    </row>
    <row r="544" spans="4:19" ht="18" customHeight="1">
      <c r="D544" s="88"/>
      <c r="E544" s="88"/>
      <c r="F544" s="88"/>
      <c r="G544" s="88"/>
      <c r="H544" s="88"/>
      <c r="I544" s="88"/>
      <c r="J544" s="88"/>
      <c r="K544" s="88"/>
      <c r="L544" s="88"/>
      <c r="M544" s="88"/>
      <c r="N544" s="88"/>
      <c r="O544" s="88"/>
      <c r="P544" s="88"/>
      <c r="Q544" s="88"/>
      <c r="R544" s="88"/>
      <c r="S544" s="88"/>
    </row>
    <row r="545" spans="4:19" ht="18" customHeight="1">
      <c r="D545" s="88"/>
      <c r="E545" s="88"/>
      <c r="F545" s="88"/>
      <c r="G545" s="88"/>
      <c r="H545" s="88"/>
      <c r="I545" s="88"/>
      <c r="J545" s="88"/>
      <c r="K545" s="88"/>
      <c r="L545" s="88"/>
      <c r="M545" s="88"/>
      <c r="N545" s="88"/>
      <c r="O545" s="88"/>
      <c r="P545" s="88"/>
      <c r="Q545" s="88"/>
      <c r="R545" s="88"/>
      <c r="S545" s="88"/>
    </row>
    <row r="546" spans="4:19" ht="18" customHeight="1">
      <c r="D546" s="88"/>
      <c r="E546" s="88"/>
      <c r="F546" s="88"/>
      <c r="G546" s="88"/>
      <c r="H546" s="88"/>
      <c r="I546" s="88"/>
      <c r="J546" s="88"/>
      <c r="K546" s="88"/>
      <c r="L546" s="88"/>
      <c r="M546" s="88"/>
      <c r="N546" s="88"/>
      <c r="O546" s="88"/>
      <c r="P546" s="88"/>
      <c r="Q546" s="88"/>
      <c r="R546" s="88"/>
      <c r="S546" s="88"/>
    </row>
    <row r="547" spans="4:19" ht="18" customHeight="1">
      <c r="D547" s="88"/>
      <c r="E547" s="88"/>
      <c r="F547" s="88"/>
      <c r="G547" s="88"/>
      <c r="H547" s="88"/>
      <c r="I547" s="88"/>
      <c r="J547" s="88"/>
      <c r="K547" s="88"/>
      <c r="L547" s="88"/>
      <c r="M547" s="88"/>
      <c r="N547" s="88"/>
      <c r="O547" s="88"/>
      <c r="P547" s="88"/>
      <c r="Q547" s="88"/>
      <c r="R547" s="88"/>
      <c r="S547" s="88"/>
    </row>
    <row r="548" spans="4:19" ht="18" customHeight="1">
      <c r="D548" s="88"/>
      <c r="E548" s="88"/>
      <c r="F548" s="88"/>
      <c r="G548" s="88"/>
      <c r="H548" s="88"/>
      <c r="I548" s="88"/>
      <c r="J548" s="88"/>
      <c r="K548" s="88"/>
      <c r="L548" s="88"/>
      <c r="M548" s="88"/>
      <c r="N548" s="88"/>
      <c r="O548" s="88"/>
      <c r="P548" s="88"/>
      <c r="Q548" s="88"/>
      <c r="R548" s="88"/>
      <c r="S548" s="88"/>
    </row>
    <row r="549" spans="4:19" ht="18" customHeight="1">
      <c r="D549" s="88"/>
      <c r="E549" s="88"/>
      <c r="F549" s="88"/>
      <c r="G549" s="88"/>
      <c r="H549" s="88"/>
      <c r="I549" s="88"/>
      <c r="J549" s="88"/>
      <c r="K549" s="88"/>
      <c r="L549" s="88"/>
      <c r="M549" s="88"/>
      <c r="N549" s="88"/>
      <c r="O549" s="88"/>
      <c r="P549" s="88"/>
      <c r="Q549" s="88"/>
      <c r="R549" s="88"/>
      <c r="S549" s="88"/>
    </row>
    <row r="550" spans="4:19" ht="18" customHeight="1">
      <c r="D550" s="88"/>
      <c r="E550" s="88"/>
      <c r="F550" s="88"/>
      <c r="G550" s="88"/>
      <c r="H550" s="88"/>
      <c r="I550" s="88"/>
      <c r="J550" s="88"/>
      <c r="K550" s="88"/>
      <c r="L550" s="88"/>
      <c r="M550" s="88"/>
      <c r="N550" s="88"/>
      <c r="O550" s="88"/>
      <c r="P550" s="88"/>
      <c r="Q550" s="88"/>
      <c r="R550" s="88"/>
      <c r="S550" s="88"/>
    </row>
    <row r="551" spans="4:19" ht="18" customHeight="1">
      <c r="D551" s="88"/>
      <c r="E551" s="88"/>
      <c r="F551" s="88"/>
      <c r="G551" s="88"/>
      <c r="H551" s="88"/>
      <c r="I551" s="88"/>
      <c r="J551" s="88"/>
      <c r="K551" s="88"/>
      <c r="L551" s="88"/>
      <c r="M551" s="88"/>
      <c r="N551" s="88"/>
      <c r="O551" s="88"/>
      <c r="P551" s="88"/>
      <c r="Q551" s="88"/>
      <c r="R551" s="88"/>
      <c r="S551" s="88"/>
    </row>
    <row r="552" spans="4:19" ht="18" customHeight="1">
      <c r="D552" s="88"/>
      <c r="E552" s="88"/>
      <c r="F552" s="88"/>
      <c r="G552" s="88"/>
      <c r="H552" s="88"/>
      <c r="I552" s="88"/>
      <c r="J552" s="88"/>
      <c r="K552" s="88"/>
      <c r="L552" s="88"/>
      <c r="M552" s="88"/>
      <c r="N552" s="88"/>
      <c r="O552" s="88"/>
      <c r="P552" s="88"/>
      <c r="Q552" s="88"/>
      <c r="R552" s="88"/>
      <c r="S552" s="88"/>
    </row>
    <row r="553" spans="4:19" ht="18" customHeight="1">
      <c r="D553" s="88"/>
      <c r="E553" s="88"/>
      <c r="F553" s="88"/>
      <c r="G553" s="88"/>
      <c r="H553" s="88"/>
      <c r="I553" s="88"/>
      <c r="J553" s="88"/>
      <c r="K553" s="88"/>
      <c r="L553" s="88"/>
      <c r="M553" s="88"/>
      <c r="N553" s="88"/>
      <c r="O553" s="88"/>
      <c r="P553" s="88"/>
      <c r="Q553" s="88"/>
      <c r="R553" s="88"/>
      <c r="S553" s="88"/>
    </row>
    <row r="554" spans="4:19" ht="18" customHeight="1">
      <c r="D554" s="88"/>
      <c r="E554" s="88"/>
      <c r="F554" s="88"/>
      <c r="G554" s="88"/>
      <c r="H554" s="88"/>
      <c r="I554" s="88"/>
      <c r="J554" s="88"/>
      <c r="K554" s="88"/>
      <c r="L554" s="88"/>
      <c r="M554" s="88"/>
      <c r="N554" s="88"/>
      <c r="O554" s="88"/>
      <c r="P554" s="88"/>
      <c r="Q554" s="88"/>
      <c r="R554" s="88"/>
      <c r="S554" s="88"/>
    </row>
    <row r="555" spans="4:19" ht="18" customHeight="1">
      <c r="D555" s="88"/>
      <c r="E555" s="88"/>
      <c r="F555" s="88"/>
      <c r="G555" s="88"/>
      <c r="H555" s="88"/>
      <c r="I555" s="88"/>
      <c r="J555" s="88"/>
      <c r="K555" s="88"/>
      <c r="L555" s="88"/>
      <c r="M555" s="88"/>
      <c r="N555" s="88"/>
      <c r="O555" s="88"/>
      <c r="P555" s="88"/>
      <c r="Q555" s="88"/>
      <c r="R555" s="88"/>
      <c r="S555" s="88"/>
    </row>
    <row r="556" spans="4:19" ht="18" customHeight="1">
      <c r="D556" s="88"/>
      <c r="E556" s="88"/>
      <c r="F556" s="88"/>
      <c r="G556" s="88"/>
      <c r="H556" s="88"/>
      <c r="I556" s="88"/>
      <c r="J556" s="88"/>
      <c r="K556" s="88"/>
      <c r="L556" s="88"/>
      <c r="M556" s="88"/>
      <c r="N556" s="88"/>
      <c r="O556" s="88"/>
      <c r="P556" s="88"/>
      <c r="Q556" s="88"/>
      <c r="R556" s="88"/>
      <c r="S556" s="88"/>
    </row>
    <row r="557" spans="4:19" ht="18" customHeight="1">
      <c r="D557" s="88"/>
      <c r="E557" s="88"/>
      <c r="F557" s="88"/>
      <c r="G557" s="88"/>
      <c r="H557" s="88"/>
      <c r="I557" s="88"/>
      <c r="J557" s="88"/>
      <c r="K557" s="88"/>
      <c r="L557" s="88"/>
      <c r="M557" s="88"/>
      <c r="N557" s="88"/>
      <c r="O557" s="88"/>
      <c r="P557" s="88"/>
      <c r="Q557" s="88"/>
      <c r="R557" s="88"/>
      <c r="S557" s="88"/>
    </row>
    <row r="558" spans="4:19" ht="18" customHeight="1">
      <c r="D558" s="88"/>
      <c r="E558" s="88"/>
      <c r="F558" s="88"/>
      <c r="G558" s="88"/>
      <c r="H558" s="88"/>
      <c r="I558" s="88"/>
      <c r="J558" s="88"/>
      <c r="K558" s="88"/>
      <c r="L558" s="88"/>
      <c r="M558" s="88"/>
      <c r="N558" s="88"/>
      <c r="O558" s="88"/>
      <c r="P558" s="88"/>
      <c r="Q558" s="88"/>
      <c r="R558" s="88"/>
      <c r="S558" s="88"/>
    </row>
    <row r="559" spans="4:19" ht="18" customHeight="1">
      <c r="D559" s="88"/>
      <c r="E559" s="88"/>
      <c r="F559" s="88"/>
      <c r="G559" s="88"/>
      <c r="H559" s="88"/>
      <c r="I559" s="88"/>
      <c r="J559" s="88"/>
      <c r="K559" s="88"/>
      <c r="L559" s="88"/>
      <c r="M559" s="88"/>
      <c r="N559" s="88"/>
      <c r="O559" s="88"/>
      <c r="P559" s="88"/>
      <c r="Q559" s="88"/>
      <c r="R559" s="88"/>
      <c r="S559" s="88"/>
    </row>
    <row r="560" spans="4:19" ht="18" customHeight="1">
      <c r="D560" s="88"/>
      <c r="E560" s="88"/>
      <c r="F560" s="88"/>
      <c r="G560" s="88"/>
      <c r="H560" s="88"/>
      <c r="I560" s="88"/>
      <c r="J560" s="88"/>
      <c r="K560" s="88"/>
      <c r="L560" s="88"/>
      <c r="M560" s="88"/>
      <c r="N560" s="88"/>
      <c r="O560" s="88"/>
      <c r="P560" s="88"/>
      <c r="Q560" s="88"/>
      <c r="R560" s="88"/>
      <c r="S560" s="88"/>
    </row>
    <row r="561" spans="4:19" ht="18" customHeight="1">
      <c r="D561" s="88"/>
      <c r="E561" s="88"/>
      <c r="F561" s="88"/>
      <c r="G561" s="88"/>
      <c r="H561" s="88"/>
      <c r="I561" s="88"/>
      <c r="J561" s="88"/>
      <c r="K561" s="88"/>
      <c r="L561" s="88"/>
      <c r="M561" s="88"/>
      <c r="N561" s="88"/>
      <c r="O561" s="88"/>
      <c r="P561" s="88"/>
      <c r="Q561" s="88"/>
      <c r="R561" s="88"/>
      <c r="S561" s="88"/>
    </row>
    <row r="562" spans="4:19" ht="18" customHeight="1">
      <c r="D562" s="88"/>
      <c r="E562" s="88"/>
      <c r="F562" s="88"/>
      <c r="G562" s="88"/>
      <c r="H562" s="88"/>
      <c r="I562" s="88"/>
      <c r="J562" s="88"/>
      <c r="K562" s="88"/>
      <c r="L562" s="88"/>
      <c r="M562" s="88"/>
      <c r="N562" s="88"/>
      <c r="O562" s="88"/>
      <c r="P562" s="88"/>
      <c r="Q562" s="88"/>
      <c r="R562" s="88"/>
      <c r="S562" s="88"/>
    </row>
    <row r="563" spans="4:19" ht="18" customHeight="1">
      <c r="D563" s="88"/>
      <c r="E563" s="88"/>
      <c r="F563" s="88"/>
      <c r="G563" s="88"/>
      <c r="H563" s="88"/>
      <c r="I563" s="88"/>
      <c r="J563" s="88"/>
      <c r="K563" s="88"/>
      <c r="L563" s="88"/>
      <c r="M563" s="88"/>
      <c r="N563" s="88"/>
      <c r="O563" s="88"/>
      <c r="P563" s="88"/>
      <c r="Q563" s="88"/>
      <c r="R563" s="88"/>
      <c r="S563" s="88"/>
    </row>
    <row r="564" spans="4:19" ht="18" customHeight="1">
      <c r="D564" s="88"/>
      <c r="E564" s="88"/>
      <c r="F564" s="88"/>
      <c r="G564" s="88"/>
      <c r="H564" s="88"/>
      <c r="I564" s="88"/>
      <c r="J564" s="88"/>
      <c r="K564" s="88"/>
      <c r="L564" s="88"/>
      <c r="M564" s="88"/>
      <c r="N564" s="88"/>
      <c r="O564" s="88"/>
      <c r="P564" s="88"/>
      <c r="Q564" s="88"/>
      <c r="R564" s="88"/>
      <c r="S564" s="88"/>
    </row>
    <row r="565" spans="4:19" ht="18" customHeight="1">
      <c r="D565" s="88"/>
      <c r="E565" s="88"/>
      <c r="F565" s="88"/>
      <c r="G565" s="88"/>
      <c r="H565" s="88"/>
      <c r="I565" s="88"/>
      <c r="J565" s="88"/>
      <c r="K565" s="88"/>
      <c r="L565" s="88"/>
      <c r="M565" s="88"/>
      <c r="N565" s="88"/>
      <c r="O565" s="88"/>
      <c r="P565" s="88"/>
      <c r="Q565" s="88"/>
      <c r="R565" s="88"/>
      <c r="S565" s="88"/>
    </row>
    <row r="566" spans="4:19" ht="18" customHeight="1">
      <c r="D566" s="88"/>
      <c r="E566" s="88"/>
      <c r="F566" s="88"/>
      <c r="G566" s="88"/>
      <c r="H566" s="88"/>
      <c r="I566" s="88"/>
      <c r="J566" s="88"/>
      <c r="K566" s="88"/>
      <c r="L566" s="88"/>
      <c r="M566" s="88"/>
      <c r="N566" s="88"/>
      <c r="O566" s="88"/>
      <c r="P566" s="88"/>
      <c r="Q566" s="88"/>
      <c r="R566" s="88"/>
      <c r="S566" s="88"/>
    </row>
    <row r="567" spans="4:19" ht="18" customHeight="1">
      <c r="D567" s="88"/>
      <c r="E567" s="88"/>
      <c r="F567" s="88"/>
      <c r="G567" s="88"/>
      <c r="H567" s="88"/>
      <c r="I567" s="88"/>
      <c r="J567" s="88"/>
      <c r="K567" s="88"/>
      <c r="L567" s="88"/>
      <c r="M567" s="88"/>
      <c r="N567" s="88"/>
      <c r="O567" s="88"/>
      <c r="P567" s="88"/>
      <c r="Q567" s="88"/>
      <c r="R567" s="88"/>
      <c r="S567" s="88"/>
    </row>
    <row r="568" spans="4:19" ht="18" customHeight="1">
      <c r="D568" s="88"/>
      <c r="E568" s="88"/>
      <c r="F568" s="88"/>
      <c r="G568" s="88"/>
      <c r="H568" s="88"/>
      <c r="I568" s="88"/>
      <c r="J568" s="88"/>
      <c r="K568" s="88"/>
      <c r="L568" s="88"/>
      <c r="M568" s="88"/>
      <c r="N568" s="88"/>
      <c r="O568" s="88"/>
      <c r="P568" s="88"/>
      <c r="Q568" s="88"/>
      <c r="R568" s="88"/>
      <c r="S568" s="88"/>
    </row>
    <row r="569" spans="4:19" ht="18" customHeight="1">
      <c r="D569" s="88"/>
      <c r="E569" s="88"/>
      <c r="F569" s="88"/>
      <c r="G569" s="88"/>
      <c r="H569" s="88"/>
      <c r="I569" s="88"/>
      <c r="J569" s="88"/>
      <c r="K569" s="88"/>
      <c r="L569" s="88"/>
      <c r="M569" s="88"/>
      <c r="N569" s="88"/>
      <c r="O569" s="88"/>
      <c r="P569" s="88"/>
      <c r="Q569" s="88"/>
      <c r="R569" s="88"/>
      <c r="S569" s="88"/>
    </row>
    <row r="570" spans="4:19" ht="18" customHeight="1">
      <c r="D570" s="88"/>
      <c r="E570" s="88"/>
      <c r="F570" s="88"/>
      <c r="G570" s="88"/>
      <c r="H570" s="88"/>
      <c r="I570" s="88"/>
      <c r="J570" s="88"/>
      <c r="K570" s="88"/>
      <c r="L570" s="88"/>
      <c r="M570" s="88"/>
      <c r="N570" s="88"/>
      <c r="O570" s="88"/>
      <c r="P570" s="88"/>
      <c r="Q570" s="88"/>
      <c r="R570" s="88"/>
      <c r="S570" s="88"/>
    </row>
    <row r="571" spans="4:19" ht="18" customHeight="1">
      <c r="D571" s="88"/>
      <c r="E571" s="88"/>
      <c r="F571" s="88"/>
      <c r="G571" s="88"/>
      <c r="H571" s="88"/>
      <c r="I571" s="88"/>
      <c r="J571" s="88"/>
      <c r="K571" s="88"/>
      <c r="L571" s="88"/>
      <c r="M571" s="88"/>
      <c r="N571" s="88"/>
      <c r="O571" s="88"/>
      <c r="P571" s="88"/>
      <c r="Q571" s="88"/>
      <c r="R571" s="88"/>
      <c r="S571" s="88"/>
    </row>
    <row r="572" spans="4:19" ht="18" customHeight="1">
      <c r="D572" s="88"/>
      <c r="E572" s="88"/>
      <c r="F572" s="88"/>
      <c r="G572" s="88"/>
      <c r="H572" s="88"/>
      <c r="I572" s="88"/>
      <c r="J572" s="88"/>
      <c r="K572" s="88"/>
      <c r="L572" s="88"/>
      <c r="M572" s="88"/>
      <c r="N572" s="88"/>
      <c r="O572" s="88"/>
      <c r="P572" s="88"/>
      <c r="Q572" s="88"/>
      <c r="R572" s="88"/>
      <c r="S572" s="88"/>
    </row>
    <row r="573" spans="4:19" ht="18" customHeight="1">
      <c r="D573" s="88"/>
      <c r="E573" s="88"/>
      <c r="F573" s="88"/>
      <c r="G573" s="88"/>
      <c r="H573" s="88"/>
      <c r="I573" s="88"/>
      <c r="J573" s="88"/>
      <c r="K573" s="88"/>
      <c r="L573" s="88"/>
      <c r="M573" s="88"/>
      <c r="N573" s="88"/>
      <c r="O573" s="88"/>
      <c r="P573" s="88"/>
      <c r="Q573" s="88"/>
      <c r="R573" s="88"/>
      <c r="S573" s="88"/>
    </row>
    <row r="574" spans="4:19" ht="18" customHeight="1">
      <c r="D574" s="88"/>
      <c r="E574" s="88"/>
      <c r="F574" s="88"/>
      <c r="G574" s="88"/>
      <c r="H574" s="88"/>
      <c r="I574" s="88"/>
      <c r="J574" s="88"/>
      <c r="K574" s="88"/>
      <c r="L574" s="88"/>
      <c r="M574" s="88"/>
      <c r="N574" s="88"/>
      <c r="O574" s="88"/>
      <c r="P574" s="88"/>
      <c r="Q574" s="88"/>
      <c r="R574" s="88"/>
      <c r="S574" s="88"/>
    </row>
    <row r="575" spans="4:19" ht="18" customHeight="1">
      <c r="D575" s="88"/>
      <c r="E575" s="88"/>
      <c r="F575" s="88"/>
      <c r="G575" s="88"/>
      <c r="H575" s="88"/>
      <c r="I575" s="88"/>
      <c r="J575" s="88"/>
      <c r="K575" s="88"/>
      <c r="L575" s="88"/>
      <c r="M575" s="88"/>
      <c r="N575" s="88"/>
      <c r="O575" s="88"/>
      <c r="P575" s="88"/>
      <c r="Q575" s="88"/>
      <c r="R575" s="88"/>
      <c r="S575" s="88"/>
    </row>
    <row r="576" spans="4:19" ht="18" customHeight="1">
      <c r="D576" s="88"/>
      <c r="E576" s="88"/>
      <c r="F576" s="88"/>
      <c r="G576" s="88"/>
      <c r="H576" s="88"/>
      <c r="I576" s="88"/>
      <c r="J576" s="88"/>
      <c r="K576" s="88"/>
      <c r="L576" s="88"/>
      <c r="M576" s="88"/>
      <c r="N576" s="88"/>
      <c r="O576" s="88"/>
      <c r="P576" s="88"/>
      <c r="Q576" s="88"/>
      <c r="R576" s="88"/>
      <c r="S576" s="88"/>
    </row>
    <row r="577" spans="4:19" ht="18" customHeight="1">
      <c r="D577" s="88"/>
      <c r="E577" s="88"/>
      <c r="F577" s="88"/>
      <c r="G577" s="88"/>
      <c r="H577" s="88"/>
      <c r="I577" s="88"/>
      <c r="J577" s="88"/>
      <c r="K577" s="88"/>
      <c r="L577" s="88"/>
      <c r="M577" s="88"/>
      <c r="N577" s="88"/>
      <c r="O577" s="88"/>
      <c r="P577" s="88"/>
      <c r="Q577" s="88"/>
      <c r="R577" s="88"/>
      <c r="S577" s="88"/>
    </row>
    <row r="578" spans="4:19" ht="18" customHeight="1">
      <c r="D578" s="88"/>
      <c r="E578" s="88"/>
      <c r="F578" s="88"/>
      <c r="G578" s="88"/>
      <c r="H578" s="88"/>
      <c r="I578" s="88"/>
      <c r="J578" s="88"/>
      <c r="K578" s="88"/>
      <c r="L578" s="88"/>
      <c r="M578" s="88"/>
      <c r="N578" s="88"/>
      <c r="O578" s="88"/>
      <c r="P578" s="88"/>
      <c r="Q578" s="88"/>
      <c r="R578" s="88"/>
      <c r="S578" s="88"/>
    </row>
    <row r="579" spans="4:19" ht="18" customHeight="1">
      <c r="D579" s="88"/>
      <c r="E579" s="88"/>
      <c r="F579" s="88"/>
      <c r="G579" s="88"/>
      <c r="H579" s="88"/>
      <c r="I579" s="88"/>
      <c r="J579" s="88"/>
      <c r="K579" s="88"/>
      <c r="L579" s="88"/>
      <c r="M579" s="88"/>
      <c r="N579" s="88"/>
      <c r="O579" s="88"/>
      <c r="P579" s="88"/>
      <c r="Q579" s="88"/>
      <c r="R579" s="88"/>
      <c r="S579" s="88"/>
    </row>
    <row r="580" spans="4:19" ht="18" customHeight="1">
      <c r="D580" s="88"/>
      <c r="E580" s="88"/>
      <c r="F580" s="88"/>
      <c r="G580" s="88"/>
      <c r="H580" s="88"/>
      <c r="I580" s="88"/>
      <c r="J580" s="88"/>
      <c r="K580" s="88"/>
      <c r="L580" s="88"/>
      <c r="M580" s="88"/>
      <c r="N580" s="88"/>
      <c r="O580" s="88"/>
      <c r="P580" s="88"/>
      <c r="Q580" s="88"/>
      <c r="R580" s="88"/>
      <c r="S580" s="88"/>
    </row>
    <row r="581" spans="4:19" ht="18" customHeight="1">
      <c r="D581" s="88"/>
      <c r="E581" s="88"/>
      <c r="F581" s="88"/>
      <c r="G581" s="88"/>
      <c r="H581" s="88"/>
      <c r="I581" s="88"/>
      <c r="J581" s="88"/>
      <c r="K581" s="88"/>
      <c r="L581" s="88"/>
      <c r="M581" s="88"/>
      <c r="N581" s="88"/>
      <c r="O581" s="88"/>
      <c r="P581" s="88"/>
      <c r="Q581" s="88"/>
      <c r="R581" s="88"/>
      <c r="S581" s="88"/>
    </row>
    <row r="582" spans="4:19" ht="18" customHeight="1">
      <c r="D582" s="88"/>
      <c r="E582" s="88"/>
      <c r="F582" s="88"/>
      <c r="G582" s="88"/>
      <c r="H582" s="88"/>
      <c r="I582" s="88"/>
      <c r="J582" s="88"/>
      <c r="K582" s="88"/>
      <c r="L582" s="88"/>
      <c r="M582" s="88"/>
      <c r="N582" s="88"/>
      <c r="O582" s="88"/>
      <c r="P582" s="88"/>
      <c r="Q582" s="88"/>
      <c r="R582" s="88"/>
      <c r="S582" s="88"/>
    </row>
    <row r="583" spans="4:19" ht="18" customHeight="1">
      <c r="D583" s="88"/>
      <c r="E583" s="88"/>
      <c r="F583" s="88"/>
      <c r="G583" s="88"/>
      <c r="H583" s="88"/>
      <c r="I583" s="88"/>
      <c r="J583" s="88"/>
      <c r="K583" s="88"/>
      <c r="L583" s="88"/>
      <c r="M583" s="88"/>
      <c r="N583" s="88"/>
      <c r="O583" s="88"/>
      <c r="P583" s="88"/>
      <c r="Q583" s="88"/>
      <c r="R583" s="88"/>
      <c r="S583" s="88"/>
    </row>
    <row r="584" spans="4:19" ht="18" customHeight="1">
      <c r="D584" s="88"/>
      <c r="E584" s="88"/>
      <c r="F584" s="88"/>
      <c r="G584" s="88"/>
      <c r="H584" s="88"/>
      <c r="I584" s="88"/>
      <c r="J584" s="88"/>
      <c r="K584" s="88"/>
      <c r="L584" s="88"/>
      <c r="M584" s="88"/>
      <c r="N584" s="88"/>
      <c r="O584" s="88"/>
      <c r="P584" s="88"/>
      <c r="Q584" s="88"/>
      <c r="R584" s="88"/>
      <c r="S584" s="88"/>
    </row>
    <row r="585" spans="4:19" ht="18" customHeight="1">
      <c r="D585" s="88"/>
      <c r="E585" s="88"/>
      <c r="F585" s="88"/>
      <c r="G585" s="88"/>
      <c r="H585" s="88"/>
      <c r="I585" s="88"/>
      <c r="J585" s="88"/>
      <c r="K585" s="88"/>
      <c r="L585" s="88"/>
      <c r="M585" s="88"/>
      <c r="N585" s="88"/>
      <c r="O585" s="88"/>
      <c r="P585" s="88"/>
      <c r="Q585" s="88"/>
      <c r="R585" s="88"/>
      <c r="S585" s="88"/>
    </row>
    <row r="586" spans="4:19" ht="18" customHeight="1">
      <c r="D586" s="88"/>
      <c r="E586" s="88"/>
      <c r="F586" s="88"/>
      <c r="G586" s="88"/>
      <c r="H586" s="88"/>
      <c r="I586" s="88"/>
      <c r="J586" s="88"/>
      <c r="K586" s="88"/>
      <c r="L586" s="88"/>
      <c r="M586" s="88"/>
      <c r="N586" s="88"/>
      <c r="O586" s="88"/>
      <c r="P586" s="88"/>
      <c r="Q586" s="88"/>
      <c r="R586" s="88"/>
      <c r="S586" s="88"/>
    </row>
    <row r="587" spans="4:19" ht="18" customHeight="1">
      <c r="D587" s="88"/>
      <c r="E587" s="88"/>
      <c r="F587" s="88"/>
      <c r="G587" s="88"/>
      <c r="H587" s="88"/>
      <c r="I587" s="88"/>
      <c r="J587" s="88"/>
      <c r="K587" s="88"/>
      <c r="L587" s="88"/>
      <c r="M587" s="88"/>
      <c r="N587" s="88"/>
      <c r="O587" s="88"/>
      <c r="P587" s="88"/>
      <c r="Q587" s="88"/>
      <c r="R587" s="88"/>
      <c r="S587" s="88"/>
    </row>
    <row r="588" spans="4:19" ht="18" customHeight="1">
      <c r="D588" s="88"/>
      <c r="E588" s="88"/>
      <c r="F588" s="88"/>
      <c r="G588" s="88"/>
      <c r="H588" s="88"/>
      <c r="I588" s="88"/>
      <c r="J588" s="88"/>
      <c r="K588" s="88"/>
      <c r="L588" s="88"/>
      <c r="M588" s="88"/>
      <c r="N588" s="88"/>
      <c r="O588" s="88"/>
      <c r="P588" s="88"/>
      <c r="Q588" s="88"/>
      <c r="R588" s="88"/>
      <c r="S588" s="88"/>
    </row>
    <row r="589" spans="4:19" ht="18" customHeight="1">
      <c r="D589" s="88"/>
      <c r="E589" s="88"/>
      <c r="F589" s="88"/>
      <c r="G589" s="88"/>
      <c r="H589" s="88"/>
      <c r="I589" s="88"/>
      <c r="J589" s="88"/>
      <c r="K589" s="88"/>
      <c r="L589" s="88"/>
      <c r="M589" s="88"/>
      <c r="N589" s="88"/>
      <c r="O589" s="88"/>
      <c r="P589" s="88"/>
      <c r="Q589" s="88"/>
      <c r="R589" s="88"/>
      <c r="S589" s="88"/>
    </row>
    <row r="590" spans="4:19" ht="18" customHeight="1">
      <c r="D590" s="88"/>
      <c r="E590" s="88"/>
      <c r="F590" s="88"/>
      <c r="G590" s="88"/>
      <c r="H590" s="88"/>
      <c r="I590" s="88"/>
      <c r="J590" s="88"/>
      <c r="K590" s="88"/>
      <c r="L590" s="88"/>
      <c r="M590" s="88"/>
      <c r="N590" s="88"/>
      <c r="O590" s="88"/>
      <c r="P590" s="88"/>
      <c r="Q590" s="88"/>
      <c r="R590" s="88"/>
      <c r="S590" s="88"/>
    </row>
    <row r="591" spans="4:19" ht="18" customHeight="1">
      <c r="D591" s="88"/>
      <c r="E591" s="88"/>
      <c r="F591" s="88"/>
      <c r="G591" s="88"/>
      <c r="H591" s="88"/>
      <c r="I591" s="88"/>
      <c r="J591" s="88"/>
      <c r="K591" s="88"/>
      <c r="L591" s="88"/>
      <c r="M591" s="88"/>
      <c r="N591" s="88"/>
      <c r="O591" s="88"/>
      <c r="P591" s="88"/>
      <c r="Q591" s="88"/>
      <c r="R591" s="88"/>
      <c r="S591" s="88"/>
    </row>
    <row r="592" spans="4:19" ht="18" customHeight="1">
      <c r="D592" s="88"/>
      <c r="E592" s="88"/>
      <c r="F592" s="88"/>
      <c r="G592" s="88"/>
      <c r="H592" s="88"/>
      <c r="I592" s="88"/>
      <c r="J592" s="88"/>
      <c r="K592" s="88"/>
      <c r="L592" s="88"/>
      <c r="M592" s="88"/>
      <c r="N592" s="88"/>
      <c r="O592" s="88"/>
      <c r="P592" s="88"/>
      <c r="Q592" s="88"/>
      <c r="R592" s="88"/>
      <c r="S592" s="88"/>
    </row>
    <row r="593" spans="4:19" ht="18" customHeight="1">
      <c r="D593" s="88"/>
      <c r="E593" s="88"/>
      <c r="F593" s="88"/>
      <c r="G593" s="88"/>
      <c r="H593" s="88"/>
      <c r="I593" s="88"/>
      <c r="J593" s="88"/>
      <c r="K593" s="88"/>
      <c r="L593" s="88"/>
      <c r="M593" s="88"/>
      <c r="N593" s="88"/>
      <c r="O593" s="88"/>
      <c r="P593" s="88"/>
      <c r="Q593" s="88"/>
      <c r="R593" s="88"/>
      <c r="S593" s="88"/>
    </row>
    <row r="594" spans="4:19" ht="18" customHeight="1">
      <c r="D594" s="88"/>
      <c r="E594" s="88"/>
      <c r="F594" s="88"/>
      <c r="G594" s="88"/>
      <c r="H594" s="88"/>
      <c r="I594" s="88"/>
      <c r="J594" s="88"/>
      <c r="K594" s="88"/>
      <c r="L594" s="88"/>
      <c r="M594" s="88"/>
      <c r="N594" s="88"/>
      <c r="O594" s="88"/>
      <c r="P594" s="88"/>
      <c r="Q594" s="88"/>
      <c r="R594" s="88"/>
      <c r="S594" s="88"/>
    </row>
    <row r="595" spans="4:19" ht="18" customHeight="1">
      <c r="D595" s="88"/>
      <c r="E595" s="88"/>
      <c r="F595" s="88"/>
      <c r="G595" s="88"/>
      <c r="H595" s="88"/>
      <c r="I595" s="88"/>
      <c r="J595" s="88"/>
      <c r="K595" s="88"/>
      <c r="L595" s="88"/>
      <c r="M595" s="88"/>
      <c r="N595" s="88"/>
      <c r="O595" s="88"/>
      <c r="P595" s="88"/>
      <c r="Q595" s="88"/>
      <c r="R595" s="88"/>
      <c r="S595" s="88"/>
    </row>
    <row r="596" spans="4:19" ht="18" customHeight="1">
      <c r="D596" s="88"/>
      <c r="E596" s="88"/>
      <c r="F596" s="88"/>
      <c r="G596" s="88"/>
      <c r="H596" s="88"/>
      <c r="I596" s="88"/>
      <c r="J596" s="88"/>
      <c r="K596" s="88"/>
      <c r="L596" s="88"/>
      <c r="M596" s="88"/>
      <c r="N596" s="88"/>
      <c r="O596" s="88"/>
      <c r="P596" s="88"/>
      <c r="Q596" s="88"/>
      <c r="R596" s="88"/>
      <c r="S596" s="88"/>
    </row>
    <row r="597" spans="4:19" ht="18" customHeight="1">
      <c r="D597" s="88"/>
      <c r="E597" s="88"/>
      <c r="F597" s="88"/>
      <c r="G597" s="88"/>
      <c r="H597" s="88"/>
      <c r="I597" s="88"/>
      <c r="J597" s="88"/>
      <c r="K597" s="88"/>
      <c r="L597" s="88"/>
      <c r="M597" s="88"/>
      <c r="N597" s="88"/>
      <c r="O597" s="88"/>
      <c r="P597" s="88"/>
      <c r="Q597" s="88"/>
      <c r="R597" s="88"/>
      <c r="S597" s="88"/>
    </row>
    <row r="598" spans="4:19" ht="18" customHeight="1">
      <c r="D598" s="88"/>
      <c r="E598" s="88"/>
      <c r="F598" s="88"/>
      <c r="G598" s="88"/>
      <c r="H598" s="88"/>
      <c r="I598" s="88"/>
      <c r="J598" s="88"/>
      <c r="K598" s="88"/>
      <c r="L598" s="88"/>
      <c r="M598" s="88"/>
      <c r="N598" s="88"/>
      <c r="O598" s="88"/>
      <c r="P598" s="88"/>
      <c r="Q598" s="88"/>
      <c r="R598" s="88"/>
      <c r="S598" s="88"/>
    </row>
    <row r="599" spans="4:19" ht="18" customHeight="1">
      <c r="D599" s="88"/>
      <c r="E599" s="88"/>
      <c r="F599" s="88"/>
      <c r="G599" s="88"/>
      <c r="H599" s="88"/>
      <c r="I599" s="88"/>
      <c r="J599" s="88"/>
      <c r="K599" s="88"/>
      <c r="L599" s="88"/>
      <c r="M599" s="88"/>
      <c r="N599" s="88"/>
      <c r="O599" s="88"/>
      <c r="P599" s="88"/>
      <c r="Q599" s="88"/>
      <c r="R599" s="88"/>
      <c r="S599" s="88"/>
    </row>
    <row r="600" spans="4:19" ht="18" customHeight="1">
      <c r="D600" s="88"/>
      <c r="E600" s="88"/>
      <c r="F600" s="88"/>
      <c r="G600" s="88"/>
      <c r="H600" s="88"/>
      <c r="I600" s="88"/>
      <c r="J600" s="88"/>
      <c r="K600" s="88"/>
      <c r="L600" s="88"/>
      <c r="M600" s="88"/>
      <c r="N600" s="88"/>
      <c r="O600" s="88"/>
      <c r="P600" s="88"/>
      <c r="Q600" s="88"/>
      <c r="R600" s="88"/>
      <c r="S600" s="88"/>
    </row>
    <row r="601" spans="4:19" ht="18" customHeight="1">
      <c r="D601" s="88"/>
      <c r="E601" s="88"/>
      <c r="F601" s="88"/>
      <c r="G601" s="88"/>
      <c r="H601" s="88"/>
      <c r="I601" s="88"/>
      <c r="J601" s="88"/>
      <c r="K601" s="88"/>
      <c r="L601" s="88"/>
      <c r="M601" s="88"/>
      <c r="N601" s="88"/>
      <c r="O601" s="88"/>
      <c r="P601" s="88"/>
      <c r="Q601" s="88"/>
      <c r="R601" s="88"/>
      <c r="S601" s="88"/>
    </row>
    <row r="602" spans="4:19" ht="18" customHeight="1">
      <c r="D602" s="88"/>
      <c r="E602" s="88"/>
      <c r="F602" s="88"/>
      <c r="G602" s="88"/>
      <c r="H602" s="88"/>
      <c r="I602" s="88"/>
      <c r="J602" s="88"/>
      <c r="K602" s="88"/>
      <c r="L602" s="88"/>
      <c r="M602" s="88"/>
      <c r="N602" s="88"/>
      <c r="O602" s="88"/>
      <c r="P602" s="88"/>
      <c r="Q602" s="88"/>
      <c r="R602" s="88"/>
      <c r="S602" s="88"/>
    </row>
    <row r="603" spans="4:19" ht="18" customHeight="1">
      <c r="D603" s="88"/>
      <c r="E603" s="88"/>
      <c r="F603" s="88"/>
      <c r="G603" s="88"/>
      <c r="H603" s="88"/>
      <c r="I603" s="88"/>
      <c r="J603" s="88"/>
      <c r="K603" s="88"/>
      <c r="L603" s="88"/>
      <c r="M603" s="88"/>
      <c r="N603" s="88"/>
      <c r="O603" s="88"/>
      <c r="P603" s="88"/>
      <c r="Q603" s="88"/>
      <c r="R603" s="88"/>
      <c r="S603" s="88"/>
    </row>
    <row r="604" spans="4:19" ht="18" customHeight="1">
      <c r="D604" s="88"/>
      <c r="E604" s="88"/>
      <c r="F604" s="88"/>
      <c r="G604" s="88"/>
      <c r="H604" s="88"/>
      <c r="I604" s="88"/>
      <c r="J604" s="88"/>
      <c r="K604" s="88"/>
      <c r="L604" s="88"/>
      <c r="M604" s="88"/>
      <c r="N604" s="88"/>
      <c r="O604" s="88"/>
      <c r="P604" s="88"/>
      <c r="Q604" s="88"/>
      <c r="R604" s="88"/>
      <c r="S604" s="88"/>
    </row>
    <row r="605" spans="4:19" ht="18" customHeight="1">
      <c r="D605" s="88"/>
      <c r="E605" s="88"/>
      <c r="F605" s="88"/>
      <c r="G605" s="88"/>
      <c r="H605" s="88"/>
      <c r="I605" s="88"/>
      <c r="J605" s="88"/>
      <c r="K605" s="88"/>
      <c r="L605" s="88"/>
      <c r="M605" s="88"/>
      <c r="N605" s="88"/>
      <c r="O605" s="88"/>
      <c r="P605" s="88"/>
      <c r="Q605" s="88"/>
      <c r="R605" s="88"/>
      <c r="S605" s="88"/>
    </row>
    <row r="606" spans="4:19" ht="18" customHeight="1">
      <c r="D606" s="88"/>
      <c r="E606" s="88"/>
      <c r="F606" s="88"/>
      <c r="G606" s="88"/>
      <c r="H606" s="88"/>
      <c r="I606" s="88"/>
      <c r="J606" s="88"/>
      <c r="K606" s="88"/>
      <c r="L606" s="88"/>
      <c r="M606" s="88"/>
      <c r="N606" s="88"/>
      <c r="O606" s="88"/>
      <c r="P606" s="88"/>
      <c r="Q606" s="88"/>
      <c r="R606" s="88"/>
      <c r="S606" s="88"/>
    </row>
    <row r="607" spans="4:19" ht="18" customHeight="1">
      <c r="D607" s="88"/>
      <c r="E607" s="88"/>
      <c r="F607" s="88"/>
      <c r="G607" s="88"/>
      <c r="H607" s="88"/>
      <c r="I607" s="88"/>
      <c r="J607" s="88"/>
      <c r="K607" s="88"/>
      <c r="L607" s="88"/>
      <c r="M607" s="88"/>
      <c r="N607" s="88"/>
      <c r="O607" s="88"/>
      <c r="P607" s="88"/>
      <c r="Q607" s="88"/>
      <c r="R607" s="88"/>
      <c r="S607" s="88"/>
    </row>
    <row r="608" spans="4:19" ht="18" customHeight="1">
      <c r="D608" s="88"/>
      <c r="E608" s="88"/>
      <c r="F608" s="88"/>
      <c r="G608" s="88"/>
      <c r="H608" s="88"/>
      <c r="I608" s="88"/>
      <c r="J608" s="88"/>
      <c r="K608" s="88"/>
      <c r="L608" s="88"/>
      <c r="M608" s="88"/>
      <c r="N608" s="88"/>
      <c r="O608" s="88"/>
      <c r="P608" s="88"/>
      <c r="Q608" s="88"/>
      <c r="R608" s="88"/>
      <c r="S608" s="88"/>
    </row>
    <row r="609" spans="4:19" ht="18" customHeight="1">
      <c r="D609" s="88"/>
      <c r="E609" s="88"/>
      <c r="F609" s="88"/>
      <c r="G609" s="88"/>
      <c r="H609" s="88"/>
      <c r="I609" s="88"/>
      <c r="J609" s="88"/>
      <c r="K609" s="88"/>
      <c r="L609" s="88"/>
      <c r="M609" s="88"/>
      <c r="N609" s="88"/>
      <c r="O609" s="88"/>
      <c r="P609" s="88"/>
      <c r="Q609" s="88"/>
      <c r="R609" s="88"/>
      <c r="S609" s="88"/>
    </row>
    <row r="610" spans="4:19" ht="18" customHeight="1">
      <c r="D610" s="88"/>
      <c r="E610" s="88"/>
      <c r="F610" s="88"/>
      <c r="G610" s="88"/>
      <c r="H610" s="88"/>
      <c r="I610" s="88"/>
      <c r="J610" s="88"/>
      <c r="K610" s="88"/>
      <c r="L610" s="88"/>
      <c r="M610" s="88"/>
      <c r="N610" s="88"/>
      <c r="O610" s="88"/>
      <c r="P610" s="88"/>
      <c r="Q610" s="88"/>
      <c r="R610" s="88"/>
      <c r="S610" s="88"/>
    </row>
    <row r="611" spans="4:19" ht="18" customHeight="1">
      <c r="D611" s="88"/>
      <c r="E611" s="88"/>
      <c r="F611" s="88"/>
      <c r="G611" s="88"/>
      <c r="H611" s="88"/>
      <c r="I611" s="88"/>
      <c r="J611" s="88"/>
      <c r="K611" s="88"/>
      <c r="L611" s="88"/>
      <c r="M611" s="88"/>
      <c r="N611" s="88"/>
      <c r="O611" s="88"/>
      <c r="P611" s="88"/>
      <c r="Q611" s="88"/>
      <c r="R611" s="88"/>
      <c r="S611" s="88"/>
    </row>
    <row r="612" spans="4:19" ht="18" customHeight="1">
      <c r="D612" s="88"/>
      <c r="E612" s="88"/>
      <c r="F612" s="88"/>
      <c r="G612" s="88"/>
      <c r="H612" s="88"/>
      <c r="I612" s="88"/>
      <c r="J612" s="88"/>
      <c r="K612" s="88"/>
      <c r="L612" s="88"/>
      <c r="M612" s="88"/>
      <c r="N612" s="88"/>
      <c r="O612" s="88"/>
      <c r="P612" s="88"/>
      <c r="Q612" s="88"/>
      <c r="R612" s="88"/>
      <c r="S612" s="88"/>
    </row>
    <row r="613" spans="4:19" ht="18" customHeight="1">
      <c r="D613" s="88"/>
      <c r="E613" s="88"/>
      <c r="F613" s="88"/>
      <c r="G613" s="88"/>
      <c r="H613" s="88"/>
      <c r="I613" s="88"/>
      <c r="J613" s="88"/>
      <c r="K613" s="88"/>
      <c r="L613" s="88"/>
      <c r="M613" s="88"/>
      <c r="N613" s="88"/>
      <c r="O613" s="88"/>
      <c r="P613" s="88"/>
      <c r="Q613" s="88"/>
      <c r="R613" s="88"/>
      <c r="S613" s="88"/>
    </row>
    <row r="614" spans="4:19" ht="18" customHeight="1">
      <c r="D614" s="88"/>
      <c r="E614" s="88"/>
      <c r="F614" s="88"/>
      <c r="G614" s="88"/>
      <c r="H614" s="88"/>
      <c r="I614" s="88"/>
      <c r="J614" s="88"/>
      <c r="K614" s="88"/>
      <c r="L614" s="88"/>
      <c r="M614" s="88"/>
      <c r="N614" s="88"/>
      <c r="O614" s="88"/>
      <c r="P614" s="88"/>
      <c r="Q614" s="88"/>
      <c r="R614" s="88"/>
      <c r="S614" s="88"/>
    </row>
    <row r="615" spans="4:19" ht="18" customHeight="1">
      <c r="D615" s="88"/>
      <c r="E615" s="88"/>
      <c r="F615" s="88"/>
      <c r="G615" s="88"/>
      <c r="H615" s="88"/>
      <c r="I615" s="88"/>
      <c r="J615" s="88"/>
      <c r="K615" s="88"/>
      <c r="L615" s="88"/>
      <c r="M615" s="88"/>
      <c r="N615" s="88"/>
      <c r="O615" s="88"/>
      <c r="P615" s="88"/>
      <c r="Q615" s="88"/>
      <c r="R615" s="88"/>
      <c r="S615" s="88"/>
    </row>
    <row r="616" spans="4:19" ht="18" customHeight="1">
      <c r="D616" s="88"/>
      <c r="E616" s="88"/>
      <c r="F616" s="88"/>
      <c r="G616" s="88"/>
      <c r="H616" s="88"/>
      <c r="I616" s="88"/>
      <c r="J616" s="88"/>
      <c r="K616" s="88"/>
      <c r="L616" s="88"/>
      <c r="M616" s="88"/>
      <c r="N616" s="88"/>
      <c r="O616" s="88"/>
      <c r="P616" s="88"/>
      <c r="Q616" s="88"/>
      <c r="R616" s="88"/>
      <c r="S616" s="88"/>
    </row>
    <row r="617" spans="4:19" ht="18" customHeight="1">
      <c r="D617" s="88"/>
      <c r="E617" s="88"/>
      <c r="F617" s="88"/>
      <c r="G617" s="88"/>
      <c r="H617" s="88"/>
      <c r="I617" s="88"/>
      <c r="J617" s="88"/>
      <c r="K617" s="88"/>
      <c r="L617" s="88"/>
      <c r="M617" s="88"/>
      <c r="N617" s="88"/>
      <c r="O617" s="88"/>
      <c r="P617" s="88"/>
      <c r="Q617" s="88"/>
      <c r="R617" s="88"/>
      <c r="S617" s="88"/>
    </row>
    <row r="618" spans="4:19" ht="18" customHeight="1">
      <c r="D618" s="88"/>
      <c r="E618" s="88"/>
      <c r="F618" s="88"/>
      <c r="G618" s="88"/>
      <c r="H618" s="88"/>
      <c r="I618" s="88"/>
      <c r="J618" s="88"/>
      <c r="K618" s="88"/>
      <c r="L618" s="88"/>
      <c r="M618" s="88"/>
      <c r="N618" s="88"/>
      <c r="O618" s="88"/>
      <c r="P618" s="88"/>
      <c r="Q618" s="88"/>
      <c r="R618" s="88"/>
      <c r="S618" s="88"/>
    </row>
    <row r="619" spans="4:19" ht="18" customHeight="1">
      <c r="D619" s="88"/>
      <c r="E619" s="88"/>
      <c r="F619" s="88"/>
      <c r="G619" s="88"/>
      <c r="H619" s="88"/>
      <c r="I619" s="88"/>
      <c r="J619" s="88"/>
      <c r="K619" s="88"/>
      <c r="L619" s="88"/>
      <c r="M619" s="88"/>
      <c r="N619" s="88"/>
      <c r="O619" s="88"/>
      <c r="P619" s="88"/>
      <c r="Q619" s="88"/>
      <c r="R619" s="88"/>
      <c r="S619" s="88"/>
    </row>
    <row r="620" spans="4:19" ht="18" customHeight="1">
      <c r="D620" s="88"/>
      <c r="E620" s="88"/>
      <c r="F620" s="88"/>
      <c r="G620" s="88"/>
      <c r="H620" s="88"/>
      <c r="I620" s="88"/>
      <c r="J620" s="88"/>
      <c r="K620" s="88"/>
      <c r="L620" s="88"/>
      <c r="M620" s="88"/>
      <c r="N620" s="88"/>
      <c r="O620" s="88"/>
      <c r="P620" s="88"/>
      <c r="Q620" s="88"/>
      <c r="R620" s="88"/>
      <c r="S620" s="88"/>
    </row>
    <row r="621" spans="4:19" ht="18" customHeight="1">
      <c r="D621" s="88"/>
      <c r="E621" s="88"/>
      <c r="F621" s="88"/>
      <c r="G621" s="88"/>
      <c r="H621" s="88"/>
      <c r="I621" s="88"/>
      <c r="J621" s="88"/>
      <c r="K621" s="88"/>
      <c r="L621" s="88"/>
      <c r="M621" s="88"/>
      <c r="N621" s="88"/>
      <c r="O621" s="88"/>
      <c r="P621" s="88"/>
      <c r="Q621" s="88"/>
      <c r="R621" s="88"/>
      <c r="S621" s="88"/>
    </row>
    <row r="622" spans="4:19" ht="18" customHeight="1">
      <c r="D622" s="88"/>
      <c r="E622" s="88"/>
      <c r="F622" s="88"/>
      <c r="G622" s="88"/>
      <c r="H622" s="88"/>
      <c r="I622" s="88"/>
      <c r="J622" s="88"/>
      <c r="K622" s="88"/>
      <c r="L622" s="88"/>
      <c r="M622" s="88"/>
      <c r="N622" s="88"/>
      <c r="O622" s="88"/>
      <c r="P622" s="88"/>
      <c r="Q622" s="88"/>
      <c r="R622" s="88"/>
      <c r="S622" s="88"/>
    </row>
    <row r="623" spans="4:19" ht="18" customHeight="1">
      <c r="D623" s="88"/>
      <c r="E623" s="88"/>
      <c r="F623" s="88"/>
      <c r="G623" s="88"/>
      <c r="H623" s="88"/>
      <c r="I623" s="88"/>
      <c r="J623" s="88"/>
      <c r="K623" s="88"/>
      <c r="L623" s="88"/>
      <c r="M623" s="88"/>
      <c r="N623" s="88"/>
      <c r="O623" s="88"/>
      <c r="P623" s="88"/>
      <c r="Q623" s="88"/>
      <c r="R623" s="88"/>
      <c r="S623" s="88"/>
    </row>
    <row r="624" spans="4:19" ht="18" customHeight="1">
      <c r="D624" s="88"/>
      <c r="E624" s="88"/>
      <c r="F624" s="88"/>
      <c r="G624" s="88"/>
      <c r="H624" s="88"/>
      <c r="I624" s="88"/>
      <c r="J624" s="88"/>
      <c r="K624" s="88"/>
      <c r="L624" s="88"/>
      <c r="M624" s="88"/>
      <c r="N624" s="88"/>
      <c r="O624" s="88"/>
      <c r="P624" s="88"/>
      <c r="Q624" s="88"/>
      <c r="R624" s="88"/>
      <c r="S624" s="88"/>
    </row>
    <row r="625" spans="4:19" ht="18" customHeight="1">
      <c r="D625" s="88"/>
      <c r="E625" s="88"/>
      <c r="F625" s="88"/>
      <c r="G625" s="88"/>
      <c r="H625" s="88"/>
      <c r="I625" s="88"/>
      <c r="J625" s="88"/>
      <c r="K625" s="88"/>
      <c r="L625" s="88"/>
      <c r="M625" s="88"/>
      <c r="N625" s="88"/>
      <c r="O625" s="88"/>
      <c r="P625" s="88"/>
      <c r="Q625" s="88"/>
      <c r="R625" s="88"/>
      <c r="S625" s="88"/>
    </row>
    <row r="626" spans="4:19" ht="18" customHeight="1">
      <c r="D626" s="88"/>
      <c r="E626" s="88"/>
      <c r="F626" s="88"/>
      <c r="G626" s="88"/>
      <c r="H626" s="88"/>
      <c r="I626" s="88"/>
      <c r="J626" s="88"/>
      <c r="K626" s="88"/>
      <c r="L626" s="88"/>
      <c r="M626" s="88"/>
      <c r="N626" s="88"/>
      <c r="O626" s="88"/>
      <c r="P626" s="88"/>
      <c r="Q626" s="88"/>
      <c r="R626" s="88"/>
      <c r="S626" s="88"/>
    </row>
    <row r="627" spans="4:19" ht="18" customHeight="1">
      <c r="D627" s="88"/>
      <c r="E627" s="88"/>
      <c r="F627" s="88"/>
      <c r="G627" s="88"/>
      <c r="H627" s="88"/>
      <c r="I627" s="88"/>
      <c r="J627" s="88"/>
      <c r="K627" s="88"/>
      <c r="L627" s="88"/>
      <c r="M627" s="88"/>
      <c r="N627" s="88"/>
      <c r="O627" s="88"/>
      <c r="P627" s="88"/>
      <c r="Q627" s="88"/>
      <c r="R627" s="88"/>
      <c r="S627" s="88"/>
    </row>
    <row r="628" spans="4:19" ht="18" customHeight="1">
      <c r="D628" s="88"/>
      <c r="E628" s="88"/>
      <c r="F628" s="88"/>
      <c r="G628" s="88"/>
      <c r="H628" s="88"/>
      <c r="I628" s="88"/>
      <c r="J628" s="88"/>
      <c r="K628" s="88"/>
      <c r="L628" s="88"/>
      <c r="M628" s="88"/>
      <c r="N628" s="88"/>
      <c r="O628" s="88"/>
      <c r="P628" s="88"/>
      <c r="Q628" s="88"/>
      <c r="R628" s="88"/>
      <c r="S628" s="88"/>
    </row>
    <row r="629" spans="4:19" ht="18" customHeight="1">
      <c r="D629" s="88"/>
      <c r="E629" s="88"/>
      <c r="F629" s="88"/>
      <c r="G629" s="88"/>
      <c r="H629" s="88"/>
      <c r="I629" s="88"/>
      <c r="J629" s="88"/>
      <c r="K629" s="88"/>
      <c r="L629" s="88"/>
      <c r="M629" s="88"/>
      <c r="N629" s="88"/>
      <c r="O629" s="88"/>
      <c r="P629" s="88"/>
      <c r="Q629" s="88"/>
      <c r="R629" s="88"/>
      <c r="S629" s="88"/>
    </row>
    <row r="630" spans="4:19" ht="18" customHeight="1">
      <c r="D630" s="88"/>
      <c r="E630" s="88"/>
      <c r="F630" s="88"/>
      <c r="G630" s="88"/>
      <c r="H630" s="88"/>
      <c r="I630" s="88"/>
      <c r="J630" s="88"/>
      <c r="K630" s="88"/>
      <c r="L630" s="88"/>
      <c r="M630" s="88"/>
      <c r="N630" s="88"/>
      <c r="O630" s="88"/>
      <c r="P630" s="88"/>
      <c r="Q630" s="88"/>
      <c r="R630" s="88"/>
      <c r="S630" s="88"/>
    </row>
    <row r="631" spans="4:19" ht="18" customHeight="1">
      <c r="D631" s="88"/>
      <c r="E631" s="88"/>
      <c r="F631" s="88"/>
      <c r="G631" s="88"/>
      <c r="H631" s="88"/>
      <c r="I631" s="88"/>
      <c r="J631" s="88"/>
      <c r="K631" s="88"/>
      <c r="L631" s="88"/>
      <c r="M631" s="88"/>
      <c r="N631" s="88"/>
      <c r="O631" s="88"/>
      <c r="P631" s="88"/>
      <c r="Q631" s="88"/>
      <c r="R631" s="88"/>
      <c r="S631" s="88"/>
    </row>
    <row r="632" spans="4:19" ht="18" customHeight="1">
      <c r="D632" s="88"/>
      <c r="E632" s="88"/>
      <c r="F632" s="88"/>
      <c r="G632" s="88"/>
      <c r="H632" s="88"/>
      <c r="I632" s="88"/>
      <c r="J632" s="88"/>
      <c r="K632" s="88"/>
      <c r="L632" s="88"/>
      <c r="M632" s="88"/>
      <c r="N632" s="88"/>
      <c r="O632" s="88"/>
      <c r="P632" s="88"/>
      <c r="Q632" s="88"/>
      <c r="R632" s="88"/>
      <c r="S632" s="88"/>
    </row>
    <row r="633" spans="4:19" ht="18" customHeight="1">
      <c r="D633" s="88"/>
      <c r="E633" s="88"/>
      <c r="F633" s="88"/>
      <c r="G633" s="88"/>
      <c r="H633" s="88"/>
      <c r="I633" s="88"/>
      <c r="J633" s="88"/>
      <c r="K633" s="88"/>
      <c r="L633" s="88"/>
      <c r="M633" s="88"/>
      <c r="N633" s="88"/>
      <c r="O633" s="88"/>
      <c r="P633" s="88"/>
      <c r="Q633" s="88"/>
      <c r="R633" s="88"/>
      <c r="S633" s="88"/>
    </row>
    <row r="634" spans="4:19" ht="18" customHeight="1">
      <c r="D634" s="88"/>
      <c r="E634" s="88"/>
      <c r="F634" s="88"/>
      <c r="G634" s="88"/>
      <c r="H634" s="88"/>
      <c r="I634" s="88"/>
      <c r="J634" s="88"/>
      <c r="K634" s="88"/>
      <c r="L634" s="88"/>
      <c r="M634" s="88"/>
      <c r="N634" s="88"/>
      <c r="O634" s="88"/>
      <c r="P634" s="88"/>
      <c r="Q634" s="88"/>
      <c r="R634" s="88"/>
      <c r="S634" s="88"/>
    </row>
    <row r="635" spans="4:19" ht="18" customHeight="1">
      <c r="D635" s="88"/>
      <c r="E635" s="88"/>
      <c r="F635" s="88"/>
      <c r="G635" s="88"/>
      <c r="H635" s="88"/>
      <c r="I635" s="88"/>
      <c r="J635" s="88"/>
      <c r="K635" s="88"/>
      <c r="L635" s="88"/>
      <c r="M635" s="88"/>
      <c r="N635" s="88"/>
      <c r="O635" s="88"/>
      <c r="P635" s="88"/>
      <c r="Q635" s="88"/>
      <c r="R635" s="88"/>
      <c r="S635" s="88"/>
    </row>
    <row r="636" spans="4:19" ht="18" customHeight="1">
      <c r="D636" s="88"/>
      <c r="E636" s="88"/>
      <c r="F636" s="88"/>
      <c r="G636" s="88"/>
      <c r="H636" s="88"/>
      <c r="I636" s="88"/>
      <c r="J636" s="88"/>
      <c r="K636" s="88"/>
      <c r="L636" s="88"/>
      <c r="M636" s="88"/>
      <c r="N636" s="88"/>
      <c r="O636" s="88"/>
      <c r="P636" s="88"/>
      <c r="Q636" s="88"/>
      <c r="R636" s="88"/>
      <c r="S636" s="88"/>
    </row>
    <row r="637" spans="4:19" ht="18" customHeight="1">
      <c r="D637" s="88"/>
      <c r="E637" s="88"/>
      <c r="F637" s="88"/>
      <c r="G637" s="88"/>
      <c r="H637" s="88"/>
      <c r="I637" s="88"/>
      <c r="J637" s="88"/>
      <c r="K637" s="88"/>
      <c r="L637" s="88"/>
      <c r="M637" s="88"/>
      <c r="N637" s="88"/>
      <c r="O637" s="88"/>
      <c r="P637" s="88"/>
      <c r="Q637" s="88"/>
      <c r="R637" s="88"/>
      <c r="S637" s="88"/>
    </row>
    <row r="638" spans="4:19" ht="18" customHeight="1">
      <c r="D638" s="88"/>
      <c r="E638" s="88"/>
      <c r="F638" s="88"/>
      <c r="G638" s="88"/>
      <c r="H638" s="88"/>
      <c r="I638" s="88"/>
      <c r="J638" s="88"/>
      <c r="K638" s="88"/>
      <c r="L638" s="88"/>
      <c r="M638" s="88"/>
      <c r="N638" s="88"/>
      <c r="O638" s="88"/>
      <c r="P638" s="88"/>
      <c r="Q638" s="88"/>
      <c r="R638" s="88"/>
      <c r="S638" s="88"/>
    </row>
    <row r="639" spans="4:19" ht="18" customHeight="1">
      <c r="D639" s="88"/>
      <c r="E639" s="88"/>
      <c r="F639" s="88"/>
      <c r="G639" s="88"/>
      <c r="H639" s="88"/>
      <c r="I639" s="88"/>
      <c r="J639" s="88"/>
      <c r="K639" s="88"/>
      <c r="L639" s="88"/>
      <c r="M639" s="88"/>
      <c r="N639" s="88"/>
      <c r="O639" s="88"/>
      <c r="P639" s="88"/>
      <c r="Q639" s="88"/>
      <c r="R639" s="88"/>
      <c r="S639" s="88"/>
    </row>
    <row r="640" spans="4:19" ht="18" customHeight="1">
      <c r="D640" s="88"/>
      <c r="E640" s="88"/>
      <c r="F640" s="88"/>
      <c r="G640" s="88"/>
      <c r="H640" s="88"/>
      <c r="I640" s="88"/>
      <c r="J640" s="88"/>
      <c r="K640" s="88"/>
      <c r="L640" s="88"/>
      <c r="M640" s="88"/>
      <c r="N640" s="88"/>
      <c r="O640" s="88"/>
      <c r="P640" s="88"/>
      <c r="Q640" s="88"/>
      <c r="R640" s="88"/>
      <c r="S640" s="88"/>
    </row>
    <row r="641" spans="4:19" ht="18" customHeight="1">
      <c r="D641" s="88"/>
      <c r="E641" s="88"/>
      <c r="F641" s="88"/>
      <c r="G641" s="88"/>
      <c r="H641" s="88"/>
      <c r="I641" s="88"/>
      <c r="J641" s="88"/>
      <c r="K641" s="88"/>
      <c r="L641" s="88"/>
      <c r="M641" s="88"/>
      <c r="N641" s="88"/>
      <c r="O641" s="88"/>
      <c r="P641" s="88"/>
      <c r="Q641" s="88"/>
      <c r="R641" s="88"/>
      <c r="S641" s="88"/>
    </row>
    <row r="642" spans="4:19" ht="18" customHeight="1">
      <c r="D642" s="88"/>
      <c r="E642" s="88"/>
      <c r="F642" s="88"/>
      <c r="G642" s="88"/>
      <c r="H642" s="88"/>
      <c r="I642" s="88"/>
      <c r="J642" s="88"/>
      <c r="K642" s="88"/>
      <c r="L642" s="88"/>
      <c r="M642" s="88"/>
      <c r="N642" s="88"/>
      <c r="O642" s="88"/>
      <c r="P642" s="88"/>
      <c r="Q642" s="88"/>
      <c r="R642" s="88"/>
      <c r="S642" s="88"/>
    </row>
    <row r="643" spans="4:19" ht="18" customHeight="1">
      <c r="D643" s="88"/>
      <c r="E643" s="88"/>
      <c r="F643" s="88"/>
      <c r="G643" s="88"/>
      <c r="H643" s="88"/>
      <c r="I643" s="88"/>
      <c r="J643" s="88"/>
      <c r="K643" s="88"/>
      <c r="L643" s="88"/>
      <c r="M643" s="88"/>
      <c r="N643" s="88"/>
      <c r="O643" s="88"/>
      <c r="P643" s="88"/>
      <c r="Q643" s="88"/>
      <c r="R643" s="88"/>
      <c r="S643" s="88"/>
    </row>
    <row r="644" spans="4:19" ht="18" customHeight="1">
      <c r="D644" s="88"/>
      <c r="E644" s="88"/>
      <c r="F644" s="88"/>
      <c r="G644" s="88"/>
      <c r="H644" s="88"/>
      <c r="I644" s="88"/>
      <c r="J644" s="88"/>
      <c r="K644" s="88"/>
      <c r="L644" s="88"/>
      <c r="M644" s="88"/>
      <c r="N644" s="88"/>
      <c r="O644" s="88"/>
      <c r="P644" s="88"/>
      <c r="Q644" s="88"/>
      <c r="R644" s="88"/>
      <c r="S644" s="88"/>
    </row>
    <row r="645" spans="4:19" ht="18" customHeight="1">
      <c r="D645" s="88"/>
      <c r="E645" s="88"/>
      <c r="F645" s="88"/>
      <c r="G645" s="88"/>
      <c r="H645" s="88"/>
      <c r="I645" s="88"/>
      <c r="J645" s="88"/>
      <c r="K645" s="88"/>
      <c r="L645" s="88"/>
      <c r="M645" s="88"/>
      <c r="N645" s="88"/>
      <c r="O645" s="88"/>
      <c r="P645" s="88"/>
      <c r="Q645" s="88"/>
      <c r="R645" s="88"/>
      <c r="S645" s="88"/>
    </row>
    <row r="646" spans="4:19" ht="18" customHeight="1">
      <c r="D646" s="88"/>
      <c r="E646" s="88"/>
      <c r="F646" s="88"/>
      <c r="G646" s="88"/>
      <c r="H646" s="88"/>
      <c r="I646" s="88"/>
      <c r="J646" s="88"/>
      <c r="K646" s="88"/>
      <c r="L646" s="88"/>
      <c r="M646" s="88"/>
      <c r="N646" s="88"/>
      <c r="O646" s="88"/>
      <c r="P646" s="88"/>
      <c r="Q646" s="88"/>
      <c r="R646" s="88"/>
      <c r="S646" s="88"/>
    </row>
    <row r="647" spans="4:19" ht="18" customHeight="1">
      <c r="D647" s="88"/>
      <c r="E647" s="88"/>
      <c r="F647" s="88"/>
      <c r="G647" s="88"/>
      <c r="H647" s="88"/>
      <c r="I647" s="88"/>
      <c r="J647" s="88"/>
      <c r="K647" s="88"/>
      <c r="L647" s="88"/>
      <c r="M647" s="88"/>
      <c r="N647" s="88"/>
      <c r="O647" s="88"/>
      <c r="P647" s="88"/>
      <c r="Q647" s="88"/>
      <c r="R647" s="88"/>
      <c r="S647" s="88"/>
    </row>
    <row r="648" spans="4:19" ht="18" customHeight="1">
      <c r="D648" s="88"/>
      <c r="E648" s="88"/>
      <c r="F648" s="88"/>
      <c r="G648" s="88"/>
      <c r="H648" s="88"/>
      <c r="I648" s="88"/>
      <c r="J648" s="88"/>
      <c r="K648" s="88"/>
      <c r="L648" s="88"/>
      <c r="M648" s="88"/>
      <c r="N648" s="88"/>
      <c r="O648" s="88"/>
      <c r="P648" s="88"/>
      <c r="Q648" s="88"/>
      <c r="R648" s="88"/>
      <c r="S648" s="88"/>
    </row>
    <row r="649" spans="4:19" ht="18" customHeight="1">
      <c r="D649" s="88"/>
      <c r="E649" s="88"/>
      <c r="F649" s="88"/>
      <c r="G649" s="88"/>
      <c r="H649" s="88"/>
      <c r="I649" s="88"/>
      <c r="J649" s="88"/>
      <c r="K649" s="88"/>
      <c r="L649" s="88"/>
      <c r="M649" s="88"/>
      <c r="N649" s="88"/>
      <c r="O649" s="88"/>
      <c r="P649" s="88"/>
      <c r="Q649" s="88"/>
      <c r="R649" s="88"/>
      <c r="S649" s="88"/>
    </row>
    <row r="650" spans="4:19" ht="18" customHeight="1">
      <c r="D650" s="88"/>
      <c r="E650" s="88"/>
      <c r="F650" s="88"/>
      <c r="G650" s="88"/>
      <c r="H650" s="88"/>
      <c r="I650" s="88"/>
      <c r="J650" s="88"/>
      <c r="K650" s="88"/>
      <c r="L650" s="88"/>
      <c r="M650" s="88"/>
      <c r="N650" s="88"/>
      <c r="O650" s="88"/>
      <c r="P650" s="88"/>
      <c r="Q650" s="88"/>
      <c r="R650" s="88"/>
      <c r="S650" s="88"/>
    </row>
    <row r="651" spans="4:19" ht="18" customHeight="1">
      <c r="D651" s="88"/>
      <c r="E651" s="88"/>
      <c r="F651" s="88"/>
      <c r="G651" s="88"/>
      <c r="H651" s="88"/>
      <c r="I651" s="88"/>
      <c r="J651" s="88"/>
      <c r="K651" s="88"/>
      <c r="L651" s="88"/>
      <c r="M651" s="88"/>
      <c r="N651" s="88"/>
      <c r="O651" s="88"/>
      <c r="P651" s="88"/>
      <c r="Q651" s="88"/>
      <c r="R651" s="88"/>
      <c r="S651" s="88"/>
    </row>
    <row r="652" spans="4:19" ht="18" customHeight="1">
      <c r="D652" s="88"/>
      <c r="E652" s="88"/>
      <c r="F652" s="88"/>
      <c r="G652" s="88"/>
      <c r="H652" s="88"/>
      <c r="I652" s="88"/>
      <c r="J652" s="88"/>
      <c r="K652" s="88"/>
      <c r="L652" s="88"/>
      <c r="M652" s="88"/>
      <c r="N652" s="88"/>
      <c r="O652" s="88"/>
      <c r="P652" s="88"/>
      <c r="Q652" s="88"/>
      <c r="R652" s="88"/>
      <c r="S652" s="88"/>
    </row>
    <row r="653" spans="4:19" ht="18" customHeight="1">
      <c r="D653" s="88"/>
      <c r="E653" s="88"/>
      <c r="F653" s="88"/>
      <c r="G653" s="88"/>
      <c r="H653" s="88"/>
      <c r="I653" s="88"/>
      <c r="J653" s="88"/>
      <c r="K653" s="88"/>
      <c r="L653" s="88"/>
      <c r="M653" s="88"/>
      <c r="N653" s="88"/>
      <c r="O653" s="88"/>
      <c r="P653" s="88"/>
      <c r="Q653" s="88"/>
      <c r="R653" s="88"/>
      <c r="S653" s="88"/>
    </row>
    <row r="654" spans="4:19" ht="18" customHeight="1">
      <c r="D654" s="88"/>
      <c r="E654" s="88"/>
      <c r="F654" s="88"/>
      <c r="G654" s="88"/>
      <c r="H654" s="88"/>
      <c r="I654" s="88"/>
      <c r="J654" s="88"/>
      <c r="K654" s="88"/>
      <c r="L654" s="88"/>
      <c r="M654" s="88"/>
      <c r="N654" s="88"/>
      <c r="O654" s="88"/>
      <c r="P654" s="88"/>
      <c r="Q654" s="88"/>
      <c r="R654" s="88"/>
      <c r="S654" s="88"/>
    </row>
    <row r="655" spans="4:19" ht="18" customHeight="1">
      <c r="D655" s="88"/>
      <c r="E655" s="88"/>
      <c r="F655" s="88"/>
      <c r="G655" s="88"/>
      <c r="H655" s="88"/>
      <c r="I655" s="88"/>
      <c r="J655" s="88"/>
      <c r="K655" s="88"/>
      <c r="L655" s="88"/>
      <c r="M655" s="88"/>
      <c r="N655" s="88"/>
      <c r="O655" s="88"/>
      <c r="P655" s="88"/>
      <c r="Q655" s="88"/>
      <c r="R655" s="88"/>
      <c r="S655" s="88"/>
    </row>
    <row r="656" spans="4:19" ht="18" customHeight="1">
      <c r="D656" s="88"/>
      <c r="E656" s="88"/>
      <c r="F656" s="88"/>
      <c r="G656" s="88"/>
      <c r="H656" s="88"/>
      <c r="I656" s="88"/>
      <c r="J656" s="88"/>
      <c r="K656" s="88"/>
      <c r="L656" s="88"/>
      <c r="M656" s="88"/>
      <c r="N656" s="88"/>
      <c r="O656" s="88"/>
      <c r="P656" s="88"/>
      <c r="Q656" s="88"/>
      <c r="R656" s="88"/>
      <c r="S656" s="88"/>
    </row>
    <row r="657" spans="4:19" ht="18" customHeight="1">
      <c r="D657" s="88"/>
      <c r="E657" s="88"/>
      <c r="F657" s="88"/>
      <c r="G657" s="88"/>
      <c r="H657" s="88"/>
      <c r="I657" s="88"/>
      <c r="J657" s="88"/>
      <c r="K657" s="88"/>
      <c r="L657" s="88"/>
      <c r="M657" s="88"/>
      <c r="N657" s="88"/>
      <c r="O657" s="88"/>
      <c r="P657" s="88"/>
      <c r="Q657" s="88"/>
      <c r="R657" s="88"/>
      <c r="S657" s="88"/>
    </row>
    <row r="658" spans="4:19" ht="18" customHeight="1">
      <c r="D658" s="88"/>
      <c r="E658" s="88"/>
      <c r="F658" s="88"/>
      <c r="G658" s="88"/>
      <c r="H658" s="88"/>
      <c r="I658" s="88"/>
      <c r="J658" s="88"/>
      <c r="K658" s="88"/>
      <c r="L658" s="88"/>
      <c r="M658" s="88"/>
      <c r="N658" s="88"/>
      <c r="O658" s="88"/>
      <c r="P658" s="88"/>
      <c r="Q658" s="88"/>
      <c r="R658" s="88"/>
      <c r="S658" s="88"/>
    </row>
    <row r="659" spans="4:19" ht="18" customHeight="1">
      <c r="D659" s="88"/>
      <c r="E659" s="88"/>
      <c r="F659" s="88"/>
      <c r="G659" s="88"/>
      <c r="H659" s="88"/>
      <c r="I659" s="88"/>
      <c r="J659" s="88"/>
      <c r="K659" s="88"/>
      <c r="L659" s="88"/>
      <c r="M659" s="88"/>
      <c r="N659" s="88"/>
      <c r="O659" s="88"/>
      <c r="P659" s="88"/>
      <c r="Q659" s="88"/>
      <c r="R659" s="88"/>
      <c r="S659" s="88"/>
    </row>
    <row r="660" spans="4:19" ht="18" customHeight="1">
      <c r="D660" s="88"/>
      <c r="E660" s="88"/>
      <c r="F660" s="88"/>
      <c r="G660" s="88"/>
      <c r="H660" s="88"/>
      <c r="I660" s="88"/>
      <c r="J660" s="88"/>
      <c r="K660" s="88"/>
      <c r="L660" s="88"/>
      <c r="M660" s="88"/>
      <c r="N660" s="88"/>
      <c r="O660" s="88"/>
      <c r="P660" s="88"/>
      <c r="Q660" s="88"/>
      <c r="R660" s="88"/>
      <c r="S660" s="88"/>
    </row>
    <row r="661" spans="4:19" ht="18" customHeight="1">
      <c r="D661" s="88"/>
      <c r="E661" s="88"/>
      <c r="F661" s="88"/>
      <c r="G661" s="88"/>
      <c r="H661" s="88"/>
      <c r="I661" s="88"/>
      <c r="J661" s="88"/>
      <c r="K661" s="88"/>
      <c r="L661" s="88"/>
      <c r="M661" s="88"/>
      <c r="N661" s="88"/>
      <c r="O661" s="88"/>
      <c r="P661" s="88"/>
      <c r="Q661" s="88"/>
      <c r="R661" s="88"/>
      <c r="S661" s="88"/>
    </row>
    <row r="662" spans="4:19" ht="18" customHeight="1">
      <c r="D662" s="88"/>
      <c r="E662" s="88"/>
      <c r="F662" s="88"/>
      <c r="G662" s="88"/>
      <c r="H662" s="88"/>
      <c r="I662" s="88"/>
      <c r="J662" s="88"/>
      <c r="K662" s="88"/>
      <c r="L662" s="88"/>
      <c r="M662" s="88"/>
      <c r="N662" s="88"/>
      <c r="O662" s="88"/>
      <c r="P662" s="88"/>
      <c r="Q662" s="88"/>
      <c r="R662" s="88"/>
      <c r="S662" s="88"/>
    </row>
    <row r="663" spans="4:19" ht="18" customHeight="1">
      <c r="D663" s="88"/>
      <c r="E663" s="88"/>
      <c r="F663" s="88"/>
      <c r="G663" s="88"/>
      <c r="H663" s="88"/>
      <c r="I663" s="88"/>
      <c r="J663" s="88"/>
      <c r="K663" s="88"/>
      <c r="L663" s="88"/>
      <c r="M663" s="88"/>
      <c r="N663" s="88"/>
      <c r="O663" s="88"/>
      <c r="P663" s="88"/>
      <c r="Q663" s="88"/>
      <c r="R663" s="88"/>
      <c r="S663" s="88"/>
    </row>
    <row r="664" spans="4:19" ht="18" customHeight="1">
      <c r="D664" s="88"/>
      <c r="E664" s="88"/>
      <c r="F664" s="88"/>
      <c r="G664" s="88"/>
      <c r="H664" s="88"/>
      <c r="I664" s="88"/>
      <c r="J664" s="88"/>
      <c r="K664" s="88"/>
      <c r="L664" s="88"/>
      <c r="M664" s="88"/>
      <c r="N664" s="88"/>
      <c r="O664" s="88"/>
      <c r="P664" s="88"/>
      <c r="Q664" s="88"/>
      <c r="R664" s="88"/>
      <c r="S664" s="88"/>
    </row>
    <row r="665" spans="4:19" ht="18" customHeight="1">
      <c r="D665" s="88"/>
      <c r="E665" s="88"/>
      <c r="F665" s="88"/>
      <c r="G665" s="88"/>
      <c r="H665" s="88"/>
      <c r="I665" s="88"/>
      <c r="J665" s="88"/>
      <c r="K665" s="88"/>
      <c r="L665" s="88"/>
      <c r="M665" s="88"/>
      <c r="N665" s="88"/>
      <c r="O665" s="88"/>
      <c r="P665" s="88"/>
      <c r="Q665" s="88"/>
      <c r="R665" s="88"/>
      <c r="S665" s="88"/>
    </row>
    <row r="666" spans="4:19" ht="18" customHeight="1">
      <c r="D666" s="88"/>
      <c r="E666" s="88"/>
      <c r="F666" s="88"/>
      <c r="G666" s="88"/>
      <c r="H666" s="88"/>
      <c r="I666" s="88"/>
      <c r="J666" s="88"/>
      <c r="K666" s="88"/>
      <c r="L666" s="88"/>
      <c r="M666" s="88"/>
      <c r="N666" s="88"/>
      <c r="O666" s="88"/>
      <c r="P666" s="88"/>
      <c r="Q666" s="88"/>
      <c r="R666" s="88"/>
      <c r="S666" s="88"/>
    </row>
    <row r="667" spans="4:19" ht="18" customHeight="1">
      <c r="D667" s="88"/>
      <c r="E667" s="88"/>
      <c r="F667" s="88"/>
      <c r="G667" s="88"/>
      <c r="H667" s="88"/>
      <c r="I667" s="88"/>
      <c r="J667" s="88"/>
      <c r="K667" s="88"/>
      <c r="L667" s="88"/>
      <c r="M667" s="88"/>
      <c r="N667" s="88"/>
      <c r="O667" s="88"/>
      <c r="P667" s="88"/>
      <c r="Q667" s="88"/>
      <c r="R667" s="88"/>
      <c r="S667" s="88"/>
    </row>
    <row r="668" spans="4:19" ht="18" customHeight="1">
      <c r="D668" s="88"/>
      <c r="E668" s="88"/>
      <c r="F668" s="88"/>
      <c r="G668" s="88"/>
      <c r="H668" s="88"/>
      <c r="I668" s="88"/>
      <c r="J668" s="88"/>
      <c r="K668" s="88"/>
      <c r="L668" s="88"/>
      <c r="M668" s="88"/>
      <c r="N668" s="88"/>
      <c r="O668" s="88"/>
      <c r="P668" s="88"/>
      <c r="Q668" s="88"/>
      <c r="R668" s="88"/>
      <c r="S668" s="88"/>
    </row>
    <row r="669" spans="4:19" ht="18" customHeight="1">
      <c r="D669" s="88"/>
      <c r="E669" s="88"/>
      <c r="F669" s="88"/>
      <c r="G669" s="88"/>
      <c r="H669" s="88"/>
      <c r="I669" s="88"/>
      <c r="J669" s="88"/>
      <c r="K669" s="88"/>
      <c r="L669" s="88"/>
      <c r="M669" s="88"/>
      <c r="N669" s="88"/>
      <c r="O669" s="88"/>
      <c r="P669" s="88"/>
      <c r="Q669" s="88"/>
      <c r="R669" s="88"/>
      <c r="S669" s="88"/>
    </row>
    <row r="670" spans="4:19" ht="18" customHeight="1">
      <c r="D670" s="88"/>
      <c r="E670" s="88"/>
      <c r="F670" s="88"/>
      <c r="G670" s="88"/>
      <c r="H670" s="88"/>
      <c r="I670" s="88"/>
      <c r="J670" s="88"/>
      <c r="K670" s="88"/>
      <c r="L670" s="88"/>
      <c r="M670" s="88"/>
      <c r="N670" s="88"/>
      <c r="O670" s="88"/>
      <c r="P670" s="88"/>
      <c r="Q670" s="88"/>
      <c r="R670" s="88"/>
      <c r="S670" s="88"/>
    </row>
    <row r="671" spans="4:19" ht="18" customHeight="1">
      <c r="D671" s="88"/>
      <c r="E671" s="88"/>
      <c r="F671" s="88"/>
      <c r="G671" s="88"/>
      <c r="H671" s="88"/>
      <c r="I671" s="88"/>
      <c r="J671" s="88"/>
      <c r="K671" s="88"/>
      <c r="L671" s="88"/>
      <c r="M671" s="88"/>
      <c r="N671" s="88"/>
      <c r="O671" s="88"/>
      <c r="P671" s="88"/>
      <c r="Q671" s="88"/>
      <c r="R671" s="88"/>
      <c r="S671" s="88"/>
    </row>
    <row r="672" spans="4:19" ht="18" customHeight="1">
      <c r="D672" s="88"/>
      <c r="E672" s="88"/>
      <c r="F672" s="88"/>
      <c r="G672" s="88"/>
      <c r="H672" s="88"/>
      <c r="I672" s="88"/>
      <c r="J672" s="88"/>
      <c r="K672" s="88"/>
      <c r="L672" s="88"/>
      <c r="M672" s="88"/>
      <c r="N672" s="88"/>
      <c r="O672" s="88"/>
      <c r="P672" s="88"/>
      <c r="Q672" s="88"/>
      <c r="R672" s="88"/>
      <c r="S672" s="88"/>
    </row>
    <row r="673" spans="4:19" ht="18" customHeight="1">
      <c r="D673" s="88"/>
      <c r="E673" s="88"/>
      <c r="F673" s="88"/>
      <c r="G673" s="88"/>
      <c r="H673" s="88"/>
      <c r="I673" s="88"/>
      <c r="J673" s="88"/>
      <c r="K673" s="88"/>
      <c r="L673" s="88"/>
      <c r="M673" s="88"/>
      <c r="N673" s="88"/>
      <c r="O673" s="88"/>
      <c r="P673" s="88"/>
      <c r="Q673" s="88"/>
      <c r="R673" s="88"/>
      <c r="S673" s="88"/>
    </row>
    <row r="674" spans="4:19" ht="18" customHeight="1">
      <c r="D674" s="88"/>
      <c r="E674" s="88"/>
      <c r="F674" s="88"/>
      <c r="G674" s="88"/>
      <c r="H674" s="88"/>
      <c r="I674" s="88"/>
      <c r="J674" s="88"/>
      <c r="K674" s="88"/>
      <c r="L674" s="88"/>
      <c r="M674" s="88"/>
      <c r="N674" s="88"/>
      <c r="O674" s="88"/>
      <c r="P674" s="88"/>
      <c r="Q674" s="88"/>
      <c r="R674" s="88"/>
      <c r="S674" s="88"/>
    </row>
    <row r="675" spans="4:19" ht="18" customHeight="1">
      <c r="D675" s="88"/>
      <c r="E675" s="88"/>
      <c r="F675" s="88"/>
      <c r="G675" s="88"/>
      <c r="H675" s="88"/>
      <c r="I675" s="88"/>
      <c r="J675" s="88"/>
      <c r="K675" s="88"/>
      <c r="L675" s="88"/>
      <c r="M675" s="88"/>
      <c r="N675" s="88"/>
      <c r="O675" s="88"/>
      <c r="P675" s="88"/>
      <c r="Q675" s="88"/>
      <c r="R675" s="88"/>
      <c r="S675" s="88"/>
    </row>
    <row r="676" spans="4:19" ht="18" customHeight="1">
      <c r="D676" s="88"/>
      <c r="E676" s="88"/>
      <c r="F676" s="88"/>
      <c r="G676" s="88"/>
      <c r="H676" s="88"/>
      <c r="I676" s="88"/>
      <c r="J676" s="88"/>
      <c r="K676" s="88"/>
      <c r="L676" s="88"/>
      <c r="M676" s="88"/>
      <c r="N676" s="88"/>
      <c r="O676" s="88"/>
      <c r="P676" s="88"/>
      <c r="Q676" s="88"/>
      <c r="R676" s="88"/>
      <c r="S676" s="88"/>
    </row>
    <row r="677" spans="4:19" ht="18" customHeight="1">
      <c r="D677" s="88"/>
      <c r="E677" s="88"/>
      <c r="F677" s="88"/>
      <c r="G677" s="88"/>
      <c r="H677" s="88"/>
      <c r="I677" s="88"/>
      <c r="J677" s="88"/>
      <c r="K677" s="88"/>
      <c r="L677" s="88"/>
      <c r="M677" s="88"/>
      <c r="N677" s="88"/>
      <c r="O677" s="88"/>
      <c r="P677" s="88"/>
      <c r="Q677" s="88"/>
      <c r="R677" s="88"/>
      <c r="S677" s="88"/>
    </row>
    <row r="678" spans="4:19" ht="18" customHeight="1">
      <c r="D678" s="88"/>
      <c r="E678" s="88"/>
      <c r="F678" s="88"/>
      <c r="G678" s="88"/>
      <c r="H678" s="88"/>
      <c r="I678" s="88"/>
      <c r="J678" s="88"/>
      <c r="K678" s="88"/>
      <c r="L678" s="88"/>
      <c r="M678" s="88"/>
      <c r="N678" s="88"/>
      <c r="O678" s="88"/>
      <c r="P678" s="88"/>
      <c r="Q678" s="88"/>
      <c r="R678" s="88"/>
      <c r="S678" s="88"/>
    </row>
    <row r="679" spans="4:19" ht="18" customHeight="1">
      <c r="D679" s="88"/>
      <c r="E679" s="88"/>
      <c r="F679" s="88"/>
      <c r="G679" s="88"/>
      <c r="H679" s="88"/>
      <c r="I679" s="88"/>
      <c r="J679" s="88"/>
      <c r="K679" s="88"/>
      <c r="L679" s="88"/>
      <c r="M679" s="88"/>
      <c r="N679" s="88"/>
      <c r="O679" s="88"/>
      <c r="P679" s="88"/>
      <c r="Q679" s="88"/>
      <c r="R679" s="88"/>
      <c r="S679" s="88"/>
    </row>
    <row r="680" spans="4:19" ht="18" customHeight="1">
      <c r="D680" s="88"/>
      <c r="E680" s="88"/>
      <c r="F680" s="88"/>
      <c r="G680" s="88"/>
      <c r="H680" s="88"/>
      <c r="I680" s="88"/>
      <c r="J680" s="88"/>
      <c r="K680" s="88"/>
      <c r="L680" s="88"/>
      <c r="M680" s="88"/>
      <c r="N680" s="88"/>
      <c r="O680" s="88"/>
      <c r="P680" s="88"/>
      <c r="Q680" s="88"/>
      <c r="R680" s="88"/>
      <c r="S680" s="88"/>
    </row>
    <row r="681" spans="4:19" ht="18" customHeight="1">
      <c r="D681" s="88"/>
      <c r="E681" s="88"/>
      <c r="F681" s="88"/>
      <c r="G681" s="88"/>
      <c r="H681" s="88"/>
      <c r="I681" s="88"/>
      <c r="J681" s="88"/>
      <c r="K681" s="88"/>
      <c r="L681" s="88"/>
      <c r="M681" s="88"/>
      <c r="N681" s="88"/>
      <c r="O681" s="88"/>
      <c r="P681" s="88"/>
      <c r="Q681" s="88"/>
      <c r="R681" s="88"/>
      <c r="S681" s="88"/>
    </row>
    <row r="682" spans="4:19" ht="18" customHeight="1">
      <c r="D682" s="88"/>
      <c r="E682" s="88"/>
      <c r="F682" s="88"/>
      <c r="G682" s="88"/>
      <c r="H682" s="88"/>
      <c r="I682" s="88"/>
      <c r="J682" s="88"/>
      <c r="K682" s="88"/>
      <c r="L682" s="88"/>
      <c r="M682" s="88"/>
      <c r="N682" s="88"/>
      <c r="O682" s="88"/>
      <c r="P682" s="88"/>
      <c r="Q682" s="88"/>
      <c r="R682" s="88"/>
      <c r="S682" s="88"/>
    </row>
    <row r="683" spans="4:19" ht="18" customHeight="1">
      <c r="D683" s="88"/>
      <c r="E683" s="88"/>
      <c r="F683" s="88"/>
      <c r="G683" s="88"/>
      <c r="H683" s="88"/>
      <c r="I683" s="88"/>
      <c r="J683" s="88"/>
      <c r="K683" s="88"/>
      <c r="L683" s="88"/>
      <c r="M683" s="88"/>
      <c r="N683" s="88"/>
      <c r="O683" s="88"/>
      <c r="P683" s="88"/>
      <c r="Q683" s="88"/>
      <c r="R683" s="88"/>
      <c r="S683" s="88"/>
    </row>
    <row r="684" spans="4:19" ht="18" customHeight="1">
      <c r="D684" s="88"/>
      <c r="E684" s="88"/>
      <c r="F684" s="88"/>
      <c r="G684" s="88"/>
      <c r="H684" s="88"/>
      <c r="I684" s="88"/>
      <c r="J684" s="88"/>
      <c r="K684" s="88"/>
      <c r="L684" s="88"/>
      <c r="M684" s="88"/>
      <c r="N684" s="88"/>
      <c r="O684" s="88"/>
      <c r="P684" s="88"/>
      <c r="Q684" s="88"/>
      <c r="R684" s="88"/>
      <c r="S684" s="88"/>
    </row>
    <row r="685" spans="4:19" ht="18" customHeight="1">
      <c r="D685" s="88"/>
      <c r="E685" s="88"/>
      <c r="F685" s="88"/>
      <c r="G685" s="88"/>
      <c r="H685" s="88"/>
      <c r="I685" s="88"/>
      <c r="J685" s="88"/>
      <c r="K685" s="88"/>
      <c r="L685" s="88"/>
      <c r="M685" s="88"/>
      <c r="N685" s="88"/>
      <c r="O685" s="88"/>
      <c r="P685" s="88"/>
      <c r="Q685" s="88"/>
      <c r="R685" s="88"/>
      <c r="S685" s="88"/>
    </row>
    <row r="686" spans="4:19" ht="18" customHeight="1">
      <c r="D686" s="88"/>
      <c r="E686" s="88"/>
      <c r="F686" s="88"/>
      <c r="G686" s="88"/>
      <c r="H686" s="88"/>
      <c r="I686" s="88"/>
      <c r="J686" s="88"/>
      <c r="K686" s="88"/>
      <c r="L686" s="88"/>
      <c r="M686" s="88"/>
      <c r="N686" s="88"/>
      <c r="O686" s="88"/>
      <c r="P686" s="88"/>
      <c r="Q686" s="88"/>
      <c r="R686" s="88"/>
      <c r="S686" s="88"/>
    </row>
    <row r="687" spans="4:19" ht="18" customHeight="1">
      <c r="D687" s="88"/>
      <c r="E687" s="88"/>
      <c r="F687" s="88"/>
      <c r="G687" s="88"/>
      <c r="H687" s="88"/>
      <c r="I687" s="88"/>
      <c r="J687" s="88"/>
      <c r="K687" s="88"/>
      <c r="L687" s="88"/>
      <c r="M687" s="88"/>
      <c r="N687" s="88"/>
      <c r="O687" s="88"/>
      <c r="P687" s="88"/>
      <c r="Q687" s="88"/>
      <c r="R687" s="88"/>
      <c r="S687" s="88"/>
    </row>
    <row r="688" spans="4:19" ht="18" customHeight="1">
      <c r="D688" s="88"/>
      <c r="E688" s="88"/>
      <c r="F688" s="88"/>
      <c r="G688" s="88"/>
      <c r="H688" s="88"/>
      <c r="I688" s="88"/>
      <c r="J688" s="88"/>
      <c r="K688" s="88"/>
      <c r="L688" s="88"/>
      <c r="M688" s="88"/>
      <c r="N688" s="88"/>
      <c r="O688" s="88"/>
      <c r="P688" s="88"/>
      <c r="Q688" s="88"/>
      <c r="R688" s="88"/>
      <c r="S688" s="88"/>
    </row>
    <row r="689" spans="4:19" ht="18" customHeight="1">
      <c r="D689" s="88"/>
      <c r="E689" s="88"/>
      <c r="F689" s="88"/>
      <c r="G689" s="88"/>
      <c r="H689" s="88"/>
      <c r="I689" s="88"/>
      <c r="J689" s="88"/>
      <c r="K689" s="88"/>
      <c r="L689" s="88"/>
      <c r="M689" s="88"/>
      <c r="N689" s="88"/>
      <c r="O689" s="88"/>
      <c r="P689" s="88"/>
      <c r="Q689" s="88"/>
      <c r="R689" s="88"/>
      <c r="S689" s="88"/>
    </row>
    <row r="690" spans="4:19" ht="18" customHeight="1">
      <c r="D690" s="88"/>
      <c r="E690" s="88"/>
      <c r="F690" s="88"/>
      <c r="G690" s="88"/>
      <c r="H690" s="88"/>
      <c r="I690" s="88"/>
      <c r="J690" s="88"/>
      <c r="K690" s="88"/>
      <c r="L690" s="88"/>
      <c r="M690" s="88"/>
      <c r="N690" s="88"/>
      <c r="O690" s="88"/>
      <c r="P690" s="88"/>
      <c r="Q690" s="88"/>
      <c r="R690" s="88"/>
      <c r="S690" s="88"/>
    </row>
    <row r="691" spans="4:19" ht="18" customHeight="1">
      <c r="D691" s="88"/>
      <c r="E691" s="88"/>
      <c r="F691" s="88"/>
      <c r="G691" s="88"/>
      <c r="H691" s="88"/>
      <c r="I691" s="88"/>
      <c r="J691" s="88"/>
      <c r="K691" s="88"/>
      <c r="L691" s="88"/>
      <c r="M691" s="88"/>
      <c r="N691" s="88"/>
      <c r="O691" s="88"/>
      <c r="P691" s="88"/>
      <c r="Q691" s="88"/>
      <c r="R691" s="88"/>
      <c r="S691" s="88"/>
    </row>
    <row r="692" spans="4:19" ht="18" customHeight="1">
      <c r="D692" s="88"/>
      <c r="E692" s="88"/>
      <c r="F692" s="88"/>
      <c r="G692" s="88"/>
      <c r="H692" s="88"/>
      <c r="I692" s="88"/>
      <c r="J692" s="88"/>
      <c r="K692" s="88"/>
      <c r="L692" s="88"/>
      <c r="M692" s="88"/>
      <c r="N692" s="88"/>
      <c r="O692" s="88"/>
      <c r="P692" s="88"/>
      <c r="Q692" s="88"/>
      <c r="R692" s="88"/>
      <c r="S692" s="88"/>
    </row>
    <row r="693" spans="4:19" ht="18" customHeight="1">
      <c r="D693" s="88"/>
      <c r="E693" s="88"/>
      <c r="F693" s="88"/>
      <c r="G693" s="88"/>
      <c r="H693" s="88"/>
      <c r="I693" s="88"/>
      <c r="J693" s="88"/>
      <c r="K693" s="88"/>
      <c r="L693" s="88"/>
      <c r="M693" s="88"/>
      <c r="N693" s="88"/>
      <c r="O693" s="88"/>
      <c r="P693" s="88"/>
      <c r="Q693" s="88"/>
      <c r="R693" s="88"/>
      <c r="S693" s="88"/>
    </row>
    <row r="694" spans="4:19" ht="18" customHeight="1">
      <c r="D694" s="88"/>
      <c r="E694" s="88"/>
      <c r="F694" s="88"/>
      <c r="G694" s="88"/>
      <c r="H694" s="88"/>
      <c r="I694" s="88"/>
      <c r="J694" s="88"/>
      <c r="K694" s="88"/>
      <c r="L694" s="88"/>
      <c r="M694" s="88"/>
      <c r="N694" s="88"/>
      <c r="O694" s="88"/>
      <c r="P694" s="88"/>
      <c r="Q694" s="88"/>
      <c r="R694" s="88"/>
      <c r="S694" s="88"/>
    </row>
    <row r="695" spans="4:19" ht="18" customHeight="1">
      <c r="D695" s="88"/>
      <c r="E695" s="88"/>
      <c r="F695" s="88"/>
      <c r="G695" s="88"/>
      <c r="H695" s="88"/>
      <c r="I695" s="88"/>
      <c r="J695" s="88"/>
      <c r="K695" s="88"/>
      <c r="L695" s="88"/>
      <c r="M695" s="88"/>
      <c r="N695" s="88"/>
      <c r="O695" s="88"/>
      <c r="P695" s="88"/>
      <c r="Q695" s="88"/>
      <c r="R695" s="88"/>
      <c r="S695" s="88"/>
    </row>
    <row r="696" spans="4:19" ht="18" customHeight="1">
      <c r="D696" s="88"/>
      <c r="E696" s="88"/>
      <c r="F696" s="88"/>
      <c r="G696" s="88"/>
      <c r="H696" s="88"/>
      <c r="I696" s="88"/>
      <c r="J696" s="88"/>
      <c r="K696" s="88"/>
      <c r="L696" s="88"/>
      <c r="M696" s="88"/>
      <c r="N696" s="88"/>
      <c r="O696" s="88"/>
      <c r="P696" s="88"/>
      <c r="Q696" s="88"/>
      <c r="R696" s="88"/>
      <c r="S696" s="88"/>
    </row>
    <row r="697" spans="4:19" ht="18" customHeight="1">
      <c r="D697" s="88"/>
      <c r="E697" s="88"/>
      <c r="F697" s="88"/>
      <c r="G697" s="88"/>
      <c r="H697" s="88"/>
      <c r="I697" s="88"/>
      <c r="J697" s="88"/>
      <c r="K697" s="88"/>
      <c r="L697" s="88"/>
      <c r="M697" s="88"/>
      <c r="N697" s="88"/>
      <c r="O697" s="88"/>
      <c r="P697" s="88"/>
      <c r="Q697" s="88"/>
      <c r="R697" s="88"/>
      <c r="S697" s="88"/>
    </row>
    <row r="698" spans="4:19" ht="18" customHeight="1">
      <c r="D698" s="88"/>
      <c r="E698" s="88"/>
      <c r="F698" s="88"/>
      <c r="G698" s="88"/>
      <c r="H698" s="88"/>
      <c r="I698" s="88"/>
      <c r="J698" s="88"/>
      <c r="K698" s="88"/>
      <c r="L698" s="88"/>
      <c r="M698" s="88"/>
      <c r="N698" s="88"/>
      <c r="O698" s="88"/>
      <c r="P698" s="88"/>
      <c r="Q698" s="88"/>
      <c r="R698" s="88"/>
      <c r="S698" s="88"/>
    </row>
    <row r="699" spans="4:19" ht="18" customHeight="1">
      <c r="D699" s="88"/>
      <c r="E699" s="88"/>
      <c r="F699" s="88"/>
      <c r="G699" s="88"/>
      <c r="H699" s="88"/>
      <c r="I699" s="88"/>
      <c r="J699" s="88"/>
      <c r="K699" s="88"/>
      <c r="L699" s="88"/>
      <c r="M699" s="88"/>
      <c r="N699" s="88"/>
      <c r="O699" s="88"/>
      <c r="P699" s="88"/>
      <c r="Q699" s="88"/>
      <c r="R699" s="88"/>
      <c r="S699" s="88"/>
    </row>
    <row r="700" spans="4:19" ht="18" customHeight="1">
      <c r="D700" s="88"/>
      <c r="E700" s="88"/>
      <c r="F700" s="88"/>
      <c r="G700" s="88"/>
      <c r="H700" s="88"/>
      <c r="I700" s="88"/>
      <c r="J700" s="88"/>
      <c r="K700" s="88"/>
      <c r="L700" s="88"/>
      <c r="M700" s="88"/>
      <c r="N700" s="88"/>
      <c r="O700" s="88"/>
      <c r="P700" s="88"/>
      <c r="Q700" s="88"/>
      <c r="R700" s="88"/>
      <c r="S700" s="88"/>
    </row>
    <row r="701" spans="4:19" ht="18" customHeight="1">
      <c r="D701" s="88"/>
      <c r="E701" s="88"/>
      <c r="F701" s="88"/>
      <c r="G701" s="88"/>
      <c r="H701" s="88"/>
      <c r="I701" s="88"/>
      <c r="J701" s="88"/>
      <c r="K701" s="88"/>
      <c r="L701" s="88"/>
      <c r="M701" s="88"/>
      <c r="N701" s="88"/>
      <c r="O701" s="88"/>
      <c r="P701" s="88"/>
      <c r="Q701" s="88"/>
      <c r="R701" s="88"/>
      <c r="S701" s="88"/>
    </row>
    <row r="702" spans="4:19" ht="18" customHeight="1">
      <c r="D702" s="88"/>
      <c r="E702" s="88"/>
      <c r="F702" s="88"/>
      <c r="G702" s="88"/>
      <c r="H702" s="88"/>
      <c r="I702" s="88"/>
      <c r="J702" s="88"/>
      <c r="K702" s="88"/>
      <c r="L702" s="88"/>
      <c r="M702" s="88"/>
      <c r="N702" s="88"/>
      <c r="O702" s="88"/>
      <c r="P702" s="88"/>
      <c r="Q702" s="88"/>
      <c r="R702" s="88"/>
      <c r="S702" s="88"/>
    </row>
    <row r="703" spans="4:19" ht="18" customHeight="1">
      <c r="D703" s="88"/>
      <c r="E703" s="88"/>
      <c r="F703" s="88"/>
      <c r="G703" s="88"/>
      <c r="H703" s="88"/>
      <c r="I703" s="88"/>
      <c r="J703" s="88"/>
      <c r="K703" s="88"/>
      <c r="L703" s="88"/>
      <c r="M703" s="88"/>
      <c r="N703" s="88"/>
      <c r="O703" s="88"/>
      <c r="P703" s="88"/>
      <c r="Q703" s="88"/>
      <c r="R703" s="88"/>
      <c r="S703" s="88"/>
    </row>
    <row r="704" spans="4:19" ht="18" customHeight="1">
      <c r="D704" s="88"/>
      <c r="E704" s="88"/>
      <c r="F704" s="88"/>
      <c r="G704" s="88"/>
      <c r="H704" s="88"/>
      <c r="I704" s="88"/>
      <c r="J704" s="88"/>
      <c r="K704" s="88"/>
      <c r="L704" s="88"/>
      <c r="M704" s="88"/>
      <c r="N704" s="88"/>
      <c r="O704" s="88"/>
      <c r="P704" s="88"/>
      <c r="Q704" s="88"/>
      <c r="R704" s="88"/>
      <c r="S704" s="88"/>
    </row>
    <row r="705" spans="4:19" ht="18" customHeight="1">
      <c r="D705" s="88"/>
      <c r="E705" s="88"/>
      <c r="F705" s="88"/>
      <c r="G705" s="88"/>
      <c r="H705" s="88"/>
      <c r="I705" s="88"/>
      <c r="J705" s="88"/>
      <c r="K705" s="88"/>
      <c r="L705" s="88"/>
      <c r="M705" s="88"/>
      <c r="N705" s="88"/>
      <c r="O705" s="88"/>
      <c r="P705" s="88"/>
      <c r="Q705" s="88"/>
      <c r="R705" s="88"/>
      <c r="S705" s="88"/>
    </row>
    <row r="706" spans="4:19" ht="18" customHeight="1">
      <c r="D706" s="88"/>
      <c r="E706" s="88"/>
      <c r="F706" s="88"/>
      <c r="G706" s="88"/>
      <c r="H706" s="88"/>
      <c r="I706" s="88"/>
      <c r="J706" s="88"/>
      <c r="K706" s="88"/>
      <c r="L706" s="88"/>
      <c r="M706" s="88"/>
      <c r="N706" s="88"/>
      <c r="O706" s="88"/>
      <c r="P706" s="88"/>
      <c r="Q706" s="88"/>
      <c r="R706" s="88"/>
      <c r="S706" s="88"/>
    </row>
    <row r="707" spans="4:19" ht="18" customHeight="1">
      <c r="D707" s="88"/>
      <c r="E707" s="88"/>
      <c r="F707" s="88"/>
      <c r="G707" s="88"/>
      <c r="H707" s="88"/>
      <c r="I707" s="88"/>
      <c r="J707" s="88"/>
      <c r="K707" s="88"/>
      <c r="L707" s="88"/>
      <c r="M707" s="88"/>
      <c r="N707" s="88"/>
      <c r="O707" s="88"/>
      <c r="P707" s="88"/>
      <c r="Q707" s="88"/>
      <c r="R707" s="88"/>
      <c r="S707" s="88"/>
    </row>
    <row r="708" spans="4:19" ht="18" customHeight="1">
      <c r="D708" s="88"/>
      <c r="E708" s="88"/>
      <c r="F708" s="88"/>
      <c r="G708" s="88"/>
      <c r="H708" s="88"/>
      <c r="I708" s="88"/>
      <c r="J708" s="88"/>
      <c r="K708" s="88"/>
      <c r="L708" s="88"/>
      <c r="M708" s="88"/>
      <c r="N708" s="88"/>
      <c r="O708" s="88"/>
      <c r="P708" s="88"/>
      <c r="Q708" s="88"/>
      <c r="R708" s="88"/>
      <c r="S708" s="88"/>
    </row>
    <row r="709" spans="4:19" ht="18" customHeight="1">
      <c r="D709" s="88"/>
      <c r="E709" s="88"/>
      <c r="F709" s="88"/>
      <c r="G709" s="88"/>
      <c r="H709" s="88"/>
      <c r="I709" s="88"/>
      <c r="J709" s="88"/>
      <c r="K709" s="88"/>
      <c r="L709" s="88"/>
      <c r="M709" s="88"/>
      <c r="N709" s="88"/>
      <c r="O709" s="88"/>
      <c r="P709" s="88"/>
      <c r="Q709" s="88"/>
      <c r="R709" s="88"/>
      <c r="S709" s="88"/>
    </row>
    <row r="710" spans="4:19" ht="18" customHeight="1">
      <c r="D710" s="88"/>
      <c r="E710" s="88"/>
      <c r="F710" s="88"/>
      <c r="G710" s="88"/>
      <c r="H710" s="88"/>
      <c r="I710" s="88"/>
      <c r="J710" s="88"/>
      <c r="K710" s="88"/>
      <c r="L710" s="88"/>
      <c r="M710" s="88"/>
      <c r="N710" s="88"/>
      <c r="O710" s="88"/>
      <c r="P710" s="88"/>
      <c r="Q710" s="88"/>
      <c r="R710" s="88"/>
      <c r="S710" s="88"/>
    </row>
    <row r="711" spans="4:19" ht="18" customHeight="1">
      <c r="D711" s="88"/>
      <c r="E711" s="88"/>
      <c r="F711" s="88"/>
      <c r="G711" s="88"/>
      <c r="H711" s="88"/>
      <c r="I711" s="88"/>
      <c r="J711" s="88"/>
      <c r="K711" s="88"/>
      <c r="L711" s="88"/>
      <c r="M711" s="88"/>
      <c r="N711" s="88"/>
      <c r="O711" s="88"/>
      <c r="P711" s="88"/>
      <c r="Q711" s="88"/>
      <c r="R711" s="88"/>
      <c r="S711" s="88"/>
    </row>
    <row r="712" spans="4:19" ht="18" customHeight="1">
      <c r="D712" s="88"/>
      <c r="E712" s="88"/>
      <c r="F712" s="88"/>
      <c r="G712" s="88"/>
      <c r="H712" s="88"/>
      <c r="I712" s="88"/>
      <c r="J712" s="88"/>
      <c r="K712" s="88"/>
      <c r="L712" s="88"/>
      <c r="M712" s="88"/>
      <c r="N712" s="88"/>
      <c r="O712" s="88"/>
      <c r="P712" s="88"/>
      <c r="Q712" s="88"/>
      <c r="R712" s="88"/>
      <c r="S712" s="88"/>
    </row>
    <row r="713" spans="4:19" ht="18" customHeight="1">
      <c r="D713" s="88"/>
      <c r="E713" s="88"/>
      <c r="F713" s="88"/>
      <c r="G713" s="88"/>
      <c r="H713" s="88"/>
      <c r="I713" s="88"/>
      <c r="J713" s="88"/>
      <c r="K713" s="88"/>
      <c r="L713" s="88"/>
      <c r="M713" s="88"/>
      <c r="N713" s="88"/>
      <c r="O713" s="88"/>
      <c r="P713" s="88"/>
      <c r="Q713" s="88"/>
      <c r="R713" s="88"/>
      <c r="S713" s="88"/>
    </row>
    <row r="714" spans="4:19" ht="18" customHeight="1">
      <c r="D714" s="88"/>
      <c r="E714" s="88"/>
      <c r="F714" s="88"/>
      <c r="G714" s="88"/>
      <c r="H714" s="88"/>
      <c r="I714" s="88"/>
      <c r="J714" s="88"/>
      <c r="K714" s="88"/>
      <c r="L714" s="88"/>
      <c r="M714" s="88"/>
      <c r="N714" s="88"/>
      <c r="O714" s="88"/>
      <c r="P714" s="88"/>
      <c r="Q714" s="88"/>
      <c r="R714" s="88"/>
      <c r="S714" s="88"/>
    </row>
    <row r="715" spans="4:19" ht="18" customHeight="1">
      <c r="D715" s="88"/>
      <c r="E715" s="88"/>
      <c r="F715" s="88"/>
      <c r="G715" s="88"/>
      <c r="H715" s="88"/>
      <c r="I715" s="88"/>
      <c r="J715" s="88"/>
      <c r="K715" s="88"/>
      <c r="L715" s="88"/>
      <c r="M715" s="88"/>
      <c r="N715" s="88"/>
      <c r="O715" s="88"/>
      <c r="P715" s="88"/>
      <c r="Q715" s="88"/>
      <c r="R715" s="88"/>
      <c r="S715" s="88"/>
    </row>
    <row r="716" spans="4:19" ht="18" customHeight="1">
      <c r="D716" s="88"/>
      <c r="E716" s="88"/>
      <c r="F716" s="88"/>
      <c r="G716" s="88"/>
      <c r="H716" s="88"/>
      <c r="I716" s="88"/>
      <c r="J716" s="88"/>
      <c r="K716" s="88"/>
      <c r="L716" s="88"/>
      <c r="M716" s="88"/>
      <c r="N716" s="88"/>
      <c r="O716" s="88"/>
      <c r="P716" s="88"/>
      <c r="Q716" s="88"/>
      <c r="R716" s="88"/>
      <c r="S716" s="88"/>
    </row>
    <row r="717" spans="4:19" ht="18" customHeight="1">
      <c r="D717" s="88"/>
      <c r="E717" s="88"/>
      <c r="F717" s="88"/>
      <c r="G717" s="88"/>
      <c r="H717" s="88"/>
      <c r="I717" s="88"/>
      <c r="J717" s="88"/>
      <c r="K717" s="88"/>
      <c r="L717" s="88"/>
      <c r="M717" s="88"/>
      <c r="N717" s="88"/>
      <c r="O717" s="88"/>
      <c r="P717" s="88"/>
      <c r="Q717" s="88"/>
      <c r="R717" s="88"/>
      <c r="S717" s="88"/>
    </row>
    <row r="718" spans="4:19" ht="18" customHeight="1">
      <c r="D718" s="88"/>
      <c r="E718" s="88"/>
      <c r="F718" s="88"/>
      <c r="G718" s="88"/>
      <c r="H718" s="88"/>
      <c r="I718" s="88"/>
      <c r="J718" s="88"/>
      <c r="K718" s="88"/>
      <c r="L718" s="88"/>
      <c r="M718" s="88"/>
      <c r="N718" s="88"/>
      <c r="O718" s="88"/>
      <c r="P718" s="88"/>
      <c r="Q718" s="88"/>
      <c r="R718" s="88"/>
      <c r="S718" s="88"/>
    </row>
    <row r="719" spans="4:19" ht="18" customHeight="1">
      <c r="D719" s="88"/>
      <c r="E719" s="88"/>
      <c r="F719" s="88"/>
      <c r="G719" s="88"/>
      <c r="H719" s="88"/>
      <c r="I719" s="88"/>
      <c r="J719" s="88"/>
      <c r="K719" s="88"/>
      <c r="L719" s="88"/>
      <c r="M719" s="88"/>
      <c r="N719" s="88"/>
      <c r="O719" s="88"/>
      <c r="P719" s="88"/>
      <c r="Q719" s="88"/>
      <c r="R719" s="88"/>
      <c r="S719" s="88"/>
    </row>
    <row r="720" spans="4:19" ht="18" customHeight="1">
      <c r="D720" s="88"/>
      <c r="E720" s="88"/>
      <c r="F720" s="88"/>
      <c r="G720" s="88"/>
      <c r="H720" s="88"/>
      <c r="I720" s="88"/>
      <c r="J720" s="88"/>
      <c r="K720" s="88"/>
      <c r="L720" s="88"/>
      <c r="M720" s="88"/>
      <c r="N720" s="88"/>
      <c r="O720" s="88"/>
      <c r="P720" s="88"/>
      <c r="Q720" s="88"/>
      <c r="R720" s="88"/>
      <c r="S720" s="88"/>
    </row>
    <row r="721" spans="4:19" ht="18" customHeight="1">
      <c r="D721" s="88"/>
      <c r="E721" s="88"/>
      <c r="F721" s="88"/>
      <c r="G721" s="88"/>
      <c r="H721" s="88"/>
      <c r="I721" s="88"/>
      <c r="J721" s="88"/>
      <c r="K721" s="88"/>
      <c r="L721" s="88"/>
      <c r="M721" s="88"/>
      <c r="N721" s="88"/>
      <c r="O721" s="88"/>
      <c r="P721" s="88"/>
      <c r="Q721" s="88"/>
      <c r="R721" s="88"/>
      <c r="S721" s="88"/>
    </row>
    <row r="722" spans="4:19" ht="18" customHeight="1">
      <c r="D722" s="88"/>
      <c r="E722" s="88"/>
      <c r="F722" s="88"/>
      <c r="G722" s="88"/>
      <c r="H722" s="88"/>
      <c r="I722" s="88"/>
      <c r="J722" s="88"/>
      <c r="K722" s="88"/>
      <c r="L722" s="88"/>
      <c r="M722" s="88"/>
      <c r="N722" s="88"/>
      <c r="O722" s="88"/>
      <c r="P722" s="88"/>
      <c r="Q722" s="88"/>
      <c r="R722" s="88"/>
      <c r="S722" s="88"/>
    </row>
    <row r="723" spans="4:19" ht="18" customHeight="1">
      <c r="D723" s="88"/>
      <c r="E723" s="88"/>
      <c r="F723" s="88"/>
      <c r="G723" s="88"/>
      <c r="H723" s="88"/>
      <c r="I723" s="88"/>
      <c r="J723" s="88"/>
      <c r="K723" s="88"/>
      <c r="L723" s="88"/>
      <c r="M723" s="88"/>
      <c r="N723" s="88"/>
      <c r="O723" s="88"/>
      <c r="P723" s="88"/>
      <c r="Q723" s="88"/>
      <c r="R723" s="88"/>
      <c r="S723" s="88"/>
    </row>
    <row r="724" spans="4:19" ht="18" customHeight="1">
      <c r="D724" s="88"/>
      <c r="E724" s="88"/>
      <c r="F724" s="88"/>
      <c r="G724" s="88"/>
      <c r="H724" s="88"/>
      <c r="I724" s="88"/>
      <c r="J724" s="88"/>
      <c r="K724" s="88"/>
      <c r="L724" s="88"/>
      <c r="M724" s="88"/>
      <c r="N724" s="88"/>
      <c r="O724" s="88"/>
      <c r="P724" s="88"/>
      <c r="Q724" s="88"/>
      <c r="R724" s="88"/>
      <c r="S724" s="88"/>
    </row>
    <row r="725" spans="4:19" ht="18" customHeight="1">
      <c r="D725" s="88"/>
      <c r="E725" s="88"/>
      <c r="F725" s="88"/>
      <c r="G725" s="88"/>
      <c r="H725" s="88"/>
      <c r="I725" s="88"/>
      <c r="J725" s="88"/>
      <c r="K725" s="88"/>
      <c r="L725" s="88"/>
      <c r="M725" s="88"/>
      <c r="N725" s="88"/>
      <c r="O725" s="88"/>
      <c r="P725" s="88"/>
      <c r="Q725" s="88"/>
      <c r="R725" s="88"/>
      <c r="S725" s="88"/>
    </row>
    <row r="726" spans="4:19" ht="18" customHeight="1">
      <c r="D726" s="88"/>
      <c r="E726" s="88"/>
      <c r="F726" s="88"/>
      <c r="G726" s="88"/>
      <c r="H726" s="88"/>
      <c r="I726" s="88"/>
      <c r="J726" s="88"/>
      <c r="K726" s="88"/>
      <c r="L726" s="88"/>
      <c r="M726" s="88"/>
      <c r="N726" s="88"/>
      <c r="O726" s="88"/>
      <c r="P726" s="88"/>
      <c r="Q726" s="88"/>
      <c r="R726" s="88"/>
      <c r="S726" s="88"/>
    </row>
    <row r="727" spans="4:19" ht="18" customHeight="1">
      <c r="D727" s="88"/>
      <c r="E727" s="88"/>
      <c r="F727" s="88"/>
      <c r="G727" s="88"/>
      <c r="H727" s="88"/>
      <c r="I727" s="88"/>
      <c r="J727" s="88"/>
      <c r="K727" s="88"/>
      <c r="L727" s="88"/>
      <c r="M727" s="88"/>
      <c r="N727" s="88"/>
      <c r="O727" s="88"/>
      <c r="P727" s="88"/>
      <c r="Q727" s="88"/>
      <c r="R727" s="88"/>
      <c r="S727" s="88"/>
    </row>
    <row r="728" spans="4:19" ht="18" customHeight="1">
      <c r="D728" s="88"/>
      <c r="E728" s="88"/>
      <c r="F728" s="88"/>
      <c r="G728" s="88"/>
      <c r="H728" s="88"/>
      <c r="I728" s="88"/>
      <c r="J728" s="88"/>
      <c r="K728" s="88"/>
      <c r="L728" s="88"/>
      <c r="M728" s="88"/>
      <c r="N728" s="88"/>
      <c r="O728" s="88"/>
      <c r="P728" s="88"/>
      <c r="Q728" s="88"/>
      <c r="R728" s="88"/>
      <c r="S728" s="88"/>
    </row>
    <row r="729" spans="4:19" ht="18" customHeight="1">
      <c r="D729" s="88"/>
      <c r="E729" s="88"/>
      <c r="F729" s="88"/>
      <c r="G729" s="88"/>
      <c r="H729" s="88"/>
      <c r="I729" s="88"/>
      <c r="J729" s="88"/>
      <c r="K729" s="88"/>
      <c r="L729" s="88"/>
      <c r="M729" s="88"/>
      <c r="N729" s="88"/>
      <c r="O729" s="88"/>
      <c r="P729" s="88"/>
      <c r="Q729" s="88"/>
      <c r="R729" s="88"/>
      <c r="S729" s="88"/>
    </row>
    <row r="730" spans="4:19" ht="18" customHeight="1">
      <c r="D730" s="88"/>
      <c r="E730" s="88"/>
      <c r="F730" s="88"/>
      <c r="G730" s="88"/>
      <c r="H730" s="88"/>
      <c r="I730" s="88"/>
      <c r="J730" s="88"/>
      <c r="K730" s="88"/>
      <c r="L730" s="88"/>
      <c r="M730" s="88"/>
      <c r="N730" s="88"/>
      <c r="O730" s="88"/>
      <c r="P730" s="88"/>
      <c r="Q730" s="88"/>
      <c r="R730" s="88"/>
      <c r="S730" s="88"/>
    </row>
    <row r="731" spans="4:19" ht="18" customHeight="1">
      <c r="D731" s="88"/>
      <c r="E731" s="88"/>
      <c r="F731" s="88"/>
      <c r="G731" s="88"/>
      <c r="H731" s="88"/>
      <c r="I731" s="88"/>
      <c r="J731" s="88"/>
      <c r="K731" s="88"/>
      <c r="L731" s="88"/>
      <c r="M731" s="88"/>
      <c r="N731" s="88"/>
      <c r="O731" s="88"/>
      <c r="P731" s="88"/>
      <c r="Q731" s="88"/>
      <c r="R731" s="88"/>
      <c r="S731" s="88"/>
    </row>
    <row r="732" spans="4:19" ht="18" customHeight="1">
      <c r="D732" s="88"/>
      <c r="E732" s="88"/>
      <c r="F732" s="88"/>
      <c r="G732" s="88"/>
      <c r="H732" s="88"/>
      <c r="I732" s="88"/>
      <c r="J732" s="88"/>
      <c r="K732" s="88"/>
      <c r="L732" s="88"/>
      <c r="M732" s="88"/>
      <c r="N732" s="88"/>
      <c r="O732" s="88"/>
      <c r="P732" s="88"/>
      <c r="Q732" s="88"/>
      <c r="R732" s="88"/>
      <c r="S732" s="88"/>
    </row>
    <row r="733" spans="4:19" ht="18" customHeight="1">
      <c r="D733" s="88"/>
      <c r="E733" s="88"/>
      <c r="F733" s="88"/>
      <c r="G733" s="88"/>
      <c r="H733" s="88"/>
      <c r="I733" s="88"/>
      <c r="J733" s="88"/>
      <c r="K733" s="88"/>
      <c r="L733" s="88"/>
      <c r="M733" s="88"/>
      <c r="N733" s="88"/>
      <c r="O733" s="88"/>
      <c r="P733" s="88"/>
      <c r="Q733" s="88"/>
      <c r="R733" s="88"/>
      <c r="S733" s="88"/>
    </row>
    <row r="734" spans="4:19" ht="18" customHeight="1">
      <c r="D734" s="88"/>
      <c r="E734" s="88"/>
      <c r="F734" s="88"/>
      <c r="G734" s="88"/>
      <c r="H734" s="88"/>
      <c r="I734" s="88"/>
      <c r="J734" s="88"/>
      <c r="K734" s="88"/>
      <c r="L734" s="88"/>
      <c r="M734" s="88"/>
      <c r="N734" s="88"/>
      <c r="O734" s="88"/>
      <c r="P734" s="88"/>
      <c r="Q734" s="88"/>
      <c r="R734" s="88"/>
      <c r="S734" s="88"/>
    </row>
    <row r="735" spans="4:19" ht="18" customHeight="1">
      <c r="D735" s="88"/>
      <c r="E735" s="88"/>
      <c r="F735" s="88"/>
      <c r="G735" s="88"/>
      <c r="H735" s="88"/>
      <c r="I735" s="88"/>
      <c r="J735" s="88"/>
      <c r="K735" s="88"/>
      <c r="L735" s="88"/>
      <c r="M735" s="88"/>
      <c r="N735" s="88"/>
      <c r="O735" s="88"/>
      <c r="P735" s="88"/>
      <c r="Q735" s="88"/>
      <c r="R735" s="88"/>
      <c r="S735" s="88"/>
    </row>
    <row r="736" spans="4:19" ht="18" customHeight="1">
      <c r="D736" s="88"/>
      <c r="E736" s="88"/>
      <c r="F736" s="88"/>
      <c r="G736" s="88"/>
      <c r="H736" s="88"/>
      <c r="I736" s="88"/>
      <c r="J736" s="88"/>
      <c r="K736" s="88"/>
      <c r="L736" s="88"/>
      <c r="M736" s="88"/>
      <c r="N736" s="88"/>
      <c r="O736" s="88"/>
      <c r="P736" s="88"/>
      <c r="Q736" s="88"/>
      <c r="R736" s="88"/>
      <c r="S736" s="88"/>
    </row>
    <row r="737" spans="4:19" ht="18" customHeight="1">
      <c r="D737" s="88"/>
      <c r="E737" s="88"/>
      <c r="F737" s="88"/>
      <c r="G737" s="88"/>
      <c r="H737" s="88"/>
      <c r="I737" s="88"/>
      <c r="J737" s="88"/>
      <c r="K737" s="88"/>
      <c r="L737" s="88"/>
      <c r="M737" s="88"/>
      <c r="N737" s="88"/>
      <c r="O737" s="88"/>
      <c r="P737" s="88"/>
      <c r="Q737" s="88"/>
      <c r="R737" s="88"/>
      <c r="S737" s="88"/>
    </row>
    <row r="738" spans="4:19" ht="18" customHeight="1">
      <c r="D738" s="88"/>
      <c r="E738" s="88"/>
      <c r="F738" s="88"/>
      <c r="G738" s="88"/>
      <c r="H738" s="88"/>
      <c r="I738" s="88"/>
      <c r="J738" s="88"/>
      <c r="K738" s="88"/>
      <c r="L738" s="88"/>
      <c r="M738" s="88"/>
      <c r="N738" s="88"/>
      <c r="O738" s="88"/>
      <c r="P738" s="88"/>
      <c r="Q738" s="88"/>
      <c r="R738" s="88"/>
      <c r="S738" s="88"/>
    </row>
    <row r="739" spans="4:19" ht="18" customHeight="1">
      <c r="D739" s="88"/>
      <c r="E739" s="88"/>
      <c r="F739" s="88"/>
      <c r="G739" s="88"/>
      <c r="H739" s="88"/>
      <c r="I739" s="88"/>
      <c r="J739" s="88"/>
      <c r="K739" s="88"/>
      <c r="L739" s="88"/>
      <c r="M739" s="88"/>
      <c r="N739" s="88"/>
      <c r="O739" s="88"/>
      <c r="P739" s="88"/>
      <c r="Q739" s="88"/>
      <c r="R739" s="88"/>
      <c r="S739" s="88"/>
    </row>
    <row r="740" spans="4:19" ht="18" customHeight="1">
      <c r="D740" s="88"/>
      <c r="E740" s="88"/>
      <c r="F740" s="88"/>
      <c r="G740" s="88"/>
      <c r="H740" s="88"/>
      <c r="I740" s="88"/>
      <c r="J740" s="88"/>
      <c r="K740" s="88"/>
      <c r="L740" s="88"/>
      <c r="M740" s="88"/>
      <c r="N740" s="88"/>
      <c r="O740" s="88"/>
      <c r="P740" s="88"/>
      <c r="Q740" s="88"/>
      <c r="R740" s="88"/>
      <c r="S740" s="88"/>
    </row>
    <row r="741" spans="4:19" ht="18" customHeight="1">
      <c r="D741" s="88"/>
      <c r="E741" s="88"/>
      <c r="F741" s="88"/>
      <c r="G741" s="88"/>
      <c r="H741" s="88"/>
      <c r="I741" s="88"/>
      <c r="J741" s="88"/>
      <c r="K741" s="88"/>
      <c r="L741" s="88"/>
      <c r="M741" s="88"/>
      <c r="N741" s="88"/>
      <c r="O741" s="88"/>
      <c r="P741" s="88"/>
      <c r="Q741" s="88"/>
      <c r="R741" s="88"/>
      <c r="S741" s="88"/>
    </row>
    <row r="742" spans="4:19" ht="18" customHeight="1">
      <c r="D742" s="88"/>
      <c r="E742" s="88"/>
      <c r="F742" s="88"/>
      <c r="G742" s="88"/>
      <c r="H742" s="88"/>
      <c r="I742" s="88"/>
      <c r="J742" s="88"/>
      <c r="K742" s="88"/>
      <c r="L742" s="88"/>
      <c r="M742" s="88"/>
      <c r="N742" s="88"/>
      <c r="O742" s="88"/>
      <c r="P742" s="88"/>
      <c r="Q742" s="88"/>
      <c r="R742" s="88"/>
      <c r="S742" s="88"/>
    </row>
    <row r="743" spans="4:19" ht="18" customHeight="1">
      <c r="D743" s="88"/>
      <c r="E743" s="88"/>
      <c r="F743" s="88"/>
      <c r="G743" s="88"/>
      <c r="H743" s="88"/>
      <c r="I743" s="88"/>
      <c r="J743" s="88"/>
      <c r="K743" s="88"/>
      <c r="L743" s="88"/>
      <c r="M743" s="88"/>
      <c r="N743" s="88"/>
      <c r="O743" s="88"/>
      <c r="P743" s="88"/>
      <c r="Q743" s="88"/>
      <c r="R743" s="88"/>
      <c r="S743" s="88"/>
    </row>
    <row r="744" spans="4:19" ht="18" customHeight="1">
      <c r="D744" s="88"/>
      <c r="E744" s="88"/>
      <c r="F744" s="88"/>
      <c r="G744" s="88"/>
      <c r="H744" s="88"/>
      <c r="I744" s="88"/>
      <c r="J744" s="88"/>
      <c r="K744" s="88"/>
      <c r="L744" s="88"/>
      <c r="M744" s="88"/>
      <c r="N744" s="88"/>
      <c r="O744" s="88"/>
      <c r="P744" s="88"/>
      <c r="Q744" s="88"/>
      <c r="R744" s="88"/>
      <c r="S744" s="88"/>
    </row>
    <row r="745" spans="4:19" ht="18" customHeight="1">
      <c r="D745" s="88"/>
      <c r="E745" s="88"/>
      <c r="F745" s="88"/>
      <c r="G745" s="88"/>
      <c r="H745" s="88"/>
      <c r="I745" s="88"/>
      <c r="J745" s="88"/>
      <c r="K745" s="88"/>
      <c r="L745" s="88"/>
      <c r="M745" s="88"/>
      <c r="N745" s="88"/>
      <c r="O745" s="88"/>
      <c r="P745" s="88"/>
      <c r="Q745" s="88"/>
      <c r="R745" s="88"/>
      <c r="S745" s="88"/>
    </row>
    <row r="746" spans="4:19" ht="18" customHeight="1">
      <c r="D746" s="88"/>
      <c r="E746" s="88"/>
      <c r="F746" s="88"/>
      <c r="G746" s="88"/>
      <c r="H746" s="88"/>
      <c r="I746" s="88"/>
      <c r="J746" s="88"/>
      <c r="K746" s="88"/>
      <c r="L746" s="88"/>
      <c r="M746" s="88"/>
      <c r="N746" s="88"/>
      <c r="O746" s="88"/>
      <c r="P746" s="88"/>
      <c r="Q746" s="88"/>
      <c r="R746" s="88"/>
      <c r="S746" s="88"/>
    </row>
    <row r="747" spans="4:19" ht="18" customHeight="1">
      <c r="D747" s="88"/>
      <c r="E747" s="88"/>
      <c r="F747" s="88"/>
      <c r="G747" s="88"/>
      <c r="H747" s="88"/>
      <c r="I747" s="88"/>
      <c r="J747" s="88"/>
      <c r="K747" s="88"/>
      <c r="L747" s="88"/>
      <c r="M747" s="88"/>
      <c r="N747" s="88"/>
      <c r="O747" s="88"/>
      <c r="P747" s="88"/>
      <c r="Q747" s="88"/>
      <c r="R747" s="88"/>
      <c r="S747" s="88"/>
    </row>
    <row r="748" spans="4:19" ht="18" customHeight="1">
      <c r="D748" s="88"/>
      <c r="E748" s="88"/>
      <c r="F748" s="88"/>
      <c r="G748" s="88"/>
      <c r="H748" s="88"/>
      <c r="I748" s="88"/>
      <c r="J748" s="88"/>
      <c r="K748" s="88"/>
      <c r="L748" s="88"/>
      <c r="M748" s="88"/>
      <c r="N748" s="88"/>
      <c r="O748" s="88"/>
      <c r="P748" s="88"/>
      <c r="Q748" s="88"/>
      <c r="R748" s="88"/>
      <c r="S748" s="88"/>
    </row>
    <row r="749" spans="4:19" ht="18" customHeight="1">
      <c r="D749" s="88"/>
      <c r="E749" s="88"/>
      <c r="F749" s="88"/>
      <c r="G749" s="88"/>
      <c r="H749" s="88"/>
      <c r="I749" s="88"/>
      <c r="J749" s="88"/>
      <c r="K749" s="88"/>
      <c r="L749" s="88"/>
      <c r="M749" s="88"/>
      <c r="N749" s="88"/>
      <c r="O749" s="88"/>
      <c r="P749" s="88"/>
      <c r="Q749" s="88"/>
      <c r="R749" s="88"/>
      <c r="S749" s="88"/>
    </row>
    <row r="750" spans="4:19" ht="18" customHeight="1">
      <c r="D750" s="88"/>
      <c r="E750" s="88"/>
      <c r="F750" s="88"/>
      <c r="G750" s="88"/>
      <c r="H750" s="88"/>
      <c r="I750" s="88"/>
      <c r="J750" s="88"/>
      <c r="K750" s="88"/>
      <c r="L750" s="88"/>
      <c r="M750" s="88"/>
      <c r="N750" s="88"/>
      <c r="O750" s="88"/>
      <c r="P750" s="88"/>
      <c r="Q750" s="88"/>
      <c r="R750" s="88"/>
      <c r="S750" s="88"/>
    </row>
    <row r="751" spans="4:19" ht="18" customHeight="1">
      <c r="D751" s="88"/>
      <c r="E751" s="88"/>
      <c r="F751" s="88"/>
      <c r="G751" s="88"/>
      <c r="H751" s="88"/>
      <c r="I751" s="88"/>
      <c r="J751" s="88"/>
      <c r="K751" s="88"/>
      <c r="L751" s="88"/>
      <c r="M751" s="88"/>
      <c r="N751" s="88"/>
      <c r="O751" s="88"/>
      <c r="P751" s="88"/>
      <c r="Q751" s="88"/>
      <c r="R751" s="88"/>
      <c r="S751" s="88"/>
    </row>
    <row r="752" spans="4:19" ht="18" customHeight="1">
      <c r="D752" s="88"/>
      <c r="E752" s="88"/>
      <c r="F752" s="88"/>
      <c r="G752" s="88"/>
      <c r="H752" s="88"/>
      <c r="I752" s="88"/>
      <c r="J752" s="88"/>
      <c r="K752" s="88"/>
      <c r="L752" s="88"/>
      <c r="M752" s="88"/>
      <c r="N752" s="88"/>
      <c r="O752" s="88"/>
      <c r="P752" s="88"/>
      <c r="Q752" s="88"/>
      <c r="R752" s="88"/>
      <c r="S752" s="88"/>
    </row>
    <row r="753" spans="4:19" ht="18" customHeight="1">
      <c r="D753" s="88"/>
      <c r="E753" s="88"/>
      <c r="F753" s="88"/>
      <c r="G753" s="88"/>
      <c r="H753" s="88"/>
      <c r="I753" s="88"/>
      <c r="J753" s="88"/>
      <c r="K753" s="88"/>
      <c r="L753" s="88"/>
      <c r="M753" s="88"/>
      <c r="N753" s="88"/>
      <c r="O753" s="88"/>
      <c r="P753" s="88"/>
      <c r="Q753" s="88"/>
      <c r="R753" s="88"/>
      <c r="S753" s="88"/>
    </row>
    <row r="754" spans="4:19" ht="18" customHeight="1">
      <c r="D754" s="88"/>
      <c r="E754" s="88"/>
      <c r="F754" s="88"/>
      <c r="G754" s="88"/>
      <c r="H754" s="88"/>
      <c r="I754" s="88"/>
      <c r="J754" s="88"/>
      <c r="K754" s="88"/>
      <c r="L754" s="88"/>
      <c r="M754" s="88"/>
      <c r="N754" s="88"/>
      <c r="O754" s="88"/>
      <c r="P754" s="88"/>
      <c r="Q754" s="88"/>
      <c r="R754" s="88"/>
      <c r="S754" s="88"/>
    </row>
    <row r="755" spans="4:19" ht="18" customHeight="1">
      <c r="D755" s="88"/>
      <c r="E755" s="88"/>
      <c r="F755" s="88"/>
      <c r="G755" s="88"/>
      <c r="H755" s="88"/>
      <c r="I755" s="88"/>
      <c r="J755" s="88"/>
      <c r="K755" s="88"/>
      <c r="L755" s="88"/>
      <c r="M755" s="88"/>
      <c r="N755" s="88"/>
      <c r="O755" s="88"/>
      <c r="P755" s="88"/>
      <c r="Q755" s="88"/>
      <c r="R755" s="88"/>
      <c r="S755" s="88"/>
    </row>
    <row r="756" spans="4:19" ht="18" customHeight="1">
      <c r="D756" s="88"/>
      <c r="E756" s="88"/>
      <c r="F756" s="88"/>
      <c r="G756" s="88"/>
      <c r="H756" s="88"/>
      <c r="I756" s="88"/>
      <c r="J756" s="88"/>
      <c r="K756" s="88"/>
      <c r="L756" s="88"/>
      <c r="M756" s="88"/>
      <c r="N756" s="88"/>
      <c r="O756" s="88"/>
      <c r="P756" s="88"/>
      <c r="Q756" s="88"/>
      <c r="R756" s="88"/>
      <c r="S756" s="88"/>
    </row>
    <row r="757" spans="4:19" ht="18" customHeight="1">
      <c r="D757" s="88"/>
      <c r="E757" s="88"/>
      <c r="F757" s="88"/>
      <c r="G757" s="88"/>
      <c r="H757" s="88"/>
      <c r="I757" s="88"/>
      <c r="J757" s="88"/>
      <c r="K757" s="88"/>
      <c r="L757" s="88"/>
      <c r="M757" s="88"/>
      <c r="N757" s="88"/>
      <c r="O757" s="88"/>
      <c r="P757" s="88"/>
      <c r="Q757" s="88"/>
      <c r="R757" s="88"/>
      <c r="S757" s="88"/>
    </row>
    <row r="758" spans="4:19" ht="18" customHeight="1">
      <c r="D758" s="88"/>
      <c r="E758" s="88"/>
      <c r="F758" s="88"/>
      <c r="G758" s="88"/>
      <c r="H758" s="88"/>
      <c r="I758" s="88"/>
      <c r="J758" s="88"/>
      <c r="K758" s="88"/>
      <c r="L758" s="88"/>
      <c r="M758" s="88"/>
      <c r="N758" s="88"/>
      <c r="O758" s="88"/>
      <c r="P758" s="88"/>
      <c r="Q758" s="88"/>
      <c r="R758" s="88"/>
      <c r="S758" s="88"/>
    </row>
    <row r="759" spans="4:19" ht="18" customHeight="1">
      <c r="D759" s="88"/>
      <c r="E759" s="88"/>
      <c r="F759" s="88"/>
      <c r="G759" s="88"/>
      <c r="H759" s="88"/>
      <c r="I759" s="88"/>
      <c r="J759" s="88"/>
      <c r="K759" s="88"/>
      <c r="L759" s="88"/>
      <c r="M759" s="88"/>
      <c r="N759" s="88"/>
      <c r="O759" s="88"/>
      <c r="P759" s="88"/>
      <c r="Q759" s="88"/>
      <c r="R759" s="88"/>
      <c r="S759" s="88"/>
    </row>
    <row r="760" spans="4:19" ht="18" customHeight="1">
      <c r="D760" s="88"/>
      <c r="E760" s="88"/>
      <c r="F760" s="88"/>
      <c r="G760" s="88"/>
      <c r="H760" s="88"/>
      <c r="I760" s="88"/>
      <c r="J760" s="88"/>
      <c r="K760" s="88"/>
      <c r="L760" s="88"/>
      <c r="M760" s="88"/>
      <c r="N760" s="88"/>
      <c r="O760" s="88"/>
      <c r="P760" s="88"/>
      <c r="Q760" s="88"/>
      <c r="R760" s="88"/>
      <c r="S760" s="88"/>
    </row>
    <row r="761" spans="4:19" ht="18" customHeight="1">
      <c r="D761" s="88"/>
      <c r="E761" s="88"/>
      <c r="F761" s="88"/>
      <c r="G761" s="88"/>
      <c r="H761" s="88"/>
      <c r="I761" s="88"/>
      <c r="J761" s="88"/>
      <c r="K761" s="88"/>
      <c r="L761" s="88"/>
      <c r="M761" s="88"/>
      <c r="N761" s="88"/>
      <c r="O761" s="88"/>
      <c r="P761" s="88"/>
      <c r="Q761" s="88"/>
      <c r="R761" s="88"/>
      <c r="S761" s="88"/>
    </row>
    <row r="762" spans="4:19" ht="18" customHeight="1">
      <c r="D762" s="88"/>
      <c r="E762" s="88"/>
      <c r="F762" s="88"/>
      <c r="G762" s="88"/>
      <c r="H762" s="88"/>
      <c r="I762" s="88"/>
      <c r="J762" s="88"/>
      <c r="K762" s="88"/>
      <c r="L762" s="88"/>
      <c r="M762" s="88"/>
      <c r="N762" s="88"/>
      <c r="O762" s="88"/>
      <c r="P762" s="88"/>
      <c r="Q762" s="88"/>
      <c r="R762" s="88"/>
      <c r="S762" s="88"/>
    </row>
    <row r="763" spans="4:19" ht="18" customHeight="1">
      <c r="D763" s="88"/>
      <c r="E763" s="88"/>
      <c r="F763" s="88"/>
      <c r="G763" s="88"/>
      <c r="H763" s="88"/>
      <c r="I763" s="88"/>
      <c r="J763" s="88"/>
      <c r="K763" s="88"/>
      <c r="L763" s="88"/>
      <c r="M763" s="88"/>
      <c r="N763" s="88"/>
      <c r="O763" s="88"/>
      <c r="P763" s="88"/>
      <c r="Q763" s="88"/>
      <c r="R763" s="88"/>
      <c r="S763" s="88"/>
    </row>
    <row r="764" spans="4:19" ht="18" customHeight="1">
      <c r="D764" s="88"/>
      <c r="E764" s="88"/>
      <c r="F764" s="88"/>
      <c r="G764" s="88"/>
      <c r="H764" s="88"/>
      <c r="I764" s="88"/>
      <c r="J764" s="88"/>
      <c r="K764" s="88"/>
      <c r="L764" s="88"/>
      <c r="M764" s="88"/>
      <c r="N764" s="88"/>
      <c r="O764" s="88"/>
      <c r="P764" s="88"/>
      <c r="Q764" s="88"/>
      <c r="R764" s="88"/>
      <c r="S764" s="88"/>
    </row>
    <row r="765" spans="4:19" ht="18" customHeight="1">
      <c r="D765" s="88"/>
      <c r="E765" s="88"/>
      <c r="F765" s="88"/>
      <c r="G765" s="88"/>
      <c r="H765" s="88"/>
      <c r="I765" s="88"/>
      <c r="J765" s="88"/>
      <c r="K765" s="88"/>
      <c r="L765" s="88"/>
      <c r="M765" s="88"/>
      <c r="N765" s="88"/>
      <c r="O765" s="88"/>
      <c r="P765" s="88"/>
      <c r="Q765" s="88"/>
      <c r="R765" s="88"/>
      <c r="S765" s="88"/>
    </row>
    <row r="766" spans="4:19" ht="18" customHeight="1">
      <c r="D766" s="88"/>
      <c r="E766" s="88"/>
      <c r="F766" s="88"/>
      <c r="G766" s="88"/>
      <c r="H766" s="88"/>
      <c r="I766" s="88"/>
      <c r="J766" s="88"/>
      <c r="K766" s="88"/>
      <c r="L766" s="88"/>
      <c r="M766" s="88"/>
      <c r="N766" s="88"/>
      <c r="O766" s="88"/>
      <c r="P766" s="88"/>
      <c r="Q766" s="88"/>
      <c r="R766" s="88"/>
      <c r="S766" s="88"/>
    </row>
    <row r="767" spans="4:19" ht="18" customHeight="1">
      <c r="D767" s="88"/>
      <c r="E767" s="88"/>
      <c r="F767" s="88"/>
      <c r="G767" s="88"/>
      <c r="H767" s="88"/>
      <c r="I767" s="88"/>
      <c r="J767" s="88"/>
      <c r="K767" s="88"/>
      <c r="L767" s="88"/>
      <c r="M767" s="88"/>
      <c r="N767" s="88"/>
      <c r="O767" s="88"/>
      <c r="P767" s="88"/>
      <c r="Q767" s="88"/>
      <c r="R767" s="88"/>
      <c r="S767" s="88"/>
    </row>
    <row r="768" spans="4:19" ht="18" customHeight="1">
      <c r="D768" s="88"/>
      <c r="E768" s="88"/>
      <c r="F768" s="88"/>
      <c r="G768" s="88"/>
      <c r="H768" s="88"/>
      <c r="I768" s="88"/>
      <c r="J768" s="88"/>
      <c r="K768" s="88"/>
      <c r="L768" s="88"/>
      <c r="M768" s="88"/>
      <c r="N768" s="88"/>
      <c r="O768" s="88"/>
      <c r="P768" s="88"/>
      <c r="Q768" s="88"/>
      <c r="R768" s="88"/>
      <c r="S768" s="88"/>
    </row>
    <row r="769" spans="4:19" ht="18" customHeight="1">
      <c r="D769" s="88"/>
      <c r="E769" s="88"/>
      <c r="F769" s="88"/>
      <c r="G769" s="88"/>
      <c r="H769" s="88"/>
      <c r="I769" s="88"/>
      <c r="J769" s="88"/>
      <c r="K769" s="88"/>
      <c r="L769" s="88"/>
      <c r="M769" s="88"/>
      <c r="N769" s="88"/>
      <c r="O769" s="88"/>
      <c r="P769" s="88"/>
      <c r="Q769" s="88"/>
      <c r="R769" s="88"/>
      <c r="S769" s="88"/>
    </row>
    <row r="770" spans="4:19" ht="18" customHeight="1">
      <c r="D770" s="88"/>
      <c r="E770" s="88"/>
      <c r="F770" s="88"/>
      <c r="G770" s="88"/>
      <c r="H770" s="88"/>
      <c r="I770" s="88"/>
      <c r="J770" s="88"/>
      <c r="K770" s="88"/>
      <c r="L770" s="88"/>
      <c r="M770" s="88"/>
      <c r="N770" s="88"/>
      <c r="O770" s="88"/>
      <c r="P770" s="88"/>
      <c r="Q770" s="88"/>
      <c r="R770" s="88"/>
      <c r="S770" s="88"/>
    </row>
    <row r="771" spans="4:19" ht="18" customHeight="1">
      <c r="D771" s="88"/>
      <c r="E771" s="88"/>
      <c r="F771" s="88"/>
      <c r="G771" s="88"/>
      <c r="H771" s="88"/>
      <c r="I771" s="88"/>
      <c r="J771" s="88"/>
      <c r="K771" s="88"/>
      <c r="L771" s="88"/>
      <c r="M771" s="88"/>
      <c r="N771" s="88"/>
      <c r="O771" s="88"/>
      <c r="P771" s="88"/>
      <c r="Q771" s="88"/>
      <c r="R771" s="88"/>
      <c r="S771" s="88"/>
    </row>
    <row r="772" spans="4:19" ht="18" customHeight="1">
      <c r="D772" s="88"/>
      <c r="E772" s="88"/>
      <c r="F772" s="88"/>
      <c r="G772" s="88"/>
      <c r="H772" s="88"/>
      <c r="I772" s="88"/>
      <c r="J772" s="88"/>
      <c r="K772" s="88"/>
      <c r="L772" s="88"/>
      <c r="M772" s="88"/>
      <c r="N772" s="88"/>
      <c r="O772" s="88"/>
      <c r="P772" s="88"/>
      <c r="Q772" s="88"/>
      <c r="R772" s="88"/>
      <c r="S772" s="88"/>
    </row>
    <row r="773" spans="4:19" ht="18" customHeight="1">
      <c r="D773" s="88"/>
      <c r="E773" s="88"/>
      <c r="F773" s="88"/>
      <c r="G773" s="88"/>
      <c r="H773" s="88"/>
      <c r="I773" s="88"/>
      <c r="J773" s="88"/>
      <c r="K773" s="88"/>
      <c r="L773" s="88"/>
      <c r="M773" s="88"/>
      <c r="N773" s="88"/>
      <c r="O773" s="88"/>
      <c r="P773" s="88"/>
      <c r="Q773" s="88"/>
      <c r="R773" s="88"/>
      <c r="S773" s="88"/>
    </row>
    <row r="774" spans="4:19" ht="18" customHeight="1">
      <c r="D774" s="88"/>
      <c r="E774" s="88"/>
      <c r="F774" s="88"/>
      <c r="G774" s="88"/>
      <c r="H774" s="88"/>
      <c r="I774" s="88"/>
      <c r="J774" s="88"/>
      <c r="K774" s="88"/>
      <c r="L774" s="88"/>
      <c r="M774" s="88"/>
      <c r="N774" s="88"/>
      <c r="O774" s="88"/>
      <c r="P774" s="88"/>
      <c r="Q774" s="88"/>
      <c r="R774" s="88"/>
      <c r="S774" s="88"/>
    </row>
    <row r="775" spans="4:19" ht="18" customHeight="1">
      <c r="D775" s="88"/>
      <c r="E775" s="88"/>
      <c r="F775" s="88"/>
      <c r="G775" s="88"/>
      <c r="H775" s="88"/>
      <c r="I775" s="88"/>
      <c r="J775" s="88"/>
      <c r="K775" s="88"/>
      <c r="L775" s="88"/>
      <c r="M775" s="88"/>
      <c r="N775" s="88"/>
      <c r="O775" s="88"/>
      <c r="P775" s="88"/>
      <c r="Q775" s="88"/>
      <c r="R775" s="88"/>
      <c r="S775" s="88"/>
    </row>
    <row r="776" spans="4:19" ht="18" customHeight="1">
      <c r="D776" s="88"/>
      <c r="E776" s="88"/>
      <c r="F776" s="88"/>
      <c r="G776" s="88"/>
      <c r="H776" s="88"/>
      <c r="I776" s="88"/>
      <c r="J776" s="88"/>
      <c r="K776" s="88"/>
      <c r="L776" s="88"/>
      <c r="M776" s="88"/>
      <c r="N776" s="88"/>
      <c r="O776" s="88"/>
      <c r="P776" s="88"/>
      <c r="Q776" s="88"/>
      <c r="R776" s="88"/>
      <c r="S776" s="88"/>
    </row>
    <row r="777" spans="4:19" ht="18" customHeight="1">
      <c r="D777" s="88"/>
      <c r="E777" s="88"/>
      <c r="F777" s="88"/>
      <c r="G777" s="88"/>
      <c r="H777" s="88"/>
      <c r="I777" s="88"/>
      <c r="J777" s="88"/>
      <c r="K777" s="88"/>
      <c r="L777" s="88"/>
      <c r="M777" s="88"/>
      <c r="N777" s="88"/>
      <c r="O777" s="88"/>
      <c r="P777" s="88"/>
      <c r="Q777" s="88"/>
      <c r="R777" s="88"/>
      <c r="S777" s="88"/>
    </row>
    <row r="778" spans="4:19" ht="18" customHeight="1">
      <c r="D778" s="88"/>
      <c r="E778" s="88"/>
      <c r="F778" s="88"/>
      <c r="G778" s="88"/>
      <c r="H778" s="88"/>
      <c r="I778" s="88"/>
      <c r="J778" s="88"/>
      <c r="K778" s="88"/>
      <c r="L778" s="88"/>
      <c r="M778" s="88"/>
      <c r="N778" s="88"/>
      <c r="O778" s="88"/>
      <c r="P778" s="88"/>
      <c r="Q778" s="88"/>
      <c r="R778" s="88"/>
      <c r="S778" s="88"/>
    </row>
    <row r="779" spans="4:19" ht="18" customHeight="1">
      <c r="D779" s="88"/>
      <c r="E779" s="88"/>
      <c r="F779" s="88"/>
      <c r="G779" s="88"/>
      <c r="H779" s="88"/>
      <c r="I779" s="88"/>
      <c r="J779" s="88"/>
      <c r="K779" s="88"/>
      <c r="L779" s="88"/>
      <c r="M779" s="88"/>
      <c r="N779" s="88"/>
      <c r="O779" s="88"/>
      <c r="P779" s="88"/>
      <c r="Q779" s="88"/>
      <c r="R779" s="88"/>
      <c r="S779" s="88"/>
    </row>
    <row r="780" spans="4:19" ht="18" customHeight="1">
      <c r="D780" s="88"/>
      <c r="E780" s="88"/>
      <c r="F780" s="88"/>
      <c r="G780" s="88"/>
      <c r="H780" s="88"/>
      <c r="I780" s="88"/>
      <c r="J780" s="88"/>
      <c r="K780" s="88"/>
      <c r="L780" s="88"/>
      <c r="M780" s="88"/>
      <c r="N780" s="88"/>
      <c r="O780" s="88"/>
      <c r="P780" s="88"/>
      <c r="Q780" s="88"/>
      <c r="R780" s="88"/>
      <c r="S780" s="88"/>
    </row>
    <row r="781" spans="4:19" ht="18" customHeight="1">
      <c r="D781" s="88"/>
      <c r="E781" s="88"/>
      <c r="F781" s="88"/>
      <c r="G781" s="88"/>
      <c r="H781" s="88"/>
      <c r="I781" s="88"/>
      <c r="J781" s="88"/>
      <c r="K781" s="88"/>
      <c r="L781" s="88"/>
      <c r="M781" s="88"/>
      <c r="N781" s="88"/>
      <c r="O781" s="88"/>
      <c r="P781" s="88"/>
      <c r="Q781" s="88"/>
      <c r="R781" s="88"/>
      <c r="S781" s="88"/>
    </row>
    <row r="782" spans="4:19" ht="18" customHeight="1">
      <c r="D782" s="88"/>
      <c r="E782" s="88"/>
      <c r="F782" s="88"/>
      <c r="G782" s="88"/>
      <c r="H782" s="88"/>
      <c r="I782" s="88"/>
      <c r="J782" s="88"/>
      <c r="K782" s="88"/>
      <c r="L782" s="88"/>
      <c r="M782" s="88"/>
      <c r="N782" s="88"/>
      <c r="O782" s="88"/>
      <c r="P782" s="88"/>
      <c r="Q782" s="88"/>
      <c r="R782" s="88"/>
      <c r="S782" s="88"/>
    </row>
    <row r="783" spans="4:19" ht="18" customHeight="1">
      <c r="D783" s="88"/>
      <c r="E783" s="88"/>
      <c r="F783" s="88"/>
      <c r="G783" s="88"/>
      <c r="H783" s="88"/>
      <c r="I783" s="88"/>
      <c r="J783" s="88"/>
      <c r="K783" s="88"/>
      <c r="L783" s="88"/>
      <c r="M783" s="88"/>
      <c r="N783" s="88"/>
      <c r="O783" s="88"/>
      <c r="P783" s="88"/>
      <c r="Q783" s="88"/>
      <c r="R783" s="88"/>
      <c r="S783" s="88"/>
    </row>
    <row r="784" spans="4:19" ht="18" customHeight="1">
      <c r="D784" s="88"/>
      <c r="E784" s="88"/>
      <c r="F784" s="88"/>
      <c r="G784" s="88"/>
      <c r="H784" s="88"/>
      <c r="I784" s="88"/>
      <c r="J784" s="88"/>
      <c r="K784" s="88"/>
      <c r="L784" s="88"/>
      <c r="M784" s="88"/>
      <c r="N784" s="88"/>
      <c r="O784" s="88"/>
      <c r="P784" s="88"/>
      <c r="Q784" s="88"/>
      <c r="R784" s="88"/>
      <c r="S784" s="88"/>
    </row>
    <row r="785" spans="4:19" ht="18" customHeight="1">
      <c r="D785" s="88"/>
      <c r="E785" s="88"/>
      <c r="F785" s="88"/>
      <c r="G785" s="88"/>
      <c r="H785" s="88"/>
      <c r="I785" s="88"/>
      <c r="J785" s="88"/>
      <c r="K785" s="88"/>
      <c r="L785" s="88"/>
      <c r="M785" s="88"/>
      <c r="N785" s="88"/>
      <c r="O785" s="88"/>
      <c r="P785" s="88"/>
      <c r="Q785" s="88"/>
      <c r="R785" s="88"/>
      <c r="S785" s="88"/>
    </row>
    <row r="786" spans="4:19" ht="18" customHeight="1">
      <c r="D786" s="88"/>
      <c r="E786" s="88"/>
      <c r="F786" s="88"/>
      <c r="G786" s="88"/>
      <c r="H786" s="88"/>
      <c r="I786" s="88"/>
      <c r="J786" s="88"/>
      <c r="K786" s="88"/>
      <c r="L786" s="88"/>
      <c r="M786" s="88"/>
      <c r="N786" s="88"/>
      <c r="O786" s="88"/>
      <c r="P786" s="88"/>
      <c r="Q786" s="88"/>
      <c r="R786" s="88"/>
      <c r="S786" s="88"/>
    </row>
    <row r="787" spans="4:19" ht="18" customHeight="1">
      <c r="D787" s="88"/>
      <c r="E787" s="88"/>
      <c r="F787" s="88"/>
      <c r="G787" s="88"/>
      <c r="H787" s="88"/>
      <c r="I787" s="88"/>
      <c r="J787" s="88"/>
      <c r="K787" s="88"/>
      <c r="L787" s="88"/>
      <c r="M787" s="88"/>
      <c r="N787" s="88"/>
      <c r="O787" s="88"/>
      <c r="P787" s="88"/>
      <c r="Q787" s="88"/>
      <c r="R787" s="88"/>
      <c r="S787" s="88"/>
    </row>
    <row r="788" spans="4:19" ht="18" customHeight="1">
      <c r="D788" s="88"/>
      <c r="E788" s="88"/>
      <c r="F788" s="88"/>
      <c r="G788" s="88"/>
      <c r="H788" s="88"/>
      <c r="I788" s="88"/>
      <c r="J788" s="88"/>
      <c r="K788" s="88"/>
      <c r="L788" s="88"/>
      <c r="M788" s="88"/>
      <c r="N788" s="88"/>
      <c r="O788" s="88"/>
      <c r="P788" s="88"/>
      <c r="Q788" s="88"/>
      <c r="R788" s="88"/>
      <c r="S788" s="88"/>
    </row>
    <row r="789" spans="4:19" ht="18" customHeight="1">
      <c r="D789" s="88"/>
      <c r="E789" s="88"/>
      <c r="F789" s="88"/>
      <c r="G789" s="88"/>
      <c r="H789" s="88"/>
      <c r="I789" s="88"/>
      <c r="J789" s="88"/>
      <c r="K789" s="88"/>
      <c r="L789" s="88"/>
      <c r="M789" s="88"/>
      <c r="N789" s="88"/>
      <c r="O789" s="88"/>
      <c r="P789" s="88"/>
      <c r="Q789" s="88"/>
      <c r="R789" s="88"/>
      <c r="S789" s="88"/>
    </row>
    <row r="790" spans="4:19" ht="18" customHeight="1">
      <c r="D790" s="88"/>
      <c r="E790" s="88"/>
      <c r="F790" s="88"/>
      <c r="G790" s="88"/>
      <c r="H790" s="88"/>
      <c r="I790" s="88"/>
      <c r="J790" s="88"/>
      <c r="K790" s="88"/>
      <c r="L790" s="88"/>
      <c r="M790" s="88"/>
      <c r="N790" s="88"/>
      <c r="O790" s="88"/>
      <c r="P790" s="88"/>
      <c r="Q790" s="88"/>
      <c r="R790" s="88"/>
      <c r="S790" s="88"/>
    </row>
    <row r="791" spans="4:19" ht="18" customHeight="1">
      <c r="D791" s="88"/>
      <c r="E791" s="88"/>
      <c r="F791" s="88"/>
      <c r="G791" s="88"/>
      <c r="H791" s="88"/>
      <c r="I791" s="88"/>
      <c r="J791" s="88"/>
      <c r="K791" s="88"/>
      <c r="L791" s="88"/>
      <c r="M791" s="88"/>
      <c r="N791" s="88"/>
      <c r="O791" s="88"/>
      <c r="P791" s="88"/>
      <c r="Q791" s="88"/>
      <c r="R791" s="88"/>
      <c r="S791" s="88"/>
    </row>
    <row r="792" spans="4:19" ht="18" customHeight="1">
      <c r="D792" s="88"/>
      <c r="E792" s="88"/>
      <c r="F792" s="88"/>
      <c r="G792" s="88"/>
      <c r="H792" s="88"/>
      <c r="I792" s="88"/>
      <c r="J792" s="88"/>
      <c r="K792" s="88"/>
      <c r="L792" s="88"/>
      <c r="M792" s="88"/>
      <c r="N792" s="88"/>
      <c r="O792" s="88"/>
      <c r="P792" s="88"/>
      <c r="Q792" s="88"/>
      <c r="R792" s="88"/>
      <c r="S792" s="88"/>
    </row>
    <row r="793" spans="4:19" ht="18" customHeight="1">
      <c r="D793" s="88"/>
      <c r="E793" s="88"/>
      <c r="F793" s="88"/>
      <c r="G793" s="88"/>
      <c r="H793" s="88"/>
      <c r="I793" s="88"/>
      <c r="J793" s="88"/>
      <c r="K793" s="88"/>
      <c r="L793" s="88"/>
      <c r="M793" s="88"/>
      <c r="N793" s="88"/>
      <c r="O793" s="88"/>
      <c r="P793" s="88"/>
      <c r="Q793" s="88"/>
      <c r="R793" s="88"/>
      <c r="S793" s="88"/>
    </row>
    <row r="794" spans="4:19" ht="18" customHeight="1">
      <c r="D794" s="88"/>
      <c r="E794" s="88"/>
      <c r="F794" s="88"/>
      <c r="G794" s="88"/>
      <c r="H794" s="88"/>
      <c r="I794" s="88"/>
      <c r="J794" s="88"/>
      <c r="K794" s="88"/>
      <c r="L794" s="88"/>
      <c r="M794" s="88"/>
      <c r="N794" s="88"/>
      <c r="O794" s="88"/>
      <c r="P794" s="88"/>
      <c r="Q794" s="88"/>
      <c r="R794" s="88"/>
      <c r="S794" s="88"/>
    </row>
    <row r="795" spans="4:19" ht="18" customHeight="1">
      <c r="D795" s="88"/>
      <c r="E795" s="88"/>
      <c r="F795" s="88"/>
      <c r="G795" s="88"/>
      <c r="H795" s="88"/>
      <c r="I795" s="88"/>
      <c r="J795" s="88"/>
      <c r="K795" s="88"/>
      <c r="L795" s="88"/>
      <c r="M795" s="88"/>
      <c r="N795" s="88"/>
      <c r="O795" s="88"/>
      <c r="P795" s="88"/>
      <c r="Q795" s="88"/>
      <c r="R795" s="88"/>
      <c r="S795" s="88"/>
    </row>
    <row r="796" spans="4:19" ht="18" customHeight="1">
      <c r="D796" s="88"/>
      <c r="E796" s="88"/>
      <c r="F796" s="88"/>
      <c r="G796" s="88"/>
      <c r="H796" s="88"/>
      <c r="I796" s="88"/>
      <c r="J796" s="88"/>
      <c r="K796" s="88"/>
      <c r="L796" s="88"/>
      <c r="M796" s="88"/>
      <c r="N796" s="88"/>
      <c r="O796" s="88"/>
      <c r="P796" s="88"/>
      <c r="Q796" s="88"/>
      <c r="R796" s="88"/>
      <c r="S796" s="88"/>
    </row>
    <row r="797" spans="4:19" ht="18" customHeight="1">
      <c r="D797" s="88"/>
      <c r="E797" s="88"/>
      <c r="F797" s="88"/>
      <c r="G797" s="88"/>
      <c r="H797" s="88"/>
      <c r="I797" s="88"/>
      <c r="J797" s="88"/>
      <c r="K797" s="88"/>
      <c r="L797" s="88"/>
      <c r="M797" s="88"/>
      <c r="N797" s="88"/>
      <c r="O797" s="88"/>
      <c r="P797" s="88"/>
      <c r="Q797" s="88"/>
      <c r="R797" s="88"/>
      <c r="S797" s="88"/>
    </row>
    <row r="798" spans="4:19" ht="18" customHeight="1">
      <c r="D798" s="88"/>
      <c r="E798" s="88"/>
      <c r="F798" s="88"/>
      <c r="G798" s="88"/>
      <c r="H798" s="88"/>
      <c r="I798" s="88"/>
      <c r="J798" s="88"/>
      <c r="K798" s="88"/>
      <c r="L798" s="88"/>
      <c r="M798" s="88"/>
      <c r="N798" s="88"/>
      <c r="O798" s="88"/>
      <c r="P798" s="88"/>
      <c r="Q798" s="88"/>
      <c r="R798" s="88"/>
      <c r="S798" s="88"/>
    </row>
    <row r="799" spans="4:19" ht="18" customHeight="1">
      <c r="D799" s="88"/>
      <c r="E799" s="88"/>
      <c r="F799" s="88"/>
      <c r="G799" s="88"/>
      <c r="H799" s="88"/>
      <c r="I799" s="88"/>
      <c r="J799" s="88"/>
      <c r="K799" s="88"/>
      <c r="L799" s="88"/>
      <c r="M799" s="88"/>
      <c r="N799" s="88"/>
      <c r="O799" s="88"/>
      <c r="P799" s="88"/>
      <c r="Q799" s="88"/>
      <c r="R799" s="88"/>
      <c r="S799" s="88"/>
    </row>
    <row r="800" spans="4:19" ht="18" customHeight="1">
      <c r="D800" s="88"/>
      <c r="E800" s="88"/>
      <c r="F800" s="88"/>
      <c r="G800" s="88"/>
      <c r="H800" s="88"/>
      <c r="I800" s="88"/>
      <c r="J800" s="88"/>
      <c r="K800" s="88"/>
      <c r="L800" s="88"/>
      <c r="M800" s="88"/>
      <c r="N800" s="88"/>
      <c r="O800" s="88"/>
      <c r="P800" s="88"/>
      <c r="Q800" s="88"/>
      <c r="R800" s="88"/>
      <c r="S800" s="88"/>
    </row>
    <row r="801" spans="4:19" ht="18" customHeight="1">
      <c r="D801" s="88"/>
      <c r="E801" s="88"/>
      <c r="F801" s="88"/>
      <c r="G801" s="88"/>
      <c r="H801" s="88"/>
      <c r="I801" s="88"/>
      <c r="J801" s="88"/>
      <c r="K801" s="88"/>
      <c r="L801" s="88"/>
      <c r="M801" s="88"/>
      <c r="N801" s="88"/>
      <c r="O801" s="88"/>
      <c r="P801" s="88"/>
      <c r="Q801" s="88"/>
      <c r="R801" s="88"/>
      <c r="S801" s="88"/>
    </row>
    <row r="802" spans="4:19" ht="18" customHeight="1"/>
    <row r="803" spans="4:19" ht="18" customHeight="1"/>
    <row r="804" spans="4:19" ht="18" customHeight="1"/>
    <row r="805" spans="4:19" ht="18" customHeight="1"/>
    <row r="806" spans="4:19" ht="18" customHeight="1"/>
    <row r="807" spans="4:19" ht="18" customHeight="1"/>
    <row r="808" spans="4:19" ht="18" customHeight="1"/>
    <row r="809" spans="4:19" ht="18" customHeight="1"/>
    <row r="810" spans="4:19" ht="18" customHeight="1"/>
    <row r="811" spans="4:19" ht="18" customHeight="1"/>
    <row r="812" spans="4:19" ht="18" customHeight="1"/>
    <row r="813" spans="4:19" ht="18" customHeight="1"/>
    <row r="814" spans="4:19" ht="18" customHeight="1"/>
    <row r="815" spans="4:19" ht="18" customHeight="1"/>
    <row r="816" spans="4:19"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row r="998" ht="18" customHeight="1"/>
    <row r="999" ht="18" customHeight="1"/>
    <row r="1000" ht="18" customHeight="1"/>
    <row r="1001" ht="18" customHeight="1"/>
    <row r="1002" ht="18" customHeight="1"/>
    <row r="1003" ht="18" customHeight="1"/>
    <row r="1004" ht="18" customHeight="1"/>
    <row r="1005" ht="18" customHeight="1"/>
    <row r="1006" ht="18" customHeight="1"/>
    <row r="1007" ht="18" customHeight="1"/>
    <row r="1008" ht="18" customHeight="1"/>
    <row r="1009" ht="18" customHeight="1"/>
    <row r="1010" ht="18" customHeight="1"/>
    <row r="1011" ht="18" customHeight="1"/>
    <row r="1012" ht="18" customHeight="1"/>
    <row r="1013" ht="18" customHeight="1"/>
    <row r="1014" ht="18" customHeight="1"/>
    <row r="1015" ht="18" customHeight="1"/>
    <row r="1016" ht="18" customHeight="1"/>
    <row r="1017" ht="18" customHeight="1"/>
    <row r="1018" ht="18" customHeight="1"/>
    <row r="1019" ht="18" customHeight="1"/>
    <row r="1020" ht="18" customHeight="1"/>
    <row r="1021" ht="18" customHeight="1"/>
    <row r="1022" ht="18" customHeight="1"/>
    <row r="1023" ht="18" customHeight="1"/>
    <row r="1024" ht="18" customHeight="1"/>
    <row r="1025" ht="18" customHeight="1"/>
    <row r="1026" ht="18" customHeight="1"/>
    <row r="1027" ht="18" customHeight="1"/>
    <row r="1028" ht="18" customHeight="1"/>
    <row r="1029" ht="18" customHeight="1"/>
    <row r="1030" ht="18" customHeight="1"/>
    <row r="1031" ht="18" customHeight="1"/>
    <row r="1032" ht="18" customHeight="1"/>
    <row r="1033" ht="18" customHeight="1"/>
    <row r="1034" ht="18" customHeight="1"/>
    <row r="1035" ht="18" customHeight="1"/>
    <row r="1036" ht="18" customHeight="1"/>
    <row r="1037" ht="18" customHeight="1"/>
    <row r="1038" ht="18" customHeight="1"/>
    <row r="1039" ht="18" customHeight="1"/>
    <row r="1040" ht="18" customHeight="1"/>
    <row r="1041" ht="18" customHeight="1"/>
    <row r="1042" ht="18" customHeight="1"/>
    <row r="1043" ht="18" customHeight="1"/>
    <row r="1044" ht="18" customHeight="1"/>
    <row r="1045" ht="18" customHeight="1"/>
    <row r="1046" ht="18" customHeight="1"/>
    <row r="1047" ht="18" customHeight="1"/>
    <row r="1048" ht="18" customHeight="1"/>
    <row r="1049" ht="18" customHeight="1"/>
    <row r="1050" ht="18" customHeight="1"/>
    <row r="1051" ht="18" customHeight="1"/>
    <row r="1052" ht="18" customHeight="1"/>
    <row r="1053" ht="18" customHeight="1"/>
    <row r="1054" ht="18" customHeight="1"/>
    <row r="1055" ht="18" customHeight="1"/>
    <row r="1056" ht="18" customHeight="1"/>
    <row r="1057" ht="18" customHeight="1"/>
    <row r="1058" ht="18" customHeight="1"/>
    <row r="1059" ht="18" customHeight="1"/>
    <row r="1060" ht="18" customHeight="1"/>
    <row r="1061" ht="18" customHeight="1"/>
    <row r="1062" ht="18" customHeight="1"/>
    <row r="1063" ht="18" customHeight="1"/>
    <row r="1064" ht="18" customHeight="1"/>
    <row r="1065" ht="18" customHeight="1"/>
    <row r="1066" ht="18" customHeight="1"/>
    <row r="1067" ht="18" customHeight="1"/>
    <row r="1068" ht="18" customHeight="1"/>
    <row r="1069" ht="18" customHeight="1"/>
    <row r="1070" ht="18" customHeight="1"/>
    <row r="1071" ht="18" customHeight="1"/>
    <row r="1072" ht="18" customHeight="1"/>
    <row r="1073" ht="18" customHeight="1"/>
    <row r="1074" ht="18" customHeight="1"/>
    <row r="1075" ht="18" customHeight="1"/>
    <row r="1076" ht="18" customHeight="1"/>
    <row r="1077" ht="18" customHeight="1"/>
    <row r="1078" ht="18" customHeight="1"/>
    <row r="1079" ht="18" customHeight="1"/>
    <row r="1080" ht="18" customHeight="1"/>
    <row r="1081" ht="18" customHeight="1"/>
    <row r="1082" ht="18" customHeight="1"/>
    <row r="1083" ht="18" customHeight="1"/>
    <row r="1084" ht="18" customHeight="1"/>
    <row r="1085" ht="18" customHeight="1"/>
    <row r="1086" ht="18" customHeight="1"/>
    <row r="1087" ht="18" customHeight="1"/>
    <row r="1088" ht="18" customHeight="1"/>
    <row r="1089" ht="18" customHeight="1"/>
    <row r="1090" ht="18" customHeight="1"/>
    <row r="1091" ht="18" customHeight="1"/>
    <row r="1092" ht="18" customHeight="1"/>
    <row r="1093" ht="18" customHeight="1"/>
    <row r="1094" ht="18" customHeight="1"/>
    <row r="1095" ht="18" customHeight="1"/>
    <row r="1096" ht="18" customHeight="1"/>
    <row r="1097" ht="18" customHeight="1"/>
    <row r="1098" ht="18" customHeight="1"/>
    <row r="1099" ht="18" customHeight="1"/>
    <row r="1100" ht="18" customHeight="1"/>
    <row r="1101" ht="18" customHeight="1"/>
    <row r="1102" ht="18" customHeight="1"/>
    <row r="1103" ht="18" customHeight="1"/>
    <row r="1104" ht="18" customHeight="1"/>
    <row r="1105" ht="18" customHeight="1"/>
    <row r="1106" ht="18" customHeight="1"/>
    <row r="1107" ht="18" customHeight="1"/>
    <row r="1108" ht="18" customHeight="1"/>
    <row r="1109" ht="18" customHeight="1"/>
    <row r="1110" ht="18" customHeight="1"/>
    <row r="1111" ht="18" customHeight="1"/>
    <row r="1112" ht="18" customHeight="1"/>
    <row r="1113" ht="18" customHeight="1"/>
    <row r="1114" ht="18" customHeight="1"/>
    <row r="1115" ht="18" customHeight="1"/>
    <row r="1116" ht="18" customHeight="1"/>
    <row r="1117" ht="18" customHeight="1"/>
    <row r="1118" ht="18" customHeight="1"/>
    <row r="1119" ht="18" customHeight="1"/>
    <row r="1120" ht="18" customHeight="1"/>
    <row r="1121" ht="18" customHeight="1"/>
    <row r="1122" ht="18" customHeight="1"/>
    <row r="1123" ht="18" customHeight="1"/>
    <row r="1124" ht="18" customHeight="1"/>
    <row r="1125" ht="18" customHeight="1"/>
    <row r="1126" ht="18" customHeight="1"/>
    <row r="1127" ht="18" customHeight="1"/>
    <row r="1128" ht="18" customHeight="1"/>
    <row r="1129" ht="18" customHeight="1"/>
    <row r="1130" ht="18" customHeight="1"/>
    <row r="1131" ht="18" customHeight="1"/>
    <row r="1132" ht="18" customHeight="1"/>
    <row r="1133" ht="18" customHeight="1"/>
    <row r="1134" ht="18" customHeight="1"/>
    <row r="1135" ht="18" customHeight="1"/>
    <row r="1136" ht="18" customHeight="1"/>
    <row r="1137" ht="18" customHeight="1"/>
    <row r="1138" ht="18" customHeight="1"/>
    <row r="1139" ht="18" customHeight="1"/>
    <row r="1140" ht="18" customHeight="1"/>
    <row r="1141" ht="18" customHeight="1"/>
    <row r="1142" ht="18" customHeight="1"/>
    <row r="1143" ht="18" customHeight="1"/>
    <row r="1144" ht="18" customHeight="1"/>
    <row r="1145" ht="18" customHeight="1"/>
    <row r="1146" ht="18" customHeight="1"/>
    <row r="1147" ht="18" customHeight="1"/>
    <row r="1148" ht="18" customHeight="1"/>
    <row r="1149" ht="18" customHeight="1"/>
    <row r="1150" ht="18" customHeight="1"/>
    <row r="1151" ht="18" customHeight="1"/>
    <row r="1152" ht="18" customHeight="1"/>
    <row r="1153" ht="18" customHeight="1"/>
    <row r="1154" ht="18" customHeight="1"/>
    <row r="1155" ht="18" customHeight="1"/>
    <row r="1156" ht="18" customHeight="1"/>
    <row r="1157" ht="18" customHeight="1"/>
    <row r="1158" ht="18" customHeight="1"/>
    <row r="1159" ht="18" customHeight="1"/>
    <row r="1160" ht="18" customHeight="1"/>
    <row r="1161" ht="18" customHeight="1"/>
    <row r="1162" ht="18" customHeight="1"/>
    <row r="1163" ht="18" customHeight="1"/>
    <row r="1164" ht="18" customHeight="1"/>
    <row r="1165" ht="18" customHeight="1"/>
    <row r="1166" ht="18" customHeight="1"/>
    <row r="1167" ht="18" customHeight="1"/>
    <row r="1168" ht="18" customHeight="1"/>
    <row r="1169" ht="18" customHeight="1"/>
    <row r="1170" ht="18" customHeight="1"/>
    <row r="1171" ht="18" customHeight="1"/>
    <row r="1172" ht="18" customHeight="1"/>
    <row r="1173" ht="18" customHeight="1"/>
    <row r="1174" ht="18" customHeight="1"/>
    <row r="1175" ht="18" customHeight="1"/>
    <row r="1176" ht="18" customHeight="1"/>
    <row r="1177" ht="18" customHeight="1"/>
    <row r="1178" ht="18" customHeight="1"/>
    <row r="1179" ht="18" customHeight="1"/>
    <row r="1180" ht="18" customHeight="1"/>
    <row r="1181" ht="18" customHeight="1"/>
    <row r="1182" ht="18" customHeight="1"/>
    <row r="1183" ht="18" customHeight="1"/>
    <row r="1184" ht="18" customHeight="1"/>
    <row r="1185" ht="18" customHeight="1"/>
    <row r="1186" ht="18" customHeight="1"/>
    <row r="1187" ht="18" customHeight="1"/>
    <row r="1188" ht="18" customHeight="1"/>
    <row r="1189" ht="18" customHeight="1"/>
    <row r="1190" ht="18" customHeight="1"/>
    <row r="1191" ht="18" customHeight="1"/>
    <row r="1192" ht="18" customHeight="1"/>
    <row r="1193" ht="18" customHeight="1"/>
    <row r="1194" ht="18" customHeight="1"/>
    <row r="1195" ht="18" customHeight="1"/>
    <row r="1196" ht="18" customHeight="1"/>
    <row r="1197" ht="18" customHeight="1"/>
    <row r="1198" ht="18" customHeight="1"/>
    <row r="1199" ht="18" customHeight="1"/>
    <row r="1200" ht="18" customHeight="1"/>
    <row r="1201" ht="18" customHeight="1"/>
    <row r="1202" ht="18" customHeight="1"/>
    <row r="1203" ht="18" customHeight="1"/>
    <row r="1204" ht="18" customHeight="1"/>
    <row r="1205" ht="18" customHeight="1"/>
    <row r="1206" ht="18" customHeight="1"/>
    <row r="1207" ht="18" customHeight="1"/>
    <row r="1208" ht="18" customHeight="1"/>
    <row r="1209" ht="18" customHeight="1"/>
    <row r="1210" ht="18" customHeight="1"/>
    <row r="1211" ht="18" customHeight="1"/>
    <row r="1212" ht="18" customHeight="1"/>
    <row r="1213" ht="18" customHeight="1"/>
    <row r="1214" ht="18" customHeight="1"/>
    <row r="1215" ht="18" customHeight="1"/>
    <row r="1216" ht="18" customHeight="1"/>
    <row r="1217" ht="18" customHeight="1"/>
    <row r="1218" ht="18" customHeight="1"/>
    <row r="1219" ht="18" customHeight="1"/>
    <row r="1220" ht="18" customHeight="1"/>
    <row r="1221" ht="18" customHeight="1"/>
    <row r="1222" ht="18" customHeight="1"/>
    <row r="1223" ht="18" customHeight="1"/>
    <row r="1224" ht="18" customHeight="1"/>
    <row r="1225" ht="18" customHeight="1"/>
    <row r="1226" ht="18" customHeight="1"/>
    <row r="1227" ht="18" customHeight="1"/>
    <row r="1228" ht="18" customHeight="1"/>
    <row r="1229" ht="18" customHeight="1"/>
    <row r="1230" ht="18" customHeight="1"/>
    <row r="1231" ht="18" customHeight="1"/>
    <row r="1232" ht="18" customHeight="1"/>
  </sheetData>
  <mergeCells count="169">
    <mergeCell ref="E248:R248"/>
    <mergeCell ref="E249:R249"/>
    <mergeCell ref="E251:R251"/>
    <mergeCell ref="E252:R252"/>
    <mergeCell ref="E208:R208"/>
    <mergeCell ref="E209:R209"/>
    <mergeCell ref="C32:C117"/>
    <mergeCell ref="C120:C160"/>
    <mergeCell ref="C163:C209"/>
    <mergeCell ref="C212:C252"/>
    <mergeCell ref="E154:R154"/>
    <mergeCell ref="E156:R156"/>
    <mergeCell ref="E157:R157"/>
    <mergeCell ref="E159:R159"/>
    <mergeCell ref="E160:R160"/>
    <mergeCell ref="E116:R116"/>
    <mergeCell ref="E117:R117"/>
    <mergeCell ref="E245:R245"/>
    <mergeCell ref="E246:R246"/>
    <mergeCell ref="E107:R107"/>
    <mergeCell ref="E108:R108"/>
    <mergeCell ref="E110:R110"/>
    <mergeCell ref="E111:R111"/>
    <mergeCell ref="E113:R113"/>
    <mergeCell ref="E219:R219"/>
    <mergeCell ref="E221:R221"/>
    <mergeCell ref="E222:R222"/>
    <mergeCell ref="E224:R224"/>
    <mergeCell ref="E225:R225"/>
    <mergeCell ref="E212:R212"/>
    <mergeCell ref="E213:R213"/>
    <mergeCell ref="E215:R215"/>
    <mergeCell ref="E216:R216"/>
    <mergeCell ref="E218:R218"/>
    <mergeCell ref="E242:R242"/>
    <mergeCell ref="E243:R243"/>
    <mergeCell ref="E234:R234"/>
    <mergeCell ref="E236:R236"/>
    <mergeCell ref="E237:R237"/>
    <mergeCell ref="E239:R239"/>
    <mergeCell ref="E240:R240"/>
    <mergeCell ref="E227:R227"/>
    <mergeCell ref="E228:R228"/>
    <mergeCell ref="E230:R230"/>
    <mergeCell ref="E231:R231"/>
    <mergeCell ref="E233:R233"/>
    <mergeCell ref="E202:R202"/>
    <mergeCell ref="E203:R203"/>
    <mergeCell ref="E205:R205"/>
    <mergeCell ref="E206:R206"/>
    <mergeCell ref="E194:R194"/>
    <mergeCell ref="E196:R196"/>
    <mergeCell ref="E197:R197"/>
    <mergeCell ref="E199:R199"/>
    <mergeCell ref="E200:R200"/>
    <mergeCell ref="E187:R187"/>
    <mergeCell ref="E188:R188"/>
    <mergeCell ref="E190:R190"/>
    <mergeCell ref="E191:R191"/>
    <mergeCell ref="E193:R193"/>
    <mergeCell ref="E179:R179"/>
    <mergeCell ref="E181:R181"/>
    <mergeCell ref="E182:R182"/>
    <mergeCell ref="E184:R184"/>
    <mergeCell ref="E185:R185"/>
    <mergeCell ref="E172:R172"/>
    <mergeCell ref="E173:R173"/>
    <mergeCell ref="E175:R175"/>
    <mergeCell ref="E176:R176"/>
    <mergeCell ref="E178:R178"/>
    <mergeCell ref="E164:R164"/>
    <mergeCell ref="E166:R166"/>
    <mergeCell ref="E167:R167"/>
    <mergeCell ref="E169:R169"/>
    <mergeCell ref="E170:R170"/>
    <mergeCell ref="E151:R151"/>
    <mergeCell ref="E163:R163"/>
    <mergeCell ref="E144:R144"/>
    <mergeCell ref="E145:R145"/>
    <mergeCell ref="E147:R147"/>
    <mergeCell ref="E148:R148"/>
    <mergeCell ref="E150:R150"/>
    <mergeCell ref="E136:R136"/>
    <mergeCell ref="E138:R138"/>
    <mergeCell ref="E139:R139"/>
    <mergeCell ref="E141:R141"/>
    <mergeCell ref="E142:R142"/>
    <mergeCell ref="E153:R153"/>
    <mergeCell ref="E129:R129"/>
    <mergeCell ref="E130:R130"/>
    <mergeCell ref="E132:R132"/>
    <mergeCell ref="E133:R133"/>
    <mergeCell ref="E135:R135"/>
    <mergeCell ref="E121:R121"/>
    <mergeCell ref="E123:R123"/>
    <mergeCell ref="E124:R124"/>
    <mergeCell ref="E126:R126"/>
    <mergeCell ref="E127:R127"/>
    <mergeCell ref="E102:R102"/>
    <mergeCell ref="E104:R104"/>
    <mergeCell ref="E105:R105"/>
    <mergeCell ref="E120:R120"/>
    <mergeCell ref="E96:R96"/>
    <mergeCell ref="E97:R97"/>
    <mergeCell ref="E98:R98"/>
    <mergeCell ref="E99:R99"/>
    <mergeCell ref="E101:R101"/>
    <mergeCell ref="E114:R114"/>
    <mergeCell ref="E91:R91"/>
    <mergeCell ref="E92:R92"/>
    <mergeCell ref="E93:R93"/>
    <mergeCell ref="E94:R94"/>
    <mergeCell ref="E95:R95"/>
    <mergeCell ref="E86:R86"/>
    <mergeCell ref="E87:R87"/>
    <mergeCell ref="E88:R88"/>
    <mergeCell ref="E89:R89"/>
    <mergeCell ref="E73:R73"/>
    <mergeCell ref="E74:R74"/>
    <mergeCell ref="E75:R75"/>
    <mergeCell ref="E66:R66"/>
    <mergeCell ref="E67:R67"/>
    <mergeCell ref="E68:R68"/>
    <mergeCell ref="E69:R69"/>
    <mergeCell ref="E70:R70"/>
    <mergeCell ref="E90:R90"/>
    <mergeCell ref="E81:R81"/>
    <mergeCell ref="E82:R82"/>
    <mergeCell ref="E83:R83"/>
    <mergeCell ref="E84:R84"/>
    <mergeCell ref="E85:R85"/>
    <mergeCell ref="E76:R76"/>
    <mergeCell ref="E77:R77"/>
    <mergeCell ref="E78:R78"/>
    <mergeCell ref="E79:R79"/>
    <mergeCell ref="E80:R80"/>
    <mergeCell ref="E71:R71"/>
    <mergeCell ref="E72:R72"/>
    <mergeCell ref="E61:R61"/>
    <mergeCell ref="E62:R62"/>
    <mergeCell ref="E63:R63"/>
    <mergeCell ref="E64:R64"/>
    <mergeCell ref="E65:R65"/>
    <mergeCell ref="E56:R56"/>
    <mergeCell ref="E57:R57"/>
    <mergeCell ref="E58:R58"/>
    <mergeCell ref="E59:R59"/>
    <mergeCell ref="E60:R60"/>
    <mergeCell ref="G5:R8"/>
    <mergeCell ref="E13:F13"/>
    <mergeCell ref="G10:R10"/>
    <mergeCell ref="E15:R27"/>
    <mergeCell ref="E32:R32"/>
    <mergeCell ref="E33:R33"/>
    <mergeCell ref="E53:R53"/>
    <mergeCell ref="E54:R54"/>
    <mergeCell ref="E55:R55"/>
    <mergeCell ref="E35:R35"/>
    <mergeCell ref="E36:R36"/>
    <mergeCell ref="E38:R38"/>
    <mergeCell ref="E39:R39"/>
    <mergeCell ref="E41:R41"/>
    <mergeCell ref="E42:R42"/>
    <mergeCell ref="E44:R44"/>
    <mergeCell ref="E45:R45"/>
    <mergeCell ref="E47:R47"/>
    <mergeCell ref="E48:R48"/>
    <mergeCell ref="E50:R50"/>
    <mergeCell ref="E51:R51"/>
  </mergeCells>
  <pageMargins left="0.7" right="0.7" top="0.75" bottom="0.75" header="0.3" footer="0.3"/>
  <extLst>
    <ext xmlns:x14="http://schemas.microsoft.com/office/spreadsheetml/2009/9/main" uri="{CCE6A557-97BC-4b89-ADB6-D9C93CAAB3DF}">
      <x14:dataValidations xmlns:xm="http://schemas.microsoft.com/office/excel/2006/main" count="72">
        <x14:dataValidation type="list" allowBlank="1" showInputMessage="1" showErrorMessage="1" xr:uid="{D891798F-CB04-4D17-AF2B-2C56227BD28A}">
          <x14:formula1>
            <xm:f>Listas!$B$5:$B$9</xm:f>
          </x14:formula1>
          <xm:sqref>E33:R33</xm:sqref>
        </x14:dataValidation>
        <x14:dataValidation type="list" allowBlank="1" showInputMessage="1" showErrorMessage="1" xr:uid="{41B6E57E-D24D-4BF2-841A-24E408E33AFE}">
          <x14:formula1>
            <xm:f>Listas!$H$5:$H$6</xm:f>
          </x14:formula1>
          <xm:sqref>E121:R121</xm:sqref>
        </x14:dataValidation>
        <x14:dataValidation type="list" allowBlank="1" showInputMessage="1" showErrorMessage="1" xr:uid="{C6E77124-01F2-4AEB-920F-43C7BDCA9856}">
          <x14:formula1>
            <xm:f>Listas!$H$9:$H$14</xm:f>
          </x14:formula1>
          <xm:sqref>E124:R124</xm:sqref>
        </x14:dataValidation>
        <x14:dataValidation type="list" allowBlank="1" showInputMessage="1" showErrorMessage="1" xr:uid="{26220453-6E22-4981-A9F7-03AB3B166D83}">
          <x14:formula1>
            <xm:f>Listas!$H$17:$H$22</xm:f>
          </x14:formula1>
          <xm:sqref>E127:R127</xm:sqref>
        </x14:dataValidation>
        <x14:dataValidation type="list" allowBlank="1" showInputMessage="1" showErrorMessage="1" xr:uid="{1BEAB49A-9F67-4822-A652-9BD6FB4FF591}">
          <x14:formula1>
            <xm:f>Listas!$N$5:$N$6</xm:f>
          </x14:formula1>
          <xm:sqref>E164:R164</xm:sqref>
        </x14:dataValidation>
        <x14:dataValidation type="list" allowBlank="1" showInputMessage="1" showErrorMessage="1" xr:uid="{AFA4F695-CA7B-4EC2-9CB4-72D3FAF8EDFE}">
          <x14:formula1>
            <xm:f>Listas!$N$9:$N$10</xm:f>
          </x14:formula1>
          <xm:sqref>E167:R167</xm:sqref>
        </x14:dataValidation>
        <x14:dataValidation type="list" allowBlank="1" showInputMessage="1" showErrorMessage="1" xr:uid="{7212F9E3-282F-4565-863D-24445CFE1DAC}">
          <x14:formula1>
            <xm:f>Listas!$N$13:$N$14</xm:f>
          </x14:formula1>
          <xm:sqref>E170:R170</xm:sqref>
        </x14:dataValidation>
        <x14:dataValidation type="list" allowBlank="1" showInputMessage="1" showErrorMessage="1" xr:uid="{3276AC3F-EE49-4A1C-A777-BB1E9F262EDB}">
          <x14:formula1>
            <xm:f>Listas!$N$17:$N$18</xm:f>
          </x14:formula1>
          <xm:sqref>E173:R173</xm:sqref>
        </x14:dataValidation>
        <x14:dataValidation type="list" allowBlank="1" showInputMessage="1" showErrorMessage="1" xr:uid="{5810DDBF-116F-44A7-BE7D-616B9C2E8F7E}">
          <x14:formula1>
            <xm:f>Listas!$N$21:$N$24</xm:f>
          </x14:formula1>
          <xm:sqref>E176:R176</xm:sqref>
        </x14:dataValidation>
        <x14:dataValidation type="list" allowBlank="1" showInputMessage="1" showErrorMessage="1" xr:uid="{C4E29533-9D67-4EF5-AB1E-F6813AB4BB54}">
          <x14:formula1>
            <xm:f>Listas!$T$5:$T$6</xm:f>
          </x14:formula1>
          <xm:sqref>E213:R213</xm:sqref>
        </x14:dataValidation>
        <x14:dataValidation type="list" allowBlank="1" showInputMessage="1" showErrorMessage="1" xr:uid="{C39DDE10-6CCC-4F09-9FFC-965291A65BBB}">
          <x14:formula1>
            <xm:f>Listas!$T$9:$T$10</xm:f>
          </x14:formula1>
          <xm:sqref>E216:R216</xm:sqref>
        </x14:dataValidation>
        <x14:dataValidation type="list" allowBlank="1" showInputMessage="1" showErrorMessage="1" xr:uid="{EE54EDBC-7159-4491-B5AE-497DE229D726}">
          <x14:formula1>
            <xm:f>Listas!$T$14:$T$15</xm:f>
          </x14:formula1>
          <xm:sqref>E219:R219</xm:sqref>
        </x14:dataValidation>
        <x14:dataValidation type="list" allowBlank="1" showInputMessage="1" showErrorMessage="1" xr:uid="{404D2D5C-E326-445E-8BAE-2B80858FEBA6}">
          <x14:formula1>
            <xm:f>Listas!$T$18:$T$19</xm:f>
          </x14:formula1>
          <xm:sqref>E222:R222</xm:sqref>
        </x14:dataValidation>
        <x14:dataValidation type="list" allowBlank="1" showInputMessage="1" showErrorMessage="1" xr:uid="{6C3B721D-20FD-4D42-B1EF-FC933BB1833C}">
          <x14:formula1>
            <xm:f>Listas!$T$22:$T$23</xm:f>
          </x14:formula1>
          <xm:sqref>E225:R225</xm:sqref>
        </x14:dataValidation>
        <x14:dataValidation type="list" allowBlank="1" showInputMessage="1" showErrorMessage="1" xr:uid="{DA665381-EEDC-4DA3-AFC7-76F412D92FD2}">
          <x14:formula1>
            <xm:f>Listas!$T$26:$T$27</xm:f>
          </x14:formula1>
          <xm:sqref>E228:R228</xm:sqref>
        </x14:dataValidation>
        <x14:dataValidation type="list" allowBlank="1" showInputMessage="1" showErrorMessage="1" xr:uid="{F438B581-43F2-4D8A-BD13-796E17A110EC}">
          <x14:formula1>
            <xm:f>Listas!$T$30:$T$31</xm:f>
          </x14:formula1>
          <xm:sqref>E231:R231</xm:sqref>
        </x14:dataValidation>
        <x14:dataValidation type="list" allowBlank="1" showInputMessage="1" showErrorMessage="1" xr:uid="{BC013A78-1B03-49B6-A008-3590801C1352}">
          <x14:formula1>
            <xm:f>Listas!$T$34:$T$35</xm:f>
          </x14:formula1>
          <xm:sqref>E234:R234</xm:sqref>
        </x14:dataValidation>
        <x14:dataValidation type="list" allowBlank="1" showInputMessage="1" showErrorMessage="1" xr:uid="{6C707633-C284-438B-A6B8-AF42895FE596}">
          <x14:formula1>
            <xm:f>Listas!$T$38:$T$39</xm:f>
          </x14:formula1>
          <xm:sqref>E237:R237</xm:sqref>
        </x14:dataValidation>
        <x14:dataValidation type="list" allowBlank="1" showInputMessage="1" showErrorMessage="1" xr:uid="{50F06206-0CF9-41DB-9BDD-B7F3809EB27D}">
          <x14:formula1>
            <xm:f>Listas!$T$42:$T$43</xm:f>
          </x14:formula1>
          <xm:sqref>E240:R240</xm:sqref>
        </x14:dataValidation>
        <x14:dataValidation type="list" allowBlank="1" showInputMessage="1" showErrorMessage="1" xr:uid="{9C370807-D900-4B33-8E5E-C9F1653EBE9B}">
          <x14:formula1>
            <xm:f>Listas!$T$46:$T$47</xm:f>
          </x14:formula1>
          <xm:sqref>E243:R243</xm:sqref>
        </x14:dataValidation>
        <x14:dataValidation type="list" allowBlank="1" showInputMessage="1" showErrorMessage="1" xr:uid="{7AE06B9B-BA1A-47B4-A571-2F77D59DC0D2}">
          <x14:formula1>
            <xm:f>Listas!$B$13:$B$17</xm:f>
          </x14:formula1>
          <xm:sqref>E36:R36</xm:sqref>
        </x14:dataValidation>
        <x14:dataValidation type="list" allowBlank="1" showInputMessage="1" showErrorMessage="1" xr:uid="{CE7D63ED-2A8F-4D20-B818-CE573C6000C9}">
          <x14:formula1>
            <xm:f>Listas!$B$57:$B$58</xm:f>
          </x14:formula1>
          <xm:sqref>E60:R60</xm:sqref>
        </x14:dataValidation>
        <x14:dataValidation type="list" allowBlank="1" showInputMessage="1" showErrorMessage="1" xr:uid="{A369FF4F-8EBE-4375-ABCC-10A80ECE5D70}">
          <x14:formula1>
            <xm:f>Listas!$B$20:$B$21</xm:f>
          </x14:formula1>
          <xm:sqref>E39:R39</xm:sqref>
        </x14:dataValidation>
        <x14:dataValidation type="list" allowBlank="1" showInputMessage="1" showErrorMessage="1" xr:uid="{05DC07FC-A30D-4C33-ADF3-DDB14A023BEE}">
          <x14:formula1>
            <xm:f>Listas!$B$31:$B$32</xm:f>
          </x14:formula1>
          <xm:sqref>E45:R45</xm:sqref>
        </x14:dataValidation>
        <x14:dataValidation type="list" allowBlank="1" showInputMessage="1" showErrorMessage="1" xr:uid="{6713D9EF-50AD-4D37-968C-14A9163A54F6}">
          <x14:formula1>
            <xm:f>Listas!$B$69:$B$72</xm:f>
          </x14:formula1>
          <xm:sqref>E66:R66</xm:sqref>
        </x14:dataValidation>
        <x14:dataValidation type="list" allowBlank="1" showInputMessage="1" showErrorMessage="1" xr:uid="{82E8E56C-CEE2-4CBF-8F57-8DA1511EC42F}">
          <x14:formula1>
            <xm:f>Listas!$B$42:$B$43</xm:f>
          </x14:formula1>
          <xm:sqref>E51:R51</xm:sqref>
        </x14:dataValidation>
        <x14:dataValidation type="list" allowBlank="1" showInputMessage="1" showErrorMessage="1" xr:uid="{E42FEA84-234E-4EDA-A2B1-F8615642C94F}">
          <x14:formula1>
            <xm:f>Listas!$B$79:$B$84</xm:f>
          </x14:formula1>
          <xm:sqref>E72:R72</xm:sqref>
        </x14:dataValidation>
        <x14:dataValidation type="list" allowBlank="1" showInputMessage="1" showErrorMessage="1" xr:uid="{D87312A9-5DA4-4755-9103-960AF6133FA1}">
          <x14:formula1>
            <xm:f>Listas!$B$96:$B$97</xm:f>
          </x14:formula1>
          <xm:sqref>E78:R78</xm:sqref>
        </x14:dataValidation>
        <x14:dataValidation type="list" allowBlank="1" showInputMessage="1" showErrorMessage="1" xr:uid="{0F691091-32F2-4E8A-B032-F02EEE153D16}">
          <x14:formula1>
            <xm:f>Listas!$B$100:$B$104</xm:f>
          </x14:formula1>
          <xm:sqref>E81:R81</xm:sqref>
        </x14:dataValidation>
        <x14:dataValidation type="list" allowBlank="1" showInputMessage="1" showErrorMessage="1" xr:uid="{D7F61293-6988-49D6-B4B8-3DA244547DD1}">
          <x14:formula1>
            <xm:f>Listas!$B$87:$B$93</xm:f>
          </x14:formula1>
          <xm:sqref>E75:R75</xm:sqref>
        </x14:dataValidation>
        <x14:dataValidation type="list" allowBlank="1" showInputMessage="1" showErrorMessage="1" xr:uid="{CF9EAAF8-1826-4A8E-A45F-E371522FCC11}">
          <x14:formula1>
            <xm:f>Listas!$B$107:$B$111</xm:f>
          </x14:formula1>
          <xm:sqref>E84:R84</xm:sqref>
        </x14:dataValidation>
        <x14:dataValidation type="list" allowBlank="1" showInputMessage="1" showErrorMessage="1" xr:uid="{E4D4DE1B-811B-4B32-B1D8-5F496A751CE0}">
          <x14:formula1>
            <xm:f>Listas!$B$75:$B$76</xm:f>
          </x14:formula1>
          <xm:sqref>E69:R69</xm:sqref>
        </x14:dataValidation>
        <x14:dataValidation type="list" allowBlank="1" showInputMessage="1" showErrorMessage="1" xr:uid="{E8CAF709-ECB2-4E70-9453-8B90928490C6}">
          <x14:formula1>
            <xm:f>Listas!$B$122:$B$123</xm:f>
          </x14:formula1>
          <xm:sqref>E90:R90</xm:sqref>
        </x14:dataValidation>
        <x14:dataValidation type="list" allowBlank="1" showInputMessage="1" showErrorMessage="1" xr:uid="{B979A726-9BE8-403E-B46F-0BF2BBB7D00D}">
          <x14:formula1>
            <xm:f>Listas!$B$126:$B$129</xm:f>
          </x14:formula1>
          <xm:sqref>E93:R93</xm:sqref>
        </x14:dataValidation>
        <x14:dataValidation type="list" allowBlank="1" showInputMessage="1" showErrorMessage="1" xr:uid="{23B1A563-9A12-4183-9841-034D3D314867}">
          <x14:formula1>
            <xm:f>Listas!$B$132:$B$136</xm:f>
          </x14:formula1>
          <xm:sqref>E96:R96</xm:sqref>
        </x14:dataValidation>
        <x14:dataValidation type="list" allowBlank="1" showInputMessage="1" showErrorMessage="1" xr:uid="{210802D6-3838-4501-97BB-1C8FF741995A}">
          <x14:formula1>
            <xm:f>Listas!$B$139:$B$142</xm:f>
          </x14:formula1>
          <xm:sqref>E99:R99</xm:sqref>
        </x14:dataValidation>
        <x14:dataValidation type="list" allowBlank="1" showInputMessage="1" showErrorMessage="1" xr:uid="{398C85D3-1B44-42E1-9E5F-C5774DE9A272}">
          <x14:formula1>
            <xm:f>Listas!$B$145:$B$149</xm:f>
          </x14:formula1>
          <xm:sqref>E102:R102</xm:sqref>
        </x14:dataValidation>
        <x14:dataValidation type="list" allowBlank="1" showInputMessage="1" showErrorMessage="1" xr:uid="{DF1C3863-E78E-4651-95DC-1A2E7F6C3046}">
          <x14:formula1>
            <xm:f>Listas!$B$152:$B$156</xm:f>
          </x14:formula1>
          <xm:sqref>E105:R105</xm:sqref>
        </x14:dataValidation>
        <x14:dataValidation type="list" allowBlank="1" showInputMessage="1" showErrorMessage="1" xr:uid="{94E33537-90CA-400E-9D6E-7902C1C28A1B}">
          <x14:formula1>
            <xm:f>Listas!$B$24:$B$28</xm:f>
          </x14:formula1>
          <xm:sqref>E42:R42</xm:sqref>
        </x14:dataValidation>
        <x14:dataValidation type="list" allowBlank="1" showInputMessage="1" showErrorMessage="1" xr:uid="{41F26464-3D1A-4D52-B0F0-5B860BDB1D5D}">
          <x14:formula1>
            <xm:f>Listas!$B$35:$B$39</xm:f>
          </x14:formula1>
          <xm:sqref>E48:R48</xm:sqref>
        </x14:dataValidation>
        <x14:dataValidation type="list" allowBlank="1" showInputMessage="1" showErrorMessage="1" xr:uid="{56E113B7-9BD2-45A4-BF71-DE9B8F28E14E}">
          <x14:formula1>
            <xm:f>Listas!$B$46:$B$50</xm:f>
          </x14:formula1>
          <xm:sqref>E54:R54</xm:sqref>
        </x14:dataValidation>
        <x14:dataValidation type="list" allowBlank="1" showInputMessage="1" showErrorMessage="1" xr:uid="{3D7E3EFD-6AFA-40ED-8742-035CFB37A226}">
          <x14:formula1>
            <xm:f>Listas!$B$53:$B$54</xm:f>
          </x14:formula1>
          <xm:sqref>E57:R57</xm:sqref>
        </x14:dataValidation>
        <x14:dataValidation type="list" allowBlank="1" showInputMessage="1" showErrorMessage="1" xr:uid="{C4444585-EDC9-4B2E-B5F3-E6BD5C4D527E}">
          <x14:formula1>
            <xm:f>Listas!$B$61:$B$66</xm:f>
          </x14:formula1>
          <xm:sqref>E63:R63</xm:sqref>
        </x14:dataValidation>
        <x14:dataValidation type="list" allowBlank="1" showInputMessage="1" showErrorMessage="1" xr:uid="{00A6441E-655D-4E91-9665-9498938CB413}">
          <x14:formula1>
            <xm:f>Listas!$B$114:$B$119</xm:f>
          </x14:formula1>
          <xm:sqref>E87:R87</xm:sqref>
        </x14:dataValidation>
        <x14:dataValidation type="list" allowBlank="1" showInputMessage="1" showErrorMessage="1" xr:uid="{92F7DC03-B3D1-4990-AC7F-5689131FB38C}">
          <x14:formula1>
            <xm:f>Listas!$H$25:$H$28</xm:f>
          </x14:formula1>
          <xm:sqref>E130:R130</xm:sqref>
        </x14:dataValidation>
        <x14:dataValidation type="list" allowBlank="1" showInputMessage="1" showErrorMessage="1" xr:uid="{1431F3FB-D9C6-4D67-8CD8-6D50966A74F4}">
          <x14:formula1>
            <xm:f>Listas!$H$31:$H$32</xm:f>
          </x14:formula1>
          <xm:sqref>E133:R133</xm:sqref>
        </x14:dataValidation>
        <x14:dataValidation type="list" allowBlank="1" showInputMessage="1" showErrorMessage="1" xr:uid="{9E89FF39-6DD5-48D5-BDB4-1FDDBE468F2A}">
          <x14:formula1>
            <xm:f>Listas!$H$35:$H$39</xm:f>
          </x14:formula1>
          <xm:sqref>E136:R136</xm:sqref>
        </x14:dataValidation>
        <x14:dataValidation type="list" allowBlank="1" showInputMessage="1" showErrorMessage="1" xr:uid="{052FA0DA-84DD-4E55-9E4B-29CC503FA078}">
          <x14:formula1>
            <xm:f>Listas!$H$42:$H$43</xm:f>
          </x14:formula1>
          <xm:sqref>E139:R139</xm:sqref>
        </x14:dataValidation>
        <x14:dataValidation type="list" allowBlank="1" showInputMessage="1" showErrorMessage="1" xr:uid="{74A7D21B-0888-4378-B765-4C23CC631A71}">
          <x14:formula1>
            <xm:f>Listas!$H$46:$H$51</xm:f>
          </x14:formula1>
          <xm:sqref>E142:R142</xm:sqref>
        </x14:dataValidation>
        <x14:dataValidation type="list" allowBlank="1" showInputMessage="1" showErrorMessage="1" xr:uid="{F57BB8DD-7BAB-456A-86F9-7C42F93067CC}">
          <x14:formula1>
            <xm:f>Listas!$H$54:$H$57</xm:f>
          </x14:formula1>
          <xm:sqref>E145:R145</xm:sqref>
        </x14:dataValidation>
        <x14:dataValidation type="list" allowBlank="1" showInputMessage="1" showErrorMessage="1" xr:uid="{679CFE18-A8CC-48C4-95E1-AB29BD763716}">
          <x14:formula1>
            <xm:f>Listas!$H$60:$H$64</xm:f>
          </x14:formula1>
          <xm:sqref>E148:R148</xm:sqref>
        </x14:dataValidation>
        <x14:dataValidation type="list" allowBlank="1" showInputMessage="1" showErrorMessage="1" xr:uid="{0BF6CA74-3BA4-47B5-80FA-C710BA91A88D}">
          <x14:formula1>
            <xm:f>Listas!$H$62:$H$63</xm:f>
          </x14:formula1>
          <xm:sqref>E151:R151</xm:sqref>
        </x14:dataValidation>
        <x14:dataValidation type="list" allowBlank="1" showInputMessage="1" showErrorMessage="1" xr:uid="{FF648E98-8112-4820-A385-022BF0E649A6}">
          <x14:formula1>
            <xm:f>Listas!$N$27:$N$31</xm:f>
          </x14:formula1>
          <xm:sqref>E179:R179</xm:sqref>
        </x14:dataValidation>
        <x14:dataValidation type="list" allowBlank="1" showInputMessage="1" showErrorMessage="1" xr:uid="{703BCB09-DCDB-4FDA-8D00-F3801399C43F}">
          <x14:formula1>
            <xm:f>Listas!$N$34:$N$35</xm:f>
          </x14:formula1>
          <xm:sqref>E182:R182</xm:sqref>
        </x14:dataValidation>
        <x14:dataValidation type="list" allowBlank="1" showInputMessage="1" showErrorMessage="1" xr:uid="{4B709EF2-0F99-4C2B-B70D-2A66407A80FA}">
          <x14:formula1>
            <xm:f>Listas!$N$38:$N$39</xm:f>
          </x14:formula1>
          <xm:sqref>E185:R185</xm:sqref>
        </x14:dataValidation>
        <x14:dataValidation type="list" allowBlank="1" showInputMessage="1" showErrorMessage="1" xr:uid="{14240AEB-EC3B-4B1C-A40C-F1116FA438D6}">
          <x14:formula1>
            <xm:f>Listas!$N$42:$N$43</xm:f>
          </x14:formula1>
          <xm:sqref>E188:R188</xm:sqref>
        </x14:dataValidation>
        <x14:dataValidation type="list" allowBlank="1" showInputMessage="1" showErrorMessage="1" xr:uid="{78222FA6-E98E-40D0-842C-CA600ED0CBDE}">
          <x14:formula1>
            <xm:f>Listas!$N$46:$N$47</xm:f>
          </x14:formula1>
          <xm:sqref>E191:R191</xm:sqref>
        </x14:dataValidation>
        <x14:dataValidation type="list" allowBlank="1" showInputMessage="1" showErrorMessage="1" xr:uid="{D02E89A0-B3C2-4C55-B59D-B659D64CC011}">
          <x14:formula1>
            <xm:f>Listas!$N$50:$N$51</xm:f>
          </x14:formula1>
          <xm:sqref>E194:R194</xm:sqref>
        </x14:dataValidation>
        <x14:dataValidation type="list" allowBlank="1" showInputMessage="1" showErrorMessage="1" xr:uid="{98152895-D6F9-45F6-ADDE-3F609EDD1439}">
          <x14:formula1>
            <xm:f>Listas!$N$54:$N$55</xm:f>
          </x14:formula1>
          <xm:sqref>E197:R197</xm:sqref>
        </x14:dataValidation>
        <x14:dataValidation type="list" allowBlank="1" showInputMessage="1" showErrorMessage="1" xr:uid="{04F63DDF-6019-4B14-BE82-784BCA873FE4}">
          <x14:formula1>
            <xm:f>Listas!$N$58:$N$59</xm:f>
          </x14:formula1>
          <xm:sqref>E200:R200</xm:sqref>
        </x14:dataValidation>
        <x14:dataValidation type="list" allowBlank="1" showInputMessage="1" showErrorMessage="1" xr:uid="{17E9DFAB-1D8A-4790-8032-E92F55DEBABF}">
          <x14:formula1>
            <xm:f>Listas!$N$62:$N$63</xm:f>
          </x14:formula1>
          <xm:sqref>E203:R203</xm:sqref>
        </x14:dataValidation>
        <x14:dataValidation type="list" allowBlank="1" showInputMessage="1" showErrorMessage="1" xr:uid="{3AD48F7E-EFDC-4A37-8201-FC77BCD59FA9}">
          <x14:formula1>
            <xm:f>Listas!$N$66:$N$67</xm:f>
          </x14:formula1>
          <xm:sqref>E206:R206 E209:R209</xm:sqref>
        </x14:dataValidation>
        <x14:dataValidation type="list" allowBlank="1" showInputMessage="1" showErrorMessage="1" xr:uid="{A4A92539-8AAB-424D-AA9D-0678AA55CCA4}">
          <x14:formula1>
            <xm:f>Listas!$B$159:$B$160</xm:f>
          </x14:formula1>
          <xm:sqref>E108:R108</xm:sqref>
        </x14:dataValidation>
        <x14:dataValidation type="list" allowBlank="1" showInputMessage="1" showErrorMessage="1" xr:uid="{5D4B114A-4285-4EDF-A712-2B3AFC35E8B3}">
          <x14:formula1>
            <xm:f>Listas!$B$163:$B$164</xm:f>
          </x14:formula1>
          <xm:sqref>E111:R111</xm:sqref>
        </x14:dataValidation>
        <x14:dataValidation type="list" allowBlank="1" showInputMessage="1" showErrorMessage="1" xr:uid="{887F74C0-C82D-4D5C-AFCC-3987DBCBC3A3}">
          <x14:formula1>
            <xm:f>Listas!$B$167:$B$168</xm:f>
          </x14:formula1>
          <xm:sqref>E114:R114</xm:sqref>
        </x14:dataValidation>
        <x14:dataValidation type="list" allowBlank="1" showInputMessage="1" showErrorMessage="1" xr:uid="{A9348269-FD8B-4B4D-8CF0-2B08319C3895}">
          <x14:formula1>
            <xm:f>Listas!$H$74:$H$78</xm:f>
          </x14:formula1>
          <xm:sqref>E154:R154</xm:sqref>
        </x14:dataValidation>
        <x14:dataValidation type="list" allowBlank="1" showInputMessage="1" showErrorMessage="1" xr:uid="{2AD64ED7-A55B-406A-AC7B-D2DDC136EFEB}">
          <x14:formula1>
            <xm:f>Listas!$H$81:$H$85</xm:f>
          </x14:formula1>
          <xm:sqref>E157:R157</xm:sqref>
        </x14:dataValidation>
        <x14:dataValidation type="list" allowBlank="1" showInputMessage="1" showErrorMessage="1" xr:uid="{03D758A3-0990-453F-91A3-4060D75E58DF}">
          <x14:formula1>
            <xm:f>Listas!$H$88:$H$92</xm:f>
          </x14:formula1>
          <xm:sqref>E160:R160</xm:sqref>
        </x14:dataValidation>
        <x14:dataValidation type="list" allowBlank="1" showInputMessage="1" showErrorMessage="1" xr:uid="{8DFABC80-35C4-4740-9866-1185CD71EB5E}">
          <x14:formula1>
            <xm:f>Listas!$B$171:$B$175</xm:f>
          </x14:formula1>
          <xm:sqref>E117:R117</xm:sqref>
        </x14:dataValidation>
        <x14:dataValidation type="list" allowBlank="1" showInputMessage="1" showErrorMessage="1" xr:uid="{319891E8-D796-47F8-932A-5814DEEF00D3}">
          <x14:formula1>
            <xm:f>Listas!$T$50:$T$54</xm:f>
          </x14:formula1>
          <xm:sqref>E246:R246</xm:sqref>
        </x14:dataValidation>
        <x14:dataValidation type="list" allowBlank="1" showInputMessage="1" showErrorMessage="1" xr:uid="{3BCF7A3A-03A8-42E5-895C-79E79C14EDA7}">
          <x14:formula1>
            <xm:f>Listas!$T$58:$T$62</xm:f>
          </x14:formula1>
          <xm:sqref>E249:R249</xm:sqref>
        </x14:dataValidation>
        <x14:dataValidation type="list" allowBlank="1" showInputMessage="1" showErrorMessage="1" xr:uid="{501A9370-5A87-476D-8392-B461EC79351E}">
          <x14:formula1>
            <xm:f>Listas!$T$65:$T$69</xm:f>
          </x14:formula1>
          <xm:sqref>E252:R252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86586-410B-46E1-8642-19D6E05C7B4D}">
  <dimension ref="B2:Q1010"/>
  <sheetViews>
    <sheetView showGridLines="0" zoomScale="90" zoomScaleNormal="90" workbookViewId="0"/>
  </sheetViews>
  <sheetFormatPr baseColWidth="10" defaultRowHeight="14.4"/>
  <cols>
    <col min="1" max="1" width="11.5546875" style="82"/>
    <col min="2" max="2" width="5.44140625" style="82" customWidth="1"/>
    <col min="3" max="3" width="2.33203125" style="82" customWidth="1"/>
    <col min="4" max="6" width="11.5546875" style="82"/>
    <col min="7" max="7" width="11.5546875" style="82" customWidth="1"/>
    <col min="8" max="16" width="11.5546875" style="82"/>
    <col min="17" max="17" width="2.21875" style="82" customWidth="1"/>
    <col min="18" max="16384" width="11.5546875" style="82"/>
  </cols>
  <sheetData>
    <row r="2" spans="3:17" ht="15" thickBot="1">
      <c r="C2" s="83"/>
      <c r="D2" s="84"/>
      <c r="E2" s="84"/>
      <c r="F2" s="84"/>
      <c r="G2" s="84"/>
      <c r="H2" s="84"/>
      <c r="I2" s="84"/>
      <c r="J2" s="84"/>
      <c r="K2" s="84"/>
      <c r="L2" s="84"/>
      <c r="M2" s="84"/>
      <c r="N2" s="84"/>
      <c r="O2" s="84"/>
      <c r="P2" s="84"/>
      <c r="Q2" s="85"/>
    </row>
    <row r="3" spans="3:17" ht="18.600000000000001" thickBot="1">
      <c r="C3" s="86"/>
      <c r="D3" s="226" t="s">
        <v>24</v>
      </c>
      <c r="E3" s="227"/>
      <c r="F3" s="227"/>
      <c r="G3" s="227"/>
      <c r="H3" s="227"/>
      <c r="I3" s="227"/>
      <c r="J3" s="227"/>
      <c r="K3" s="227"/>
      <c r="L3" s="227"/>
      <c r="M3" s="227"/>
      <c r="N3" s="227"/>
      <c r="O3" s="227"/>
      <c r="P3" s="228"/>
      <c r="Q3" s="87"/>
    </row>
    <row r="4" spans="3:17">
      <c r="C4" s="86"/>
      <c r="D4" s="143"/>
      <c r="E4" s="143"/>
      <c r="F4" s="143"/>
      <c r="G4" s="143"/>
      <c r="H4" s="143"/>
      <c r="I4" s="143"/>
      <c r="J4" s="143"/>
      <c r="K4" s="143"/>
      <c r="L4" s="143"/>
      <c r="M4" s="143"/>
      <c r="N4" s="143"/>
      <c r="O4" s="143"/>
      <c r="P4" s="148"/>
      <c r="Q4" s="87"/>
    </row>
    <row r="5" spans="3:17">
      <c r="C5" s="86"/>
      <c r="D5" s="149"/>
      <c r="E5" s="143"/>
      <c r="F5" s="143"/>
      <c r="G5" s="150"/>
      <c r="H5" s="150"/>
      <c r="I5" s="151"/>
      <c r="J5" s="151"/>
      <c r="K5" s="151"/>
      <c r="L5" s="252">
        <f>C1003/100%</f>
        <v>0</v>
      </c>
      <c r="M5" s="143"/>
      <c r="N5" s="143"/>
      <c r="O5" s="143"/>
      <c r="P5" s="152"/>
      <c r="Q5" s="87"/>
    </row>
    <row r="6" spans="3:17">
      <c r="C6" s="86"/>
      <c r="D6" s="149"/>
      <c r="E6" s="143"/>
      <c r="F6" s="143"/>
      <c r="G6" s="150"/>
      <c r="H6" s="150"/>
      <c r="I6" s="151"/>
      <c r="J6" s="151"/>
      <c r="K6" s="151"/>
      <c r="L6" s="252"/>
      <c r="M6" s="143"/>
      <c r="N6" s="143"/>
      <c r="O6" s="143"/>
      <c r="P6" s="143"/>
      <c r="Q6" s="87"/>
    </row>
    <row r="7" spans="3:17">
      <c r="C7" s="86"/>
      <c r="D7" s="149"/>
      <c r="E7" s="143"/>
      <c r="F7" s="143"/>
      <c r="G7" s="150"/>
      <c r="H7" s="150"/>
      <c r="I7" s="151"/>
      <c r="J7" s="151"/>
      <c r="K7" s="151"/>
      <c r="L7" s="252"/>
      <c r="M7" s="143"/>
      <c r="N7" s="143"/>
      <c r="O7" s="143"/>
      <c r="P7" s="143"/>
      <c r="Q7" s="87"/>
    </row>
    <row r="8" spans="3:17">
      <c r="C8" s="86"/>
      <c r="D8" s="149"/>
      <c r="E8" s="143"/>
      <c r="F8" s="143"/>
      <c r="G8" s="150"/>
      <c r="H8" s="150"/>
      <c r="I8" s="151"/>
      <c r="J8" s="151"/>
      <c r="K8" s="151"/>
      <c r="L8" s="252"/>
      <c r="M8" s="143"/>
      <c r="N8" s="143"/>
      <c r="O8" s="143"/>
      <c r="P8" s="152"/>
      <c r="Q8" s="87"/>
    </row>
    <row r="9" spans="3:17">
      <c r="C9" s="86"/>
      <c r="D9" s="143"/>
      <c r="E9" s="143"/>
      <c r="F9" s="143"/>
      <c r="G9" s="150"/>
      <c r="H9" s="150"/>
      <c r="I9" s="143"/>
      <c r="J9" s="143"/>
      <c r="K9" s="143"/>
      <c r="L9" s="143"/>
      <c r="M9" s="143"/>
      <c r="N9" s="143"/>
      <c r="O9" s="143"/>
      <c r="P9" s="152"/>
      <c r="Q9" s="87"/>
    </row>
    <row r="10" spans="3:17">
      <c r="C10" s="86"/>
      <c r="D10" s="149"/>
      <c r="E10" s="143"/>
      <c r="F10" s="150"/>
      <c r="G10" s="150"/>
      <c r="H10" s="150"/>
      <c r="I10" s="150"/>
      <c r="J10" s="153"/>
      <c r="K10" s="153"/>
      <c r="L10" s="153"/>
      <c r="M10" s="253">
        <f>C1002/100%</f>
        <v>0</v>
      </c>
      <c r="N10" s="143"/>
      <c r="O10" s="143"/>
      <c r="P10" s="143"/>
      <c r="Q10" s="87"/>
    </row>
    <row r="11" spans="3:17">
      <c r="C11" s="86"/>
      <c r="D11" s="149"/>
      <c r="E11" s="143"/>
      <c r="F11" s="150"/>
      <c r="G11" s="150"/>
      <c r="H11" s="150"/>
      <c r="I11" s="150"/>
      <c r="J11" s="153"/>
      <c r="K11" s="153"/>
      <c r="L11" s="153"/>
      <c r="M11" s="254"/>
      <c r="N11" s="143"/>
      <c r="O11" s="143"/>
      <c r="P11" s="143"/>
      <c r="Q11" s="87"/>
    </row>
    <row r="12" spans="3:17">
      <c r="C12" s="86"/>
      <c r="D12" s="143"/>
      <c r="E12" s="143"/>
      <c r="F12" s="150"/>
      <c r="G12" s="150"/>
      <c r="H12" s="150"/>
      <c r="I12" s="150"/>
      <c r="J12" s="153"/>
      <c r="K12" s="153"/>
      <c r="L12" s="153"/>
      <c r="M12" s="254"/>
      <c r="N12" s="143"/>
      <c r="O12" s="143"/>
      <c r="P12" s="143"/>
      <c r="Q12" s="87"/>
    </row>
    <row r="13" spans="3:17">
      <c r="C13" s="86"/>
      <c r="D13" s="149"/>
      <c r="E13" s="143"/>
      <c r="F13" s="150"/>
      <c r="G13" s="150"/>
      <c r="H13" s="150"/>
      <c r="I13" s="150"/>
      <c r="J13" s="153"/>
      <c r="K13" s="153"/>
      <c r="L13" s="153"/>
      <c r="M13" s="254"/>
      <c r="N13" s="143"/>
      <c r="O13" s="143"/>
      <c r="P13" s="152"/>
      <c r="Q13" s="87"/>
    </row>
    <row r="14" spans="3:17">
      <c r="C14" s="86"/>
      <c r="D14" s="149"/>
      <c r="E14" s="143"/>
      <c r="F14" s="150"/>
      <c r="G14" s="150"/>
      <c r="H14" s="150"/>
      <c r="I14" s="150"/>
      <c r="J14" s="143"/>
      <c r="K14" s="143"/>
      <c r="L14" s="143"/>
      <c r="M14" s="143"/>
      <c r="N14" s="143"/>
      <c r="O14" s="143"/>
      <c r="P14" s="152"/>
      <c r="Q14" s="87"/>
    </row>
    <row r="15" spans="3:17">
      <c r="C15" s="86"/>
      <c r="D15" s="149"/>
      <c r="E15" s="150"/>
      <c r="F15" s="150"/>
      <c r="G15" s="150"/>
      <c r="H15" s="150"/>
      <c r="I15" s="150"/>
      <c r="J15" s="150"/>
      <c r="K15" s="154"/>
      <c r="L15" s="154"/>
      <c r="M15" s="154"/>
      <c r="N15" s="255">
        <f>C1001/100%</f>
        <v>0</v>
      </c>
      <c r="O15" s="143"/>
      <c r="P15" s="152"/>
      <c r="Q15" s="87"/>
    </row>
    <row r="16" spans="3:17">
      <c r="C16" s="86"/>
      <c r="D16" s="149"/>
      <c r="E16" s="150"/>
      <c r="F16" s="150"/>
      <c r="G16" s="150"/>
      <c r="H16" s="150"/>
      <c r="I16" s="150"/>
      <c r="J16" s="150"/>
      <c r="K16" s="154"/>
      <c r="L16" s="154"/>
      <c r="M16" s="154"/>
      <c r="N16" s="256"/>
      <c r="O16" s="143"/>
      <c r="P16" s="143"/>
      <c r="Q16" s="87"/>
    </row>
    <row r="17" spans="3:17">
      <c r="C17" s="86"/>
      <c r="D17" s="149"/>
      <c r="E17" s="150"/>
      <c r="F17" s="150"/>
      <c r="G17" s="150"/>
      <c r="H17" s="150"/>
      <c r="I17" s="150"/>
      <c r="J17" s="150"/>
      <c r="K17" s="154"/>
      <c r="L17" s="154"/>
      <c r="M17" s="154"/>
      <c r="N17" s="256"/>
      <c r="O17" s="143"/>
      <c r="P17" s="143"/>
      <c r="Q17" s="87"/>
    </row>
    <row r="18" spans="3:17">
      <c r="C18" s="86"/>
      <c r="D18" s="149"/>
      <c r="E18" s="150"/>
      <c r="F18" s="150"/>
      <c r="G18" s="150"/>
      <c r="H18" s="150"/>
      <c r="I18" s="150"/>
      <c r="J18" s="150"/>
      <c r="K18" s="154"/>
      <c r="L18" s="154"/>
      <c r="M18" s="154"/>
      <c r="N18" s="256"/>
      <c r="O18" s="143"/>
      <c r="P18" s="143"/>
      <c r="Q18" s="87"/>
    </row>
    <row r="19" spans="3:17">
      <c r="C19" s="86"/>
      <c r="D19" s="143"/>
      <c r="E19" s="150"/>
      <c r="F19" s="150"/>
      <c r="G19" s="150"/>
      <c r="H19" s="150"/>
      <c r="I19" s="150"/>
      <c r="J19" s="150"/>
      <c r="K19" s="143"/>
      <c r="L19" s="143"/>
      <c r="M19" s="143"/>
      <c r="N19" s="143"/>
      <c r="O19" s="143"/>
      <c r="P19" s="143"/>
      <c r="Q19" s="87"/>
    </row>
    <row r="20" spans="3:17">
      <c r="C20" s="86"/>
      <c r="D20" s="149"/>
      <c r="E20" s="150"/>
      <c r="F20" s="150"/>
      <c r="G20" s="150"/>
      <c r="H20" s="150"/>
      <c r="I20" s="150"/>
      <c r="J20" s="150"/>
      <c r="K20" s="143"/>
      <c r="L20" s="155"/>
      <c r="M20" s="155"/>
      <c r="N20" s="155"/>
      <c r="O20" s="257">
        <f>C1000/100%</f>
        <v>0</v>
      </c>
      <c r="P20" s="152"/>
      <c r="Q20" s="87"/>
    </row>
    <row r="21" spans="3:17">
      <c r="C21" s="86"/>
      <c r="D21" s="143"/>
      <c r="E21" s="150"/>
      <c r="F21" s="150"/>
      <c r="G21" s="150"/>
      <c r="H21" s="150"/>
      <c r="I21" s="150"/>
      <c r="J21" s="150"/>
      <c r="K21" s="143"/>
      <c r="L21" s="155"/>
      <c r="M21" s="155"/>
      <c r="N21" s="155"/>
      <c r="O21" s="257"/>
      <c r="P21" s="143"/>
      <c r="Q21" s="87"/>
    </row>
    <row r="22" spans="3:17">
      <c r="C22" s="86"/>
      <c r="D22" s="149"/>
      <c r="E22" s="150"/>
      <c r="F22" s="150"/>
      <c r="G22" s="150"/>
      <c r="H22" s="150"/>
      <c r="I22" s="150"/>
      <c r="J22" s="150"/>
      <c r="K22" s="143"/>
      <c r="L22" s="155"/>
      <c r="M22" s="155"/>
      <c r="N22" s="155"/>
      <c r="O22" s="257"/>
      <c r="P22" s="143"/>
      <c r="Q22" s="87"/>
    </row>
    <row r="23" spans="3:17">
      <c r="C23" s="86"/>
      <c r="D23" s="149"/>
      <c r="E23" s="150"/>
      <c r="F23" s="150"/>
      <c r="G23" s="150"/>
      <c r="H23" s="150"/>
      <c r="I23" s="150"/>
      <c r="J23" s="150"/>
      <c r="K23" s="143"/>
      <c r="L23" s="155"/>
      <c r="M23" s="155"/>
      <c r="N23" s="155"/>
      <c r="O23" s="257"/>
      <c r="P23" s="143"/>
      <c r="Q23" s="87"/>
    </row>
    <row r="24" spans="3:17">
      <c r="C24" s="86"/>
      <c r="D24" s="149"/>
      <c r="E24" s="150"/>
      <c r="F24" s="150"/>
      <c r="G24" s="150"/>
      <c r="H24" s="150"/>
      <c r="I24" s="150"/>
      <c r="J24" s="150"/>
      <c r="K24" s="143"/>
      <c r="L24" s="143"/>
      <c r="M24" s="143"/>
      <c r="N24" s="143"/>
      <c r="O24" s="143"/>
      <c r="P24" s="152"/>
      <c r="Q24" s="87"/>
    </row>
    <row r="25" spans="3:17" ht="15" thickBot="1">
      <c r="C25" s="86"/>
      <c r="D25" s="156"/>
      <c r="E25" s="157"/>
      <c r="F25" s="143"/>
      <c r="G25" s="157"/>
      <c r="H25" s="157"/>
      <c r="I25" s="157"/>
      <c r="J25" s="157"/>
      <c r="K25" s="157"/>
      <c r="L25" s="157"/>
      <c r="M25" s="157"/>
      <c r="N25" s="157"/>
      <c r="O25" s="157"/>
      <c r="P25" s="157"/>
      <c r="Q25" s="87"/>
    </row>
    <row r="26" spans="3:17" ht="4.8" customHeight="1" thickBot="1">
      <c r="C26" s="86"/>
      <c r="D26" s="249"/>
      <c r="E26" s="250"/>
      <c r="F26" s="250"/>
      <c r="G26" s="250"/>
      <c r="H26" s="250"/>
      <c r="I26" s="250"/>
      <c r="J26" s="250"/>
      <c r="K26" s="250"/>
      <c r="L26" s="250"/>
      <c r="M26" s="250"/>
      <c r="N26" s="250"/>
      <c r="O26" s="250"/>
      <c r="P26" s="251"/>
      <c r="Q26" s="87"/>
    </row>
    <row r="27" spans="3:17" ht="18.600000000000001" customHeight="1" thickBot="1">
      <c r="C27" s="86"/>
      <c r="D27" s="238" t="s">
        <v>405</v>
      </c>
      <c r="E27" s="238"/>
      <c r="F27" s="238"/>
      <c r="G27" s="238"/>
      <c r="H27" s="238"/>
      <c r="I27" s="238"/>
      <c r="J27" s="238"/>
      <c r="K27" s="238"/>
      <c r="L27" s="238"/>
      <c r="M27" s="238"/>
      <c r="N27" s="238"/>
      <c r="O27" s="238"/>
      <c r="P27" s="238"/>
      <c r="Q27" s="87"/>
    </row>
    <row r="28" spans="3:17">
      <c r="C28" s="86"/>
      <c r="D28" s="149"/>
      <c r="E28" s="143"/>
      <c r="F28" s="143"/>
      <c r="G28" s="143"/>
      <c r="H28" s="143"/>
      <c r="I28" s="143"/>
      <c r="J28" s="143"/>
      <c r="K28" s="143"/>
      <c r="L28" s="143"/>
      <c r="M28" s="143"/>
      <c r="N28" s="143"/>
      <c r="O28" s="143"/>
      <c r="P28" s="152"/>
      <c r="Q28" s="87"/>
    </row>
    <row r="29" spans="3:17">
      <c r="C29" s="86"/>
      <c r="D29" s="149"/>
      <c r="E29" s="143"/>
      <c r="F29" s="143"/>
      <c r="G29" s="143"/>
      <c r="H29" s="143"/>
      <c r="I29" s="143"/>
      <c r="J29" s="143"/>
      <c r="K29" s="143"/>
      <c r="L29" s="143"/>
      <c r="M29" s="143"/>
      <c r="N29" s="143"/>
      <c r="O29" s="143"/>
      <c r="P29" s="152"/>
      <c r="Q29" s="87"/>
    </row>
    <row r="30" spans="3:17">
      <c r="C30" s="86"/>
      <c r="D30" s="149"/>
      <c r="E30" s="143"/>
      <c r="F30" s="143"/>
      <c r="G30" s="143"/>
      <c r="H30" s="143"/>
      <c r="I30" s="143"/>
      <c r="J30" s="143"/>
      <c r="K30" s="143"/>
      <c r="L30" s="143"/>
      <c r="M30" s="143"/>
      <c r="N30" s="143"/>
      <c r="O30" s="143"/>
      <c r="P30" s="152"/>
      <c r="Q30" s="87"/>
    </row>
    <row r="31" spans="3:17">
      <c r="C31" s="86"/>
      <c r="D31" s="149"/>
      <c r="E31" s="143"/>
      <c r="F31" s="143"/>
      <c r="G31" s="143"/>
      <c r="H31" s="143"/>
      <c r="I31" s="143"/>
      <c r="J31" s="143"/>
      <c r="K31" s="143"/>
      <c r="L31" s="143"/>
      <c r="M31" s="143"/>
      <c r="N31" s="143"/>
      <c r="O31" s="143"/>
      <c r="P31" s="152"/>
      <c r="Q31" s="87"/>
    </row>
    <row r="32" spans="3:17">
      <c r="C32" s="86"/>
      <c r="D32" s="149"/>
      <c r="E32" s="143"/>
      <c r="F32" s="143"/>
      <c r="G32" s="143"/>
      <c r="H32" s="143"/>
      <c r="I32" s="143"/>
      <c r="J32" s="143"/>
      <c r="K32" s="143"/>
      <c r="L32" s="143"/>
      <c r="M32" s="143"/>
      <c r="N32" s="143"/>
      <c r="O32" s="143"/>
      <c r="P32" s="152"/>
      <c r="Q32" s="87"/>
    </row>
    <row r="33" spans="3:17" ht="15.6" customHeight="1">
      <c r="C33" s="86"/>
      <c r="D33" s="149"/>
      <c r="E33" s="143"/>
      <c r="F33" s="143"/>
      <c r="G33" s="143"/>
      <c r="H33" s="143"/>
      <c r="I33" s="143"/>
      <c r="J33" s="143"/>
      <c r="K33" s="143"/>
      <c r="L33" s="143"/>
      <c r="M33" s="143"/>
      <c r="N33" s="143"/>
      <c r="O33" s="143"/>
      <c r="P33" s="152"/>
      <c r="Q33" s="87"/>
    </row>
    <row r="34" spans="3:17">
      <c r="C34" s="86"/>
      <c r="D34" s="149"/>
      <c r="E34" s="143"/>
      <c r="F34" s="143"/>
      <c r="G34" s="143"/>
      <c r="H34" s="143"/>
      <c r="I34" s="143"/>
      <c r="J34" s="143"/>
      <c r="K34" s="143"/>
      <c r="L34" s="143"/>
      <c r="M34" s="143"/>
      <c r="N34" s="143"/>
      <c r="O34" s="143"/>
      <c r="P34" s="152"/>
      <c r="Q34" s="87"/>
    </row>
    <row r="35" spans="3:17">
      <c r="C35" s="86"/>
      <c r="D35" s="149"/>
      <c r="E35" s="143"/>
      <c r="F35" s="143"/>
      <c r="G35" s="143"/>
      <c r="H35" s="143"/>
      <c r="I35" s="143"/>
      <c r="J35" s="143"/>
      <c r="K35" s="143"/>
      <c r="L35" s="143"/>
      <c r="M35" s="143"/>
      <c r="N35" s="143"/>
      <c r="O35" s="143"/>
      <c r="P35" s="152"/>
      <c r="Q35" s="87"/>
    </row>
    <row r="36" spans="3:17">
      <c r="C36" s="86"/>
      <c r="D36" s="149"/>
      <c r="E36" s="143"/>
      <c r="F36" s="143"/>
      <c r="G36" s="143"/>
      <c r="H36" s="143"/>
      <c r="I36" s="143"/>
      <c r="J36" s="143"/>
      <c r="K36" s="143"/>
      <c r="L36" s="143"/>
      <c r="M36" s="143"/>
      <c r="N36" s="143"/>
      <c r="O36" s="143"/>
      <c r="P36" s="152"/>
      <c r="Q36" s="87"/>
    </row>
    <row r="37" spans="3:17">
      <c r="C37" s="86"/>
      <c r="D37" s="149"/>
      <c r="E37" s="143"/>
      <c r="F37" s="143"/>
      <c r="G37" s="143"/>
      <c r="H37" s="143"/>
      <c r="I37" s="143"/>
      <c r="J37" s="143"/>
      <c r="K37" s="143"/>
      <c r="L37" s="143"/>
      <c r="M37" s="143"/>
      <c r="N37" s="143"/>
      <c r="O37" s="143"/>
      <c r="P37" s="152"/>
      <c r="Q37" s="87"/>
    </row>
    <row r="38" spans="3:17">
      <c r="C38" s="86"/>
      <c r="D38" s="149"/>
      <c r="E38" s="143"/>
      <c r="F38" s="143"/>
      <c r="G38" s="143"/>
      <c r="H38" s="143"/>
      <c r="I38" s="143"/>
      <c r="J38" s="143"/>
      <c r="K38" s="143"/>
      <c r="L38" s="143"/>
      <c r="M38" s="143"/>
      <c r="N38" s="143"/>
      <c r="O38" s="143"/>
      <c r="P38" s="152"/>
      <c r="Q38" s="87"/>
    </row>
    <row r="39" spans="3:17">
      <c r="C39" s="86"/>
      <c r="D39" s="149"/>
      <c r="E39" s="143"/>
      <c r="F39" s="143"/>
      <c r="G39" s="143"/>
      <c r="H39" s="143"/>
      <c r="I39" s="143"/>
      <c r="J39" s="143"/>
      <c r="K39" s="143"/>
      <c r="L39" s="143"/>
      <c r="M39" s="143"/>
      <c r="N39" s="143"/>
      <c r="O39" s="143"/>
      <c r="P39" s="152"/>
      <c r="Q39" s="87"/>
    </row>
    <row r="40" spans="3:17">
      <c r="C40" s="86"/>
      <c r="D40" s="149"/>
      <c r="E40" s="143"/>
      <c r="F40" s="143"/>
      <c r="G40" s="143"/>
      <c r="H40" s="143"/>
      <c r="I40" s="143"/>
      <c r="J40" s="143"/>
      <c r="K40" s="143"/>
      <c r="L40" s="143"/>
      <c r="M40" s="143"/>
      <c r="N40" s="143"/>
      <c r="O40" s="143"/>
      <c r="P40" s="152"/>
      <c r="Q40" s="87"/>
    </row>
    <row r="41" spans="3:17">
      <c r="C41" s="86"/>
      <c r="D41" s="149"/>
      <c r="E41" s="143"/>
      <c r="F41" s="143"/>
      <c r="G41" s="143"/>
      <c r="H41" s="143"/>
      <c r="I41" s="143"/>
      <c r="J41" s="143"/>
      <c r="K41" s="143"/>
      <c r="L41" s="143"/>
      <c r="M41" s="143"/>
      <c r="N41" s="143"/>
      <c r="O41" s="143"/>
      <c r="P41" s="152"/>
      <c r="Q41" s="87"/>
    </row>
    <row r="42" spans="3:17">
      <c r="C42" s="86"/>
      <c r="D42" s="149"/>
      <c r="E42" s="143"/>
      <c r="F42" s="143"/>
      <c r="G42" s="143"/>
      <c r="H42" s="143"/>
      <c r="I42" s="143"/>
      <c r="J42" s="143"/>
      <c r="K42" s="143"/>
      <c r="L42" s="143"/>
      <c r="M42" s="143"/>
      <c r="N42" s="143"/>
      <c r="O42" s="143"/>
      <c r="P42" s="152"/>
      <c r="Q42" s="87"/>
    </row>
    <row r="43" spans="3:17" ht="15.6" customHeight="1">
      <c r="C43" s="86"/>
      <c r="D43" s="149"/>
      <c r="E43" s="143"/>
      <c r="F43" s="143"/>
      <c r="G43" s="143"/>
      <c r="H43" s="143"/>
      <c r="I43" s="143"/>
      <c r="J43" s="143"/>
      <c r="K43" s="143"/>
      <c r="L43" s="143"/>
      <c r="M43" s="143"/>
      <c r="N43" s="143"/>
      <c r="O43" s="143"/>
      <c r="P43" s="152"/>
      <c r="Q43" s="87"/>
    </row>
    <row r="44" spans="3:17">
      <c r="C44" s="86"/>
      <c r="D44" s="149"/>
      <c r="E44" s="143"/>
      <c r="F44" s="143"/>
      <c r="G44" s="143"/>
      <c r="H44" s="143"/>
      <c r="I44" s="143"/>
      <c r="J44" s="143"/>
      <c r="K44" s="143"/>
      <c r="L44" s="143"/>
      <c r="M44" s="143"/>
      <c r="N44" s="143"/>
      <c r="O44" s="143"/>
      <c r="P44" s="152"/>
      <c r="Q44" s="87"/>
    </row>
    <row r="45" spans="3:17">
      <c r="C45" s="86"/>
      <c r="D45" s="149"/>
      <c r="E45" s="143"/>
      <c r="F45" s="143"/>
      <c r="G45" s="143"/>
      <c r="H45" s="143"/>
      <c r="I45" s="143"/>
      <c r="J45" s="143"/>
      <c r="K45" s="143"/>
      <c r="L45" s="143"/>
      <c r="M45" s="143"/>
      <c r="N45" s="143"/>
      <c r="O45" s="143"/>
      <c r="P45" s="152"/>
      <c r="Q45" s="87"/>
    </row>
    <row r="46" spans="3:17">
      <c r="C46" s="86"/>
      <c r="D46" s="149"/>
      <c r="E46" s="143"/>
      <c r="F46" s="143"/>
      <c r="G46" s="143"/>
      <c r="H46" s="143"/>
      <c r="I46" s="143"/>
      <c r="J46" s="143"/>
      <c r="K46" s="143"/>
      <c r="L46" s="143"/>
      <c r="M46" s="143"/>
      <c r="N46" s="143"/>
      <c r="O46" s="143"/>
      <c r="P46" s="152"/>
      <c r="Q46" s="87"/>
    </row>
    <row r="47" spans="3:17">
      <c r="C47" s="86"/>
      <c r="D47" s="149"/>
      <c r="E47" s="143"/>
      <c r="F47" s="143"/>
      <c r="G47" s="143"/>
      <c r="H47" s="143"/>
      <c r="I47" s="143"/>
      <c r="J47" s="143"/>
      <c r="K47" s="143"/>
      <c r="L47" s="143"/>
      <c r="M47" s="143"/>
      <c r="N47" s="143"/>
      <c r="O47" s="143"/>
      <c r="P47" s="152"/>
      <c r="Q47" s="87"/>
    </row>
    <row r="48" spans="3:17">
      <c r="C48" s="86"/>
      <c r="D48" s="149"/>
      <c r="E48" s="143"/>
      <c r="F48" s="143"/>
      <c r="G48" s="143"/>
      <c r="H48" s="143"/>
      <c r="I48" s="143"/>
      <c r="J48" s="143"/>
      <c r="K48" s="143"/>
      <c r="L48" s="143"/>
      <c r="M48" s="143"/>
      <c r="N48" s="143"/>
      <c r="O48" s="143"/>
      <c r="P48" s="152"/>
      <c r="Q48" s="87"/>
    </row>
    <row r="49" spans="3:17">
      <c r="C49" s="86"/>
      <c r="D49" s="149"/>
      <c r="E49" s="143"/>
      <c r="F49" s="143"/>
      <c r="G49" s="143"/>
      <c r="H49" s="143"/>
      <c r="I49" s="143"/>
      <c r="J49" s="143"/>
      <c r="K49" s="143"/>
      <c r="L49" s="143"/>
      <c r="M49" s="143"/>
      <c r="N49" s="143"/>
      <c r="O49" s="143"/>
      <c r="P49" s="152"/>
      <c r="Q49" s="87"/>
    </row>
    <row r="50" spans="3:17">
      <c r="C50" s="86"/>
      <c r="D50" s="149"/>
      <c r="E50" s="143"/>
      <c r="F50" s="143"/>
      <c r="G50" s="143"/>
      <c r="H50" s="143"/>
      <c r="I50" s="143"/>
      <c r="J50" s="143"/>
      <c r="K50" s="143"/>
      <c r="L50" s="143"/>
      <c r="M50" s="143"/>
      <c r="N50" s="143"/>
      <c r="O50" s="143"/>
      <c r="P50" s="152"/>
      <c r="Q50" s="87"/>
    </row>
    <row r="51" spans="3:17">
      <c r="C51" s="86"/>
      <c r="D51" s="149"/>
      <c r="E51" s="143"/>
      <c r="F51" s="143"/>
      <c r="G51" s="143"/>
      <c r="H51" s="143"/>
      <c r="I51" s="143"/>
      <c r="J51" s="143"/>
      <c r="K51" s="143"/>
      <c r="L51" s="143"/>
      <c r="M51" s="143"/>
      <c r="N51" s="143"/>
      <c r="O51" s="143"/>
      <c r="P51" s="152"/>
      <c r="Q51" s="87"/>
    </row>
    <row r="52" spans="3:17">
      <c r="C52" s="86"/>
      <c r="D52" s="149"/>
      <c r="E52" s="143"/>
      <c r="F52" s="143"/>
      <c r="G52" s="143"/>
      <c r="H52" s="143"/>
      <c r="I52" s="143"/>
      <c r="J52" s="143"/>
      <c r="K52" s="143"/>
      <c r="L52" s="143"/>
      <c r="M52" s="143"/>
      <c r="N52" s="143"/>
      <c r="O52" s="143"/>
      <c r="P52" s="152"/>
      <c r="Q52" s="87"/>
    </row>
    <row r="53" spans="3:17">
      <c r="C53" s="86"/>
      <c r="D53" s="149"/>
      <c r="E53" s="143"/>
      <c r="F53" s="143"/>
      <c r="G53" s="143"/>
      <c r="H53" s="143"/>
      <c r="I53" s="143"/>
      <c r="J53" s="143"/>
      <c r="K53" s="143"/>
      <c r="L53" s="143"/>
      <c r="M53" s="143"/>
      <c r="N53" s="143"/>
      <c r="O53" s="143"/>
      <c r="P53" s="152"/>
      <c r="Q53" s="87"/>
    </row>
    <row r="54" spans="3:17" ht="15" thickBot="1">
      <c r="C54" s="86"/>
      <c r="D54" s="149"/>
      <c r="E54" s="143"/>
      <c r="F54" s="143"/>
      <c r="G54" s="143"/>
      <c r="H54" s="143"/>
      <c r="I54" s="143"/>
      <c r="J54" s="143"/>
      <c r="K54" s="143"/>
      <c r="L54" s="143"/>
      <c r="M54" s="143"/>
      <c r="N54" s="143"/>
      <c r="O54" s="143"/>
      <c r="P54" s="152"/>
      <c r="Q54" s="87"/>
    </row>
    <row r="55" spans="3:17" ht="15" thickBot="1">
      <c r="C55" s="86"/>
      <c r="D55" s="149"/>
      <c r="E55" s="245" t="s">
        <v>25</v>
      </c>
      <c r="F55" s="245"/>
      <c r="G55" s="245"/>
      <c r="H55" s="245"/>
      <c r="I55" s="245"/>
      <c r="J55" s="245"/>
      <c r="K55" s="245"/>
      <c r="L55" s="245"/>
      <c r="M55" s="245"/>
      <c r="N55" s="245"/>
      <c r="O55" s="245"/>
      <c r="P55" s="152"/>
      <c r="Q55" s="87"/>
    </row>
    <row r="56" spans="3:17" ht="21.6" customHeight="1">
      <c r="C56" s="86"/>
      <c r="D56" s="149"/>
      <c r="E56" s="246" t="s">
        <v>406</v>
      </c>
      <c r="F56" s="247"/>
      <c r="G56" s="247"/>
      <c r="H56" s="247"/>
      <c r="I56" s="247"/>
      <c r="J56" s="247"/>
      <c r="K56" s="247"/>
      <c r="L56" s="247"/>
      <c r="M56" s="247"/>
      <c r="N56" s="247"/>
      <c r="O56" s="247"/>
      <c r="P56" s="158"/>
      <c r="Q56" s="87"/>
    </row>
    <row r="57" spans="3:17" ht="45.6" customHeight="1">
      <c r="C57" s="86"/>
      <c r="D57" s="149"/>
      <c r="E57" s="229" t="str">
        <f>_xlfn.XLOOKUP(Diagnóstico!E33,Listas!B5:B9,Listas!E5:E9,"")</f>
        <v/>
      </c>
      <c r="F57" s="230"/>
      <c r="G57" s="230"/>
      <c r="H57" s="230"/>
      <c r="I57" s="230"/>
      <c r="J57" s="230"/>
      <c r="K57" s="230"/>
      <c r="L57" s="230"/>
      <c r="M57" s="230"/>
      <c r="N57" s="230"/>
      <c r="O57" s="231"/>
      <c r="P57" s="152"/>
      <c r="Q57" s="87"/>
    </row>
    <row r="58" spans="3:17" ht="45.6" customHeight="1">
      <c r="C58" s="86"/>
      <c r="D58" s="149"/>
      <c r="E58" s="229" t="str">
        <f>_xlfn.XLOOKUP(Diagnóstico!E36,Listas!B13:B17,Listas!E13:E17,"")</f>
        <v/>
      </c>
      <c r="F58" s="230"/>
      <c r="G58" s="230"/>
      <c r="H58" s="230"/>
      <c r="I58" s="230"/>
      <c r="J58" s="230"/>
      <c r="K58" s="230"/>
      <c r="L58" s="230"/>
      <c r="M58" s="230"/>
      <c r="N58" s="230"/>
      <c r="O58" s="231"/>
      <c r="P58" s="152"/>
      <c r="Q58" s="87"/>
    </row>
    <row r="59" spans="3:17" ht="21.6" customHeight="1">
      <c r="C59" s="86"/>
      <c r="D59" s="149"/>
      <c r="E59" s="232" t="s">
        <v>407</v>
      </c>
      <c r="F59" s="233"/>
      <c r="G59" s="233"/>
      <c r="H59" s="233"/>
      <c r="I59" s="233"/>
      <c r="J59" s="233"/>
      <c r="K59" s="233"/>
      <c r="L59" s="233"/>
      <c r="M59" s="233"/>
      <c r="N59" s="233"/>
      <c r="O59" s="234"/>
      <c r="P59" s="152"/>
      <c r="Q59" s="87"/>
    </row>
    <row r="60" spans="3:17" ht="45.6" customHeight="1">
      <c r="C60" s="86"/>
      <c r="D60" s="159"/>
      <c r="E60" s="235" t="str">
        <f>_xlfn.XLOOKUP(Diagnóstico!E39,Listas!B20:B21,Listas!E20:E21,"")</f>
        <v/>
      </c>
      <c r="F60" s="235"/>
      <c r="G60" s="235"/>
      <c r="H60" s="235"/>
      <c r="I60" s="235"/>
      <c r="J60" s="235"/>
      <c r="K60" s="235"/>
      <c r="L60" s="235"/>
      <c r="M60" s="235"/>
      <c r="N60" s="235"/>
      <c r="O60" s="235"/>
      <c r="P60" s="158"/>
      <c r="Q60" s="87"/>
    </row>
    <row r="61" spans="3:17" ht="45.6" customHeight="1">
      <c r="C61" s="86"/>
      <c r="D61" s="159"/>
      <c r="E61" s="235" t="str">
        <f>_xlfn.XLOOKUP(Diagnóstico!E42,Listas!B24:B28,Listas!E24:E28,"")</f>
        <v/>
      </c>
      <c r="F61" s="235"/>
      <c r="G61" s="235"/>
      <c r="H61" s="235"/>
      <c r="I61" s="235"/>
      <c r="J61" s="235"/>
      <c r="K61" s="235"/>
      <c r="L61" s="235"/>
      <c r="M61" s="235"/>
      <c r="N61" s="235"/>
      <c r="O61" s="235"/>
      <c r="P61" s="158"/>
      <c r="Q61" s="87"/>
    </row>
    <row r="62" spans="3:17" ht="45.6" customHeight="1">
      <c r="C62" s="86"/>
      <c r="D62" s="149"/>
      <c r="E62" s="236" t="str">
        <f>_xlfn.XLOOKUP(Diagnóstico!E45,Listas!B31:B32,Listas!E31:E32,"")</f>
        <v/>
      </c>
      <c r="F62" s="235"/>
      <c r="G62" s="235"/>
      <c r="H62" s="235"/>
      <c r="I62" s="235"/>
      <c r="J62" s="235"/>
      <c r="K62" s="235"/>
      <c r="L62" s="235"/>
      <c r="M62" s="235"/>
      <c r="N62" s="235"/>
      <c r="O62" s="237"/>
      <c r="P62" s="152"/>
      <c r="Q62" s="87"/>
    </row>
    <row r="63" spans="3:17" ht="45.6" customHeight="1">
      <c r="C63" s="86"/>
      <c r="D63" s="149"/>
      <c r="E63" s="236" t="str">
        <f>_xlfn.XLOOKUP(Diagnóstico!E48,Listas!B35:B39,Listas!E35:E39,"")</f>
        <v/>
      </c>
      <c r="F63" s="235"/>
      <c r="G63" s="235"/>
      <c r="H63" s="235"/>
      <c r="I63" s="235"/>
      <c r="J63" s="235"/>
      <c r="K63" s="235"/>
      <c r="L63" s="235"/>
      <c r="M63" s="235"/>
      <c r="N63" s="235"/>
      <c r="O63" s="237"/>
      <c r="P63" s="152"/>
      <c r="Q63" s="87"/>
    </row>
    <row r="64" spans="3:17" ht="21.6" customHeight="1">
      <c r="C64" s="86"/>
      <c r="D64" s="149"/>
      <c r="E64" s="232" t="s">
        <v>408</v>
      </c>
      <c r="F64" s="233"/>
      <c r="G64" s="233"/>
      <c r="H64" s="233"/>
      <c r="I64" s="233"/>
      <c r="J64" s="233"/>
      <c r="K64" s="233"/>
      <c r="L64" s="233"/>
      <c r="M64" s="233"/>
      <c r="N64" s="233"/>
      <c r="O64" s="234"/>
      <c r="P64" s="152"/>
      <c r="Q64" s="87"/>
    </row>
    <row r="65" spans="3:17" ht="45.6" customHeight="1">
      <c r="C65" s="86"/>
      <c r="D65" s="149"/>
      <c r="E65" s="229" t="str">
        <f>_xlfn.XLOOKUP(Diagnóstico!E51,Listas!B42:B43,Listas!E42:E43,"")</f>
        <v/>
      </c>
      <c r="F65" s="230"/>
      <c r="G65" s="230"/>
      <c r="H65" s="230"/>
      <c r="I65" s="230"/>
      <c r="J65" s="230"/>
      <c r="K65" s="230"/>
      <c r="L65" s="230"/>
      <c r="M65" s="230"/>
      <c r="N65" s="230"/>
      <c r="O65" s="231"/>
      <c r="P65" s="152"/>
      <c r="Q65" s="87"/>
    </row>
    <row r="66" spans="3:17" ht="45.6" customHeight="1">
      <c r="C66" s="86"/>
      <c r="D66" s="149"/>
      <c r="E66" s="229" t="str">
        <f>_xlfn.XLOOKUP(Diagnóstico!E54,Listas!B46:B50,Listas!E46:E50,"")</f>
        <v/>
      </c>
      <c r="F66" s="230"/>
      <c r="G66" s="230"/>
      <c r="H66" s="230"/>
      <c r="I66" s="230"/>
      <c r="J66" s="230"/>
      <c r="K66" s="230"/>
      <c r="L66" s="230"/>
      <c r="M66" s="230"/>
      <c r="N66" s="230"/>
      <c r="O66" s="230"/>
      <c r="P66" s="158"/>
      <c r="Q66" s="87"/>
    </row>
    <row r="67" spans="3:17" ht="45.6" customHeight="1">
      <c r="C67" s="86"/>
      <c r="D67" s="149"/>
      <c r="E67" s="229" t="str">
        <f>_xlfn.XLOOKUP(Diagnóstico!E57,Listas!B53:B54,Listas!E53:E54,"")</f>
        <v/>
      </c>
      <c r="F67" s="230"/>
      <c r="G67" s="230"/>
      <c r="H67" s="230"/>
      <c r="I67" s="230"/>
      <c r="J67" s="230"/>
      <c r="K67" s="230"/>
      <c r="L67" s="230"/>
      <c r="M67" s="230"/>
      <c r="N67" s="230"/>
      <c r="O67" s="230"/>
      <c r="P67" s="158"/>
      <c r="Q67" s="87"/>
    </row>
    <row r="68" spans="3:17" ht="45.6" customHeight="1">
      <c r="C68" s="86"/>
      <c r="D68" s="149"/>
      <c r="E68" s="229" t="str">
        <f>_xlfn.XLOOKUP(Diagnóstico!E60,Listas!B57:B58,Listas!E57:E58,"")</f>
        <v/>
      </c>
      <c r="F68" s="230"/>
      <c r="G68" s="230"/>
      <c r="H68" s="230"/>
      <c r="I68" s="230"/>
      <c r="J68" s="230"/>
      <c r="K68" s="230"/>
      <c r="L68" s="230"/>
      <c r="M68" s="230"/>
      <c r="N68" s="230"/>
      <c r="O68" s="230"/>
      <c r="P68" s="158"/>
      <c r="Q68" s="87"/>
    </row>
    <row r="69" spans="3:17" ht="45.6" customHeight="1">
      <c r="C69" s="86"/>
      <c r="D69" s="149"/>
      <c r="E69" s="229" t="str">
        <f>_xlfn.XLOOKUP(Diagnóstico!E63,Listas!B61:B66,Listas!E61:E66,"")</f>
        <v/>
      </c>
      <c r="F69" s="230"/>
      <c r="G69" s="230"/>
      <c r="H69" s="230"/>
      <c r="I69" s="230"/>
      <c r="J69" s="230"/>
      <c r="K69" s="230"/>
      <c r="L69" s="230"/>
      <c r="M69" s="230"/>
      <c r="N69" s="230"/>
      <c r="O69" s="231"/>
      <c r="P69" s="152"/>
      <c r="Q69" s="87"/>
    </row>
    <row r="70" spans="3:17" ht="45.6" customHeight="1">
      <c r="C70" s="86"/>
      <c r="D70" s="149"/>
      <c r="E70" s="229" t="str">
        <f>_xlfn.XLOOKUP(Diagnóstico!E66,Listas!B69:B72,Listas!E69:E72,"")</f>
        <v/>
      </c>
      <c r="F70" s="230"/>
      <c r="G70" s="230"/>
      <c r="H70" s="230"/>
      <c r="I70" s="230"/>
      <c r="J70" s="230"/>
      <c r="K70" s="230"/>
      <c r="L70" s="230"/>
      <c r="M70" s="230"/>
      <c r="N70" s="230"/>
      <c r="O70" s="231"/>
      <c r="P70" s="152"/>
      <c r="Q70" s="87"/>
    </row>
    <row r="71" spans="3:17" ht="45.6" customHeight="1">
      <c r="C71" s="86"/>
      <c r="D71" s="149"/>
      <c r="E71" s="229" t="str">
        <f>_xlfn.XLOOKUP(Diagnóstico!E69,Listas!B75:B76,Listas!E75:E76,"")</f>
        <v/>
      </c>
      <c r="F71" s="230"/>
      <c r="G71" s="230"/>
      <c r="H71" s="230"/>
      <c r="I71" s="230"/>
      <c r="J71" s="230"/>
      <c r="K71" s="230"/>
      <c r="L71" s="230"/>
      <c r="M71" s="230"/>
      <c r="N71" s="230"/>
      <c r="O71" s="230"/>
      <c r="P71" s="158"/>
      <c r="Q71" s="87"/>
    </row>
    <row r="72" spans="3:17" ht="45.6" customHeight="1">
      <c r="C72" s="86"/>
      <c r="D72" s="149"/>
      <c r="E72" s="229" t="str">
        <f>_xlfn.XLOOKUP(Diagnóstico!E72,Listas!B79:B84,Listas!E79:E84,"")</f>
        <v/>
      </c>
      <c r="F72" s="230"/>
      <c r="G72" s="230"/>
      <c r="H72" s="230"/>
      <c r="I72" s="230"/>
      <c r="J72" s="230"/>
      <c r="K72" s="230"/>
      <c r="L72" s="230"/>
      <c r="M72" s="230"/>
      <c r="N72" s="230"/>
      <c r="O72" s="230"/>
      <c r="P72" s="158"/>
      <c r="Q72" s="87"/>
    </row>
    <row r="73" spans="3:17" ht="45.6" customHeight="1">
      <c r="C73" s="86"/>
      <c r="D73" s="149"/>
      <c r="E73" s="229" t="str">
        <f>_xlfn.XLOOKUP(Diagnóstico!E75,Listas!B87:B93,Listas!E87:E93,"")</f>
        <v/>
      </c>
      <c r="F73" s="230"/>
      <c r="G73" s="230"/>
      <c r="H73" s="230"/>
      <c r="I73" s="230"/>
      <c r="J73" s="230"/>
      <c r="K73" s="230"/>
      <c r="L73" s="230"/>
      <c r="M73" s="230"/>
      <c r="N73" s="230"/>
      <c r="O73" s="230"/>
      <c r="P73" s="158"/>
      <c r="Q73" s="87"/>
    </row>
    <row r="74" spans="3:17" ht="21.6" customHeight="1">
      <c r="C74" s="86"/>
      <c r="D74" s="149"/>
      <c r="E74" s="232" t="s">
        <v>409</v>
      </c>
      <c r="F74" s="233"/>
      <c r="G74" s="233"/>
      <c r="H74" s="233"/>
      <c r="I74" s="233"/>
      <c r="J74" s="233"/>
      <c r="K74" s="233"/>
      <c r="L74" s="233"/>
      <c r="M74" s="233"/>
      <c r="N74" s="233"/>
      <c r="O74" s="234"/>
      <c r="P74" s="158"/>
      <c r="Q74" s="87"/>
    </row>
    <row r="75" spans="3:17" ht="45.6" customHeight="1">
      <c r="C75" s="86"/>
      <c r="D75" s="149"/>
      <c r="E75" s="229" t="str">
        <f>_xlfn.XLOOKUP(Diagnóstico!E78,Listas!B96:B97,Listas!E96:E97,"")</f>
        <v/>
      </c>
      <c r="F75" s="230"/>
      <c r="G75" s="230"/>
      <c r="H75" s="230"/>
      <c r="I75" s="230"/>
      <c r="J75" s="230"/>
      <c r="K75" s="230"/>
      <c r="L75" s="230"/>
      <c r="M75" s="230"/>
      <c r="N75" s="230"/>
      <c r="O75" s="230"/>
      <c r="P75" s="158"/>
      <c r="Q75" s="87"/>
    </row>
    <row r="76" spans="3:17" ht="45.6" customHeight="1">
      <c r="C76" s="86"/>
      <c r="D76" s="149"/>
      <c r="E76" s="229" t="str">
        <f>_xlfn.XLOOKUP(Diagnóstico!E81,Listas!B100:B104,Listas!E100:E104,"")</f>
        <v/>
      </c>
      <c r="F76" s="230"/>
      <c r="G76" s="230"/>
      <c r="H76" s="230"/>
      <c r="I76" s="230"/>
      <c r="J76" s="230"/>
      <c r="K76" s="230"/>
      <c r="L76" s="230"/>
      <c r="M76" s="230"/>
      <c r="N76" s="230"/>
      <c r="O76" s="231"/>
      <c r="P76" s="152"/>
      <c r="Q76" s="87"/>
    </row>
    <row r="77" spans="3:17" ht="45.6" customHeight="1">
      <c r="C77" s="86"/>
      <c r="D77" s="149"/>
      <c r="E77" s="229" t="str">
        <f>_xlfn.XLOOKUP(Diagnóstico!E84,Listas!B107:B111,Listas!E107:E111,"")</f>
        <v/>
      </c>
      <c r="F77" s="230"/>
      <c r="G77" s="230"/>
      <c r="H77" s="230"/>
      <c r="I77" s="230"/>
      <c r="J77" s="230"/>
      <c r="K77" s="230"/>
      <c r="L77" s="230"/>
      <c r="M77" s="230"/>
      <c r="N77" s="230"/>
      <c r="O77" s="231"/>
      <c r="P77" s="152"/>
      <c r="Q77" s="87"/>
    </row>
    <row r="78" spans="3:17" ht="45.6" customHeight="1">
      <c r="C78" s="86"/>
      <c r="D78" s="149"/>
      <c r="E78" s="229" t="str">
        <f>_xlfn.XLOOKUP(Diagnóstico!E87,Listas!B114:B119,Listas!E114:E119,"")</f>
        <v/>
      </c>
      <c r="F78" s="230"/>
      <c r="G78" s="230"/>
      <c r="H78" s="230"/>
      <c r="I78" s="230"/>
      <c r="J78" s="230"/>
      <c r="K78" s="230"/>
      <c r="L78" s="230"/>
      <c r="M78" s="230"/>
      <c r="N78" s="230"/>
      <c r="O78" s="231"/>
      <c r="P78" s="152"/>
      <c r="Q78" s="87"/>
    </row>
    <row r="79" spans="3:17" ht="45.6" customHeight="1">
      <c r="C79" s="86"/>
      <c r="D79" s="149"/>
      <c r="E79" s="229" t="str">
        <f>_xlfn.XLOOKUP(Diagnóstico!E90,Listas!B122:B123,Listas!E122:E123,"")</f>
        <v/>
      </c>
      <c r="F79" s="230"/>
      <c r="G79" s="230"/>
      <c r="H79" s="230"/>
      <c r="I79" s="230"/>
      <c r="J79" s="230"/>
      <c r="K79" s="230"/>
      <c r="L79" s="230"/>
      <c r="M79" s="230"/>
      <c r="N79" s="230"/>
      <c r="O79" s="231"/>
      <c r="P79" s="152"/>
      <c r="Q79" s="87"/>
    </row>
    <row r="80" spans="3:17" ht="45.6" customHeight="1">
      <c r="C80" s="86"/>
      <c r="D80" s="149"/>
      <c r="E80" s="229" t="str">
        <f>_xlfn.XLOOKUP(Diagnóstico!E93,Listas!B126:B129,Listas!E126:E129,"")</f>
        <v/>
      </c>
      <c r="F80" s="230"/>
      <c r="G80" s="230"/>
      <c r="H80" s="230"/>
      <c r="I80" s="230"/>
      <c r="J80" s="230"/>
      <c r="K80" s="230"/>
      <c r="L80" s="230"/>
      <c r="M80" s="230"/>
      <c r="N80" s="230"/>
      <c r="O80" s="231"/>
      <c r="P80" s="152"/>
      <c r="Q80" s="87"/>
    </row>
    <row r="81" spans="3:17" ht="21.6" customHeight="1">
      <c r="C81" s="86"/>
      <c r="D81" s="149"/>
      <c r="E81" s="232" t="s">
        <v>410</v>
      </c>
      <c r="F81" s="233"/>
      <c r="G81" s="233"/>
      <c r="H81" s="233"/>
      <c r="I81" s="233"/>
      <c r="J81" s="233"/>
      <c r="K81" s="233"/>
      <c r="L81" s="233"/>
      <c r="M81" s="233"/>
      <c r="N81" s="233"/>
      <c r="O81" s="234"/>
      <c r="P81" s="152"/>
      <c r="Q81" s="87"/>
    </row>
    <row r="82" spans="3:17" ht="57" customHeight="1">
      <c r="C82" s="86"/>
      <c r="D82" s="149"/>
      <c r="E82" s="229" t="str">
        <f>_xlfn.XLOOKUP(Diagnóstico!E96,Listas!B132:B136,Listas!E132:E136,"")</f>
        <v/>
      </c>
      <c r="F82" s="230"/>
      <c r="G82" s="230"/>
      <c r="H82" s="230"/>
      <c r="I82" s="230"/>
      <c r="J82" s="230"/>
      <c r="K82" s="230"/>
      <c r="L82" s="230"/>
      <c r="M82" s="230"/>
      <c r="N82" s="230"/>
      <c r="O82" s="230"/>
      <c r="P82" s="158"/>
      <c r="Q82" s="87"/>
    </row>
    <row r="83" spans="3:17" ht="49.8" customHeight="1">
      <c r="C83" s="86"/>
      <c r="D83" s="149"/>
      <c r="E83" s="229" t="str">
        <f>_xlfn.XLOOKUP(Diagnóstico!E99,Listas!B139:B142,Listas!E139:E142,"")</f>
        <v/>
      </c>
      <c r="F83" s="230"/>
      <c r="G83" s="230"/>
      <c r="H83" s="230"/>
      <c r="I83" s="230"/>
      <c r="J83" s="230"/>
      <c r="K83" s="230"/>
      <c r="L83" s="230"/>
      <c r="M83" s="230"/>
      <c r="N83" s="230"/>
      <c r="O83" s="230"/>
      <c r="P83" s="158"/>
      <c r="Q83" s="87"/>
    </row>
    <row r="84" spans="3:17" ht="49.8" customHeight="1">
      <c r="C84" s="86"/>
      <c r="D84" s="149"/>
      <c r="E84" s="229" t="str">
        <f>_xlfn.XLOOKUP(Diagnóstico!E102,Listas!B145:B149,Listas!E145:E149,"")</f>
        <v/>
      </c>
      <c r="F84" s="230"/>
      <c r="G84" s="230"/>
      <c r="H84" s="230"/>
      <c r="I84" s="230"/>
      <c r="J84" s="230"/>
      <c r="K84" s="230"/>
      <c r="L84" s="230"/>
      <c r="M84" s="230"/>
      <c r="N84" s="230"/>
      <c r="O84" s="230"/>
      <c r="P84" s="158"/>
      <c r="Q84" s="87"/>
    </row>
    <row r="85" spans="3:17" ht="57.6" customHeight="1">
      <c r="C85" s="86"/>
      <c r="D85" s="149"/>
      <c r="E85" s="229" t="str">
        <f>_xlfn.XLOOKUP(Diagnóstico!E105,Listas!B152:B156,Listas!E152:E156,"")</f>
        <v/>
      </c>
      <c r="F85" s="230"/>
      <c r="G85" s="230"/>
      <c r="H85" s="230"/>
      <c r="I85" s="230"/>
      <c r="J85" s="230"/>
      <c r="K85" s="230"/>
      <c r="L85" s="230"/>
      <c r="M85" s="230"/>
      <c r="N85" s="230"/>
      <c r="O85" s="231"/>
      <c r="P85" s="152"/>
      <c r="Q85" s="87"/>
    </row>
    <row r="86" spans="3:17" ht="57.6" customHeight="1">
      <c r="C86" s="86"/>
      <c r="D86" s="149"/>
      <c r="E86" s="270" t="str">
        <f>_xlfn.XLOOKUP(Diagnóstico!E117,Listas!B171:B175,Listas!E171:E175,"")</f>
        <v/>
      </c>
      <c r="F86" s="271"/>
      <c r="G86" s="271"/>
      <c r="H86" s="271"/>
      <c r="I86" s="271"/>
      <c r="J86" s="271"/>
      <c r="K86" s="271"/>
      <c r="L86" s="271"/>
      <c r="M86" s="271"/>
      <c r="N86" s="271"/>
      <c r="O86" s="272"/>
      <c r="P86" s="152"/>
      <c r="Q86" s="87"/>
    </row>
    <row r="87" spans="3:17" ht="23.4" customHeight="1">
      <c r="C87" s="86"/>
      <c r="D87" s="149"/>
      <c r="E87" s="261" t="s">
        <v>415</v>
      </c>
      <c r="F87" s="262"/>
      <c r="G87" s="262"/>
      <c r="H87" s="262"/>
      <c r="I87" s="262"/>
      <c r="J87" s="262"/>
      <c r="K87" s="262"/>
      <c r="L87" s="262"/>
      <c r="M87" s="262"/>
      <c r="N87" s="262"/>
      <c r="O87" s="263"/>
      <c r="P87" s="152"/>
      <c r="Q87" s="87"/>
    </row>
    <row r="88" spans="3:17" ht="47.4" customHeight="1">
      <c r="C88" s="86"/>
      <c r="D88" s="149"/>
      <c r="E88" s="273" t="str">
        <f>_xlfn.XLOOKUP(Diagnóstico!E108,Listas!B159:B160,Listas!E159:E160,"")</f>
        <v/>
      </c>
      <c r="F88" s="274"/>
      <c r="G88" s="274"/>
      <c r="H88" s="274"/>
      <c r="I88" s="274"/>
      <c r="J88" s="274"/>
      <c r="K88" s="274"/>
      <c r="L88" s="274"/>
      <c r="M88" s="274"/>
      <c r="N88" s="274"/>
      <c r="O88" s="275"/>
      <c r="P88" s="152"/>
      <c r="Q88" s="87"/>
    </row>
    <row r="89" spans="3:17" ht="45.6" customHeight="1">
      <c r="C89" s="86"/>
      <c r="D89" s="149"/>
      <c r="E89" s="273" t="str">
        <f>_xlfn.XLOOKUP(Diagnóstico!E111,Listas!B163:B164,Listas!E163:E164,"")</f>
        <v/>
      </c>
      <c r="F89" s="274"/>
      <c r="G89" s="274"/>
      <c r="H89" s="274"/>
      <c r="I89" s="274"/>
      <c r="J89" s="274"/>
      <c r="K89" s="274"/>
      <c r="L89" s="274"/>
      <c r="M89" s="274"/>
      <c r="N89" s="274"/>
      <c r="O89" s="275"/>
      <c r="P89" s="152"/>
      <c r="Q89" s="87"/>
    </row>
    <row r="90" spans="3:17" ht="45.6" customHeight="1" thickBot="1">
      <c r="C90" s="86"/>
      <c r="D90" s="149"/>
      <c r="E90" s="276" t="str">
        <f>_xlfn.XLOOKUP(Diagnóstico!E114,Listas!B167:B168,Listas!E167:E168,"")</f>
        <v/>
      </c>
      <c r="F90" s="277"/>
      <c r="G90" s="277"/>
      <c r="H90" s="277"/>
      <c r="I90" s="277"/>
      <c r="J90" s="277"/>
      <c r="K90" s="277"/>
      <c r="L90" s="277"/>
      <c r="M90" s="277"/>
      <c r="N90" s="277"/>
      <c r="O90" s="278"/>
      <c r="P90" s="152"/>
      <c r="Q90" s="87"/>
    </row>
    <row r="91" spans="3:17" ht="15.6" customHeight="1">
      <c r="C91" s="86"/>
      <c r="D91" s="149"/>
      <c r="E91" s="143"/>
      <c r="F91" s="143"/>
      <c r="G91" s="143"/>
      <c r="H91" s="143"/>
      <c r="I91" s="143"/>
      <c r="J91" s="143"/>
      <c r="K91" s="143"/>
      <c r="L91" s="143"/>
      <c r="M91" s="143"/>
      <c r="N91" s="143"/>
      <c r="O91" s="143"/>
      <c r="P91" s="152"/>
      <c r="Q91" s="87"/>
    </row>
    <row r="92" spans="3:17" ht="15.6" customHeight="1" thickBot="1">
      <c r="C92" s="86"/>
      <c r="D92" s="143"/>
      <c r="E92" s="160"/>
      <c r="F92" s="143"/>
      <c r="G92" s="143"/>
      <c r="H92" s="143"/>
      <c r="I92" s="143"/>
      <c r="J92" s="143"/>
      <c r="K92" s="143"/>
      <c r="L92" s="143"/>
      <c r="M92" s="143"/>
      <c r="N92" s="143"/>
      <c r="O92" s="143"/>
      <c r="P92" s="143"/>
      <c r="Q92" s="87"/>
    </row>
    <row r="93" spans="3:17" ht="4.8" customHeight="1" thickBot="1">
      <c r="C93" s="86"/>
      <c r="D93" s="248"/>
      <c r="E93" s="248"/>
      <c r="F93" s="248"/>
      <c r="G93" s="248"/>
      <c r="H93" s="248"/>
      <c r="I93" s="248"/>
      <c r="J93" s="248"/>
      <c r="K93" s="248"/>
      <c r="L93" s="248"/>
      <c r="M93" s="248"/>
      <c r="N93" s="248"/>
      <c r="O93" s="248"/>
      <c r="P93" s="248"/>
      <c r="Q93" s="87"/>
    </row>
    <row r="94" spans="3:17" ht="21" customHeight="1" thickBot="1">
      <c r="C94" s="86"/>
      <c r="D94" s="238" t="s">
        <v>411</v>
      </c>
      <c r="E94" s="238"/>
      <c r="F94" s="238"/>
      <c r="G94" s="238"/>
      <c r="H94" s="238"/>
      <c r="I94" s="238"/>
      <c r="J94" s="238"/>
      <c r="K94" s="238"/>
      <c r="L94" s="238"/>
      <c r="M94" s="238"/>
      <c r="N94" s="238"/>
      <c r="O94" s="238"/>
      <c r="P94" s="238"/>
      <c r="Q94" s="87"/>
    </row>
    <row r="95" spans="3:17" ht="15.6" customHeight="1">
      <c r="C95" s="86"/>
      <c r="D95" s="239"/>
      <c r="E95" s="240"/>
      <c r="F95" s="240"/>
      <c r="G95" s="240"/>
      <c r="H95" s="240"/>
      <c r="I95" s="240"/>
      <c r="J95" s="240"/>
      <c r="K95" s="240"/>
      <c r="L95" s="240"/>
      <c r="M95" s="240"/>
      <c r="N95" s="240"/>
      <c r="O95" s="240"/>
      <c r="P95" s="241"/>
      <c r="Q95" s="87"/>
    </row>
    <row r="96" spans="3:17" ht="15.6" customHeight="1">
      <c r="C96" s="86"/>
      <c r="D96" s="242"/>
      <c r="E96" s="243"/>
      <c r="F96" s="243"/>
      <c r="G96" s="243"/>
      <c r="H96" s="243"/>
      <c r="I96" s="243"/>
      <c r="J96" s="243"/>
      <c r="K96" s="243"/>
      <c r="L96" s="243"/>
      <c r="M96" s="243"/>
      <c r="N96" s="243"/>
      <c r="O96" s="243"/>
      <c r="P96" s="244"/>
      <c r="Q96" s="87"/>
    </row>
    <row r="97" spans="3:17" ht="15.6" customHeight="1">
      <c r="C97" s="86"/>
      <c r="D97" s="242"/>
      <c r="E97" s="243"/>
      <c r="F97" s="243"/>
      <c r="G97" s="243"/>
      <c r="H97" s="243"/>
      <c r="I97" s="243"/>
      <c r="J97" s="243"/>
      <c r="K97" s="243"/>
      <c r="L97" s="243"/>
      <c r="M97" s="243"/>
      <c r="N97" s="243"/>
      <c r="O97" s="243"/>
      <c r="P97" s="244"/>
      <c r="Q97" s="87"/>
    </row>
    <row r="98" spans="3:17" ht="15.6" customHeight="1">
      <c r="C98" s="86"/>
      <c r="D98" s="242"/>
      <c r="E98" s="243"/>
      <c r="F98" s="243"/>
      <c r="G98" s="243"/>
      <c r="H98" s="243"/>
      <c r="I98" s="243"/>
      <c r="J98" s="243"/>
      <c r="K98" s="243"/>
      <c r="L98" s="243"/>
      <c r="M98" s="243"/>
      <c r="N98" s="243"/>
      <c r="O98" s="243"/>
      <c r="P98" s="244"/>
      <c r="Q98" s="87"/>
    </row>
    <row r="99" spans="3:17" ht="15.6" customHeight="1">
      <c r="C99" s="86"/>
      <c r="D99" s="242"/>
      <c r="E99" s="243"/>
      <c r="F99" s="243"/>
      <c r="G99" s="243"/>
      <c r="H99" s="243"/>
      <c r="I99" s="243"/>
      <c r="J99" s="243"/>
      <c r="K99" s="243"/>
      <c r="L99" s="243"/>
      <c r="M99" s="243"/>
      <c r="N99" s="243"/>
      <c r="O99" s="243"/>
      <c r="P99" s="244"/>
      <c r="Q99" s="87"/>
    </row>
    <row r="100" spans="3:17" ht="15.6" customHeight="1">
      <c r="C100" s="86"/>
      <c r="D100" s="242"/>
      <c r="E100" s="243"/>
      <c r="F100" s="243"/>
      <c r="G100" s="243"/>
      <c r="H100" s="243"/>
      <c r="I100" s="243"/>
      <c r="J100" s="243"/>
      <c r="K100" s="243"/>
      <c r="L100" s="243"/>
      <c r="M100" s="243"/>
      <c r="N100" s="243"/>
      <c r="O100" s="243"/>
      <c r="P100" s="244"/>
      <c r="Q100" s="87"/>
    </row>
    <row r="101" spans="3:17" ht="15.6" customHeight="1">
      <c r="C101" s="86"/>
      <c r="D101" s="242"/>
      <c r="E101" s="243"/>
      <c r="F101" s="243"/>
      <c r="G101" s="243"/>
      <c r="H101" s="243"/>
      <c r="I101" s="243"/>
      <c r="J101" s="243"/>
      <c r="K101" s="243"/>
      <c r="L101" s="243"/>
      <c r="M101" s="243"/>
      <c r="N101" s="243"/>
      <c r="O101" s="243"/>
      <c r="P101" s="244"/>
      <c r="Q101" s="87"/>
    </row>
    <row r="102" spans="3:17" ht="15.6" customHeight="1">
      <c r="C102" s="86"/>
      <c r="D102" s="242"/>
      <c r="E102" s="243"/>
      <c r="F102" s="243"/>
      <c r="G102" s="243"/>
      <c r="H102" s="243"/>
      <c r="I102" s="243"/>
      <c r="J102" s="243"/>
      <c r="K102" s="243"/>
      <c r="L102" s="243"/>
      <c r="M102" s="243"/>
      <c r="N102" s="243"/>
      <c r="O102" s="243"/>
      <c r="P102" s="244"/>
      <c r="Q102" s="87"/>
    </row>
    <row r="103" spans="3:17" ht="15.6" customHeight="1">
      <c r="C103" s="86"/>
      <c r="D103" s="242"/>
      <c r="E103" s="243"/>
      <c r="F103" s="243"/>
      <c r="G103" s="243"/>
      <c r="H103" s="243"/>
      <c r="I103" s="243"/>
      <c r="J103" s="243"/>
      <c r="K103" s="243"/>
      <c r="L103" s="243"/>
      <c r="M103" s="243"/>
      <c r="N103" s="243"/>
      <c r="O103" s="243"/>
      <c r="P103" s="244"/>
      <c r="Q103" s="87"/>
    </row>
    <row r="104" spans="3:17" ht="15.6" customHeight="1">
      <c r="C104" s="86"/>
      <c r="D104" s="242"/>
      <c r="E104" s="243"/>
      <c r="F104" s="243"/>
      <c r="G104" s="243"/>
      <c r="H104" s="243"/>
      <c r="I104" s="243"/>
      <c r="J104" s="243"/>
      <c r="K104" s="243"/>
      <c r="L104" s="243"/>
      <c r="M104" s="243"/>
      <c r="N104" s="243"/>
      <c r="O104" s="243"/>
      <c r="P104" s="244"/>
      <c r="Q104" s="87"/>
    </row>
    <row r="105" spans="3:17" ht="15.6" customHeight="1">
      <c r="C105" s="86"/>
      <c r="D105" s="242"/>
      <c r="E105" s="243"/>
      <c r="F105" s="243"/>
      <c r="G105" s="243"/>
      <c r="H105" s="243"/>
      <c r="I105" s="243"/>
      <c r="J105" s="243"/>
      <c r="K105" s="243"/>
      <c r="L105" s="243"/>
      <c r="M105" s="243"/>
      <c r="N105" s="243"/>
      <c r="O105" s="243"/>
      <c r="P105" s="244"/>
      <c r="Q105" s="87"/>
    </row>
    <row r="106" spans="3:17" ht="15.6" customHeight="1">
      <c r="C106" s="86"/>
      <c r="D106" s="242"/>
      <c r="E106" s="243"/>
      <c r="F106" s="243"/>
      <c r="G106" s="243"/>
      <c r="H106" s="243"/>
      <c r="I106" s="243"/>
      <c r="J106" s="243"/>
      <c r="K106" s="243"/>
      <c r="L106" s="243"/>
      <c r="M106" s="243"/>
      <c r="N106" s="243"/>
      <c r="O106" s="243"/>
      <c r="P106" s="244"/>
      <c r="Q106" s="87"/>
    </row>
    <row r="107" spans="3:17" ht="15.6" customHeight="1">
      <c r="C107" s="86"/>
      <c r="D107" s="242"/>
      <c r="E107" s="243"/>
      <c r="F107" s="243"/>
      <c r="G107" s="243"/>
      <c r="H107" s="243"/>
      <c r="I107" s="243"/>
      <c r="J107" s="243"/>
      <c r="K107" s="243"/>
      <c r="L107" s="243"/>
      <c r="M107" s="243"/>
      <c r="N107" s="243"/>
      <c r="O107" s="243"/>
      <c r="P107" s="244"/>
      <c r="Q107" s="87"/>
    </row>
    <row r="108" spans="3:17" ht="15.6" customHeight="1">
      <c r="C108" s="86"/>
      <c r="D108" s="242"/>
      <c r="E108" s="243"/>
      <c r="F108" s="243"/>
      <c r="G108" s="243"/>
      <c r="H108" s="243"/>
      <c r="I108" s="243"/>
      <c r="J108" s="243"/>
      <c r="K108" s="243"/>
      <c r="L108" s="243"/>
      <c r="M108" s="243"/>
      <c r="N108" s="243"/>
      <c r="O108" s="243"/>
      <c r="P108" s="244"/>
      <c r="Q108" s="87"/>
    </row>
    <row r="109" spans="3:17" ht="15.6" customHeight="1">
      <c r="C109" s="86"/>
      <c r="D109" s="242"/>
      <c r="E109" s="243"/>
      <c r="F109" s="243"/>
      <c r="G109" s="243"/>
      <c r="H109" s="243"/>
      <c r="I109" s="243"/>
      <c r="J109" s="243"/>
      <c r="K109" s="243"/>
      <c r="L109" s="243"/>
      <c r="M109" s="243"/>
      <c r="N109" s="243"/>
      <c r="O109" s="243"/>
      <c r="P109" s="244"/>
      <c r="Q109" s="87"/>
    </row>
    <row r="110" spans="3:17" ht="15.6" customHeight="1">
      <c r="C110" s="86"/>
      <c r="D110" s="242"/>
      <c r="E110" s="243"/>
      <c r="F110" s="243"/>
      <c r="G110" s="243"/>
      <c r="H110" s="243"/>
      <c r="I110" s="243"/>
      <c r="J110" s="243"/>
      <c r="K110" s="243"/>
      <c r="L110" s="243"/>
      <c r="M110" s="243"/>
      <c r="N110" s="243"/>
      <c r="O110" s="243"/>
      <c r="P110" s="244"/>
      <c r="Q110" s="87"/>
    </row>
    <row r="111" spans="3:17" ht="15.6" customHeight="1">
      <c r="C111" s="86"/>
      <c r="D111" s="242"/>
      <c r="E111" s="243"/>
      <c r="F111" s="243"/>
      <c r="G111" s="243"/>
      <c r="H111" s="243"/>
      <c r="I111" s="243"/>
      <c r="J111" s="243"/>
      <c r="K111" s="243"/>
      <c r="L111" s="243"/>
      <c r="M111" s="243"/>
      <c r="N111" s="243"/>
      <c r="O111" s="243"/>
      <c r="P111" s="244"/>
      <c r="Q111" s="87"/>
    </row>
    <row r="112" spans="3:17" ht="15.6" customHeight="1">
      <c r="C112" s="86"/>
      <c r="D112" s="242"/>
      <c r="E112" s="243"/>
      <c r="F112" s="243"/>
      <c r="G112" s="243"/>
      <c r="H112" s="243"/>
      <c r="I112" s="243"/>
      <c r="J112" s="243"/>
      <c r="K112" s="243"/>
      <c r="L112" s="243"/>
      <c r="M112" s="243"/>
      <c r="N112" s="243"/>
      <c r="O112" s="243"/>
      <c r="P112" s="244"/>
      <c r="Q112" s="87"/>
    </row>
    <row r="113" spans="3:17" ht="15.6" customHeight="1">
      <c r="C113" s="86"/>
      <c r="D113" s="242"/>
      <c r="E113" s="243"/>
      <c r="F113" s="243"/>
      <c r="G113" s="243"/>
      <c r="H113" s="243"/>
      <c r="I113" s="243"/>
      <c r="J113" s="243"/>
      <c r="K113" s="243"/>
      <c r="L113" s="243"/>
      <c r="M113" s="243"/>
      <c r="N113" s="243"/>
      <c r="O113" s="243"/>
      <c r="P113" s="244"/>
      <c r="Q113" s="87"/>
    </row>
    <row r="114" spans="3:17" ht="15.6" customHeight="1">
      <c r="C114" s="86"/>
      <c r="D114" s="242"/>
      <c r="E114" s="243"/>
      <c r="F114" s="243"/>
      <c r="G114" s="243"/>
      <c r="H114" s="243"/>
      <c r="I114" s="243"/>
      <c r="J114" s="243"/>
      <c r="K114" s="243"/>
      <c r="L114" s="243"/>
      <c r="M114" s="243"/>
      <c r="N114" s="243"/>
      <c r="O114" s="243"/>
      <c r="P114" s="244"/>
      <c r="Q114" s="87"/>
    </row>
    <row r="115" spans="3:17" ht="15.6" customHeight="1">
      <c r="C115" s="86"/>
      <c r="D115" s="242"/>
      <c r="E115" s="243"/>
      <c r="F115" s="243"/>
      <c r="G115" s="243"/>
      <c r="H115" s="243"/>
      <c r="I115" s="243"/>
      <c r="J115" s="243"/>
      <c r="K115" s="243"/>
      <c r="L115" s="243"/>
      <c r="M115" s="243"/>
      <c r="N115" s="243"/>
      <c r="O115" s="243"/>
      <c r="P115" s="244"/>
      <c r="Q115" s="87"/>
    </row>
    <row r="116" spans="3:17" ht="15.6" customHeight="1">
      <c r="C116" s="86"/>
      <c r="D116" s="242"/>
      <c r="E116" s="243"/>
      <c r="F116" s="243"/>
      <c r="G116" s="243"/>
      <c r="H116" s="243"/>
      <c r="I116" s="243"/>
      <c r="J116" s="243"/>
      <c r="K116" s="243"/>
      <c r="L116" s="243"/>
      <c r="M116" s="243"/>
      <c r="N116" s="243"/>
      <c r="O116" s="243"/>
      <c r="P116" s="244"/>
      <c r="Q116" s="87"/>
    </row>
    <row r="117" spans="3:17" ht="15.6" customHeight="1">
      <c r="C117" s="86"/>
      <c r="D117" s="242"/>
      <c r="E117" s="243"/>
      <c r="F117" s="243"/>
      <c r="G117" s="243"/>
      <c r="H117" s="243"/>
      <c r="I117" s="243"/>
      <c r="J117" s="243"/>
      <c r="K117" s="243"/>
      <c r="L117" s="243"/>
      <c r="M117" s="243"/>
      <c r="N117" s="243"/>
      <c r="O117" s="243"/>
      <c r="P117" s="244"/>
      <c r="Q117" s="87"/>
    </row>
    <row r="118" spans="3:17" ht="15.6" customHeight="1">
      <c r="C118" s="86"/>
      <c r="D118" s="242"/>
      <c r="E118" s="243"/>
      <c r="F118" s="243"/>
      <c r="G118" s="243"/>
      <c r="H118" s="243"/>
      <c r="I118" s="243"/>
      <c r="J118" s="243"/>
      <c r="K118" s="243"/>
      <c r="L118" s="243"/>
      <c r="M118" s="243"/>
      <c r="N118" s="243"/>
      <c r="O118" s="243"/>
      <c r="P118" s="244"/>
      <c r="Q118" s="87"/>
    </row>
    <row r="119" spans="3:17" ht="15.6" customHeight="1">
      <c r="C119" s="86"/>
      <c r="D119" s="242"/>
      <c r="E119" s="243"/>
      <c r="F119" s="243"/>
      <c r="G119" s="243"/>
      <c r="H119" s="243"/>
      <c r="I119" s="243"/>
      <c r="J119" s="243"/>
      <c r="K119" s="243"/>
      <c r="L119" s="243"/>
      <c r="M119" s="243"/>
      <c r="N119" s="243"/>
      <c r="O119" s="243"/>
      <c r="P119" s="244"/>
      <c r="Q119" s="87"/>
    </row>
    <row r="120" spans="3:17" ht="15.6" customHeight="1" thickBot="1">
      <c r="C120" s="86"/>
      <c r="D120" s="242"/>
      <c r="E120" s="243"/>
      <c r="F120" s="243"/>
      <c r="G120" s="243"/>
      <c r="H120" s="243"/>
      <c r="I120" s="243"/>
      <c r="J120" s="243"/>
      <c r="K120" s="243"/>
      <c r="L120" s="243"/>
      <c r="M120" s="243"/>
      <c r="N120" s="243"/>
      <c r="O120" s="243"/>
      <c r="P120" s="244"/>
      <c r="Q120" s="87"/>
    </row>
    <row r="121" spans="3:17" ht="15" customHeight="1" thickBot="1">
      <c r="C121" s="86"/>
      <c r="D121" s="167"/>
      <c r="E121" s="268" t="s">
        <v>25</v>
      </c>
      <c r="F121" s="268"/>
      <c r="G121" s="268"/>
      <c r="H121" s="268"/>
      <c r="I121" s="268"/>
      <c r="J121" s="268"/>
      <c r="K121" s="268"/>
      <c r="L121" s="268"/>
      <c r="M121" s="268"/>
      <c r="N121" s="268"/>
      <c r="O121" s="268"/>
      <c r="P121" s="168"/>
      <c r="Q121" s="87"/>
    </row>
    <row r="122" spans="3:17" ht="22.8" customHeight="1">
      <c r="C122" s="86"/>
      <c r="D122" s="167"/>
      <c r="E122" s="246" t="s">
        <v>412</v>
      </c>
      <c r="F122" s="247"/>
      <c r="G122" s="247"/>
      <c r="H122" s="247"/>
      <c r="I122" s="247"/>
      <c r="J122" s="247"/>
      <c r="K122" s="247"/>
      <c r="L122" s="247"/>
      <c r="M122" s="247"/>
      <c r="N122" s="247"/>
      <c r="O122" s="269"/>
      <c r="P122" s="169"/>
      <c r="Q122" s="87"/>
    </row>
    <row r="123" spans="3:17" ht="45.6" customHeight="1">
      <c r="C123" s="86"/>
      <c r="D123" s="167"/>
      <c r="E123" s="229" t="str">
        <f>_xlfn.XLOOKUP(Diagnóstico!E121,Listas!H5:H6,Listas!K5:K6,"")</f>
        <v/>
      </c>
      <c r="F123" s="230"/>
      <c r="G123" s="230"/>
      <c r="H123" s="230"/>
      <c r="I123" s="230"/>
      <c r="J123" s="230"/>
      <c r="K123" s="230"/>
      <c r="L123" s="230"/>
      <c r="M123" s="230"/>
      <c r="N123" s="230"/>
      <c r="O123" s="231"/>
      <c r="P123" s="169"/>
      <c r="Q123" s="87"/>
    </row>
    <row r="124" spans="3:17" ht="45.6" customHeight="1">
      <c r="C124" s="86"/>
      <c r="D124" s="167"/>
      <c r="E124" s="229" t="str">
        <f>_xlfn.XLOOKUP(Diagnóstico!E124,Listas!H9:H14,Listas!K9:K14,"")</f>
        <v/>
      </c>
      <c r="F124" s="230"/>
      <c r="G124" s="230"/>
      <c r="H124" s="230"/>
      <c r="I124" s="230"/>
      <c r="J124" s="230"/>
      <c r="K124" s="230"/>
      <c r="L124" s="230"/>
      <c r="M124" s="230"/>
      <c r="N124" s="230"/>
      <c r="O124" s="231"/>
      <c r="P124" s="169"/>
      <c r="Q124" s="87"/>
    </row>
    <row r="125" spans="3:17" ht="45.6" customHeight="1">
      <c r="C125" s="86"/>
      <c r="D125" s="167"/>
      <c r="E125" s="229" t="str">
        <f>_xlfn.XLOOKUP(Diagnóstico!E139,Listas!H42:H43,Listas!K42:K43,"")</f>
        <v/>
      </c>
      <c r="F125" s="230"/>
      <c r="G125" s="230"/>
      <c r="H125" s="230"/>
      <c r="I125" s="230"/>
      <c r="J125" s="230"/>
      <c r="K125" s="230"/>
      <c r="L125" s="230"/>
      <c r="M125" s="230"/>
      <c r="N125" s="230"/>
      <c r="O125" s="231"/>
      <c r="P125" s="169"/>
      <c r="Q125" s="87"/>
    </row>
    <row r="126" spans="3:17" ht="45.6" customHeight="1">
      <c r="C126" s="86"/>
      <c r="D126" s="167"/>
      <c r="E126" s="270" t="str">
        <f>_xlfn.XLOOKUP(Diagnóstico!E145,Listas!H54:H57,Listas!K54:K57,"")</f>
        <v/>
      </c>
      <c r="F126" s="271"/>
      <c r="G126" s="271"/>
      <c r="H126" s="271"/>
      <c r="I126" s="271"/>
      <c r="J126" s="271"/>
      <c r="K126" s="271"/>
      <c r="L126" s="271"/>
      <c r="M126" s="271"/>
      <c r="N126" s="271"/>
      <c r="O126" s="272"/>
      <c r="P126" s="169"/>
      <c r="Q126" s="87"/>
    </row>
    <row r="127" spans="3:17" ht="45.6" customHeight="1">
      <c r="C127" s="86"/>
      <c r="D127" s="167"/>
      <c r="E127" s="270" t="str">
        <f>_xlfn.XLOOKUP(Diagnóstico!E148,Listas!H60:H64,Listas!J60:J64,"")</f>
        <v/>
      </c>
      <c r="F127" s="271"/>
      <c r="G127" s="271"/>
      <c r="H127" s="271"/>
      <c r="I127" s="271"/>
      <c r="J127" s="271"/>
      <c r="K127" s="271"/>
      <c r="L127" s="271"/>
      <c r="M127" s="271"/>
      <c r="N127" s="271"/>
      <c r="O127" s="272"/>
      <c r="P127" s="169"/>
      <c r="Q127" s="87"/>
    </row>
    <row r="128" spans="3:17" ht="45.6" customHeight="1">
      <c r="C128" s="86"/>
      <c r="D128" s="167"/>
      <c r="E128" s="279" t="str">
        <f>_xlfn.XLOOKUP(Diagnóstico!E151,Listas!H67:H71,Listas!K67:K71,"")</f>
        <v/>
      </c>
      <c r="F128" s="280"/>
      <c r="G128" s="280"/>
      <c r="H128" s="280"/>
      <c r="I128" s="280"/>
      <c r="J128" s="280"/>
      <c r="K128" s="280"/>
      <c r="L128" s="280"/>
      <c r="M128" s="280"/>
      <c r="N128" s="280"/>
      <c r="O128" s="281"/>
      <c r="P128" s="169"/>
      <c r="Q128" s="87"/>
    </row>
    <row r="129" spans="3:17" ht="22.2" customHeight="1">
      <c r="C129" s="86"/>
      <c r="D129" s="167"/>
      <c r="E129" s="232" t="s">
        <v>413</v>
      </c>
      <c r="F129" s="233"/>
      <c r="G129" s="233"/>
      <c r="H129" s="233"/>
      <c r="I129" s="233"/>
      <c r="J129" s="233"/>
      <c r="K129" s="233"/>
      <c r="L129" s="233"/>
      <c r="M129" s="233"/>
      <c r="N129" s="233"/>
      <c r="O129" s="234"/>
      <c r="P129" s="169"/>
      <c r="Q129" s="87"/>
    </row>
    <row r="130" spans="3:17" ht="45.6" customHeight="1">
      <c r="C130" s="86"/>
      <c r="D130" s="167"/>
      <c r="E130" s="229" t="str">
        <f>_xlfn.XLOOKUP(Diagnóstico!E127,Listas!H17:H22,Listas!K17:K22,"")</f>
        <v/>
      </c>
      <c r="F130" s="230"/>
      <c r="G130" s="230"/>
      <c r="H130" s="230"/>
      <c r="I130" s="230"/>
      <c r="J130" s="230"/>
      <c r="K130" s="230"/>
      <c r="L130" s="230"/>
      <c r="M130" s="230"/>
      <c r="N130" s="230"/>
      <c r="O130" s="231"/>
      <c r="P130" s="169"/>
      <c r="Q130" s="87"/>
    </row>
    <row r="131" spans="3:17" ht="45.6" customHeight="1">
      <c r="C131" s="86"/>
      <c r="D131" s="167"/>
      <c r="E131" s="229" t="str">
        <f>_xlfn.XLOOKUP(Diagnóstico!E130,Listas!H25:H28,Listas!K25:K28,"")</f>
        <v/>
      </c>
      <c r="F131" s="230"/>
      <c r="G131" s="230"/>
      <c r="H131" s="230"/>
      <c r="I131" s="230"/>
      <c r="J131" s="230"/>
      <c r="K131" s="230"/>
      <c r="L131" s="230"/>
      <c r="M131" s="230"/>
      <c r="N131" s="230"/>
      <c r="O131" s="231"/>
      <c r="P131" s="169"/>
      <c r="Q131" s="87"/>
    </row>
    <row r="132" spans="3:17" ht="45.6" customHeight="1">
      <c r="C132" s="86"/>
      <c r="D132" s="167"/>
      <c r="E132" s="229" t="str">
        <f>_xlfn.XLOOKUP(Diagnóstico!E142,Listas!H46:H51,Listas!K46:K51,"")</f>
        <v/>
      </c>
      <c r="F132" s="230"/>
      <c r="G132" s="230"/>
      <c r="H132" s="230"/>
      <c r="I132" s="230"/>
      <c r="J132" s="230"/>
      <c r="K132" s="230"/>
      <c r="L132" s="230"/>
      <c r="M132" s="230"/>
      <c r="N132" s="230"/>
      <c r="O132" s="231"/>
      <c r="P132" s="169"/>
      <c r="Q132" s="87"/>
    </row>
    <row r="133" spans="3:17" ht="22.8" customHeight="1">
      <c r="C133" s="86"/>
      <c r="D133" s="167"/>
      <c r="E133" s="232" t="s">
        <v>414</v>
      </c>
      <c r="F133" s="233"/>
      <c r="G133" s="233"/>
      <c r="H133" s="233"/>
      <c r="I133" s="233"/>
      <c r="J133" s="233"/>
      <c r="K133" s="233"/>
      <c r="L133" s="233"/>
      <c r="M133" s="233"/>
      <c r="N133" s="233"/>
      <c r="O133" s="234"/>
      <c r="P133" s="169"/>
      <c r="Q133" s="87"/>
    </row>
    <row r="134" spans="3:17" ht="45.6" customHeight="1">
      <c r="C134" s="86"/>
      <c r="D134" s="167"/>
      <c r="E134" s="229" t="str">
        <f>_xlfn.XLOOKUP(Diagnóstico!E133,Listas!H31:H32,Listas!K31:K32,"")</f>
        <v/>
      </c>
      <c r="F134" s="230"/>
      <c r="G134" s="230"/>
      <c r="H134" s="230"/>
      <c r="I134" s="230"/>
      <c r="J134" s="230"/>
      <c r="K134" s="230"/>
      <c r="L134" s="230"/>
      <c r="M134" s="230"/>
      <c r="N134" s="230"/>
      <c r="O134" s="231"/>
      <c r="P134" s="169"/>
      <c r="Q134" s="87"/>
    </row>
    <row r="135" spans="3:17" ht="45.6" customHeight="1">
      <c r="C135" s="86"/>
      <c r="D135" s="167"/>
      <c r="E135" s="229" t="str">
        <f>_xlfn.XLOOKUP(Diagnóstico!E136,Listas!H35:H39,Listas!K35:K39,"")</f>
        <v/>
      </c>
      <c r="F135" s="230"/>
      <c r="G135" s="230"/>
      <c r="H135" s="230"/>
      <c r="I135" s="230"/>
      <c r="J135" s="230"/>
      <c r="K135" s="230"/>
      <c r="L135" s="230"/>
      <c r="M135" s="230"/>
      <c r="N135" s="230"/>
      <c r="O135" s="231"/>
      <c r="P135" s="169"/>
      <c r="Q135" s="87"/>
    </row>
    <row r="136" spans="3:17" ht="45.6" customHeight="1">
      <c r="C136" s="86"/>
      <c r="D136" s="167"/>
      <c r="E136" s="270" t="str">
        <f>_xlfn.XLOOKUP(Diagnóstico!E157,Listas!H81:H85,Listas!K81:K85,"")</f>
        <v/>
      </c>
      <c r="F136" s="271"/>
      <c r="G136" s="271"/>
      <c r="H136" s="271"/>
      <c r="I136" s="271"/>
      <c r="J136" s="271"/>
      <c r="K136" s="271"/>
      <c r="L136" s="271"/>
      <c r="M136" s="271"/>
      <c r="N136" s="271"/>
      <c r="O136" s="272"/>
      <c r="P136" s="169"/>
      <c r="Q136" s="87"/>
    </row>
    <row r="137" spans="3:17" ht="22.2" customHeight="1">
      <c r="C137" s="86"/>
      <c r="D137" s="167"/>
      <c r="E137" s="261" t="s">
        <v>696</v>
      </c>
      <c r="F137" s="262"/>
      <c r="G137" s="262"/>
      <c r="H137" s="262"/>
      <c r="I137" s="262"/>
      <c r="J137" s="262"/>
      <c r="K137" s="262"/>
      <c r="L137" s="262"/>
      <c r="M137" s="262"/>
      <c r="N137" s="262"/>
      <c r="O137" s="263"/>
      <c r="P137" s="169"/>
      <c r="Q137" s="87"/>
    </row>
    <row r="138" spans="3:17" ht="45.6" customHeight="1">
      <c r="C138" s="86"/>
      <c r="D138" s="167"/>
      <c r="E138" s="229" t="str">
        <f>_xlfn.XLOOKUP(Diagnóstico!E154,Listas!H74:H78,Listas!K74:K78,"")</f>
        <v/>
      </c>
      <c r="F138" s="230"/>
      <c r="G138" s="230"/>
      <c r="H138" s="230"/>
      <c r="I138" s="230"/>
      <c r="J138" s="230"/>
      <c r="K138" s="230"/>
      <c r="L138" s="230"/>
      <c r="M138" s="230"/>
      <c r="N138" s="230"/>
      <c r="O138" s="231"/>
      <c r="P138" s="169"/>
      <c r="Q138" s="87"/>
    </row>
    <row r="139" spans="3:17" ht="46.2" customHeight="1" thickBot="1">
      <c r="C139" s="86"/>
      <c r="D139" s="167"/>
      <c r="E139" s="258" t="str">
        <f>_xlfn.XLOOKUP(Diagnóstico!E160,Listas!H88:H92,Listas!K88:K92,"")</f>
        <v/>
      </c>
      <c r="F139" s="259"/>
      <c r="G139" s="259"/>
      <c r="H139" s="259"/>
      <c r="I139" s="259"/>
      <c r="J139" s="259"/>
      <c r="K139" s="259"/>
      <c r="L139" s="259"/>
      <c r="M139" s="259"/>
      <c r="N139" s="259"/>
      <c r="O139" s="260"/>
      <c r="P139" s="169"/>
      <c r="Q139" s="87"/>
    </row>
    <row r="140" spans="3:17" ht="15.6" customHeight="1">
      <c r="C140" s="86"/>
      <c r="D140" s="167"/>
      <c r="E140" s="165"/>
      <c r="F140" s="165"/>
      <c r="G140" s="165"/>
      <c r="H140" s="165"/>
      <c r="I140" s="165"/>
      <c r="J140" s="165"/>
      <c r="K140" s="165"/>
      <c r="L140" s="165"/>
      <c r="M140" s="165"/>
      <c r="N140" s="165"/>
      <c r="O140" s="165"/>
      <c r="P140" s="169"/>
      <c r="Q140" s="87"/>
    </row>
    <row r="141" spans="3:17" ht="15.6" customHeight="1" thickBot="1">
      <c r="C141" s="86"/>
      <c r="D141" s="167"/>
      <c r="E141" s="165"/>
      <c r="F141" s="165"/>
      <c r="G141" s="165"/>
      <c r="H141" s="165"/>
      <c r="I141" s="165"/>
      <c r="J141" s="165"/>
      <c r="K141" s="165"/>
      <c r="L141" s="165"/>
      <c r="M141" s="165"/>
      <c r="N141" s="165"/>
      <c r="O141" s="165"/>
      <c r="P141" s="169"/>
      <c r="Q141" s="87"/>
    </row>
    <row r="142" spans="3:17" ht="4.2" customHeight="1" thickBot="1">
      <c r="C142" s="86"/>
      <c r="D142" s="249"/>
      <c r="E142" s="250"/>
      <c r="F142" s="250"/>
      <c r="G142" s="250"/>
      <c r="H142" s="250"/>
      <c r="I142" s="250"/>
      <c r="J142" s="250"/>
      <c r="K142" s="250"/>
      <c r="L142" s="250"/>
      <c r="M142" s="250"/>
      <c r="N142" s="250"/>
      <c r="O142" s="250"/>
      <c r="P142" s="251"/>
      <c r="Q142" s="87"/>
    </row>
    <row r="143" spans="3:17" ht="39.6" customHeight="1" thickBot="1">
      <c r="C143" s="86"/>
      <c r="D143" s="238" t="s">
        <v>416</v>
      </c>
      <c r="E143" s="238"/>
      <c r="F143" s="238"/>
      <c r="G143" s="238"/>
      <c r="H143" s="238"/>
      <c r="I143" s="238"/>
      <c r="J143" s="238"/>
      <c r="K143" s="238"/>
      <c r="L143" s="238"/>
      <c r="M143" s="238"/>
      <c r="N143" s="238"/>
      <c r="O143" s="238"/>
      <c r="P143" s="238"/>
      <c r="Q143" s="87"/>
    </row>
    <row r="144" spans="3:17">
      <c r="C144" s="86"/>
      <c r="D144" s="167"/>
      <c r="E144" s="170"/>
      <c r="F144" s="170"/>
      <c r="G144" s="170"/>
      <c r="H144" s="170"/>
      <c r="I144" s="170"/>
      <c r="J144" s="170"/>
      <c r="K144" s="170"/>
      <c r="L144" s="170"/>
      <c r="M144" s="170"/>
      <c r="N144" s="170"/>
      <c r="O144" s="170"/>
      <c r="P144" s="169"/>
      <c r="Q144" s="87"/>
    </row>
    <row r="145" spans="3:17">
      <c r="C145" s="86"/>
      <c r="D145" s="167"/>
      <c r="E145" s="267"/>
      <c r="F145" s="267"/>
      <c r="G145" s="267"/>
      <c r="H145" s="267"/>
      <c r="I145" s="267"/>
      <c r="J145" s="267"/>
      <c r="K145" s="267"/>
      <c r="L145" s="267"/>
      <c r="M145" s="267"/>
      <c r="N145" s="267"/>
      <c r="O145" s="267"/>
      <c r="P145" s="169"/>
      <c r="Q145" s="87"/>
    </row>
    <row r="146" spans="3:17">
      <c r="C146" s="86"/>
      <c r="D146" s="167"/>
      <c r="E146" s="267"/>
      <c r="F146" s="267"/>
      <c r="G146" s="267"/>
      <c r="H146" s="267"/>
      <c r="I146" s="267"/>
      <c r="J146" s="267"/>
      <c r="K146" s="267"/>
      <c r="L146" s="267"/>
      <c r="M146" s="267"/>
      <c r="N146" s="267"/>
      <c r="O146" s="267"/>
      <c r="P146" s="169"/>
      <c r="Q146" s="87"/>
    </row>
    <row r="147" spans="3:17">
      <c r="C147" s="86"/>
      <c r="D147" s="167"/>
      <c r="E147" s="267"/>
      <c r="F147" s="267"/>
      <c r="G147" s="267"/>
      <c r="H147" s="267"/>
      <c r="I147" s="267"/>
      <c r="J147" s="267"/>
      <c r="K147" s="267"/>
      <c r="L147" s="267"/>
      <c r="M147" s="267"/>
      <c r="N147" s="267"/>
      <c r="O147" s="267"/>
      <c r="P147" s="169"/>
      <c r="Q147" s="87"/>
    </row>
    <row r="148" spans="3:17">
      <c r="C148" s="86"/>
      <c r="D148" s="167"/>
      <c r="E148" s="267"/>
      <c r="F148" s="267"/>
      <c r="G148" s="267"/>
      <c r="H148" s="267"/>
      <c r="I148" s="267"/>
      <c r="J148" s="267"/>
      <c r="K148" s="267"/>
      <c r="L148" s="267"/>
      <c r="M148" s="267"/>
      <c r="N148" s="267"/>
      <c r="O148" s="267"/>
      <c r="P148" s="169"/>
      <c r="Q148" s="87"/>
    </row>
    <row r="149" spans="3:17">
      <c r="C149" s="86"/>
      <c r="D149" s="167"/>
      <c r="E149" s="267"/>
      <c r="F149" s="267"/>
      <c r="G149" s="267"/>
      <c r="H149" s="267"/>
      <c r="I149" s="267"/>
      <c r="J149" s="267"/>
      <c r="K149" s="267"/>
      <c r="L149" s="267"/>
      <c r="M149" s="267"/>
      <c r="N149" s="267"/>
      <c r="O149" s="267"/>
      <c r="P149" s="169"/>
      <c r="Q149" s="87"/>
    </row>
    <row r="150" spans="3:17">
      <c r="C150" s="86"/>
      <c r="D150" s="167"/>
      <c r="E150" s="267"/>
      <c r="F150" s="267"/>
      <c r="G150" s="267"/>
      <c r="H150" s="267"/>
      <c r="I150" s="267"/>
      <c r="J150" s="267"/>
      <c r="K150" s="267"/>
      <c r="L150" s="267"/>
      <c r="M150" s="267"/>
      <c r="N150" s="267"/>
      <c r="O150" s="267"/>
      <c r="P150" s="169"/>
      <c r="Q150" s="87"/>
    </row>
    <row r="151" spans="3:17">
      <c r="C151" s="86"/>
      <c r="D151" s="167"/>
      <c r="E151" s="267"/>
      <c r="F151" s="267"/>
      <c r="G151" s="267"/>
      <c r="H151" s="267"/>
      <c r="I151" s="267"/>
      <c r="J151" s="267"/>
      <c r="K151" s="267"/>
      <c r="L151" s="267"/>
      <c r="M151" s="267"/>
      <c r="N151" s="267"/>
      <c r="O151" s="267"/>
      <c r="P151" s="169"/>
      <c r="Q151" s="87"/>
    </row>
    <row r="152" spans="3:17">
      <c r="C152" s="86"/>
      <c r="D152" s="167"/>
      <c r="E152" s="267"/>
      <c r="F152" s="267"/>
      <c r="G152" s="267"/>
      <c r="H152" s="267"/>
      <c r="I152" s="267"/>
      <c r="J152" s="267"/>
      <c r="K152" s="267"/>
      <c r="L152" s="267"/>
      <c r="M152" s="267"/>
      <c r="N152" s="267"/>
      <c r="O152" s="267"/>
      <c r="P152" s="169"/>
      <c r="Q152" s="87"/>
    </row>
    <row r="153" spans="3:17">
      <c r="C153" s="86"/>
      <c r="D153" s="167"/>
      <c r="E153" s="267"/>
      <c r="F153" s="267"/>
      <c r="G153" s="267"/>
      <c r="H153" s="267"/>
      <c r="I153" s="267"/>
      <c r="J153" s="267"/>
      <c r="K153" s="267"/>
      <c r="L153" s="267"/>
      <c r="M153" s="267"/>
      <c r="N153" s="267"/>
      <c r="O153" s="267"/>
      <c r="P153" s="169"/>
      <c r="Q153" s="87"/>
    </row>
    <row r="154" spans="3:17">
      <c r="C154" s="86"/>
      <c r="D154" s="167"/>
      <c r="E154" s="267"/>
      <c r="F154" s="267"/>
      <c r="G154" s="267"/>
      <c r="H154" s="267"/>
      <c r="I154" s="267"/>
      <c r="J154" s="267"/>
      <c r="K154" s="267"/>
      <c r="L154" s="267"/>
      <c r="M154" s="267"/>
      <c r="N154" s="267"/>
      <c r="O154" s="267"/>
      <c r="P154" s="169"/>
      <c r="Q154" s="87"/>
    </row>
    <row r="155" spans="3:17">
      <c r="C155" s="86"/>
      <c r="D155" s="167"/>
      <c r="E155" s="267"/>
      <c r="F155" s="267"/>
      <c r="G155" s="267"/>
      <c r="H155" s="267"/>
      <c r="I155" s="267"/>
      <c r="J155" s="267"/>
      <c r="K155" s="267"/>
      <c r="L155" s="267"/>
      <c r="M155" s="267"/>
      <c r="N155" s="267"/>
      <c r="O155" s="267"/>
      <c r="P155" s="169"/>
      <c r="Q155" s="87"/>
    </row>
    <row r="156" spans="3:17">
      <c r="C156" s="86"/>
      <c r="D156" s="167"/>
      <c r="E156" s="267"/>
      <c r="F156" s="267"/>
      <c r="G156" s="267"/>
      <c r="H156" s="267"/>
      <c r="I156" s="267"/>
      <c r="J156" s="267"/>
      <c r="K156" s="267"/>
      <c r="L156" s="267"/>
      <c r="M156" s="267"/>
      <c r="N156" s="267"/>
      <c r="O156" s="267"/>
      <c r="P156" s="169"/>
      <c r="Q156" s="87"/>
    </row>
    <row r="157" spans="3:17">
      <c r="C157" s="86"/>
      <c r="D157" s="167"/>
      <c r="E157" s="267"/>
      <c r="F157" s="267"/>
      <c r="G157" s="267"/>
      <c r="H157" s="267"/>
      <c r="I157" s="267"/>
      <c r="J157" s="267"/>
      <c r="K157" s="267"/>
      <c r="L157" s="267"/>
      <c r="M157" s="267"/>
      <c r="N157" s="267"/>
      <c r="O157" s="267"/>
      <c r="P157" s="169"/>
      <c r="Q157" s="87"/>
    </row>
    <row r="158" spans="3:17">
      <c r="C158" s="86"/>
      <c r="D158" s="167"/>
      <c r="E158" s="267"/>
      <c r="F158" s="267"/>
      <c r="G158" s="267"/>
      <c r="H158" s="267"/>
      <c r="I158" s="267"/>
      <c r="J158" s="267"/>
      <c r="K158" s="267"/>
      <c r="L158" s="267"/>
      <c r="M158" s="267"/>
      <c r="N158" s="267"/>
      <c r="O158" s="267"/>
      <c r="P158" s="169"/>
      <c r="Q158" s="87"/>
    </row>
    <row r="159" spans="3:17">
      <c r="C159" s="86"/>
      <c r="D159" s="167"/>
      <c r="E159" s="267"/>
      <c r="F159" s="267"/>
      <c r="G159" s="267"/>
      <c r="H159" s="267"/>
      <c r="I159" s="267"/>
      <c r="J159" s="267"/>
      <c r="K159" s="267"/>
      <c r="L159" s="267"/>
      <c r="M159" s="267"/>
      <c r="N159" s="267"/>
      <c r="O159" s="267"/>
      <c r="P159" s="169"/>
      <c r="Q159" s="87"/>
    </row>
    <row r="160" spans="3:17">
      <c r="C160" s="86"/>
      <c r="D160" s="167"/>
      <c r="E160" s="267"/>
      <c r="F160" s="267"/>
      <c r="G160" s="267"/>
      <c r="H160" s="267"/>
      <c r="I160" s="267"/>
      <c r="J160" s="267"/>
      <c r="K160" s="267"/>
      <c r="L160" s="267"/>
      <c r="M160" s="267"/>
      <c r="N160" s="267"/>
      <c r="O160" s="267"/>
      <c r="P160" s="169"/>
      <c r="Q160" s="87"/>
    </row>
    <row r="161" spans="3:17">
      <c r="C161" s="86"/>
      <c r="D161" s="167"/>
      <c r="E161" s="267"/>
      <c r="F161" s="267"/>
      <c r="G161" s="267"/>
      <c r="H161" s="267"/>
      <c r="I161" s="267"/>
      <c r="J161" s="267"/>
      <c r="K161" s="267"/>
      <c r="L161" s="267"/>
      <c r="M161" s="267"/>
      <c r="N161" s="267"/>
      <c r="O161" s="267"/>
      <c r="P161" s="169"/>
      <c r="Q161" s="87"/>
    </row>
    <row r="162" spans="3:17">
      <c r="C162" s="86"/>
      <c r="D162" s="167"/>
      <c r="E162" s="267"/>
      <c r="F162" s="267"/>
      <c r="G162" s="267"/>
      <c r="H162" s="267"/>
      <c r="I162" s="267"/>
      <c r="J162" s="267"/>
      <c r="K162" s="267"/>
      <c r="L162" s="267"/>
      <c r="M162" s="267"/>
      <c r="N162" s="267"/>
      <c r="O162" s="267"/>
      <c r="P162" s="169"/>
      <c r="Q162" s="87"/>
    </row>
    <row r="163" spans="3:17">
      <c r="C163" s="86"/>
      <c r="D163" s="167"/>
      <c r="E163" s="267"/>
      <c r="F163" s="267"/>
      <c r="G163" s="267"/>
      <c r="H163" s="267"/>
      <c r="I163" s="267"/>
      <c r="J163" s="267"/>
      <c r="K163" s="267"/>
      <c r="L163" s="267"/>
      <c r="M163" s="267"/>
      <c r="N163" s="267"/>
      <c r="O163" s="267"/>
      <c r="P163" s="169"/>
      <c r="Q163" s="87"/>
    </row>
    <row r="164" spans="3:17">
      <c r="C164" s="86"/>
      <c r="D164" s="167"/>
      <c r="E164" s="267"/>
      <c r="F164" s="267"/>
      <c r="G164" s="267"/>
      <c r="H164" s="267"/>
      <c r="I164" s="267"/>
      <c r="J164" s="267"/>
      <c r="K164" s="267"/>
      <c r="L164" s="267"/>
      <c r="M164" s="267"/>
      <c r="N164" s="267"/>
      <c r="O164" s="267"/>
      <c r="P164" s="169"/>
      <c r="Q164" s="87"/>
    </row>
    <row r="165" spans="3:17">
      <c r="C165" s="86"/>
      <c r="D165" s="167"/>
      <c r="E165" s="267"/>
      <c r="F165" s="267"/>
      <c r="G165" s="267"/>
      <c r="H165" s="267"/>
      <c r="I165" s="267"/>
      <c r="J165" s="267"/>
      <c r="K165" s="267"/>
      <c r="L165" s="267"/>
      <c r="M165" s="267"/>
      <c r="N165" s="267"/>
      <c r="O165" s="267"/>
      <c r="P165" s="169"/>
      <c r="Q165" s="87"/>
    </row>
    <row r="166" spans="3:17">
      <c r="C166" s="86"/>
      <c r="D166" s="167"/>
      <c r="E166" s="267"/>
      <c r="F166" s="267"/>
      <c r="G166" s="267"/>
      <c r="H166" s="267"/>
      <c r="I166" s="267"/>
      <c r="J166" s="267"/>
      <c r="K166" s="267"/>
      <c r="L166" s="267"/>
      <c r="M166" s="267"/>
      <c r="N166" s="267"/>
      <c r="O166" s="267"/>
      <c r="P166" s="169"/>
      <c r="Q166" s="87"/>
    </row>
    <row r="167" spans="3:17">
      <c r="C167" s="86"/>
      <c r="D167" s="167"/>
      <c r="E167" s="267"/>
      <c r="F167" s="267"/>
      <c r="G167" s="267"/>
      <c r="H167" s="267"/>
      <c r="I167" s="267"/>
      <c r="J167" s="267"/>
      <c r="K167" s="267"/>
      <c r="L167" s="267"/>
      <c r="M167" s="267"/>
      <c r="N167" s="267"/>
      <c r="O167" s="267"/>
      <c r="P167" s="169"/>
      <c r="Q167" s="87"/>
    </row>
    <row r="168" spans="3:17">
      <c r="C168" s="86"/>
      <c r="D168" s="167"/>
      <c r="E168" s="267"/>
      <c r="F168" s="267"/>
      <c r="G168" s="267"/>
      <c r="H168" s="267"/>
      <c r="I168" s="267"/>
      <c r="J168" s="267"/>
      <c r="K168" s="267"/>
      <c r="L168" s="267"/>
      <c r="M168" s="267"/>
      <c r="N168" s="267"/>
      <c r="O168" s="267"/>
      <c r="P168" s="169"/>
      <c r="Q168" s="87"/>
    </row>
    <row r="169" spans="3:17">
      <c r="C169" s="86"/>
      <c r="D169" s="167"/>
      <c r="E169" s="267"/>
      <c r="F169" s="267"/>
      <c r="G169" s="267"/>
      <c r="H169" s="267"/>
      <c r="I169" s="267"/>
      <c r="J169" s="267"/>
      <c r="K169" s="267"/>
      <c r="L169" s="267"/>
      <c r="M169" s="267"/>
      <c r="N169" s="267"/>
      <c r="O169" s="267"/>
      <c r="P169" s="169"/>
      <c r="Q169" s="87"/>
    </row>
    <row r="170" spans="3:17" ht="15" thickBot="1">
      <c r="C170" s="86"/>
      <c r="D170" s="167"/>
      <c r="E170" s="267"/>
      <c r="F170" s="267"/>
      <c r="G170" s="267"/>
      <c r="H170" s="267"/>
      <c r="I170" s="267"/>
      <c r="J170" s="267"/>
      <c r="K170" s="267"/>
      <c r="L170" s="267"/>
      <c r="M170" s="267"/>
      <c r="N170" s="267"/>
      <c r="O170" s="267"/>
      <c r="P170" s="169"/>
      <c r="Q170" s="87"/>
    </row>
    <row r="171" spans="3:17" ht="15" thickBot="1">
      <c r="C171" s="86"/>
      <c r="D171" s="167"/>
      <c r="E171" s="268" t="s">
        <v>25</v>
      </c>
      <c r="F171" s="268"/>
      <c r="G171" s="268"/>
      <c r="H171" s="268"/>
      <c r="I171" s="268"/>
      <c r="J171" s="268"/>
      <c r="K171" s="268"/>
      <c r="L171" s="268"/>
      <c r="M171" s="268"/>
      <c r="N171" s="268"/>
      <c r="O171" s="268"/>
      <c r="P171" s="169"/>
      <c r="Q171" s="87"/>
    </row>
    <row r="172" spans="3:17" ht="21.6" customHeight="1">
      <c r="C172" s="86"/>
      <c r="D172" s="167"/>
      <c r="E172" s="246" t="s">
        <v>417</v>
      </c>
      <c r="F172" s="247"/>
      <c r="G172" s="247"/>
      <c r="H172" s="247"/>
      <c r="I172" s="247"/>
      <c r="J172" s="247"/>
      <c r="K172" s="247"/>
      <c r="L172" s="247"/>
      <c r="M172" s="247"/>
      <c r="N172" s="247"/>
      <c r="O172" s="269"/>
      <c r="P172" s="169"/>
      <c r="Q172" s="87"/>
    </row>
    <row r="173" spans="3:17" ht="45.6" customHeight="1">
      <c r="C173" s="86"/>
      <c r="D173" s="167"/>
      <c r="E173" s="229" t="str">
        <f>_xlfn.XLOOKUP(Diagnóstico!E164,Listas!N5:N6,Listas!Q5:Q6,"")</f>
        <v/>
      </c>
      <c r="F173" s="230"/>
      <c r="G173" s="230"/>
      <c r="H173" s="230"/>
      <c r="I173" s="230"/>
      <c r="J173" s="230"/>
      <c r="K173" s="230"/>
      <c r="L173" s="230"/>
      <c r="M173" s="230"/>
      <c r="N173" s="230"/>
      <c r="O173" s="231"/>
      <c r="P173" s="169"/>
      <c r="Q173" s="87"/>
    </row>
    <row r="174" spans="3:17" ht="45.6" customHeight="1">
      <c r="C174" s="86"/>
      <c r="D174" s="167"/>
      <c r="E174" s="229" t="str">
        <f>_xlfn.XLOOKUP(Diagnóstico!E167,Listas!N9:N10,Listas!Q9:Q10,"")</f>
        <v/>
      </c>
      <c r="F174" s="230"/>
      <c r="G174" s="230"/>
      <c r="H174" s="230"/>
      <c r="I174" s="230"/>
      <c r="J174" s="230"/>
      <c r="K174" s="230"/>
      <c r="L174" s="230"/>
      <c r="M174" s="230"/>
      <c r="N174" s="230"/>
      <c r="O174" s="231"/>
      <c r="P174" s="169"/>
      <c r="Q174" s="87"/>
    </row>
    <row r="175" spans="3:17" ht="45.6" customHeight="1">
      <c r="C175" s="86"/>
      <c r="D175" s="167"/>
      <c r="E175" s="229" t="str">
        <f>_xlfn.XLOOKUP(Diagnóstico!E170,Listas!N13:N14,Listas!Q13:Q14,"")</f>
        <v/>
      </c>
      <c r="F175" s="230"/>
      <c r="G175" s="230"/>
      <c r="H175" s="230"/>
      <c r="I175" s="230"/>
      <c r="J175" s="230"/>
      <c r="K175" s="230"/>
      <c r="L175" s="230"/>
      <c r="M175" s="230"/>
      <c r="N175" s="230"/>
      <c r="O175" s="231"/>
      <c r="P175" s="169"/>
      <c r="Q175" s="87"/>
    </row>
    <row r="176" spans="3:17" ht="45.6" customHeight="1">
      <c r="C176" s="86"/>
      <c r="D176" s="167"/>
      <c r="E176" s="229" t="str">
        <f>_xlfn.XLOOKUP(Diagnóstico!E173,Listas!N17:N18,Listas!Q17:Q18,"")</f>
        <v/>
      </c>
      <c r="F176" s="230"/>
      <c r="G176" s="230"/>
      <c r="H176" s="230"/>
      <c r="I176" s="230"/>
      <c r="J176" s="230"/>
      <c r="K176" s="230"/>
      <c r="L176" s="230"/>
      <c r="M176" s="230"/>
      <c r="N176" s="230"/>
      <c r="O176" s="231"/>
      <c r="P176" s="169"/>
      <c r="Q176" s="87"/>
    </row>
    <row r="177" spans="3:17" ht="22.2" customHeight="1">
      <c r="C177" s="86"/>
      <c r="D177" s="167"/>
      <c r="E177" s="232" t="s">
        <v>418</v>
      </c>
      <c r="F177" s="233"/>
      <c r="G177" s="233"/>
      <c r="H177" s="233"/>
      <c r="I177" s="233"/>
      <c r="J177" s="233"/>
      <c r="K177" s="233"/>
      <c r="L177" s="233"/>
      <c r="M177" s="233"/>
      <c r="N177" s="233"/>
      <c r="O177" s="234"/>
      <c r="P177" s="169"/>
      <c r="Q177" s="87"/>
    </row>
    <row r="178" spans="3:17" ht="45.6" customHeight="1">
      <c r="C178" s="86"/>
      <c r="D178" s="167"/>
      <c r="E178" s="229" t="str">
        <f>_xlfn.XLOOKUP(Diagnóstico!E176,Listas!N21:N24,Listas!Q21:Q24,"")</f>
        <v/>
      </c>
      <c r="F178" s="230"/>
      <c r="G178" s="230"/>
      <c r="H178" s="230"/>
      <c r="I178" s="230"/>
      <c r="J178" s="230"/>
      <c r="K178" s="230"/>
      <c r="L178" s="230"/>
      <c r="M178" s="230"/>
      <c r="N178" s="230"/>
      <c r="O178" s="231"/>
      <c r="P178" s="169"/>
      <c r="Q178" s="87"/>
    </row>
    <row r="179" spans="3:17" ht="45.6" customHeight="1">
      <c r="C179" s="86"/>
      <c r="D179" s="167"/>
      <c r="E179" s="229" t="str">
        <f>_xlfn.XLOOKUP(Diagnóstico!E179,Listas!N27:N31,Listas!Q27:Q31,"")</f>
        <v/>
      </c>
      <c r="F179" s="230"/>
      <c r="G179" s="230"/>
      <c r="H179" s="230"/>
      <c r="I179" s="230"/>
      <c r="J179" s="230"/>
      <c r="K179" s="230"/>
      <c r="L179" s="230"/>
      <c r="M179" s="230"/>
      <c r="N179" s="230"/>
      <c r="O179" s="231"/>
      <c r="P179" s="169"/>
      <c r="Q179" s="87"/>
    </row>
    <row r="180" spans="3:17" ht="45.6" customHeight="1">
      <c r="C180" s="86"/>
      <c r="D180" s="167"/>
      <c r="E180" s="229" t="str">
        <f>_xlfn.XLOOKUP(Diagnóstico!E182,Listas!N34:N35,Listas!Q34:Q35,"")</f>
        <v/>
      </c>
      <c r="F180" s="230"/>
      <c r="G180" s="230"/>
      <c r="H180" s="230"/>
      <c r="I180" s="230"/>
      <c r="J180" s="230"/>
      <c r="K180" s="230"/>
      <c r="L180" s="230"/>
      <c r="M180" s="230"/>
      <c r="N180" s="230"/>
      <c r="O180" s="231"/>
      <c r="P180" s="169"/>
      <c r="Q180" s="87"/>
    </row>
    <row r="181" spans="3:17" ht="45.6" customHeight="1">
      <c r="C181" s="86"/>
      <c r="D181" s="167"/>
      <c r="E181" s="270" t="str">
        <f>_xlfn.XLOOKUP(Diagnóstico!E209,Listas!N70:N74,Listas!Q70:Q74,"")</f>
        <v/>
      </c>
      <c r="F181" s="271"/>
      <c r="G181" s="271"/>
      <c r="H181" s="271"/>
      <c r="I181" s="271"/>
      <c r="J181" s="271"/>
      <c r="K181" s="271"/>
      <c r="L181" s="271"/>
      <c r="M181" s="271"/>
      <c r="N181" s="271"/>
      <c r="O181" s="272"/>
      <c r="P181" s="169"/>
      <c r="Q181" s="87"/>
    </row>
    <row r="182" spans="3:17" ht="22.8" customHeight="1">
      <c r="C182" s="86"/>
      <c r="D182" s="167"/>
      <c r="E182" s="232" t="s">
        <v>419</v>
      </c>
      <c r="F182" s="233"/>
      <c r="G182" s="233"/>
      <c r="H182" s="233"/>
      <c r="I182" s="233"/>
      <c r="J182" s="233"/>
      <c r="K182" s="233"/>
      <c r="L182" s="233"/>
      <c r="M182" s="233"/>
      <c r="N182" s="233"/>
      <c r="O182" s="234"/>
      <c r="P182" s="169"/>
      <c r="Q182" s="87"/>
    </row>
    <row r="183" spans="3:17" ht="45.6" customHeight="1">
      <c r="C183" s="86"/>
      <c r="D183" s="167"/>
      <c r="E183" s="229" t="str">
        <f>_xlfn.XLOOKUP(Diagnóstico!E185,Listas!N38:N39,Listas!Q38:Q39,"")</f>
        <v/>
      </c>
      <c r="F183" s="230"/>
      <c r="G183" s="230"/>
      <c r="H183" s="230"/>
      <c r="I183" s="230"/>
      <c r="J183" s="230"/>
      <c r="K183" s="230"/>
      <c r="L183" s="230"/>
      <c r="M183" s="230"/>
      <c r="N183" s="230"/>
      <c r="O183" s="231"/>
      <c r="P183" s="169"/>
      <c r="Q183" s="87"/>
    </row>
    <row r="184" spans="3:17" ht="45.6" customHeight="1">
      <c r="C184" s="86"/>
      <c r="D184" s="167"/>
      <c r="E184" s="229" t="str">
        <f>_xlfn.XLOOKUP(Diagnóstico!E188,Listas!N42:N43,Listas!Q42:Q43,"")</f>
        <v/>
      </c>
      <c r="F184" s="230"/>
      <c r="G184" s="230"/>
      <c r="H184" s="230"/>
      <c r="I184" s="230"/>
      <c r="J184" s="230"/>
      <c r="K184" s="230"/>
      <c r="L184" s="230"/>
      <c r="M184" s="230"/>
      <c r="N184" s="230"/>
      <c r="O184" s="231"/>
      <c r="P184" s="169"/>
      <c r="Q184" s="87"/>
    </row>
    <row r="185" spans="3:17" ht="22.2" customHeight="1">
      <c r="C185" s="86"/>
      <c r="D185" s="167"/>
      <c r="E185" s="232" t="s">
        <v>420</v>
      </c>
      <c r="F185" s="233"/>
      <c r="G185" s="233"/>
      <c r="H185" s="233"/>
      <c r="I185" s="233"/>
      <c r="J185" s="233"/>
      <c r="K185" s="233"/>
      <c r="L185" s="233"/>
      <c r="M185" s="233"/>
      <c r="N185" s="233"/>
      <c r="O185" s="234"/>
      <c r="P185" s="169"/>
      <c r="Q185" s="87"/>
    </row>
    <row r="186" spans="3:17" ht="45.6" customHeight="1">
      <c r="C186" s="86"/>
      <c r="D186" s="167"/>
      <c r="E186" s="229" t="str">
        <f>_xlfn.XLOOKUP(Diagnóstico!E191,Listas!N46:N47,Listas!Q46:Q47,"")</f>
        <v/>
      </c>
      <c r="F186" s="230"/>
      <c r="G186" s="230"/>
      <c r="H186" s="230"/>
      <c r="I186" s="230"/>
      <c r="J186" s="230"/>
      <c r="K186" s="230"/>
      <c r="L186" s="230"/>
      <c r="M186" s="230"/>
      <c r="N186" s="230"/>
      <c r="O186" s="231"/>
      <c r="P186" s="169"/>
      <c r="Q186" s="87"/>
    </row>
    <row r="187" spans="3:17" ht="45.6" customHeight="1">
      <c r="C187" s="86"/>
      <c r="D187" s="167"/>
      <c r="E187" s="229" t="str">
        <f>_xlfn.XLOOKUP(Diagnóstico!E194,Listas!N50:N51,Listas!Q50:Q51,"")</f>
        <v/>
      </c>
      <c r="F187" s="230"/>
      <c r="G187" s="230"/>
      <c r="H187" s="230"/>
      <c r="I187" s="230"/>
      <c r="J187" s="230"/>
      <c r="K187" s="230"/>
      <c r="L187" s="230"/>
      <c r="M187" s="230"/>
      <c r="N187" s="230"/>
      <c r="O187" s="231"/>
      <c r="P187" s="169"/>
      <c r="Q187" s="87"/>
    </row>
    <row r="188" spans="3:17" ht="45.6" customHeight="1">
      <c r="C188" s="86"/>
      <c r="D188" s="167"/>
      <c r="E188" s="229" t="str">
        <f>_xlfn.XLOOKUP(Diagnóstico!E197,Listas!N54:N55,Listas!Q54:Q55,"")</f>
        <v/>
      </c>
      <c r="F188" s="230"/>
      <c r="G188" s="230"/>
      <c r="H188" s="230"/>
      <c r="I188" s="230"/>
      <c r="J188" s="230"/>
      <c r="K188" s="230"/>
      <c r="L188" s="230"/>
      <c r="M188" s="230"/>
      <c r="N188" s="230"/>
      <c r="O188" s="231"/>
      <c r="P188" s="169"/>
      <c r="Q188" s="87"/>
    </row>
    <row r="189" spans="3:17" ht="22.8" customHeight="1">
      <c r="C189" s="86"/>
      <c r="D189" s="167"/>
      <c r="E189" s="232" t="s">
        <v>421</v>
      </c>
      <c r="F189" s="233"/>
      <c r="G189" s="233"/>
      <c r="H189" s="233"/>
      <c r="I189" s="233"/>
      <c r="J189" s="233"/>
      <c r="K189" s="233"/>
      <c r="L189" s="233"/>
      <c r="M189" s="233"/>
      <c r="N189" s="233"/>
      <c r="O189" s="234"/>
      <c r="P189" s="169"/>
      <c r="Q189" s="87"/>
    </row>
    <row r="190" spans="3:17" ht="45.6" customHeight="1">
      <c r="C190" s="86"/>
      <c r="D190" s="167"/>
      <c r="E190" s="229" t="str">
        <f>_xlfn.XLOOKUP(Diagnóstico!E200,Listas!N58:N59,Listas!Q58:Q59,"")</f>
        <v/>
      </c>
      <c r="F190" s="230"/>
      <c r="G190" s="230"/>
      <c r="H190" s="230"/>
      <c r="I190" s="230"/>
      <c r="J190" s="230"/>
      <c r="K190" s="230"/>
      <c r="L190" s="230"/>
      <c r="M190" s="230"/>
      <c r="N190" s="230"/>
      <c r="O190" s="231"/>
      <c r="P190" s="169"/>
      <c r="Q190" s="87"/>
    </row>
    <row r="191" spans="3:17" ht="45.6" customHeight="1">
      <c r="C191" s="86"/>
      <c r="D191" s="167"/>
      <c r="E191" s="229" t="str">
        <f>_xlfn.XLOOKUP(Diagnóstico!E203,Listas!N62:N63,Listas!Q62:Q63,"")</f>
        <v/>
      </c>
      <c r="F191" s="230"/>
      <c r="G191" s="230"/>
      <c r="H191" s="230"/>
      <c r="I191" s="230"/>
      <c r="J191" s="230"/>
      <c r="K191" s="230"/>
      <c r="L191" s="230"/>
      <c r="M191" s="230"/>
      <c r="N191" s="230"/>
      <c r="O191" s="231"/>
      <c r="P191" s="169"/>
      <c r="Q191" s="87"/>
    </row>
    <row r="192" spans="3:17" ht="45.6" customHeight="1" thickBot="1">
      <c r="C192" s="86"/>
      <c r="D192" s="167"/>
      <c r="E192" s="258" t="str">
        <f>_xlfn.XLOOKUP(Diagnóstico!E206,Listas!N66:N67,Listas!Q66:Q67,"")</f>
        <v/>
      </c>
      <c r="F192" s="259"/>
      <c r="G192" s="259"/>
      <c r="H192" s="259"/>
      <c r="I192" s="259"/>
      <c r="J192" s="259"/>
      <c r="K192" s="259"/>
      <c r="L192" s="259"/>
      <c r="M192" s="259"/>
      <c r="N192" s="259"/>
      <c r="O192" s="260"/>
      <c r="P192" s="169"/>
      <c r="Q192" s="87"/>
    </row>
    <row r="193" spans="3:17" ht="16.2" customHeight="1">
      <c r="C193" s="86"/>
      <c r="D193" s="167"/>
      <c r="E193" s="165"/>
      <c r="F193" s="165"/>
      <c r="G193" s="165"/>
      <c r="H193" s="165"/>
      <c r="I193" s="165"/>
      <c r="J193" s="165"/>
      <c r="K193" s="165"/>
      <c r="L193" s="165"/>
      <c r="M193" s="165"/>
      <c r="N193" s="165"/>
      <c r="O193" s="165"/>
      <c r="P193" s="169"/>
      <c r="Q193" s="87"/>
    </row>
    <row r="194" spans="3:17" ht="16.2" customHeight="1" thickBot="1">
      <c r="C194" s="86"/>
      <c r="D194" s="167"/>
      <c r="E194" s="165"/>
      <c r="F194" s="165"/>
      <c r="G194" s="165"/>
      <c r="H194" s="165"/>
      <c r="I194" s="165"/>
      <c r="J194" s="165"/>
      <c r="K194" s="165"/>
      <c r="L194" s="165"/>
      <c r="M194" s="165"/>
      <c r="N194" s="165"/>
      <c r="O194" s="165"/>
      <c r="P194" s="169"/>
      <c r="Q194" s="87"/>
    </row>
    <row r="195" spans="3:17" ht="4.2" customHeight="1" thickBot="1">
      <c r="C195" s="86"/>
      <c r="D195" s="249"/>
      <c r="E195" s="250"/>
      <c r="F195" s="250"/>
      <c r="G195" s="250"/>
      <c r="H195" s="250"/>
      <c r="I195" s="250"/>
      <c r="J195" s="250"/>
      <c r="K195" s="250"/>
      <c r="L195" s="250"/>
      <c r="M195" s="250"/>
      <c r="N195" s="250"/>
      <c r="O195" s="250"/>
      <c r="P195" s="251"/>
      <c r="Q195" s="87"/>
    </row>
    <row r="196" spans="3:17" ht="20.399999999999999" customHeight="1" thickBot="1">
      <c r="C196" s="86"/>
      <c r="D196" s="238" t="s">
        <v>422</v>
      </c>
      <c r="E196" s="238"/>
      <c r="F196" s="238"/>
      <c r="G196" s="238"/>
      <c r="H196" s="238"/>
      <c r="I196" s="238"/>
      <c r="J196" s="238"/>
      <c r="K196" s="238"/>
      <c r="L196" s="238"/>
      <c r="M196" s="238"/>
      <c r="N196" s="238"/>
      <c r="O196" s="238"/>
      <c r="P196" s="238"/>
      <c r="Q196" s="87"/>
    </row>
    <row r="197" spans="3:17">
      <c r="C197" s="86"/>
      <c r="D197" s="167"/>
      <c r="E197" s="267"/>
      <c r="F197" s="267"/>
      <c r="G197" s="267"/>
      <c r="H197" s="267"/>
      <c r="I197" s="267"/>
      <c r="J197" s="267"/>
      <c r="K197" s="267"/>
      <c r="L197" s="267"/>
      <c r="M197" s="267"/>
      <c r="N197" s="267"/>
      <c r="O197" s="267"/>
      <c r="P197" s="169"/>
      <c r="Q197" s="87"/>
    </row>
    <row r="198" spans="3:17">
      <c r="C198" s="86"/>
      <c r="D198" s="167"/>
      <c r="E198" s="267"/>
      <c r="F198" s="267"/>
      <c r="G198" s="267"/>
      <c r="H198" s="267"/>
      <c r="I198" s="267"/>
      <c r="J198" s="267"/>
      <c r="K198" s="267"/>
      <c r="L198" s="267"/>
      <c r="M198" s="267"/>
      <c r="N198" s="267"/>
      <c r="O198" s="267"/>
      <c r="P198" s="169"/>
      <c r="Q198" s="87"/>
    </row>
    <row r="199" spans="3:17">
      <c r="C199" s="86"/>
      <c r="D199" s="167"/>
      <c r="E199" s="267"/>
      <c r="F199" s="267"/>
      <c r="G199" s="267"/>
      <c r="H199" s="267"/>
      <c r="I199" s="267"/>
      <c r="J199" s="267"/>
      <c r="K199" s="267"/>
      <c r="L199" s="267"/>
      <c r="M199" s="267"/>
      <c r="N199" s="267"/>
      <c r="O199" s="267"/>
      <c r="P199" s="169"/>
      <c r="Q199" s="87"/>
    </row>
    <row r="200" spans="3:17">
      <c r="C200" s="86"/>
      <c r="D200" s="167"/>
      <c r="E200" s="267"/>
      <c r="F200" s="267"/>
      <c r="G200" s="267"/>
      <c r="H200" s="267"/>
      <c r="I200" s="267"/>
      <c r="J200" s="267"/>
      <c r="K200" s="267"/>
      <c r="L200" s="267"/>
      <c r="M200" s="267"/>
      <c r="N200" s="267"/>
      <c r="O200" s="267"/>
      <c r="P200" s="169"/>
      <c r="Q200" s="87"/>
    </row>
    <row r="201" spans="3:17">
      <c r="C201" s="86"/>
      <c r="D201" s="167"/>
      <c r="E201" s="267"/>
      <c r="F201" s="267"/>
      <c r="G201" s="267"/>
      <c r="H201" s="267"/>
      <c r="I201" s="267"/>
      <c r="J201" s="267"/>
      <c r="K201" s="267"/>
      <c r="L201" s="267"/>
      <c r="M201" s="267"/>
      <c r="N201" s="267"/>
      <c r="O201" s="267"/>
      <c r="P201" s="169"/>
      <c r="Q201" s="87"/>
    </row>
    <row r="202" spans="3:17">
      <c r="C202" s="86"/>
      <c r="D202" s="167"/>
      <c r="E202" s="267"/>
      <c r="F202" s="267"/>
      <c r="G202" s="267"/>
      <c r="H202" s="267"/>
      <c r="I202" s="267"/>
      <c r="J202" s="267"/>
      <c r="K202" s="267"/>
      <c r="L202" s="267"/>
      <c r="M202" s="267"/>
      <c r="N202" s="267"/>
      <c r="O202" s="267"/>
      <c r="P202" s="169"/>
      <c r="Q202" s="87"/>
    </row>
    <row r="203" spans="3:17">
      <c r="C203" s="86"/>
      <c r="D203" s="167"/>
      <c r="E203" s="267"/>
      <c r="F203" s="267"/>
      <c r="G203" s="267"/>
      <c r="H203" s="267"/>
      <c r="I203" s="267"/>
      <c r="J203" s="267"/>
      <c r="K203" s="267"/>
      <c r="L203" s="267"/>
      <c r="M203" s="267"/>
      <c r="N203" s="267"/>
      <c r="O203" s="267"/>
      <c r="P203" s="169"/>
      <c r="Q203" s="87"/>
    </row>
    <row r="204" spans="3:17">
      <c r="C204" s="86"/>
      <c r="D204" s="167"/>
      <c r="E204" s="267"/>
      <c r="F204" s="267"/>
      <c r="G204" s="267"/>
      <c r="H204" s="267"/>
      <c r="I204" s="267"/>
      <c r="J204" s="267"/>
      <c r="K204" s="267"/>
      <c r="L204" s="267"/>
      <c r="M204" s="267"/>
      <c r="N204" s="267"/>
      <c r="O204" s="267"/>
      <c r="P204" s="169"/>
      <c r="Q204" s="87"/>
    </row>
    <row r="205" spans="3:17">
      <c r="C205" s="86"/>
      <c r="D205" s="167"/>
      <c r="E205" s="267"/>
      <c r="F205" s="267"/>
      <c r="G205" s="267"/>
      <c r="H205" s="267"/>
      <c r="I205" s="267"/>
      <c r="J205" s="267"/>
      <c r="K205" s="267"/>
      <c r="L205" s="267"/>
      <c r="M205" s="267"/>
      <c r="N205" s="267"/>
      <c r="O205" s="267"/>
      <c r="P205" s="169"/>
      <c r="Q205" s="87"/>
    </row>
    <row r="206" spans="3:17">
      <c r="C206" s="86"/>
      <c r="D206" s="167"/>
      <c r="E206" s="267"/>
      <c r="F206" s="267"/>
      <c r="G206" s="267"/>
      <c r="H206" s="267"/>
      <c r="I206" s="267"/>
      <c r="J206" s="267"/>
      <c r="K206" s="267"/>
      <c r="L206" s="267"/>
      <c r="M206" s="267"/>
      <c r="N206" s="267"/>
      <c r="O206" s="267"/>
      <c r="P206" s="169"/>
      <c r="Q206" s="87"/>
    </row>
    <row r="207" spans="3:17">
      <c r="C207" s="86"/>
      <c r="D207" s="167"/>
      <c r="E207" s="267"/>
      <c r="F207" s="267"/>
      <c r="G207" s="267"/>
      <c r="H207" s="267"/>
      <c r="I207" s="267"/>
      <c r="J207" s="267"/>
      <c r="K207" s="267"/>
      <c r="L207" s="267"/>
      <c r="M207" s="267"/>
      <c r="N207" s="267"/>
      <c r="O207" s="267"/>
      <c r="P207" s="169"/>
      <c r="Q207" s="87"/>
    </row>
    <row r="208" spans="3:17">
      <c r="C208" s="86"/>
      <c r="D208" s="167"/>
      <c r="E208" s="267"/>
      <c r="F208" s="267"/>
      <c r="G208" s="267"/>
      <c r="H208" s="267"/>
      <c r="I208" s="267"/>
      <c r="J208" s="267"/>
      <c r="K208" s="267"/>
      <c r="L208" s="267"/>
      <c r="M208" s="267"/>
      <c r="N208" s="267"/>
      <c r="O208" s="267"/>
      <c r="P208" s="169"/>
      <c r="Q208" s="87"/>
    </row>
    <row r="209" spans="3:17">
      <c r="C209" s="86"/>
      <c r="D209" s="167"/>
      <c r="E209" s="267"/>
      <c r="F209" s="267"/>
      <c r="G209" s="267"/>
      <c r="H209" s="267"/>
      <c r="I209" s="267"/>
      <c r="J209" s="267"/>
      <c r="K209" s="267"/>
      <c r="L209" s="267"/>
      <c r="M209" s="267"/>
      <c r="N209" s="267"/>
      <c r="O209" s="267"/>
      <c r="P209" s="169"/>
      <c r="Q209" s="87"/>
    </row>
    <row r="210" spans="3:17">
      <c r="C210" s="86"/>
      <c r="D210" s="167"/>
      <c r="E210" s="267"/>
      <c r="F210" s="267"/>
      <c r="G210" s="267"/>
      <c r="H210" s="267"/>
      <c r="I210" s="267"/>
      <c r="J210" s="267"/>
      <c r="K210" s="267"/>
      <c r="L210" s="267"/>
      <c r="M210" s="267"/>
      <c r="N210" s="267"/>
      <c r="O210" s="267"/>
      <c r="P210" s="169"/>
      <c r="Q210" s="87"/>
    </row>
    <row r="211" spans="3:17">
      <c r="C211" s="86"/>
      <c r="D211" s="167"/>
      <c r="E211" s="267"/>
      <c r="F211" s="267"/>
      <c r="G211" s="267"/>
      <c r="H211" s="267"/>
      <c r="I211" s="267"/>
      <c r="J211" s="267"/>
      <c r="K211" s="267"/>
      <c r="L211" s="267"/>
      <c r="M211" s="267"/>
      <c r="N211" s="267"/>
      <c r="O211" s="267"/>
      <c r="P211" s="169"/>
      <c r="Q211" s="87"/>
    </row>
    <row r="212" spans="3:17">
      <c r="C212" s="86"/>
      <c r="D212" s="167"/>
      <c r="E212" s="267"/>
      <c r="F212" s="267"/>
      <c r="G212" s="267"/>
      <c r="H212" s="267"/>
      <c r="I212" s="267"/>
      <c r="J212" s="267"/>
      <c r="K212" s="267"/>
      <c r="L212" s="267"/>
      <c r="M212" s="267"/>
      <c r="N212" s="267"/>
      <c r="O212" s="267"/>
      <c r="P212" s="169"/>
      <c r="Q212" s="87"/>
    </row>
    <row r="213" spans="3:17">
      <c r="C213" s="86"/>
      <c r="D213" s="167"/>
      <c r="E213" s="267"/>
      <c r="F213" s="267"/>
      <c r="G213" s="267"/>
      <c r="H213" s="267"/>
      <c r="I213" s="267"/>
      <c r="J213" s="267"/>
      <c r="K213" s="267"/>
      <c r="L213" s="267"/>
      <c r="M213" s="267"/>
      <c r="N213" s="267"/>
      <c r="O213" s="267"/>
      <c r="P213" s="169"/>
      <c r="Q213" s="87"/>
    </row>
    <row r="214" spans="3:17">
      <c r="C214" s="86"/>
      <c r="D214" s="167"/>
      <c r="E214" s="267"/>
      <c r="F214" s="267"/>
      <c r="G214" s="267"/>
      <c r="H214" s="267"/>
      <c r="I214" s="267"/>
      <c r="J214" s="267"/>
      <c r="K214" s="267"/>
      <c r="L214" s="267"/>
      <c r="M214" s="267"/>
      <c r="N214" s="267"/>
      <c r="O214" s="267"/>
      <c r="P214" s="169"/>
      <c r="Q214" s="87"/>
    </row>
    <row r="215" spans="3:17">
      <c r="C215" s="86"/>
      <c r="D215" s="167"/>
      <c r="E215" s="267"/>
      <c r="F215" s="267"/>
      <c r="G215" s="267"/>
      <c r="H215" s="267"/>
      <c r="I215" s="267"/>
      <c r="J215" s="267"/>
      <c r="K215" s="267"/>
      <c r="L215" s="267"/>
      <c r="M215" s="267"/>
      <c r="N215" s="267"/>
      <c r="O215" s="267"/>
      <c r="P215" s="169"/>
      <c r="Q215" s="87"/>
    </row>
    <row r="216" spans="3:17">
      <c r="C216" s="86"/>
      <c r="D216" s="167"/>
      <c r="E216" s="267"/>
      <c r="F216" s="267"/>
      <c r="G216" s="267"/>
      <c r="H216" s="267"/>
      <c r="I216" s="267"/>
      <c r="J216" s="267"/>
      <c r="K216" s="267"/>
      <c r="L216" s="267"/>
      <c r="M216" s="267"/>
      <c r="N216" s="267"/>
      <c r="O216" s="267"/>
      <c r="P216" s="169"/>
      <c r="Q216" s="87"/>
    </row>
    <row r="217" spans="3:17">
      <c r="C217" s="86"/>
      <c r="D217" s="167"/>
      <c r="E217" s="267"/>
      <c r="F217" s="267"/>
      <c r="G217" s="267"/>
      <c r="H217" s="267"/>
      <c r="I217" s="267"/>
      <c r="J217" s="267"/>
      <c r="K217" s="267"/>
      <c r="L217" s="267"/>
      <c r="M217" s="267"/>
      <c r="N217" s="267"/>
      <c r="O217" s="267"/>
      <c r="P217" s="169"/>
      <c r="Q217" s="87"/>
    </row>
    <row r="218" spans="3:17">
      <c r="C218" s="86"/>
      <c r="D218" s="167"/>
      <c r="E218" s="267"/>
      <c r="F218" s="267"/>
      <c r="G218" s="267"/>
      <c r="H218" s="267"/>
      <c r="I218" s="267"/>
      <c r="J218" s="267"/>
      <c r="K218" s="267"/>
      <c r="L218" s="267"/>
      <c r="M218" s="267"/>
      <c r="N218" s="267"/>
      <c r="O218" s="267"/>
      <c r="P218" s="169"/>
      <c r="Q218" s="87"/>
    </row>
    <row r="219" spans="3:17">
      <c r="C219" s="86"/>
      <c r="D219" s="167"/>
      <c r="E219" s="267"/>
      <c r="F219" s="267"/>
      <c r="G219" s="267"/>
      <c r="H219" s="267"/>
      <c r="I219" s="267"/>
      <c r="J219" s="267"/>
      <c r="K219" s="267"/>
      <c r="L219" s="267"/>
      <c r="M219" s="267"/>
      <c r="N219" s="267"/>
      <c r="O219" s="267"/>
      <c r="P219" s="169"/>
      <c r="Q219" s="87"/>
    </row>
    <row r="220" spans="3:17">
      <c r="C220" s="86"/>
      <c r="D220" s="167"/>
      <c r="E220" s="267"/>
      <c r="F220" s="267"/>
      <c r="G220" s="267"/>
      <c r="H220" s="267"/>
      <c r="I220" s="267"/>
      <c r="J220" s="267"/>
      <c r="K220" s="267"/>
      <c r="L220" s="267"/>
      <c r="M220" s="267"/>
      <c r="N220" s="267"/>
      <c r="O220" s="267"/>
      <c r="P220" s="169"/>
      <c r="Q220" s="87"/>
    </row>
    <row r="221" spans="3:17">
      <c r="C221" s="86"/>
      <c r="D221" s="167"/>
      <c r="E221" s="267"/>
      <c r="F221" s="267"/>
      <c r="G221" s="267"/>
      <c r="H221" s="267"/>
      <c r="I221" s="267"/>
      <c r="J221" s="267"/>
      <c r="K221" s="267"/>
      <c r="L221" s="267"/>
      <c r="M221" s="267"/>
      <c r="N221" s="267"/>
      <c r="O221" s="267"/>
      <c r="P221" s="169"/>
      <c r="Q221" s="87"/>
    </row>
    <row r="222" spans="3:17">
      <c r="C222" s="86"/>
      <c r="D222" s="167"/>
      <c r="E222" s="267"/>
      <c r="F222" s="267"/>
      <c r="G222" s="267"/>
      <c r="H222" s="267"/>
      <c r="I222" s="267"/>
      <c r="J222" s="267"/>
      <c r="K222" s="267"/>
      <c r="L222" s="267"/>
      <c r="M222" s="267"/>
      <c r="N222" s="267"/>
      <c r="O222" s="267"/>
      <c r="P222" s="169"/>
      <c r="Q222" s="87"/>
    </row>
    <row r="223" spans="3:17" ht="15" thickBot="1">
      <c r="C223" s="86"/>
      <c r="D223" s="167"/>
      <c r="E223" s="267"/>
      <c r="F223" s="267"/>
      <c r="G223" s="267"/>
      <c r="H223" s="267"/>
      <c r="I223" s="267"/>
      <c r="J223" s="267"/>
      <c r="K223" s="267"/>
      <c r="L223" s="267"/>
      <c r="M223" s="267"/>
      <c r="N223" s="267"/>
      <c r="O223" s="267"/>
      <c r="P223" s="169"/>
      <c r="Q223" s="87"/>
    </row>
    <row r="224" spans="3:17" ht="15" thickBot="1">
      <c r="C224" s="86"/>
      <c r="D224" s="167"/>
      <c r="E224" s="268" t="s">
        <v>25</v>
      </c>
      <c r="F224" s="268"/>
      <c r="G224" s="268"/>
      <c r="H224" s="268"/>
      <c r="I224" s="268"/>
      <c r="J224" s="268"/>
      <c r="K224" s="268"/>
      <c r="L224" s="268"/>
      <c r="M224" s="268"/>
      <c r="N224" s="268"/>
      <c r="O224" s="268"/>
      <c r="P224" s="169"/>
      <c r="Q224" s="87"/>
    </row>
    <row r="225" spans="3:17" ht="21.6" customHeight="1">
      <c r="C225" s="86"/>
      <c r="D225" s="167"/>
      <c r="E225" s="246" t="s">
        <v>423</v>
      </c>
      <c r="F225" s="247"/>
      <c r="G225" s="247"/>
      <c r="H225" s="247"/>
      <c r="I225" s="247"/>
      <c r="J225" s="247"/>
      <c r="K225" s="247"/>
      <c r="L225" s="247"/>
      <c r="M225" s="247"/>
      <c r="N225" s="247"/>
      <c r="O225" s="269"/>
      <c r="P225" s="169"/>
      <c r="Q225" s="87"/>
    </row>
    <row r="226" spans="3:17" ht="45.6" customHeight="1">
      <c r="C226" s="86"/>
      <c r="D226" s="167"/>
      <c r="E226" s="229" t="str">
        <f>_xlfn.XLOOKUP(Diagnóstico!E213,Listas!T5:T6,Listas!W5:W6,"")</f>
        <v/>
      </c>
      <c r="F226" s="230"/>
      <c r="G226" s="230"/>
      <c r="H226" s="230"/>
      <c r="I226" s="230"/>
      <c r="J226" s="230"/>
      <c r="K226" s="230"/>
      <c r="L226" s="230"/>
      <c r="M226" s="230"/>
      <c r="N226" s="230"/>
      <c r="O226" s="231"/>
      <c r="P226" s="169"/>
      <c r="Q226" s="87"/>
    </row>
    <row r="227" spans="3:17" ht="45.6" customHeight="1">
      <c r="C227" s="86"/>
      <c r="D227" s="167"/>
      <c r="E227" s="229" t="str">
        <f>_xlfn.XLOOKUP(Diagnóstico!E216,Listas!T9:T10,Listas!W9:W10,"")</f>
        <v/>
      </c>
      <c r="F227" s="230"/>
      <c r="G227" s="230"/>
      <c r="H227" s="230"/>
      <c r="I227" s="230"/>
      <c r="J227" s="230"/>
      <c r="K227" s="230"/>
      <c r="L227" s="230"/>
      <c r="M227" s="230"/>
      <c r="N227" s="230"/>
      <c r="O227" s="231"/>
      <c r="P227" s="169"/>
      <c r="Q227" s="87"/>
    </row>
    <row r="228" spans="3:17" ht="45.6" customHeight="1">
      <c r="C228" s="86"/>
      <c r="D228" s="167"/>
      <c r="E228" s="270" t="str">
        <f>_xlfn.XLOOKUP(Diagnóstico!E246,Listas!T50:T54,Listas!W50:W54,"")</f>
        <v/>
      </c>
      <c r="F228" s="271"/>
      <c r="G228" s="271"/>
      <c r="H228" s="271"/>
      <c r="I228" s="271"/>
      <c r="J228" s="271"/>
      <c r="K228" s="271"/>
      <c r="L228" s="271"/>
      <c r="M228" s="271"/>
      <c r="N228" s="271"/>
      <c r="O228" s="272"/>
      <c r="P228" s="169"/>
      <c r="Q228" s="87"/>
    </row>
    <row r="229" spans="3:17" ht="22.2" customHeight="1">
      <c r="C229" s="86"/>
      <c r="D229" s="167"/>
      <c r="E229" s="232" t="s">
        <v>424</v>
      </c>
      <c r="F229" s="233"/>
      <c r="G229" s="233"/>
      <c r="H229" s="233"/>
      <c r="I229" s="233"/>
      <c r="J229" s="233"/>
      <c r="K229" s="233"/>
      <c r="L229" s="233"/>
      <c r="M229" s="233"/>
      <c r="N229" s="233"/>
      <c r="O229" s="234"/>
      <c r="P229" s="169"/>
      <c r="Q229" s="87"/>
    </row>
    <row r="230" spans="3:17" ht="45.6" customHeight="1">
      <c r="C230" s="86"/>
      <c r="D230" s="167"/>
      <c r="E230" s="229" t="str">
        <f>_xlfn.XLOOKUP(Diagnóstico!E219,Listas!T14:T15,Listas!W14:W15,"")</f>
        <v/>
      </c>
      <c r="F230" s="230"/>
      <c r="G230" s="230"/>
      <c r="H230" s="230"/>
      <c r="I230" s="230"/>
      <c r="J230" s="230"/>
      <c r="K230" s="230"/>
      <c r="L230" s="230"/>
      <c r="M230" s="230"/>
      <c r="N230" s="230"/>
      <c r="O230" s="231"/>
      <c r="P230" s="169"/>
      <c r="Q230" s="87"/>
    </row>
    <row r="231" spans="3:17" ht="45.6" customHeight="1">
      <c r="C231" s="86"/>
      <c r="D231" s="167"/>
      <c r="E231" s="229" t="str">
        <f>_xlfn.XLOOKUP(Diagnóstico!E222,Listas!T18:T19,Listas!W18:W19,"")</f>
        <v/>
      </c>
      <c r="F231" s="230"/>
      <c r="G231" s="230"/>
      <c r="H231" s="230"/>
      <c r="I231" s="230"/>
      <c r="J231" s="230"/>
      <c r="K231" s="230"/>
      <c r="L231" s="230"/>
      <c r="M231" s="230"/>
      <c r="N231" s="230"/>
      <c r="O231" s="231"/>
      <c r="P231" s="169"/>
      <c r="Q231" s="87"/>
    </row>
    <row r="232" spans="3:17" ht="70.2" customHeight="1">
      <c r="C232" s="86"/>
      <c r="D232" s="167"/>
      <c r="E232" s="270" t="str">
        <f>_xlfn.XLOOKUP(Diagnóstico!E252,Listas!T65:T69,Listas!W65:W69,"")</f>
        <v/>
      </c>
      <c r="F232" s="271"/>
      <c r="G232" s="271"/>
      <c r="H232" s="271"/>
      <c r="I232" s="271"/>
      <c r="J232" s="271"/>
      <c r="K232" s="271"/>
      <c r="L232" s="271"/>
      <c r="M232" s="271"/>
      <c r="N232" s="271"/>
      <c r="O232" s="272"/>
      <c r="P232" s="169"/>
      <c r="Q232" s="87"/>
    </row>
    <row r="233" spans="3:17" ht="22.2" customHeight="1">
      <c r="C233" s="86"/>
      <c r="D233" s="167"/>
      <c r="E233" s="232" t="s">
        <v>425</v>
      </c>
      <c r="F233" s="233"/>
      <c r="G233" s="233"/>
      <c r="H233" s="233"/>
      <c r="I233" s="233"/>
      <c r="J233" s="233"/>
      <c r="K233" s="233"/>
      <c r="L233" s="233"/>
      <c r="M233" s="233"/>
      <c r="N233" s="233"/>
      <c r="O233" s="234"/>
      <c r="P233" s="169"/>
      <c r="Q233" s="87"/>
    </row>
    <row r="234" spans="3:17" ht="45.6" customHeight="1">
      <c r="C234" s="86"/>
      <c r="D234" s="167"/>
      <c r="E234" s="229" t="str">
        <f>_xlfn.XLOOKUP(Diagnóstico!E225,Listas!T22:T23,Listas!W22:W23,"")</f>
        <v/>
      </c>
      <c r="F234" s="230"/>
      <c r="G234" s="230"/>
      <c r="H234" s="230"/>
      <c r="I234" s="230"/>
      <c r="J234" s="230"/>
      <c r="K234" s="230"/>
      <c r="L234" s="230"/>
      <c r="M234" s="230"/>
      <c r="N234" s="230"/>
      <c r="O234" s="231"/>
      <c r="P234" s="169"/>
      <c r="Q234" s="87"/>
    </row>
    <row r="235" spans="3:17" ht="45.6" customHeight="1">
      <c r="C235" s="86"/>
      <c r="D235" s="167"/>
      <c r="E235" s="229" t="str">
        <f>_xlfn.XLOOKUP(Diagnóstico!E228,Listas!T26:T27,Listas!W26:W27,"")</f>
        <v/>
      </c>
      <c r="F235" s="230"/>
      <c r="G235" s="230"/>
      <c r="H235" s="230"/>
      <c r="I235" s="230"/>
      <c r="J235" s="230"/>
      <c r="K235" s="230"/>
      <c r="L235" s="230"/>
      <c r="M235" s="230"/>
      <c r="N235" s="230"/>
      <c r="O235" s="231"/>
      <c r="P235" s="169"/>
      <c r="Q235" s="87"/>
    </row>
    <row r="236" spans="3:17" ht="45.6" customHeight="1">
      <c r="C236" s="86"/>
      <c r="D236" s="167"/>
      <c r="E236" s="229" t="str">
        <f>_xlfn.XLOOKUP(Diagnóstico!E231,Listas!T30:T31,Listas!W30:W31,"")</f>
        <v/>
      </c>
      <c r="F236" s="230"/>
      <c r="G236" s="230"/>
      <c r="H236" s="230"/>
      <c r="I236" s="230"/>
      <c r="J236" s="230"/>
      <c r="K236" s="230"/>
      <c r="L236" s="230"/>
      <c r="M236" s="230"/>
      <c r="N236" s="230"/>
      <c r="O236" s="231"/>
      <c r="P236" s="169"/>
      <c r="Q236" s="87"/>
    </row>
    <row r="237" spans="3:17" ht="24" customHeight="1">
      <c r="C237" s="86"/>
      <c r="D237" s="167"/>
      <c r="E237" s="232" t="s">
        <v>426</v>
      </c>
      <c r="F237" s="233"/>
      <c r="G237" s="233"/>
      <c r="H237" s="233"/>
      <c r="I237" s="233"/>
      <c r="J237" s="233"/>
      <c r="K237" s="233"/>
      <c r="L237" s="233"/>
      <c r="M237" s="233"/>
      <c r="N237" s="233"/>
      <c r="O237" s="234"/>
      <c r="P237" s="169"/>
      <c r="Q237" s="87"/>
    </row>
    <row r="238" spans="3:17" ht="45.6" customHeight="1">
      <c r="C238" s="86"/>
      <c r="D238" s="167"/>
      <c r="E238" s="229" t="str">
        <f>_xlfn.XLOOKUP(Diagnóstico!E234,Listas!T34:T35,Listas!W34:W35,"")</f>
        <v/>
      </c>
      <c r="F238" s="230"/>
      <c r="G238" s="230"/>
      <c r="H238" s="230"/>
      <c r="I238" s="230"/>
      <c r="J238" s="230"/>
      <c r="K238" s="230"/>
      <c r="L238" s="230"/>
      <c r="M238" s="230"/>
      <c r="N238" s="230"/>
      <c r="O238" s="231"/>
      <c r="P238" s="169"/>
      <c r="Q238" s="87"/>
    </row>
    <row r="239" spans="3:17" ht="45.6" customHeight="1">
      <c r="C239" s="86"/>
      <c r="D239" s="167"/>
      <c r="E239" s="229" t="str">
        <f>_xlfn.XLOOKUP(Diagnóstico!E240,Listas!T42:T43,Listas!W42:W43,"")</f>
        <v/>
      </c>
      <c r="F239" s="230"/>
      <c r="G239" s="230"/>
      <c r="H239" s="230"/>
      <c r="I239" s="230"/>
      <c r="J239" s="230"/>
      <c r="K239" s="230"/>
      <c r="L239" s="230"/>
      <c r="M239" s="230"/>
      <c r="N239" s="230"/>
      <c r="O239" s="231"/>
      <c r="P239" s="169"/>
      <c r="Q239" s="87"/>
    </row>
    <row r="240" spans="3:17" ht="22.2" customHeight="1">
      <c r="C240" s="86"/>
      <c r="D240" s="167"/>
      <c r="E240" s="232" t="s">
        <v>427</v>
      </c>
      <c r="F240" s="233"/>
      <c r="G240" s="233"/>
      <c r="H240" s="233"/>
      <c r="I240" s="233"/>
      <c r="J240" s="233"/>
      <c r="K240" s="233"/>
      <c r="L240" s="233"/>
      <c r="M240" s="233"/>
      <c r="N240" s="233"/>
      <c r="O240" s="234"/>
      <c r="P240" s="169"/>
      <c r="Q240" s="87"/>
    </row>
    <row r="241" spans="3:17" ht="45.6" customHeight="1">
      <c r="C241" s="86"/>
      <c r="D241" s="167"/>
      <c r="E241" s="229" t="str">
        <f>_xlfn.XLOOKUP(Diagnóstico!E237,Listas!T38:T39,Listas!W38:W39,"")</f>
        <v/>
      </c>
      <c r="F241" s="230"/>
      <c r="G241" s="230"/>
      <c r="H241" s="230"/>
      <c r="I241" s="230"/>
      <c r="J241" s="230"/>
      <c r="K241" s="230"/>
      <c r="L241" s="230"/>
      <c r="M241" s="230"/>
      <c r="N241" s="230"/>
      <c r="O241" s="231"/>
      <c r="P241" s="169"/>
      <c r="Q241" s="87"/>
    </row>
    <row r="242" spans="3:17" ht="22.2" customHeight="1">
      <c r="C242" s="86"/>
      <c r="D242" s="167"/>
      <c r="E242" s="232" t="s">
        <v>428</v>
      </c>
      <c r="F242" s="233"/>
      <c r="G242" s="233"/>
      <c r="H242" s="233"/>
      <c r="I242" s="233"/>
      <c r="J242" s="233"/>
      <c r="K242" s="233"/>
      <c r="L242" s="233"/>
      <c r="M242" s="233"/>
      <c r="N242" s="233"/>
      <c r="O242" s="234"/>
      <c r="P242" s="169"/>
      <c r="Q242" s="87"/>
    </row>
    <row r="243" spans="3:17" ht="55.8" customHeight="1">
      <c r="C243" s="86"/>
      <c r="D243" s="167"/>
      <c r="E243" s="229" t="str">
        <f>_xlfn.XLOOKUP(Diagnóstico!E243,Listas!T46:T47,Listas!W46:W47,"")</f>
        <v/>
      </c>
      <c r="F243" s="230"/>
      <c r="G243" s="230"/>
      <c r="H243" s="230"/>
      <c r="I243" s="230"/>
      <c r="J243" s="230"/>
      <c r="K243" s="230"/>
      <c r="L243" s="230"/>
      <c r="M243" s="230"/>
      <c r="N243" s="230"/>
      <c r="O243" s="231"/>
      <c r="P243" s="169"/>
      <c r="Q243" s="87"/>
    </row>
    <row r="244" spans="3:17" ht="63.6" customHeight="1" thickBot="1">
      <c r="C244" s="86"/>
      <c r="D244" s="167"/>
      <c r="E244" s="264" t="str">
        <f>_xlfn.XLOOKUP(Diagnóstico!E249,Listas!T58:T62,Listas!W58:W62,"")</f>
        <v/>
      </c>
      <c r="F244" s="265"/>
      <c r="G244" s="265"/>
      <c r="H244" s="265"/>
      <c r="I244" s="265"/>
      <c r="J244" s="265"/>
      <c r="K244" s="265"/>
      <c r="L244" s="265"/>
      <c r="M244" s="265"/>
      <c r="N244" s="265"/>
      <c r="O244" s="266"/>
      <c r="P244" s="169"/>
      <c r="Q244" s="87"/>
    </row>
    <row r="245" spans="3:17">
      <c r="C245" s="86"/>
      <c r="D245" s="167"/>
      <c r="E245" s="267"/>
      <c r="F245" s="267"/>
      <c r="G245" s="267"/>
      <c r="H245" s="267"/>
      <c r="I245" s="267"/>
      <c r="J245" s="267"/>
      <c r="K245" s="267"/>
      <c r="L245" s="267"/>
      <c r="M245" s="267"/>
      <c r="N245" s="267"/>
      <c r="O245" s="267"/>
      <c r="P245" s="169"/>
      <c r="Q245" s="87"/>
    </row>
    <row r="246" spans="3:17" ht="15" thickBot="1">
      <c r="C246" s="86"/>
      <c r="D246" s="149"/>
      <c r="E246" s="143"/>
      <c r="F246" s="143"/>
      <c r="G246" s="143"/>
      <c r="H246" s="143"/>
      <c r="I246" s="143"/>
      <c r="J246" s="143"/>
      <c r="K246" s="143"/>
      <c r="L246" s="143"/>
      <c r="M246" s="143"/>
      <c r="N246" s="143"/>
      <c r="O246" s="143"/>
      <c r="P246" s="152"/>
      <c r="Q246" s="87"/>
    </row>
    <row r="247" spans="3:17" ht="5.4" customHeight="1" thickBot="1">
      <c r="C247" s="86"/>
      <c r="D247" s="248"/>
      <c r="E247" s="248"/>
      <c r="F247" s="248"/>
      <c r="G247" s="248"/>
      <c r="H247" s="248"/>
      <c r="I247" s="248"/>
      <c r="J247" s="248"/>
      <c r="K247" s="248"/>
      <c r="L247" s="248"/>
      <c r="M247" s="248"/>
      <c r="N247" s="248"/>
      <c r="O247" s="248"/>
      <c r="P247" s="248"/>
      <c r="Q247" s="87"/>
    </row>
    <row r="248" spans="3:17">
      <c r="C248" s="92"/>
      <c r="D248" s="93"/>
      <c r="E248" s="93"/>
      <c r="F248" s="93"/>
      <c r="G248" s="93"/>
      <c r="H248" s="93"/>
      <c r="I248" s="93"/>
      <c r="J248" s="93"/>
      <c r="K248" s="93"/>
      <c r="L248" s="93"/>
      <c r="M248" s="93"/>
      <c r="N248" s="93"/>
      <c r="O248" s="93"/>
      <c r="P248" s="93"/>
      <c r="Q248" s="94"/>
    </row>
    <row r="1000" spans="2:3">
      <c r="B1000" s="172" t="s">
        <v>26</v>
      </c>
      <c r="C1000" s="173">
        <f>Datos!B95</f>
        <v>0</v>
      </c>
    </row>
    <row r="1001" spans="2:3">
      <c r="B1001" s="172" t="s">
        <v>27</v>
      </c>
      <c r="C1001" s="173">
        <f>Datos!D49</f>
        <v>0</v>
      </c>
    </row>
    <row r="1002" spans="2:3">
      <c r="B1002" s="172" t="s">
        <v>28</v>
      </c>
      <c r="C1002" s="173">
        <f>Datos!F54</f>
        <v>0</v>
      </c>
    </row>
    <row r="1003" spans="2:3">
      <c r="B1003" s="172" t="s">
        <v>29</v>
      </c>
      <c r="C1003" s="173">
        <f>Datos!H51</f>
        <v>0</v>
      </c>
    </row>
    <row r="1004" spans="2:3">
      <c r="C1004" s="174"/>
    </row>
    <row r="1005" spans="2:3">
      <c r="C1005" s="174"/>
    </row>
    <row r="1006" spans="2:3">
      <c r="C1006" s="174"/>
    </row>
    <row r="1007" spans="2:3">
      <c r="C1007" s="174"/>
    </row>
    <row r="1008" spans="2:3">
      <c r="C1008" s="174"/>
    </row>
    <row r="1009" spans="3:3">
      <c r="C1009" s="174"/>
    </row>
    <row r="1010" spans="3:3">
      <c r="C1010" s="174"/>
    </row>
  </sheetData>
  <sheetProtection algorithmName="SHA-512" hashValue="NB2KMemHSuWcPibe42zOEp549B7zr/9k1DRp8yUcY/kJSfyWmPhXmOYxd7yBDJydR0qHpA+5Iuu+27tdtFCDCw==" saltValue="BJFQc22MvAl10O0C1YJJJg==" spinCount="100000" sheet="1" objects="1" scenarios="1"/>
  <mergeCells count="192">
    <mergeCell ref="E123:O123"/>
    <mergeCell ref="E124:O124"/>
    <mergeCell ref="E125:O125"/>
    <mergeCell ref="E130:O130"/>
    <mergeCell ref="E131:O131"/>
    <mergeCell ref="D107:P107"/>
    <mergeCell ref="D108:P108"/>
    <mergeCell ref="D109:P109"/>
    <mergeCell ref="D110:P110"/>
    <mergeCell ref="D111:P111"/>
    <mergeCell ref="D112:P112"/>
    <mergeCell ref="D113:P113"/>
    <mergeCell ref="E121:O121"/>
    <mergeCell ref="E122:O122"/>
    <mergeCell ref="E216:O216"/>
    <mergeCell ref="E217:O217"/>
    <mergeCell ref="E218:O218"/>
    <mergeCell ref="E219:O219"/>
    <mergeCell ref="E220:O220"/>
    <mergeCell ref="E211:O211"/>
    <mergeCell ref="E212:O212"/>
    <mergeCell ref="E213:O213"/>
    <mergeCell ref="E227:O227"/>
    <mergeCell ref="E226:O226"/>
    <mergeCell ref="E214:O214"/>
    <mergeCell ref="E215:O215"/>
    <mergeCell ref="E229:O229"/>
    <mergeCell ref="E230:O230"/>
    <mergeCell ref="E231:O231"/>
    <mergeCell ref="E233:O233"/>
    <mergeCell ref="E221:O221"/>
    <mergeCell ref="E222:O222"/>
    <mergeCell ref="E223:O223"/>
    <mergeCell ref="E224:O224"/>
    <mergeCell ref="E225:O225"/>
    <mergeCell ref="E228:O228"/>
    <mergeCell ref="E232:O232"/>
    <mergeCell ref="E207:O207"/>
    <mergeCell ref="E208:O208"/>
    <mergeCell ref="E209:O209"/>
    <mergeCell ref="E210:O210"/>
    <mergeCell ref="E201:O201"/>
    <mergeCell ref="E202:O202"/>
    <mergeCell ref="E203:O203"/>
    <mergeCell ref="E204:O204"/>
    <mergeCell ref="E205:O205"/>
    <mergeCell ref="E198:O198"/>
    <mergeCell ref="E199:O199"/>
    <mergeCell ref="E200:O200"/>
    <mergeCell ref="D195:P195"/>
    <mergeCell ref="D196:P196"/>
    <mergeCell ref="E190:O190"/>
    <mergeCell ref="E191:O191"/>
    <mergeCell ref="E192:O192"/>
    <mergeCell ref="E206:O206"/>
    <mergeCell ref="E188:O188"/>
    <mergeCell ref="E189:O189"/>
    <mergeCell ref="E179:O179"/>
    <mergeCell ref="E180:O180"/>
    <mergeCell ref="E182:O182"/>
    <mergeCell ref="E183:O183"/>
    <mergeCell ref="E184:O184"/>
    <mergeCell ref="E181:O181"/>
    <mergeCell ref="E197:O197"/>
    <mergeCell ref="E178:O178"/>
    <mergeCell ref="E169:O169"/>
    <mergeCell ref="E170:O170"/>
    <mergeCell ref="E171:O171"/>
    <mergeCell ref="E172:O172"/>
    <mergeCell ref="E173:O173"/>
    <mergeCell ref="E185:O185"/>
    <mergeCell ref="E186:O186"/>
    <mergeCell ref="E187:O187"/>
    <mergeCell ref="E159:O159"/>
    <mergeCell ref="E160:O160"/>
    <mergeCell ref="E161:O161"/>
    <mergeCell ref="E162:O162"/>
    <mergeCell ref="E163:O163"/>
    <mergeCell ref="E174:O174"/>
    <mergeCell ref="E175:O175"/>
    <mergeCell ref="E176:O176"/>
    <mergeCell ref="E177:O177"/>
    <mergeCell ref="E237:O237"/>
    <mergeCell ref="E238:O238"/>
    <mergeCell ref="E239:O239"/>
    <mergeCell ref="E243:O243"/>
    <mergeCell ref="E234:O234"/>
    <mergeCell ref="E145:O145"/>
    <mergeCell ref="E146:O146"/>
    <mergeCell ref="E147:O147"/>
    <mergeCell ref="E148:O148"/>
    <mergeCell ref="E155:O155"/>
    <mergeCell ref="E156:O156"/>
    <mergeCell ref="E157:O157"/>
    <mergeCell ref="E158:O158"/>
    <mergeCell ref="E149:O149"/>
    <mergeCell ref="E150:O150"/>
    <mergeCell ref="E151:O151"/>
    <mergeCell ref="E152:O152"/>
    <mergeCell ref="E153:O153"/>
    <mergeCell ref="E154:O154"/>
    <mergeCell ref="E164:O164"/>
    <mergeCell ref="E165:O165"/>
    <mergeCell ref="E166:O166"/>
    <mergeCell ref="E167:O167"/>
    <mergeCell ref="E168:O168"/>
    <mergeCell ref="D247:P247"/>
    <mergeCell ref="D98:P98"/>
    <mergeCell ref="D99:P99"/>
    <mergeCell ref="D114:P114"/>
    <mergeCell ref="D115:P115"/>
    <mergeCell ref="D116:P116"/>
    <mergeCell ref="D117:P117"/>
    <mergeCell ref="D118:P118"/>
    <mergeCell ref="D119:P119"/>
    <mergeCell ref="D120:P120"/>
    <mergeCell ref="E132:O132"/>
    <mergeCell ref="E133:O133"/>
    <mergeCell ref="E129:O129"/>
    <mergeCell ref="E134:O134"/>
    <mergeCell ref="E135:O135"/>
    <mergeCell ref="E137:O137"/>
    <mergeCell ref="E138:O138"/>
    <mergeCell ref="E244:O244"/>
    <mergeCell ref="E245:O245"/>
    <mergeCell ref="E240:O240"/>
    <mergeCell ref="E241:O241"/>
    <mergeCell ref="E242:O242"/>
    <mergeCell ref="E235:O235"/>
    <mergeCell ref="E236:O236"/>
    <mergeCell ref="E77:O77"/>
    <mergeCell ref="E78:O78"/>
    <mergeCell ref="E79:O79"/>
    <mergeCell ref="E80:O80"/>
    <mergeCell ref="E74:O74"/>
    <mergeCell ref="D143:P143"/>
    <mergeCell ref="E139:O139"/>
    <mergeCell ref="D100:P100"/>
    <mergeCell ref="D101:P101"/>
    <mergeCell ref="D102:P102"/>
    <mergeCell ref="D103:P103"/>
    <mergeCell ref="D104:P104"/>
    <mergeCell ref="D105:P105"/>
    <mergeCell ref="D142:P142"/>
    <mergeCell ref="E87:O87"/>
    <mergeCell ref="E88:O88"/>
    <mergeCell ref="E89:O89"/>
    <mergeCell ref="E90:O90"/>
    <mergeCell ref="E86:O86"/>
    <mergeCell ref="E126:O126"/>
    <mergeCell ref="E127:O127"/>
    <mergeCell ref="E128:O128"/>
    <mergeCell ref="E136:O136"/>
    <mergeCell ref="D106:P106"/>
    <mergeCell ref="D94:P94"/>
    <mergeCell ref="D95:P95"/>
    <mergeCell ref="D96:P96"/>
    <mergeCell ref="D97:P97"/>
    <mergeCell ref="D27:P27"/>
    <mergeCell ref="E55:O55"/>
    <mergeCell ref="E56:O56"/>
    <mergeCell ref="E57:O57"/>
    <mergeCell ref="E66:O66"/>
    <mergeCell ref="E67:O67"/>
    <mergeCell ref="E68:O68"/>
    <mergeCell ref="E69:O69"/>
    <mergeCell ref="E70:O70"/>
    <mergeCell ref="E71:O71"/>
    <mergeCell ref="E72:O72"/>
    <mergeCell ref="E83:O83"/>
    <mergeCell ref="E84:O84"/>
    <mergeCell ref="E85:O85"/>
    <mergeCell ref="E73:O73"/>
    <mergeCell ref="E75:O75"/>
    <mergeCell ref="E76:O76"/>
    <mergeCell ref="E81:O81"/>
    <mergeCell ref="E82:O82"/>
    <mergeCell ref="D93:P93"/>
    <mergeCell ref="D3:P3"/>
    <mergeCell ref="E58:O58"/>
    <mergeCell ref="E59:O59"/>
    <mergeCell ref="E60:O60"/>
    <mergeCell ref="E61:O61"/>
    <mergeCell ref="E62:O62"/>
    <mergeCell ref="E63:O63"/>
    <mergeCell ref="E64:O64"/>
    <mergeCell ref="E65:O65"/>
    <mergeCell ref="D26:P26"/>
    <mergeCell ref="L5:L8"/>
    <mergeCell ref="M10:M13"/>
    <mergeCell ref="N15:N18"/>
    <mergeCell ref="O20:O23"/>
  </mergeCells>
  <conditionalFormatting sqref="E18">
    <cfRule type="expression" dxfId="102" priority="12">
      <formula>AND(C1001&gt;=21%,C1001&lt;=100%)</formula>
    </cfRule>
  </conditionalFormatting>
  <conditionalFormatting sqref="E19">
    <cfRule type="expression" dxfId="101" priority="14">
      <formula>AND(C1001&gt;=1%,C1001&lt;=100%)</formula>
    </cfRule>
  </conditionalFormatting>
  <conditionalFormatting sqref="E20">
    <cfRule type="expression" dxfId="100" priority="68">
      <formula>AND(C1000&gt;=91%,C1000&lt;=100%)</formula>
    </cfRule>
  </conditionalFormatting>
  <conditionalFormatting sqref="E21">
    <cfRule type="expression" dxfId="99" priority="74">
      <formula>AND(C1000&gt;=61%,C1000&lt;=100%)</formula>
    </cfRule>
  </conditionalFormatting>
  <conditionalFormatting sqref="E22">
    <cfRule type="expression" dxfId="98" priority="80">
      <formula>AND(C1000&gt;=41%,C1000&lt;=100%)</formula>
    </cfRule>
  </conditionalFormatting>
  <conditionalFormatting sqref="E23">
    <cfRule type="expression" dxfId="97" priority="86">
      <formula>AND(C1000&gt;=21%,C1000&lt;=100%)</formula>
    </cfRule>
  </conditionalFormatting>
  <conditionalFormatting sqref="E24">
    <cfRule type="expression" dxfId="96" priority="2">
      <formula>AND(C1000&gt;=1%,C1000&lt;=100%)</formula>
    </cfRule>
  </conditionalFormatting>
  <conditionalFormatting sqref="F11">
    <cfRule type="expression" dxfId="95" priority="10">
      <formula>AND(C1002&gt;=61%,C1002&lt;=100%)</formula>
    </cfRule>
  </conditionalFormatting>
  <conditionalFormatting sqref="F12">
    <cfRule type="expression" dxfId="94" priority="30">
      <formula>AND(C1002&gt;=41%,C1002&lt;=100%)</formula>
    </cfRule>
  </conditionalFormatting>
  <conditionalFormatting sqref="F13">
    <cfRule type="expression" dxfId="93" priority="36">
      <formula>AND(C1002&gt;=21%,C1002&lt;=100%)</formula>
    </cfRule>
  </conditionalFormatting>
  <conditionalFormatting sqref="F14">
    <cfRule type="expression" dxfId="92" priority="40">
      <formula>AND(C1002&gt;=1%,C1002&lt;=100%)</formula>
    </cfRule>
  </conditionalFormatting>
  <conditionalFormatting sqref="F15">
    <cfRule type="expression" dxfId="91" priority="44">
      <formula>AND(C1001&gt;=91%,C1001&lt;=100%)</formula>
    </cfRule>
  </conditionalFormatting>
  <conditionalFormatting sqref="F16">
    <cfRule type="expression" dxfId="90" priority="48">
      <formula>AND(C1001&gt;=61%,C1001&lt;=100%)</formula>
    </cfRule>
  </conditionalFormatting>
  <conditionalFormatting sqref="F17">
    <cfRule type="expression" dxfId="89" priority="52">
      <formula>AND(C1001&gt;=41%,C1001&lt;=100%)</formula>
    </cfRule>
  </conditionalFormatting>
  <conditionalFormatting sqref="F18">
    <cfRule type="expression" dxfId="88" priority="56">
      <formula>AND(C1001&gt;=21%,C1001&lt;=100%)</formula>
    </cfRule>
  </conditionalFormatting>
  <conditionalFormatting sqref="F19">
    <cfRule type="expression" dxfId="87" priority="62">
      <formula>AND(C1001&gt;=1%,C1001&lt;=100%)</formula>
    </cfRule>
  </conditionalFormatting>
  <conditionalFormatting sqref="F20">
    <cfRule type="expression" dxfId="86" priority="67">
      <formula>AND(C1000&gt;=91%,C1000&lt;=100%)</formula>
    </cfRule>
  </conditionalFormatting>
  <conditionalFormatting sqref="F21">
    <cfRule type="expression" dxfId="85" priority="73">
      <formula>AND(C1000&gt;=61%,C1000&lt;=100%)</formula>
    </cfRule>
  </conditionalFormatting>
  <conditionalFormatting sqref="F22">
    <cfRule type="expression" dxfId="84" priority="79">
      <formula>AND(C1000&gt;=41%,C1000&lt;=100%)</formula>
    </cfRule>
  </conditionalFormatting>
  <conditionalFormatting sqref="F23">
    <cfRule type="expression" dxfId="83" priority="85">
      <formula>AND(C1000&gt;=21%,C1000&lt;=100%)</formula>
    </cfRule>
  </conditionalFormatting>
  <conditionalFormatting sqref="F24">
    <cfRule type="expression" dxfId="82" priority="3">
      <formula>AND(C1000&gt;=1%,C1000&lt;=100%)</formula>
    </cfRule>
  </conditionalFormatting>
  <conditionalFormatting sqref="G5">
    <cfRule type="expression" dxfId="81" priority="16">
      <formula>AND(C1003&gt;=91%,C1003&lt;=100%)</formula>
    </cfRule>
  </conditionalFormatting>
  <conditionalFormatting sqref="G6">
    <cfRule type="expression" dxfId="80" priority="18">
      <formula>AND(C1003&gt;=61%,C1003&lt;=100%)</formula>
    </cfRule>
  </conditionalFormatting>
  <conditionalFormatting sqref="G7">
    <cfRule type="expression" dxfId="79" priority="20">
      <formula>AND(C1003&gt;=41%,C1003&lt;=100%)</formula>
    </cfRule>
  </conditionalFormatting>
  <conditionalFormatting sqref="G8">
    <cfRule type="expression" dxfId="78" priority="22">
      <formula>AND(C1003&gt;=21%,C1003&lt;=100%)</formula>
    </cfRule>
  </conditionalFormatting>
  <conditionalFormatting sqref="G9">
    <cfRule type="expression" dxfId="77" priority="24">
      <formula>AND(C1003&gt;=1%,C1003&lt;=100%)</formula>
    </cfRule>
  </conditionalFormatting>
  <conditionalFormatting sqref="G10">
    <cfRule type="expression" dxfId="76" priority="26">
      <formula>AND(C1002&gt;=91%,C1002&lt;=100%)</formula>
    </cfRule>
  </conditionalFormatting>
  <conditionalFormatting sqref="G11">
    <cfRule type="expression" dxfId="75" priority="28">
      <formula>AND(C1002&gt;=61%,C1002&lt;=100%)</formula>
    </cfRule>
  </conditionalFormatting>
  <conditionalFormatting sqref="G12">
    <cfRule type="expression" dxfId="74" priority="32">
      <formula>AND(C1002&gt;=41%,C1002&lt;=100%)</formula>
    </cfRule>
  </conditionalFormatting>
  <conditionalFormatting sqref="G13">
    <cfRule type="expression" dxfId="73" priority="35">
      <formula>AND(C1002&gt;=21%,C1002&lt;=100%)</formula>
    </cfRule>
  </conditionalFormatting>
  <conditionalFormatting sqref="G14">
    <cfRule type="expression" dxfId="72" priority="39">
      <formula>AND(C1002&gt;=1%,C1002&lt;=100%)</formula>
    </cfRule>
  </conditionalFormatting>
  <conditionalFormatting sqref="G15">
    <cfRule type="expression" dxfId="71" priority="43">
      <formula>AND(C1001&gt;=91%,C1001&lt;=100%)</formula>
    </cfRule>
  </conditionalFormatting>
  <conditionalFormatting sqref="G16">
    <cfRule type="expression" dxfId="70" priority="47">
      <formula>AND(C1001&gt;=61%,C1001&lt;=100%)</formula>
    </cfRule>
  </conditionalFormatting>
  <conditionalFormatting sqref="G17">
    <cfRule type="expression" dxfId="69" priority="51">
      <formula>AND(C1001&gt;=41%,C1001&lt;=100%)</formula>
    </cfRule>
  </conditionalFormatting>
  <conditionalFormatting sqref="G18">
    <cfRule type="expression" dxfId="68" priority="55">
      <formula>AND(C1001&gt;=21%,C1001&lt;=100%)</formula>
    </cfRule>
  </conditionalFormatting>
  <conditionalFormatting sqref="G19">
    <cfRule type="expression" dxfId="67" priority="57">
      <formula>AND(C1001&gt;=1%,C1001&lt;=100%)</formula>
    </cfRule>
  </conditionalFormatting>
  <conditionalFormatting sqref="G20">
    <cfRule type="expression" dxfId="66" priority="66">
      <formula>AND(C1000&gt;=91%,C1000&lt;=100%)</formula>
    </cfRule>
  </conditionalFormatting>
  <conditionalFormatting sqref="G21">
    <cfRule type="expression" dxfId="65" priority="72">
      <formula>AND(C1000&gt;=61%,C1000&lt;=100%)</formula>
    </cfRule>
  </conditionalFormatting>
  <conditionalFormatting sqref="G22">
    <cfRule type="expression" dxfId="64" priority="78">
      <formula>AND(C1000&gt;=41%,C1000&lt;=100%)</formula>
    </cfRule>
  </conditionalFormatting>
  <conditionalFormatting sqref="G23">
    <cfRule type="expression" dxfId="63" priority="84">
      <formula>AND(C1000&gt;=21%,C1000&lt;=100%)</formula>
    </cfRule>
  </conditionalFormatting>
  <conditionalFormatting sqref="G24">
    <cfRule type="expression" dxfId="62" priority="4">
      <formula>AND(C1000&gt;=1%,C1000&lt;=100%)</formula>
    </cfRule>
  </conditionalFormatting>
  <conditionalFormatting sqref="H5">
    <cfRule type="expression" dxfId="61" priority="15">
      <formula>AND(C1003&gt;=91%,C1003&lt;=100%)</formula>
    </cfRule>
  </conditionalFormatting>
  <conditionalFormatting sqref="H6">
    <cfRule type="expression" dxfId="60" priority="17">
      <formula>AND(C1003&gt;=61%,C1003&lt;=100%)</formula>
    </cfRule>
  </conditionalFormatting>
  <conditionalFormatting sqref="H7">
    <cfRule type="expression" dxfId="59" priority="19">
      <formula>AND(C1003&gt;=41%,C1003&lt;=100%)</formula>
    </cfRule>
  </conditionalFormatting>
  <conditionalFormatting sqref="H8">
    <cfRule type="expression" dxfId="58" priority="21">
      <formula>AND(C1003&gt;=21%,C1003&lt;=100%)</formula>
    </cfRule>
  </conditionalFormatting>
  <conditionalFormatting sqref="H9">
    <cfRule type="expression" dxfId="57" priority="23">
      <formula>AND(C1003&gt;=1%,C1003&lt;=100%)</formula>
    </cfRule>
  </conditionalFormatting>
  <conditionalFormatting sqref="H10">
    <cfRule type="expression" dxfId="56" priority="25">
      <formula>AND(C1002&gt;=91%,C1002&lt;=100%)</formula>
    </cfRule>
  </conditionalFormatting>
  <conditionalFormatting sqref="H11">
    <cfRule type="expression" dxfId="55" priority="27">
      <formula>AND(C1002&gt;=61%,C1002&lt;=100%)</formula>
    </cfRule>
  </conditionalFormatting>
  <conditionalFormatting sqref="H12">
    <cfRule type="expression" dxfId="54" priority="31">
      <formula>AND(C1002&gt;=41%,C1002&lt;=100%)</formula>
    </cfRule>
  </conditionalFormatting>
  <conditionalFormatting sqref="H13">
    <cfRule type="expression" dxfId="53" priority="34">
      <formula>AND(C1002&gt;=21%,C1002&lt;=100%)</formula>
    </cfRule>
  </conditionalFormatting>
  <conditionalFormatting sqref="H14">
    <cfRule type="expression" dxfId="52" priority="38">
      <formula>AND(C1002&gt;=1%,C1002&lt;=100%)</formula>
    </cfRule>
  </conditionalFormatting>
  <conditionalFormatting sqref="H15">
    <cfRule type="expression" dxfId="51" priority="42">
      <formula>AND(C1001&gt;=91%,C1001&lt;=100%)</formula>
    </cfRule>
  </conditionalFormatting>
  <conditionalFormatting sqref="H16">
    <cfRule type="expression" dxfId="50" priority="46">
      <formula>AND(C1001&gt;=61%,C1001&lt;=100%)</formula>
    </cfRule>
  </conditionalFormatting>
  <conditionalFormatting sqref="H17">
    <cfRule type="expression" dxfId="49" priority="50">
      <formula>AND(C1001&gt;=41%,C1001&lt;=100%)</formula>
    </cfRule>
  </conditionalFormatting>
  <conditionalFormatting sqref="H18">
    <cfRule type="expression" dxfId="48" priority="54">
      <formula>AND(C1001&gt;=21%,C1001&lt;=100%)</formula>
    </cfRule>
  </conditionalFormatting>
  <conditionalFormatting sqref="H19">
    <cfRule type="expression" dxfId="47" priority="58">
      <formula>AND(C1001&gt;=1%,C1001&lt;=100%)</formula>
    </cfRule>
  </conditionalFormatting>
  <conditionalFormatting sqref="H20">
    <cfRule type="expression" dxfId="46" priority="65">
      <formula>AND(C1000&gt;=91%,C1000&lt;=100%)</formula>
    </cfRule>
  </conditionalFormatting>
  <conditionalFormatting sqref="H21">
    <cfRule type="expression" dxfId="45" priority="71">
      <formula>AND(C1000&gt;=61%,C1000&lt;=100%)</formula>
    </cfRule>
  </conditionalFormatting>
  <conditionalFormatting sqref="H22">
    <cfRule type="expression" dxfId="44" priority="77">
      <formula>AND(C1000&gt;=41%,C1000&lt;=100%)</formula>
    </cfRule>
  </conditionalFormatting>
  <conditionalFormatting sqref="H23">
    <cfRule type="expression" dxfId="43" priority="83">
      <formula>AND(C1000&gt;=21%,C1000&lt;=100%)</formula>
    </cfRule>
  </conditionalFormatting>
  <conditionalFormatting sqref="H24">
    <cfRule type="expression" dxfId="42" priority="5">
      <formula>AND(C1000&gt;=1%,C1000&lt;=100%)</formula>
    </cfRule>
  </conditionalFormatting>
  <conditionalFormatting sqref="I11">
    <cfRule type="expression" dxfId="41" priority="9">
      <formula>AND(C1002&gt;=61%,C1002&lt;=100%)</formula>
    </cfRule>
  </conditionalFormatting>
  <conditionalFormatting sqref="I12">
    <cfRule type="expression" dxfId="40" priority="29">
      <formula>AND(C1002&gt;=41%,C1002&lt;=100%)</formula>
    </cfRule>
  </conditionalFormatting>
  <conditionalFormatting sqref="I13">
    <cfRule type="expression" dxfId="39" priority="33">
      <formula>AND(C1002&gt;=21%,C1002&lt;=100%)</formula>
    </cfRule>
  </conditionalFormatting>
  <conditionalFormatting sqref="I14">
    <cfRule type="expression" dxfId="38" priority="37">
      <formula>AND(C1002&gt;=1%,C1002&lt;=100%)</formula>
    </cfRule>
  </conditionalFormatting>
  <conditionalFormatting sqref="I15">
    <cfRule type="expression" dxfId="37" priority="41">
      <formula>AND(C1001&gt;=91%,C1001&lt;=100%)</formula>
    </cfRule>
  </conditionalFormatting>
  <conditionalFormatting sqref="I16">
    <cfRule type="expression" dxfId="36" priority="45">
      <formula>AND(C1001&gt;=61%,C1001&lt;=100%)</formula>
    </cfRule>
  </conditionalFormatting>
  <conditionalFormatting sqref="I17">
    <cfRule type="expression" dxfId="35" priority="49">
      <formula>AND(C1001&gt;=41%,C1001&lt;=100%)</formula>
    </cfRule>
  </conditionalFormatting>
  <conditionalFormatting sqref="I18">
    <cfRule type="expression" dxfId="34" priority="53">
      <formula>AND(C1001&gt;=21%,C1001&lt;=100%)</formula>
    </cfRule>
  </conditionalFormatting>
  <conditionalFormatting sqref="I19">
    <cfRule type="expression" dxfId="33" priority="59">
      <formula>AND(C1001&gt;=1%,C1001&lt;=100%)</formula>
    </cfRule>
  </conditionalFormatting>
  <conditionalFormatting sqref="I20">
    <cfRule type="expression" dxfId="32" priority="64">
      <formula>AND(C1000&gt;=91%,C1000&lt;=100%)</formula>
    </cfRule>
  </conditionalFormatting>
  <conditionalFormatting sqref="I21">
    <cfRule type="expression" dxfId="31" priority="70">
      <formula>AND(C1000&gt;=61%,C1000&lt;=100%)</formula>
    </cfRule>
  </conditionalFormatting>
  <conditionalFormatting sqref="I22">
    <cfRule type="expression" dxfId="30" priority="76">
      <formula>AND(C1000&gt;=41%,C1000&lt;=100%)</formula>
    </cfRule>
  </conditionalFormatting>
  <conditionalFormatting sqref="I23">
    <cfRule type="expression" dxfId="29" priority="82">
      <formula>AND(C1000&gt;=21,C1000&lt;=100)</formula>
    </cfRule>
    <cfRule type="expression" dxfId="28" priority="1">
      <formula>AND(C1000&gt;=21%,C1000&lt;=100%)</formula>
    </cfRule>
  </conditionalFormatting>
  <conditionalFormatting sqref="I24">
    <cfRule type="expression" dxfId="27" priority="6">
      <formula>AND(C1000&gt;=1%,C1000&lt;=100%)</formula>
    </cfRule>
  </conditionalFormatting>
  <conditionalFormatting sqref="J18">
    <cfRule type="expression" dxfId="26" priority="11">
      <formula>AND(C1001&gt;=21%,C1001&lt;=100%)</formula>
    </cfRule>
  </conditionalFormatting>
  <conditionalFormatting sqref="J19">
    <cfRule type="expression" dxfId="25" priority="13">
      <formula>AND(C1001&gt;=1%,C1001&lt;=100%)</formula>
    </cfRule>
  </conditionalFormatting>
  <conditionalFormatting sqref="J20">
    <cfRule type="expression" dxfId="24" priority="63">
      <formula>AND(C1000&gt;=91%,C1000&lt;=100%)</formula>
    </cfRule>
  </conditionalFormatting>
  <conditionalFormatting sqref="J21">
    <cfRule type="expression" dxfId="23" priority="69">
      <formula>AND(C1000&gt;=61%,C1000&lt;=100%)</formula>
    </cfRule>
  </conditionalFormatting>
  <conditionalFormatting sqref="J22">
    <cfRule type="expression" dxfId="22" priority="75">
      <formula>AND(C1000&gt;=41%,C1000&lt;=100%)</formula>
    </cfRule>
  </conditionalFormatting>
  <conditionalFormatting sqref="J23">
    <cfRule type="expression" dxfId="21" priority="81">
      <formula>AND(C1000&gt;=21%,C1000&lt;=100%)</formula>
    </cfRule>
  </conditionalFormatting>
  <conditionalFormatting sqref="J24">
    <cfRule type="expression" dxfId="20" priority="7">
      <formula>AND(C1000&gt;=1%,C1000&lt;=100%)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F2A1E-B527-44E3-A327-723198612537}">
  <dimension ref="B2:V1040"/>
  <sheetViews>
    <sheetView showGridLines="0" zoomScale="66" zoomScaleNormal="66" workbookViewId="0"/>
  </sheetViews>
  <sheetFormatPr baseColWidth="10" defaultRowHeight="14.4"/>
  <cols>
    <col min="1" max="1" width="11.5546875" style="82"/>
    <col min="2" max="2" width="5.44140625" style="82" customWidth="1"/>
    <col min="3" max="3" width="2.33203125" style="82" customWidth="1"/>
    <col min="4" max="6" width="11.5546875" style="82"/>
    <col min="7" max="7" width="11.5546875" style="82" customWidth="1"/>
    <col min="8" max="8" width="4.77734375" style="82" customWidth="1"/>
    <col min="9" max="9" width="4.21875" style="82" customWidth="1"/>
    <col min="10" max="10" width="3.21875" style="82" customWidth="1"/>
    <col min="11" max="20" width="15.88671875" style="82" customWidth="1"/>
    <col min="21" max="21" width="11.5546875" style="82"/>
    <col min="22" max="22" width="2.21875" style="82" customWidth="1"/>
    <col min="23" max="16384" width="11.5546875" style="82"/>
  </cols>
  <sheetData>
    <row r="2" spans="3:22" ht="15" thickBot="1">
      <c r="C2" s="83"/>
      <c r="D2" s="84"/>
      <c r="E2" s="84"/>
      <c r="F2" s="84"/>
      <c r="G2" s="84"/>
      <c r="H2" s="84"/>
      <c r="I2" s="84"/>
      <c r="J2" s="84"/>
      <c r="K2" s="84"/>
      <c r="L2" s="84"/>
      <c r="M2" s="84"/>
      <c r="N2" s="84"/>
      <c r="O2" s="84"/>
      <c r="P2" s="84"/>
      <c r="Q2" s="84"/>
      <c r="R2" s="84"/>
      <c r="S2" s="84"/>
      <c r="T2" s="84"/>
      <c r="U2" s="84"/>
      <c r="V2" s="85"/>
    </row>
    <row r="3" spans="3:22" ht="18.600000000000001" thickBot="1">
      <c r="C3" s="86"/>
      <c r="D3" s="226" t="s">
        <v>464</v>
      </c>
      <c r="E3" s="227"/>
      <c r="F3" s="227"/>
      <c r="G3" s="227"/>
      <c r="H3" s="227"/>
      <c r="I3" s="227"/>
      <c r="J3" s="227"/>
      <c r="K3" s="227"/>
      <c r="L3" s="227"/>
      <c r="M3" s="227"/>
      <c r="N3" s="227"/>
      <c r="O3" s="227"/>
      <c r="P3" s="227"/>
      <c r="Q3" s="227"/>
      <c r="R3" s="227"/>
      <c r="S3" s="227"/>
      <c r="T3" s="227"/>
      <c r="U3" s="228"/>
      <c r="V3" s="87"/>
    </row>
    <row r="4" spans="3:22" ht="4.8" customHeight="1" thickBot="1">
      <c r="C4" s="86"/>
      <c r="D4" s="249"/>
      <c r="E4" s="250"/>
      <c r="F4" s="250"/>
      <c r="G4" s="250"/>
      <c r="H4" s="250"/>
      <c r="I4" s="250"/>
      <c r="J4" s="250"/>
      <c r="K4" s="250"/>
      <c r="L4" s="250"/>
      <c r="M4" s="250"/>
      <c r="N4" s="250"/>
      <c r="O4" s="250"/>
      <c r="P4" s="250"/>
      <c r="Q4" s="250"/>
      <c r="R4" s="250"/>
      <c r="S4" s="250"/>
      <c r="T4" s="250"/>
      <c r="U4" s="251"/>
      <c r="V4" s="87"/>
    </row>
    <row r="5" spans="3:22" ht="18.600000000000001" customHeight="1" thickBot="1">
      <c r="C5" s="86"/>
      <c r="D5" s="238" t="s">
        <v>21</v>
      </c>
      <c r="E5" s="238"/>
      <c r="F5" s="238"/>
      <c r="G5" s="238"/>
      <c r="H5" s="238"/>
      <c r="I5" s="238"/>
      <c r="J5" s="238"/>
      <c r="K5" s="238"/>
      <c r="L5" s="238"/>
      <c r="M5" s="238"/>
      <c r="N5" s="238"/>
      <c r="O5" s="238"/>
      <c r="P5" s="238"/>
      <c r="Q5" s="238"/>
      <c r="R5" s="238"/>
      <c r="S5" s="238"/>
      <c r="T5" s="238"/>
      <c r="U5" s="238"/>
      <c r="V5" s="87"/>
    </row>
    <row r="6" spans="3:22">
      <c r="C6" s="86"/>
      <c r="D6" s="149"/>
      <c r="E6" s="143"/>
      <c r="F6" s="143"/>
      <c r="G6" s="143"/>
      <c r="H6" s="143"/>
      <c r="I6" s="143"/>
      <c r="J6" s="143"/>
      <c r="K6" s="143"/>
      <c r="L6" s="143"/>
      <c r="M6" s="143"/>
      <c r="N6" s="143"/>
      <c r="O6" s="143"/>
      <c r="P6" s="143"/>
      <c r="Q6" s="143"/>
      <c r="R6" s="143"/>
      <c r="S6" s="143"/>
      <c r="T6" s="143"/>
      <c r="U6" s="152"/>
      <c r="V6" s="87"/>
    </row>
    <row r="7" spans="3:22" ht="18" customHeight="1">
      <c r="C7" s="86"/>
      <c r="D7" s="149"/>
      <c r="E7" s="143"/>
      <c r="F7" s="143"/>
      <c r="G7" s="143"/>
      <c r="H7" s="143"/>
      <c r="I7" s="143"/>
      <c r="J7" s="143"/>
      <c r="K7" s="143"/>
      <c r="L7" s="143"/>
      <c r="M7" s="143"/>
      <c r="N7" s="143"/>
      <c r="O7" s="143"/>
      <c r="P7" s="143"/>
      <c r="Q7" s="143"/>
      <c r="R7" s="282" t="s">
        <v>465</v>
      </c>
      <c r="S7" s="282"/>
      <c r="T7" s="282"/>
      <c r="U7" s="152"/>
      <c r="V7" s="87"/>
    </row>
    <row r="8" spans="3:22">
      <c r="C8" s="86"/>
      <c r="D8" s="149"/>
      <c r="E8" s="143"/>
      <c r="F8" s="143"/>
      <c r="G8" s="143"/>
      <c r="H8" s="143"/>
      <c r="I8" s="143"/>
      <c r="J8" s="143"/>
      <c r="K8" s="143"/>
      <c r="L8" s="143"/>
      <c r="M8" s="143"/>
      <c r="N8" s="143"/>
      <c r="O8" s="143"/>
      <c r="P8" s="143"/>
      <c r="Q8" s="143"/>
      <c r="R8" s="143"/>
      <c r="S8" s="143"/>
      <c r="T8" s="143"/>
      <c r="U8" s="152"/>
      <c r="V8" s="87"/>
    </row>
    <row r="9" spans="3:22">
      <c r="C9" s="86"/>
      <c r="D9" s="149"/>
      <c r="E9" s="143"/>
      <c r="F9" s="143"/>
      <c r="G9" s="143"/>
      <c r="H9" s="143"/>
      <c r="I9" s="143"/>
      <c r="J9" s="143"/>
      <c r="K9" s="143"/>
      <c r="L9" s="143"/>
      <c r="M9" s="143"/>
      <c r="N9" s="143"/>
      <c r="O9" s="143"/>
      <c r="P9" s="143"/>
      <c r="Q9" s="143"/>
      <c r="R9" s="143"/>
      <c r="S9" s="143"/>
      <c r="T9" s="143"/>
      <c r="U9" s="152"/>
      <c r="V9" s="87"/>
    </row>
    <row r="10" spans="3:22" ht="14.4" customHeight="1">
      <c r="C10" s="86"/>
      <c r="D10" s="149"/>
      <c r="E10" s="143"/>
      <c r="F10" s="143"/>
      <c r="G10" s="143"/>
      <c r="H10" s="143"/>
      <c r="I10" s="143"/>
      <c r="J10" s="143"/>
      <c r="K10" s="143"/>
      <c r="L10" s="143"/>
      <c r="M10" s="143"/>
      <c r="N10" s="143"/>
      <c r="O10" s="143"/>
      <c r="P10" s="143"/>
      <c r="Q10" s="143"/>
      <c r="R10" s="143"/>
      <c r="S10" s="143"/>
      <c r="T10" s="175"/>
      <c r="U10" s="152"/>
      <c r="V10" s="87"/>
    </row>
    <row r="11" spans="3:22" ht="14.4" customHeight="1">
      <c r="C11" s="86"/>
      <c r="D11" s="149"/>
      <c r="E11" s="143"/>
      <c r="F11" s="143"/>
      <c r="G11" s="143"/>
      <c r="H11" s="143"/>
      <c r="I11" s="143"/>
      <c r="J11" s="143"/>
      <c r="K11" s="143"/>
      <c r="L11" s="143"/>
      <c r="M11" s="143"/>
      <c r="N11" s="143"/>
      <c r="O11" s="143"/>
      <c r="P11" s="143"/>
      <c r="Q11" s="143"/>
      <c r="R11" s="143"/>
      <c r="S11" s="143"/>
      <c r="T11" s="175"/>
      <c r="U11" s="152"/>
      <c r="V11" s="87"/>
    </row>
    <row r="12" spans="3:22" ht="14.4" customHeight="1">
      <c r="C12" s="86"/>
      <c r="D12" s="149"/>
      <c r="E12" s="143"/>
      <c r="F12" s="143"/>
      <c r="G12" s="143"/>
      <c r="H12" s="143"/>
      <c r="I12" s="143"/>
      <c r="J12" s="143"/>
      <c r="K12" s="143"/>
      <c r="L12" s="143"/>
      <c r="M12" s="143"/>
      <c r="N12" s="143"/>
      <c r="O12" s="143"/>
      <c r="P12" s="143"/>
      <c r="Q12" s="143"/>
      <c r="R12" s="143"/>
      <c r="S12" s="143"/>
      <c r="T12" s="175"/>
      <c r="U12" s="152"/>
      <c r="V12" s="87"/>
    </row>
    <row r="13" spans="3:22" ht="15.6" customHeight="1">
      <c r="C13" s="86"/>
      <c r="D13" s="149"/>
      <c r="E13" s="143"/>
      <c r="F13" s="143"/>
      <c r="G13" s="143"/>
      <c r="H13" s="143"/>
      <c r="I13" s="143"/>
      <c r="J13" s="143"/>
      <c r="K13" s="143"/>
      <c r="L13" s="143"/>
      <c r="M13" s="143"/>
      <c r="N13" s="143"/>
      <c r="O13" s="143"/>
      <c r="P13" s="143"/>
      <c r="Q13" s="143"/>
      <c r="R13" s="143"/>
      <c r="S13" s="143"/>
      <c r="T13" s="175"/>
      <c r="U13" s="152"/>
      <c r="V13" s="87"/>
    </row>
    <row r="14" spans="3:22" ht="14.4" customHeight="1">
      <c r="C14" s="86"/>
      <c r="D14" s="149"/>
      <c r="E14" s="143"/>
      <c r="F14" s="143"/>
      <c r="G14" s="143"/>
      <c r="H14" s="143"/>
      <c r="I14" s="143"/>
      <c r="J14" s="143"/>
      <c r="K14" s="143"/>
      <c r="L14" s="143"/>
      <c r="M14" s="143"/>
      <c r="N14" s="143"/>
      <c r="O14" s="143"/>
      <c r="P14" s="143"/>
      <c r="Q14" s="143"/>
      <c r="R14" s="143"/>
      <c r="S14" s="143"/>
      <c r="T14" s="175"/>
      <c r="U14" s="152"/>
      <c r="V14" s="87"/>
    </row>
    <row r="15" spans="3:22">
      <c r="C15" s="86"/>
      <c r="D15" s="149"/>
      <c r="E15" s="143"/>
      <c r="F15" s="143"/>
      <c r="G15" s="143"/>
      <c r="H15" s="143"/>
      <c r="I15" s="143"/>
      <c r="J15" s="143"/>
      <c r="K15" s="143"/>
      <c r="L15" s="143"/>
      <c r="M15" s="143"/>
      <c r="N15" s="143"/>
      <c r="O15" s="143"/>
      <c r="P15" s="143"/>
      <c r="Q15" s="143"/>
      <c r="R15" s="143"/>
      <c r="S15" s="143"/>
      <c r="T15" s="143"/>
      <c r="U15" s="152"/>
      <c r="V15" s="87"/>
    </row>
    <row r="16" spans="3:22">
      <c r="C16" s="86"/>
      <c r="D16" s="149"/>
      <c r="E16" s="143"/>
      <c r="F16" s="143"/>
      <c r="G16" s="143"/>
      <c r="H16" s="143"/>
      <c r="I16" s="143"/>
      <c r="J16" s="143"/>
      <c r="K16" s="143"/>
      <c r="L16" s="143"/>
      <c r="M16" s="143"/>
      <c r="N16" s="143"/>
      <c r="O16" s="143"/>
      <c r="P16" s="143"/>
      <c r="Q16" s="143"/>
      <c r="R16" s="143"/>
      <c r="S16" s="143"/>
      <c r="T16" s="176"/>
      <c r="U16" s="152"/>
      <c r="V16" s="87"/>
    </row>
    <row r="17" spans="3:22">
      <c r="C17" s="86"/>
      <c r="D17" s="149"/>
      <c r="E17" s="143"/>
      <c r="F17" s="143"/>
      <c r="G17" s="143"/>
      <c r="H17" s="143"/>
      <c r="I17" s="143"/>
      <c r="J17" s="143"/>
      <c r="K17" s="143"/>
      <c r="L17" s="143"/>
      <c r="M17" s="143"/>
      <c r="N17" s="143"/>
      <c r="O17" s="143"/>
      <c r="P17" s="143"/>
      <c r="Q17" s="143"/>
      <c r="R17" s="143"/>
      <c r="S17" s="143"/>
      <c r="T17" s="177"/>
      <c r="U17" s="152"/>
      <c r="V17" s="87"/>
    </row>
    <row r="18" spans="3:22">
      <c r="C18" s="86"/>
      <c r="D18" s="149"/>
      <c r="E18" s="143"/>
      <c r="F18" s="143"/>
      <c r="G18" s="143"/>
      <c r="H18" s="143"/>
      <c r="I18" s="143"/>
      <c r="J18" s="143"/>
      <c r="K18" s="143"/>
      <c r="L18" s="143"/>
      <c r="M18" s="143"/>
      <c r="N18" s="143"/>
      <c r="O18" s="143"/>
      <c r="P18" s="143"/>
      <c r="Q18" s="143"/>
      <c r="R18" s="143"/>
      <c r="S18" s="143"/>
      <c r="T18" s="177"/>
      <c r="U18" s="152"/>
      <c r="V18" s="87"/>
    </row>
    <row r="19" spans="3:22">
      <c r="C19" s="86"/>
      <c r="D19" s="149"/>
      <c r="E19" s="143"/>
      <c r="F19" s="143"/>
      <c r="G19" s="143"/>
      <c r="H19" s="143"/>
      <c r="I19" s="143"/>
      <c r="J19" s="143"/>
      <c r="K19" s="143"/>
      <c r="L19" s="143"/>
      <c r="M19" s="143"/>
      <c r="N19" s="143"/>
      <c r="O19" s="143"/>
      <c r="P19" s="143"/>
      <c r="Q19" s="143"/>
      <c r="R19" s="143"/>
      <c r="S19" s="143"/>
      <c r="T19" s="177"/>
      <c r="U19" s="152"/>
      <c r="V19" s="87"/>
    </row>
    <row r="20" spans="3:22">
      <c r="C20" s="86"/>
      <c r="D20" s="149"/>
      <c r="E20" s="143"/>
      <c r="F20" s="143"/>
      <c r="G20" s="143"/>
      <c r="H20" s="143"/>
      <c r="I20" s="143"/>
      <c r="J20" s="143"/>
      <c r="K20" s="143"/>
      <c r="L20" s="143"/>
      <c r="M20" s="143"/>
      <c r="N20" s="143"/>
      <c r="O20" s="143"/>
      <c r="P20" s="143"/>
      <c r="Q20" s="143"/>
      <c r="R20" s="143"/>
      <c r="S20" s="143"/>
      <c r="T20" s="177"/>
      <c r="U20" s="152"/>
      <c r="V20" s="87"/>
    </row>
    <row r="21" spans="3:22">
      <c r="C21" s="86"/>
      <c r="D21" s="149"/>
      <c r="E21" s="143"/>
      <c r="F21" s="143"/>
      <c r="G21" s="143"/>
      <c r="H21" s="143"/>
      <c r="I21" s="143"/>
      <c r="J21" s="143"/>
      <c r="K21" s="143"/>
      <c r="L21" s="143"/>
      <c r="M21" s="143"/>
      <c r="N21" s="143"/>
      <c r="O21" s="143"/>
      <c r="P21" s="143"/>
      <c r="Q21" s="143"/>
      <c r="R21" s="143"/>
      <c r="S21" s="143"/>
      <c r="T21" s="143"/>
      <c r="U21" s="152"/>
      <c r="V21" s="87"/>
    </row>
    <row r="22" spans="3:22">
      <c r="C22" s="86"/>
      <c r="D22" s="149"/>
      <c r="E22" s="143"/>
      <c r="F22" s="143"/>
      <c r="G22" s="143"/>
      <c r="H22" s="143"/>
      <c r="I22" s="143"/>
      <c r="J22" s="143"/>
      <c r="K22" s="143"/>
      <c r="L22" s="143"/>
      <c r="M22" s="143"/>
      <c r="N22" s="143"/>
      <c r="O22" s="143"/>
      <c r="P22" s="143"/>
      <c r="Q22" s="143"/>
      <c r="R22" s="143"/>
      <c r="S22" s="143"/>
      <c r="T22" s="176"/>
      <c r="U22" s="152"/>
      <c r="V22" s="87"/>
    </row>
    <row r="23" spans="3:22" ht="15.6" customHeight="1">
      <c r="C23" s="86"/>
      <c r="D23" s="149"/>
      <c r="E23" s="143"/>
      <c r="F23" s="143"/>
      <c r="G23" s="143"/>
      <c r="H23" s="143"/>
      <c r="I23" s="143"/>
      <c r="J23" s="143"/>
      <c r="K23" s="143"/>
      <c r="L23" s="143"/>
      <c r="M23" s="143"/>
      <c r="N23" s="143"/>
      <c r="O23" s="143"/>
      <c r="P23" s="143"/>
      <c r="Q23" s="143"/>
      <c r="R23" s="143"/>
      <c r="S23" s="143"/>
      <c r="T23" s="177"/>
      <c r="U23" s="152"/>
      <c r="V23" s="87"/>
    </row>
    <row r="24" spans="3:22">
      <c r="C24" s="86"/>
      <c r="D24" s="149"/>
      <c r="E24" s="143"/>
      <c r="F24" s="143"/>
      <c r="G24" s="143"/>
      <c r="H24" s="143"/>
      <c r="I24" s="143"/>
      <c r="J24" s="143"/>
      <c r="K24" s="143"/>
      <c r="L24" s="143"/>
      <c r="M24" s="143"/>
      <c r="N24" s="143"/>
      <c r="O24" s="143"/>
      <c r="P24" s="143"/>
      <c r="Q24" s="143"/>
      <c r="R24" s="143"/>
      <c r="S24" s="143"/>
      <c r="T24" s="177"/>
      <c r="U24" s="152"/>
      <c r="V24" s="87"/>
    </row>
    <row r="25" spans="3:22">
      <c r="C25" s="86"/>
      <c r="D25" s="149"/>
      <c r="E25" s="143"/>
      <c r="F25" s="143"/>
      <c r="G25" s="143"/>
      <c r="H25" s="143"/>
      <c r="I25" s="143"/>
      <c r="J25" s="143"/>
      <c r="K25" s="143"/>
      <c r="L25" s="143"/>
      <c r="M25" s="143"/>
      <c r="N25" s="143"/>
      <c r="O25" s="143"/>
      <c r="P25" s="143"/>
      <c r="Q25" s="143"/>
      <c r="R25" s="143"/>
      <c r="S25" s="143"/>
      <c r="T25" s="177"/>
      <c r="U25" s="152"/>
      <c r="V25" s="87"/>
    </row>
    <row r="26" spans="3:22">
      <c r="C26" s="86"/>
      <c r="D26" s="149"/>
      <c r="E26" s="143"/>
      <c r="F26" s="143"/>
      <c r="G26" s="143"/>
      <c r="H26" s="143"/>
      <c r="I26" s="143"/>
      <c r="J26" s="143"/>
      <c r="K26" s="143"/>
      <c r="L26" s="143"/>
      <c r="M26" s="143"/>
      <c r="N26" s="143"/>
      <c r="O26" s="143"/>
      <c r="P26" s="143"/>
      <c r="Q26" s="143"/>
      <c r="R26" s="143"/>
      <c r="S26" s="143"/>
      <c r="T26" s="177"/>
      <c r="U26" s="152"/>
      <c r="V26" s="87"/>
    </row>
    <row r="27" spans="3:22">
      <c r="C27" s="86"/>
      <c r="D27" s="149"/>
      <c r="E27" s="143"/>
      <c r="F27" s="143"/>
      <c r="G27" s="143"/>
      <c r="H27" s="143"/>
      <c r="I27" s="143"/>
      <c r="J27" s="143"/>
      <c r="K27" s="143"/>
      <c r="L27" s="143"/>
      <c r="M27" s="143"/>
      <c r="N27" s="143"/>
      <c r="O27" s="143"/>
      <c r="P27" s="143"/>
      <c r="Q27" s="143"/>
      <c r="R27" s="143"/>
      <c r="S27" s="143"/>
      <c r="T27" s="143"/>
      <c r="U27" s="152"/>
      <c r="V27" s="87"/>
    </row>
    <row r="28" spans="3:22">
      <c r="C28" s="86"/>
      <c r="D28" s="149"/>
      <c r="E28" s="143"/>
      <c r="F28" s="143"/>
      <c r="G28" s="143"/>
      <c r="H28" s="143"/>
      <c r="I28" s="143"/>
      <c r="J28" s="143"/>
      <c r="K28" s="143"/>
      <c r="L28" s="143"/>
      <c r="M28" s="143"/>
      <c r="N28" s="143"/>
      <c r="O28" s="143"/>
      <c r="P28" s="143"/>
      <c r="Q28" s="143"/>
      <c r="R28" s="143"/>
      <c r="S28" s="143"/>
      <c r="T28" s="143"/>
      <c r="U28" s="152"/>
      <c r="V28" s="87"/>
    </row>
    <row r="29" spans="3:22">
      <c r="C29" s="86"/>
      <c r="D29" s="149"/>
      <c r="E29" s="143"/>
      <c r="F29" s="143"/>
      <c r="G29" s="143"/>
      <c r="H29" s="143"/>
      <c r="I29" s="143"/>
      <c r="J29" s="143"/>
      <c r="K29" s="143"/>
      <c r="L29" s="143"/>
      <c r="M29" s="143"/>
      <c r="N29" s="143"/>
      <c r="O29" s="143"/>
      <c r="P29" s="143"/>
      <c r="Q29" s="143"/>
      <c r="R29" s="143"/>
      <c r="S29" s="143"/>
      <c r="T29" s="143"/>
      <c r="U29" s="152"/>
      <c r="V29" s="87"/>
    </row>
    <row r="30" spans="3:22">
      <c r="C30" s="86"/>
      <c r="D30" s="149"/>
      <c r="E30" s="143"/>
      <c r="F30" s="143"/>
      <c r="G30" s="143"/>
      <c r="H30" s="143"/>
      <c r="I30" s="143"/>
      <c r="J30" s="143"/>
      <c r="K30" s="143"/>
      <c r="L30" s="143"/>
      <c r="M30" s="143"/>
      <c r="N30" s="143"/>
      <c r="O30" s="143"/>
      <c r="P30" s="143"/>
      <c r="Q30" s="143"/>
      <c r="R30" s="143"/>
      <c r="S30" s="143"/>
      <c r="T30" s="143"/>
      <c r="U30" s="152"/>
      <c r="V30" s="87"/>
    </row>
    <row r="31" spans="3:22" ht="21">
      <c r="C31" s="86"/>
      <c r="D31" s="287" t="s">
        <v>455</v>
      </c>
      <c r="E31" s="288"/>
      <c r="F31" s="289" t="str">
        <f>IF(AND(R1010&gt;=0,R1010&lt;=0.1),"",
 IF(R1010&lt;10%,"Muy alto",
 IF(R1010&lt;20%,"Alto",
 IF(R1010&lt;40%,"Medio",
 IF(R1010&lt;70%,"Medio-bajo",
 "Bajo")))))</f>
        <v/>
      </c>
      <c r="G31" s="289"/>
      <c r="H31" s="289"/>
      <c r="I31" s="289"/>
      <c r="J31" s="178"/>
      <c r="K31" s="143"/>
      <c r="L31" s="143"/>
      <c r="M31" s="143"/>
      <c r="N31" s="143"/>
      <c r="O31" s="143"/>
      <c r="P31" s="143"/>
      <c r="Q31" s="143"/>
      <c r="R31" s="143"/>
      <c r="S31" s="143"/>
      <c r="T31" s="143"/>
      <c r="U31" s="152"/>
      <c r="V31" s="87"/>
    </row>
    <row r="32" spans="3:22">
      <c r="C32" s="86"/>
      <c r="D32" s="149"/>
      <c r="E32" s="143"/>
      <c r="F32" s="143"/>
      <c r="G32" s="143"/>
      <c r="H32" s="143"/>
      <c r="I32" s="143"/>
      <c r="J32" s="143"/>
      <c r="K32" s="326" t="s">
        <v>460</v>
      </c>
      <c r="L32" s="326"/>
      <c r="M32" s="326"/>
      <c r="N32" s="326"/>
      <c r="O32" s="326"/>
      <c r="P32" s="326"/>
      <c r="Q32" s="326"/>
      <c r="R32" s="326"/>
      <c r="S32" s="326"/>
      <c r="T32" s="326"/>
      <c r="U32" s="152"/>
      <c r="V32" s="87"/>
    </row>
    <row r="33" spans="3:22">
      <c r="C33" s="86"/>
      <c r="D33" s="149"/>
      <c r="E33" s="143"/>
      <c r="F33" s="143"/>
      <c r="G33" s="143"/>
      <c r="H33" s="143"/>
      <c r="I33" s="143"/>
      <c r="J33" s="143"/>
      <c r="K33" s="326"/>
      <c r="L33" s="326"/>
      <c r="M33" s="326"/>
      <c r="N33" s="326"/>
      <c r="O33" s="326"/>
      <c r="P33" s="326"/>
      <c r="Q33" s="326"/>
      <c r="R33" s="326"/>
      <c r="S33" s="326"/>
      <c r="T33" s="326"/>
      <c r="U33" s="152"/>
      <c r="V33" s="87"/>
    </row>
    <row r="34" spans="3:22" ht="15" thickBot="1">
      <c r="C34" s="86"/>
      <c r="D34" s="149"/>
      <c r="E34" s="143"/>
      <c r="F34" s="143"/>
      <c r="G34" s="143"/>
      <c r="H34" s="143"/>
      <c r="I34" s="143"/>
      <c r="J34" s="143"/>
      <c r="K34" s="143"/>
      <c r="L34" s="143"/>
      <c r="M34" s="143"/>
      <c r="N34" s="143"/>
      <c r="O34" s="143"/>
      <c r="P34" s="143"/>
      <c r="Q34" s="143"/>
      <c r="R34" s="143"/>
      <c r="S34" s="143"/>
      <c r="T34" s="143"/>
      <c r="U34" s="152"/>
      <c r="V34" s="87"/>
    </row>
    <row r="35" spans="3:22" ht="19.2" customHeight="1" thickTop="1">
      <c r="C35" s="86"/>
      <c r="D35" s="149"/>
      <c r="E35" s="143"/>
      <c r="F35" s="143"/>
      <c r="G35" s="143"/>
      <c r="H35" s="306" t="s">
        <v>459</v>
      </c>
      <c r="I35" s="322" t="s">
        <v>457</v>
      </c>
      <c r="J35" s="325">
        <v>6</v>
      </c>
      <c r="K35" s="299" t="str">
        <f>_xlfn.XLOOKUP(Diagnóstico!E42,Listas!B24:B25,Listas!F24:F25,"")</f>
        <v/>
      </c>
      <c r="L35" s="300"/>
      <c r="M35" s="299" t="str">
        <f>_xlfn.XLOOKUP(Diagnóstico!E81,Listas!B100:B101,Listas!F100:F101,"")</f>
        <v/>
      </c>
      <c r="N35" s="300"/>
      <c r="O35" s="293" t="str">
        <f>_xlfn.XLOOKUP(Diagnóstico!E87,Listas!B114:B115,Listas!F114:F115,"")</f>
        <v/>
      </c>
      <c r="P35" s="294"/>
      <c r="Q35" s="293" t="str">
        <f>_xlfn.XLOOKUP(Diagnóstico!E99,Listas!B139:B140,Listas!F139:F140,"")</f>
        <v/>
      </c>
      <c r="R35" s="294"/>
      <c r="S35" s="293" t="str">
        <f>_xlfn.XLOOKUP(Diagnóstico!E78,Listas!B97,Listas!F97,"")</f>
        <v/>
      </c>
      <c r="T35" s="294"/>
      <c r="U35" s="152"/>
      <c r="V35" s="87"/>
    </row>
    <row r="36" spans="3:22" ht="19.2" customHeight="1">
      <c r="C36" s="86"/>
      <c r="D36" s="149"/>
      <c r="E36" s="143"/>
      <c r="F36" s="143"/>
      <c r="G36" s="143"/>
      <c r="H36" s="306"/>
      <c r="I36" s="322"/>
      <c r="J36" s="325"/>
      <c r="K36" s="301"/>
      <c r="L36" s="302"/>
      <c r="M36" s="301"/>
      <c r="N36" s="302"/>
      <c r="O36" s="295"/>
      <c r="P36" s="296"/>
      <c r="Q36" s="295"/>
      <c r="R36" s="296"/>
      <c r="S36" s="295"/>
      <c r="T36" s="296"/>
      <c r="U36" s="152"/>
      <c r="V36" s="87"/>
    </row>
    <row r="37" spans="3:22" ht="19.2" customHeight="1">
      <c r="C37" s="86"/>
      <c r="D37" s="149"/>
      <c r="E37" s="143"/>
      <c r="F37" s="143"/>
      <c r="G37" s="143"/>
      <c r="H37" s="306"/>
      <c r="I37" s="322"/>
      <c r="J37" s="325"/>
      <c r="K37" s="301"/>
      <c r="L37" s="302"/>
      <c r="M37" s="301"/>
      <c r="N37" s="302"/>
      <c r="O37" s="295"/>
      <c r="P37" s="296"/>
      <c r="Q37" s="295"/>
      <c r="R37" s="296"/>
      <c r="S37" s="295"/>
      <c r="T37" s="296"/>
      <c r="U37" s="152"/>
      <c r="V37" s="87"/>
    </row>
    <row r="38" spans="3:22" ht="19.2" customHeight="1" thickBot="1">
      <c r="C38" s="86"/>
      <c r="D38" s="149"/>
      <c r="E38" s="143"/>
      <c r="F38" s="143"/>
      <c r="G38" s="143"/>
      <c r="H38" s="306"/>
      <c r="I38" s="322"/>
      <c r="J38" s="325"/>
      <c r="K38" s="303"/>
      <c r="L38" s="304"/>
      <c r="M38" s="303"/>
      <c r="N38" s="304"/>
      <c r="O38" s="297"/>
      <c r="P38" s="298"/>
      <c r="Q38" s="297"/>
      <c r="R38" s="298"/>
      <c r="S38" s="297"/>
      <c r="T38" s="298"/>
      <c r="U38" s="152"/>
      <c r="V38" s="87"/>
    </row>
    <row r="39" spans="3:22" ht="19.2" customHeight="1" thickTop="1">
      <c r="C39" s="86"/>
      <c r="D39" s="149"/>
      <c r="E39" s="143"/>
      <c r="F39" s="143"/>
      <c r="G39" s="143"/>
      <c r="H39" s="306"/>
      <c r="I39" s="322"/>
      <c r="J39" s="325">
        <v>5</v>
      </c>
      <c r="K39" s="299" t="str">
        <f>_xlfn.XLOOKUP(Diagnóstico!E39,Listas!B21,Listas!F21,"")</f>
        <v/>
      </c>
      <c r="L39" s="300"/>
      <c r="M39" s="299" t="str">
        <f>_xlfn.XLOOKUP(Diagnóstico!E84,Listas!B107:B108,Listas!F107:F108,"")</f>
        <v/>
      </c>
      <c r="N39" s="300"/>
      <c r="O39" s="293" t="str">
        <f>_xlfn.XLOOKUP(Diagnóstico!E69,Listas!B76,Listas!F76,"")</f>
        <v/>
      </c>
      <c r="P39" s="294"/>
      <c r="Q39" s="293" t="str">
        <f>_xlfn.XLOOKUP(Diagnóstico!E54,Listas!B46:B47,Listas!F46:F47,"")</f>
        <v/>
      </c>
      <c r="R39" s="294"/>
      <c r="S39" s="293" t="str">
        <f>_xlfn.XLOOKUP(Diagnóstico!E51,Listas!B43,Listas!F43,"")</f>
        <v/>
      </c>
      <c r="T39" s="294"/>
      <c r="U39" s="152"/>
      <c r="V39" s="87"/>
    </row>
    <row r="40" spans="3:22" ht="19.2" customHeight="1">
      <c r="C40" s="86"/>
      <c r="D40" s="149"/>
      <c r="E40" s="143"/>
      <c r="F40" s="143"/>
      <c r="G40" s="143"/>
      <c r="H40" s="306"/>
      <c r="I40" s="322"/>
      <c r="J40" s="325"/>
      <c r="K40" s="301"/>
      <c r="L40" s="302"/>
      <c r="M40" s="301"/>
      <c r="N40" s="302"/>
      <c r="O40" s="295"/>
      <c r="P40" s="296"/>
      <c r="Q40" s="295"/>
      <c r="R40" s="296"/>
      <c r="S40" s="295"/>
      <c r="T40" s="296"/>
      <c r="U40" s="152"/>
      <c r="V40" s="87"/>
    </row>
    <row r="41" spans="3:22" ht="19.2" customHeight="1">
      <c r="C41" s="86"/>
      <c r="D41" s="149"/>
      <c r="E41" s="143"/>
      <c r="F41" s="143"/>
      <c r="G41" s="143"/>
      <c r="H41" s="306"/>
      <c r="I41" s="322"/>
      <c r="J41" s="325"/>
      <c r="K41" s="301"/>
      <c r="L41" s="302"/>
      <c r="M41" s="301"/>
      <c r="N41" s="302"/>
      <c r="O41" s="295"/>
      <c r="P41" s="296"/>
      <c r="Q41" s="295"/>
      <c r="R41" s="296"/>
      <c r="S41" s="295"/>
      <c r="T41" s="296"/>
      <c r="U41" s="152"/>
      <c r="V41" s="87"/>
    </row>
    <row r="42" spans="3:22" ht="19.2" customHeight="1" thickBot="1">
      <c r="C42" s="86"/>
      <c r="D42" s="149"/>
      <c r="E42" s="143"/>
      <c r="F42" s="143"/>
      <c r="G42" s="143"/>
      <c r="H42" s="306"/>
      <c r="I42" s="322"/>
      <c r="J42" s="325"/>
      <c r="K42" s="303"/>
      <c r="L42" s="304"/>
      <c r="M42" s="303"/>
      <c r="N42" s="304"/>
      <c r="O42" s="297"/>
      <c r="P42" s="298"/>
      <c r="Q42" s="297"/>
      <c r="R42" s="298"/>
      <c r="S42" s="297"/>
      <c r="T42" s="298"/>
      <c r="U42" s="152"/>
      <c r="V42" s="87"/>
    </row>
    <row r="43" spans="3:22" ht="19.2" customHeight="1" thickTop="1">
      <c r="C43" s="86"/>
      <c r="D43" s="149"/>
      <c r="E43" s="143"/>
      <c r="F43" s="143"/>
      <c r="G43" s="143"/>
      <c r="H43" s="306"/>
      <c r="I43" s="322"/>
      <c r="J43" s="325">
        <v>4</v>
      </c>
      <c r="K43" s="313" t="str">
        <f>_xlfn.XLOOKUP(Diagnóstico!E96,Listas!B132:B133,Listas!F132:F133,"")</f>
        <v/>
      </c>
      <c r="L43" s="314"/>
      <c r="M43" s="299" t="str">
        <f>_xlfn.XLOOKUP(Diagnóstico!E66,Listas!B69:B70,Listas!F69:F70,"")</f>
        <v/>
      </c>
      <c r="N43" s="300"/>
      <c r="O43" s="293" t="str">
        <f>_xlfn.XLOOKUP(Diagnóstico!E72,Listas!B79:B80,Listas!F79:F80,"")</f>
        <v/>
      </c>
      <c r="P43" s="294"/>
      <c r="Q43" s="293" t="str">
        <f>_xlfn.XLOOKUP(Diagnóstico!E90,Listas!B123,Listas!F123,"")</f>
        <v/>
      </c>
      <c r="R43" s="294"/>
      <c r="S43" s="293" t="str">
        <f>_xlfn.XLOOKUP(Diagnóstico!E63,Listas!B61:B62,Listas!F61:F62,"")</f>
        <v/>
      </c>
      <c r="T43" s="294"/>
      <c r="U43" s="152"/>
      <c r="V43" s="87"/>
    </row>
    <row r="44" spans="3:22" ht="19.2" customHeight="1">
      <c r="C44" s="86"/>
      <c r="D44" s="149"/>
      <c r="E44" s="143"/>
      <c r="F44" s="143"/>
      <c r="G44" s="143"/>
      <c r="H44" s="306"/>
      <c r="I44" s="322"/>
      <c r="J44" s="325"/>
      <c r="K44" s="315"/>
      <c r="L44" s="316"/>
      <c r="M44" s="301"/>
      <c r="N44" s="302"/>
      <c r="O44" s="295"/>
      <c r="P44" s="296"/>
      <c r="Q44" s="295"/>
      <c r="R44" s="296"/>
      <c r="S44" s="295"/>
      <c r="T44" s="296"/>
      <c r="U44" s="152"/>
      <c r="V44" s="87"/>
    </row>
    <row r="45" spans="3:22" ht="19.2" customHeight="1">
      <c r="C45" s="86"/>
      <c r="D45" s="149"/>
      <c r="E45" s="143"/>
      <c r="F45" s="143"/>
      <c r="G45" s="143"/>
      <c r="H45" s="306"/>
      <c r="I45" s="322"/>
      <c r="J45" s="325"/>
      <c r="K45" s="315"/>
      <c r="L45" s="316"/>
      <c r="M45" s="301"/>
      <c r="N45" s="302"/>
      <c r="O45" s="295"/>
      <c r="P45" s="296"/>
      <c r="Q45" s="295"/>
      <c r="R45" s="296"/>
      <c r="S45" s="295"/>
      <c r="T45" s="296"/>
      <c r="U45" s="152"/>
      <c r="V45" s="87"/>
    </row>
    <row r="46" spans="3:22" ht="19.2" customHeight="1" thickBot="1">
      <c r="C46" s="86"/>
      <c r="D46" s="149"/>
      <c r="E46" s="143"/>
      <c r="F46" s="143"/>
      <c r="G46" s="143"/>
      <c r="H46" s="306"/>
      <c r="I46" s="322"/>
      <c r="J46" s="325"/>
      <c r="K46" s="317"/>
      <c r="L46" s="318"/>
      <c r="M46" s="303"/>
      <c r="N46" s="304"/>
      <c r="O46" s="297"/>
      <c r="P46" s="298"/>
      <c r="Q46" s="297"/>
      <c r="R46" s="298"/>
      <c r="S46" s="297"/>
      <c r="T46" s="298"/>
      <c r="U46" s="152"/>
      <c r="V46" s="87"/>
    </row>
    <row r="47" spans="3:22" ht="19.2" customHeight="1" thickTop="1">
      <c r="C47" s="86"/>
      <c r="D47" s="149"/>
      <c r="E47" s="143"/>
      <c r="F47" s="143"/>
      <c r="G47" s="143"/>
      <c r="H47" s="306"/>
      <c r="I47" s="322"/>
      <c r="J47" s="325">
        <v>3</v>
      </c>
      <c r="K47" s="313" t="str">
        <f>_xlfn.XLOOKUP(Diagnóstico!E36,Listas!B13:B14,Listas!F13:F14,"")</f>
        <v/>
      </c>
      <c r="L47" s="314"/>
      <c r="M47" s="299" t="str">
        <f>_xlfn.XLOOKUP(Diagnóstico!E60,Listas!B58,Listas!F58,"")</f>
        <v/>
      </c>
      <c r="N47" s="300"/>
      <c r="O47" s="299" t="str">
        <f>_xlfn.XLOOKUP(Diagnóstico!E93,Listas!B126:B127,Listas!F126:F127,"")</f>
        <v/>
      </c>
      <c r="P47" s="300"/>
      <c r="Q47" s="293" t="str">
        <f>_xlfn.XLOOKUP(Diagnóstico!E48,Listas!B35:B36,Listas!F35:F36,"")</f>
        <v/>
      </c>
      <c r="R47" s="294"/>
      <c r="S47" s="293" t="str">
        <f>_xlfn.XLOOKUP(Diagnóstico!E57,Listas!B54,Listas!F54,"")</f>
        <v/>
      </c>
      <c r="T47" s="294"/>
      <c r="U47" s="152"/>
      <c r="V47" s="87"/>
    </row>
    <row r="48" spans="3:22" ht="19.2" customHeight="1">
      <c r="C48" s="86"/>
      <c r="D48" s="149"/>
      <c r="E48" s="143"/>
      <c r="F48" s="143"/>
      <c r="G48" s="143"/>
      <c r="H48" s="306"/>
      <c r="I48" s="322"/>
      <c r="J48" s="325"/>
      <c r="K48" s="315"/>
      <c r="L48" s="316"/>
      <c r="M48" s="301"/>
      <c r="N48" s="302"/>
      <c r="O48" s="301"/>
      <c r="P48" s="302"/>
      <c r="Q48" s="295"/>
      <c r="R48" s="296"/>
      <c r="S48" s="295"/>
      <c r="T48" s="296"/>
      <c r="U48" s="152"/>
      <c r="V48" s="87"/>
    </row>
    <row r="49" spans="3:22" ht="19.2" customHeight="1">
      <c r="C49" s="86"/>
      <c r="D49" s="149"/>
      <c r="E49" s="143"/>
      <c r="F49" s="143"/>
      <c r="G49" s="143"/>
      <c r="H49" s="306"/>
      <c r="I49" s="322"/>
      <c r="J49" s="325"/>
      <c r="K49" s="315"/>
      <c r="L49" s="316"/>
      <c r="M49" s="301"/>
      <c r="N49" s="302"/>
      <c r="O49" s="301"/>
      <c r="P49" s="302"/>
      <c r="Q49" s="295"/>
      <c r="R49" s="296"/>
      <c r="S49" s="295"/>
      <c r="T49" s="296"/>
      <c r="U49" s="152"/>
      <c r="V49" s="87"/>
    </row>
    <row r="50" spans="3:22" ht="19.2" customHeight="1" thickBot="1">
      <c r="C50" s="86"/>
      <c r="D50" s="149"/>
      <c r="E50" s="143"/>
      <c r="F50" s="143"/>
      <c r="G50" s="143"/>
      <c r="H50" s="306"/>
      <c r="I50" s="322"/>
      <c r="J50" s="325"/>
      <c r="K50" s="317"/>
      <c r="L50" s="318"/>
      <c r="M50" s="303"/>
      <c r="N50" s="304"/>
      <c r="O50" s="303"/>
      <c r="P50" s="304"/>
      <c r="Q50" s="297"/>
      <c r="R50" s="298"/>
      <c r="S50" s="297"/>
      <c r="T50" s="298"/>
      <c r="U50" s="152"/>
      <c r="V50" s="87"/>
    </row>
    <row r="51" spans="3:22" ht="19.2" customHeight="1" thickTop="1">
      <c r="C51" s="86"/>
      <c r="D51" s="149"/>
      <c r="E51" s="143"/>
      <c r="F51" s="143"/>
      <c r="G51" s="143"/>
      <c r="H51" s="306"/>
      <c r="I51" s="322"/>
      <c r="J51" s="325">
        <v>2</v>
      </c>
      <c r="K51" s="313" t="str">
        <f>_xlfn.XLOOKUP(Diagnóstico!E102,Listas!B145:B146,Listas!F145:F146,"")</f>
        <v/>
      </c>
      <c r="L51" s="314"/>
      <c r="M51" s="313" t="str">
        <f>_xlfn.XLOOKUP(Diagnóstico!E105,Listas!B152:B153,Listas!F152:F153,"")</f>
        <v/>
      </c>
      <c r="N51" s="314"/>
      <c r="O51" s="299" t="str">
        <f>_xlfn.XLOOKUP(Diagnóstico!E45,Listas!B32,Listas!F32,"")</f>
        <v/>
      </c>
      <c r="P51" s="300"/>
      <c r="Q51" s="299" t="str">
        <f>_xlfn.XLOOKUP(Diagnóstico!E75,Listas!B87:B88,Listas!F87:F88,"")</f>
        <v/>
      </c>
      <c r="R51" s="300"/>
      <c r="S51" s="293" t="str">
        <f>_xlfn.XLOOKUP(Diagnóstico!E33,Listas!B5:B6,Listas!F5:F6,"")</f>
        <v/>
      </c>
      <c r="T51" s="294"/>
      <c r="U51" s="152"/>
      <c r="V51" s="87"/>
    </row>
    <row r="52" spans="3:22" ht="19.2" customHeight="1">
      <c r="C52" s="86"/>
      <c r="D52" s="149"/>
      <c r="E52" s="143"/>
      <c r="F52" s="143"/>
      <c r="G52" s="143"/>
      <c r="H52" s="306"/>
      <c r="I52" s="322"/>
      <c r="J52" s="325"/>
      <c r="K52" s="315"/>
      <c r="L52" s="316"/>
      <c r="M52" s="315"/>
      <c r="N52" s="316"/>
      <c r="O52" s="301"/>
      <c r="P52" s="302"/>
      <c r="Q52" s="301"/>
      <c r="R52" s="302"/>
      <c r="S52" s="295"/>
      <c r="T52" s="296"/>
      <c r="U52" s="152"/>
      <c r="V52" s="87"/>
    </row>
    <row r="53" spans="3:22" ht="19.2" customHeight="1">
      <c r="C53" s="86"/>
      <c r="D53" s="149"/>
      <c r="E53" s="143"/>
      <c r="F53" s="143"/>
      <c r="G53" s="143"/>
      <c r="H53" s="306"/>
      <c r="I53" s="322"/>
      <c r="J53" s="325"/>
      <c r="K53" s="315"/>
      <c r="L53" s="316"/>
      <c r="M53" s="315"/>
      <c r="N53" s="316"/>
      <c r="O53" s="301"/>
      <c r="P53" s="302"/>
      <c r="Q53" s="301"/>
      <c r="R53" s="302"/>
      <c r="S53" s="295"/>
      <c r="T53" s="296"/>
      <c r="U53" s="152"/>
      <c r="V53" s="87"/>
    </row>
    <row r="54" spans="3:22" ht="19.2" customHeight="1" thickBot="1">
      <c r="C54" s="86"/>
      <c r="D54" s="149"/>
      <c r="E54" s="143"/>
      <c r="F54" s="143"/>
      <c r="G54" s="143"/>
      <c r="H54" s="306"/>
      <c r="I54" s="322"/>
      <c r="J54" s="325"/>
      <c r="K54" s="317"/>
      <c r="L54" s="318"/>
      <c r="M54" s="317"/>
      <c r="N54" s="318"/>
      <c r="O54" s="303"/>
      <c r="P54" s="304"/>
      <c r="Q54" s="303"/>
      <c r="R54" s="304"/>
      <c r="S54" s="297"/>
      <c r="T54" s="298"/>
      <c r="U54" s="152"/>
      <c r="V54" s="87"/>
    </row>
    <row r="55" spans="3:22" ht="19.2" customHeight="1" thickTop="1">
      <c r="C55" s="86"/>
      <c r="D55" s="149"/>
      <c r="E55" s="143"/>
      <c r="F55" s="143"/>
      <c r="G55" s="143"/>
      <c r="H55" s="179"/>
      <c r="I55" s="180"/>
      <c r="J55" s="325">
        <v>1</v>
      </c>
      <c r="K55" s="313"/>
      <c r="L55" s="314"/>
      <c r="M55" s="313" t="str">
        <f>_xlfn.XLOOKUP(Diagnóstico!E108,Listas!B160,Listas!F160,"")</f>
        <v/>
      </c>
      <c r="N55" s="314"/>
      <c r="O55" s="299" t="str">
        <f>_xlfn.XLOOKUP(Diagnóstico!E111,Listas!B164,Listas!F164,"")</f>
        <v/>
      </c>
      <c r="P55" s="300"/>
      <c r="Q55" s="299" t="str">
        <f>_xlfn.XLOOKUP(Diagnóstico!E117,Listas!B174:B175,Listas!F174:F175,"")</f>
        <v/>
      </c>
      <c r="R55" s="300"/>
      <c r="S55" s="293" t="str">
        <f>_xlfn.XLOOKUP(Diagnóstico!E114,Listas!B168,Listas!F168,"")</f>
        <v/>
      </c>
      <c r="T55" s="294"/>
      <c r="U55" s="152"/>
      <c r="V55" s="87"/>
    </row>
    <row r="56" spans="3:22" ht="19.2" customHeight="1">
      <c r="C56" s="86"/>
      <c r="D56" s="149"/>
      <c r="E56" s="143"/>
      <c r="F56" s="143"/>
      <c r="G56" s="143"/>
      <c r="H56" s="179"/>
      <c r="I56" s="180"/>
      <c r="J56" s="325"/>
      <c r="K56" s="315"/>
      <c r="L56" s="316"/>
      <c r="M56" s="315"/>
      <c r="N56" s="316"/>
      <c r="O56" s="301"/>
      <c r="P56" s="302"/>
      <c r="Q56" s="301"/>
      <c r="R56" s="302"/>
      <c r="S56" s="295"/>
      <c r="T56" s="296"/>
      <c r="U56" s="152"/>
      <c r="V56" s="87"/>
    </row>
    <row r="57" spans="3:22" ht="19.2" customHeight="1">
      <c r="C57" s="86"/>
      <c r="D57" s="149"/>
      <c r="E57" s="143"/>
      <c r="F57" s="143"/>
      <c r="G57" s="143"/>
      <c r="H57" s="179"/>
      <c r="I57" s="180"/>
      <c r="J57" s="325"/>
      <c r="K57" s="315"/>
      <c r="L57" s="316"/>
      <c r="M57" s="315"/>
      <c r="N57" s="316"/>
      <c r="O57" s="301"/>
      <c r="P57" s="302"/>
      <c r="Q57" s="301"/>
      <c r="R57" s="302"/>
      <c r="S57" s="295"/>
      <c r="T57" s="296"/>
      <c r="U57" s="152"/>
      <c r="V57" s="87"/>
    </row>
    <row r="58" spans="3:22" ht="19.2" customHeight="1" thickBot="1">
      <c r="C58" s="86"/>
      <c r="D58" s="149"/>
      <c r="E58" s="143"/>
      <c r="F58" s="143"/>
      <c r="G58" s="143"/>
      <c r="H58" s="179"/>
      <c r="I58" s="180"/>
      <c r="J58" s="325"/>
      <c r="K58" s="317"/>
      <c r="L58" s="318"/>
      <c r="M58" s="317"/>
      <c r="N58" s="318"/>
      <c r="O58" s="303"/>
      <c r="P58" s="304"/>
      <c r="Q58" s="303"/>
      <c r="R58" s="304"/>
      <c r="S58" s="297"/>
      <c r="T58" s="298"/>
      <c r="U58" s="152"/>
      <c r="V58" s="87"/>
    </row>
    <row r="59" spans="3:22" ht="15" thickTop="1">
      <c r="C59" s="86"/>
      <c r="D59" s="149"/>
      <c r="E59" s="143"/>
      <c r="F59" s="143"/>
      <c r="G59" s="143"/>
      <c r="H59" s="143"/>
      <c r="I59" s="143"/>
      <c r="J59" s="143"/>
      <c r="K59" s="327">
        <v>1</v>
      </c>
      <c r="L59" s="327"/>
      <c r="M59" s="327">
        <v>2</v>
      </c>
      <c r="N59" s="327"/>
      <c r="O59" s="327">
        <v>3</v>
      </c>
      <c r="P59" s="327"/>
      <c r="Q59" s="327">
        <v>4</v>
      </c>
      <c r="R59" s="327"/>
      <c r="S59" s="327">
        <v>5</v>
      </c>
      <c r="T59" s="327"/>
      <c r="U59" s="152"/>
      <c r="V59" s="87"/>
    </row>
    <row r="60" spans="3:22" ht="18">
      <c r="C60" s="86"/>
      <c r="D60" s="149"/>
      <c r="E60" s="143"/>
      <c r="F60" s="143"/>
      <c r="G60" s="143"/>
      <c r="H60" s="143"/>
      <c r="I60" s="143"/>
      <c r="J60" s="143"/>
      <c r="K60" s="284" t="s">
        <v>456</v>
      </c>
      <c r="L60" s="284"/>
      <c r="M60" s="284"/>
      <c r="N60" s="284"/>
      <c r="O60" s="284"/>
      <c r="P60" s="284"/>
      <c r="Q60" s="284"/>
      <c r="R60" s="284"/>
      <c r="S60" s="284"/>
      <c r="T60" s="284"/>
      <c r="U60" s="152"/>
      <c r="V60" s="87"/>
    </row>
    <row r="61" spans="3:22" ht="18" customHeight="1">
      <c r="C61" s="86"/>
      <c r="D61" s="149"/>
      <c r="E61" s="143"/>
      <c r="F61" s="143"/>
      <c r="G61" s="143"/>
      <c r="H61" s="143"/>
      <c r="I61" s="143"/>
      <c r="J61" s="143"/>
      <c r="K61" s="323" t="s">
        <v>458</v>
      </c>
      <c r="L61" s="323"/>
      <c r="M61" s="323"/>
      <c r="N61" s="323"/>
      <c r="O61" s="323"/>
      <c r="P61" s="323"/>
      <c r="Q61" s="323"/>
      <c r="R61" s="323"/>
      <c r="S61" s="323"/>
      <c r="T61" s="323"/>
      <c r="U61" s="152"/>
      <c r="V61" s="87"/>
    </row>
    <row r="62" spans="3:22" ht="15.6" customHeight="1">
      <c r="C62" s="86"/>
      <c r="D62" s="149"/>
      <c r="E62" s="143"/>
      <c r="F62" s="143"/>
      <c r="G62" s="143"/>
      <c r="H62" s="143"/>
      <c r="I62" s="143"/>
      <c r="J62" s="143"/>
      <c r="K62" s="143"/>
      <c r="L62" s="143"/>
      <c r="M62" s="143"/>
      <c r="N62" s="143"/>
      <c r="O62" s="143"/>
      <c r="P62" s="143"/>
      <c r="Q62" s="143"/>
      <c r="R62" s="143"/>
      <c r="S62" s="143"/>
      <c r="T62" s="143"/>
      <c r="U62" s="152"/>
      <c r="V62" s="87"/>
    </row>
    <row r="63" spans="3:22" ht="15.6" customHeight="1" thickBot="1">
      <c r="C63" s="86"/>
      <c r="D63" s="143"/>
      <c r="E63" s="160"/>
      <c r="F63" s="143"/>
      <c r="G63" s="143"/>
      <c r="H63" s="143"/>
      <c r="I63" s="143"/>
      <c r="J63" s="143"/>
      <c r="K63" s="143"/>
      <c r="L63" s="143"/>
      <c r="M63" s="143"/>
      <c r="N63" s="143"/>
      <c r="O63" s="143"/>
      <c r="P63" s="143"/>
      <c r="Q63" s="143"/>
      <c r="R63" s="143"/>
      <c r="S63" s="143"/>
      <c r="T63" s="143"/>
      <c r="U63" s="143"/>
      <c r="V63" s="87"/>
    </row>
    <row r="64" spans="3:22" ht="4.8" customHeight="1" thickBot="1">
      <c r="C64" s="86"/>
      <c r="D64" s="248"/>
      <c r="E64" s="248"/>
      <c r="F64" s="248"/>
      <c r="G64" s="248"/>
      <c r="H64" s="248"/>
      <c r="I64" s="248"/>
      <c r="J64" s="248"/>
      <c r="K64" s="248"/>
      <c r="L64" s="248"/>
      <c r="M64" s="248"/>
      <c r="N64" s="248"/>
      <c r="O64" s="248"/>
      <c r="P64" s="248"/>
      <c r="Q64" s="248"/>
      <c r="R64" s="248"/>
      <c r="S64" s="248"/>
      <c r="T64" s="248"/>
      <c r="U64" s="248"/>
      <c r="V64" s="87"/>
    </row>
    <row r="65" spans="3:22" ht="21" customHeight="1" thickBot="1">
      <c r="C65" s="86"/>
      <c r="D65" s="238" t="s">
        <v>461</v>
      </c>
      <c r="E65" s="238"/>
      <c r="F65" s="238"/>
      <c r="G65" s="238"/>
      <c r="H65" s="238"/>
      <c r="I65" s="238"/>
      <c r="J65" s="238"/>
      <c r="K65" s="238"/>
      <c r="L65" s="238"/>
      <c r="M65" s="238"/>
      <c r="N65" s="238"/>
      <c r="O65" s="238"/>
      <c r="P65" s="238"/>
      <c r="Q65" s="238"/>
      <c r="R65" s="238"/>
      <c r="S65" s="238"/>
      <c r="T65" s="238"/>
      <c r="U65" s="238"/>
      <c r="V65" s="87"/>
    </row>
    <row r="66" spans="3:22" ht="15.6" customHeight="1">
      <c r="C66" s="86"/>
      <c r="D66" s="239"/>
      <c r="E66" s="240"/>
      <c r="F66" s="240"/>
      <c r="G66" s="240"/>
      <c r="H66" s="240"/>
      <c r="I66" s="240"/>
      <c r="J66" s="240"/>
      <c r="K66" s="240"/>
      <c r="L66" s="240"/>
      <c r="M66" s="240"/>
      <c r="N66" s="240"/>
      <c r="O66" s="240"/>
      <c r="P66" s="240"/>
      <c r="Q66" s="240"/>
      <c r="R66" s="240"/>
      <c r="S66" s="240"/>
      <c r="T66" s="240"/>
      <c r="U66" s="241"/>
      <c r="V66" s="87"/>
    </row>
    <row r="67" spans="3:22" ht="15.6" customHeight="1">
      <c r="C67" s="86"/>
      <c r="D67" s="161"/>
      <c r="E67" s="162"/>
      <c r="F67" s="162"/>
      <c r="G67" s="162"/>
      <c r="H67" s="162"/>
      <c r="I67" s="162"/>
      <c r="J67" s="162"/>
      <c r="K67" s="162"/>
      <c r="L67" s="162"/>
      <c r="M67" s="162"/>
      <c r="N67" s="162"/>
      <c r="O67" s="162"/>
      <c r="P67" s="162"/>
      <c r="Q67" s="162"/>
      <c r="R67" s="283" t="s">
        <v>465</v>
      </c>
      <c r="S67" s="283"/>
      <c r="T67" s="283"/>
      <c r="U67" s="163"/>
      <c r="V67" s="87"/>
    </row>
    <row r="68" spans="3:22" ht="15.6" customHeight="1">
      <c r="C68" s="86"/>
      <c r="D68" s="161"/>
      <c r="E68" s="162"/>
      <c r="F68" s="162"/>
      <c r="G68" s="162"/>
      <c r="H68" s="162"/>
      <c r="I68" s="162"/>
      <c r="J68" s="162"/>
      <c r="K68" s="162"/>
      <c r="L68" s="162"/>
      <c r="M68" s="162"/>
      <c r="N68" s="162"/>
      <c r="O68" s="162"/>
      <c r="P68" s="162"/>
      <c r="Q68" s="162"/>
      <c r="R68" s="162"/>
      <c r="S68" s="162"/>
      <c r="T68" s="162"/>
      <c r="U68" s="163"/>
      <c r="V68" s="87"/>
    </row>
    <row r="69" spans="3:22" ht="15.6" customHeight="1">
      <c r="C69" s="86"/>
      <c r="D69" s="242"/>
      <c r="E69" s="243"/>
      <c r="F69" s="243"/>
      <c r="G69" s="243"/>
      <c r="H69" s="243"/>
      <c r="I69" s="243"/>
      <c r="J69" s="243"/>
      <c r="K69" s="243"/>
      <c r="L69" s="243"/>
      <c r="M69" s="243"/>
      <c r="N69" s="243"/>
      <c r="O69" s="243"/>
      <c r="P69" s="243"/>
      <c r="Q69" s="243"/>
      <c r="R69" s="243"/>
      <c r="S69" s="243"/>
      <c r="T69" s="243"/>
      <c r="U69" s="244"/>
      <c r="V69" s="87"/>
    </row>
    <row r="70" spans="3:22" ht="15.6" customHeight="1">
      <c r="C70" s="86"/>
      <c r="D70" s="242"/>
      <c r="E70" s="243"/>
      <c r="F70" s="243"/>
      <c r="G70" s="243"/>
      <c r="H70" s="243"/>
      <c r="I70" s="243"/>
      <c r="J70" s="243"/>
      <c r="K70" s="243"/>
      <c r="L70" s="243"/>
      <c r="M70" s="243"/>
      <c r="N70" s="243"/>
      <c r="O70" s="243"/>
      <c r="P70" s="243"/>
      <c r="Q70" s="243"/>
      <c r="R70" s="243"/>
      <c r="S70" s="243"/>
      <c r="T70" s="243"/>
      <c r="U70" s="244"/>
      <c r="V70" s="87"/>
    </row>
    <row r="71" spans="3:22" ht="15.6" customHeight="1">
      <c r="C71" s="86"/>
      <c r="D71" s="164"/>
      <c r="E71" s="165"/>
      <c r="F71" s="165"/>
      <c r="G71" s="165"/>
      <c r="H71" s="165"/>
      <c r="I71" s="165"/>
      <c r="J71" s="165"/>
      <c r="K71" s="165"/>
      <c r="L71" s="165"/>
      <c r="M71" s="165"/>
      <c r="N71" s="165"/>
      <c r="O71" s="165"/>
      <c r="P71" s="165"/>
      <c r="Q71" s="165"/>
      <c r="R71" s="165"/>
      <c r="S71" s="165"/>
      <c r="T71" s="165"/>
      <c r="U71" s="166"/>
      <c r="V71" s="87"/>
    </row>
    <row r="72" spans="3:22" ht="15.6" customHeight="1">
      <c r="C72" s="86"/>
      <c r="D72" s="164"/>
      <c r="E72" s="165"/>
      <c r="F72" s="165"/>
      <c r="G72" s="165"/>
      <c r="H72" s="165"/>
      <c r="I72" s="165"/>
      <c r="J72" s="165"/>
      <c r="K72" s="165"/>
      <c r="L72" s="165"/>
      <c r="M72" s="165"/>
      <c r="N72" s="165"/>
      <c r="O72" s="165"/>
      <c r="P72" s="165"/>
      <c r="Q72" s="165"/>
      <c r="R72" s="165"/>
      <c r="S72" s="165"/>
      <c r="T72" s="165"/>
      <c r="U72" s="166"/>
      <c r="V72" s="87"/>
    </row>
    <row r="73" spans="3:22" ht="15.6" customHeight="1">
      <c r="C73" s="86"/>
      <c r="D73" s="164"/>
      <c r="E73" s="165"/>
      <c r="F73" s="165"/>
      <c r="G73" s="165"/>
      <c r="H73" s="165"/>
      <c r="I73" s="165"/>
      <c r="J73" s="165"/>
      <c r="K73" s="165"/>
      <c r="L73" s="165"/>
      <c r="M73" s="165"/>
      <c r="N73" s="165"/>
      <c r="O73" s="165"/>
      <c r="P73" s="165"/>
      <c r="Q73" s="165"/>
      <c r="R73" s="165"/>
      <c r="S73" s="165"/>
      <c r="T73" s="165"/>
      <c r="U73" s="166"/>
      <c r="V73" s="87"/>
    </row>
    <row r="74" spans="3:22" ht="15.6" customHeight="1">
      <c r="C74" s="86"/>
      <c r="D74" s="164"/>
      <c r="E74" s="165"/>
      <c r="F74" s="165"/>
      <c r="G74" s="165"/>
      <c r="H74" s="165"/>
      <c r="I74" s="165"/>
      <c r="J74" s="165"/>
      <c r="K74" s="165"/>
      <c r="L74" s="165"/>
      <c r="M74" s="165"/>
      <c r="N74" s="165"/>
      <c r="O74" s="165"/>
      <c r="P74" s="165"/>
      <c r="Q74" s="165"/>
      <c r="R74" s="165"/>
      <c r="S74" s="165"/>
      <c r="T74" s="165"/>
      <c r="U74" s="166"/>
      <c r="V74" s="87"/>
    </row>
    <row r="75" spans="3:22" ht="15.6" customHeight="1">
      <c r="C75" s="86"/>
      <c r="D75" s="164"/>
      <c r="E75" s="165"/>
      <c r="F75" s="165"/>
      <c r="G75" s="165"/>
      <c r="H75" s="165"/>
      <c r="I75" s="165"/>
      <c r="J75" s="165"/>
      <c r="K75" s="165"/>
      <c r="L75" s="165"/>
      <c r="M75" s="165"/>
      <c r="N75" s="165"/>
      <c r="O75" s="165"/>
      <c r="P75" s="165"/>
      <c r="Q75" s="165"/>
      <c r="R75" s="165"/>
      <c r="S75" s="165"/>
      <c r="T75" s="165"/>
      <c r="U75" s="166"/>
      <c r="V75" s="87"/>
    </row>
    <row r="76" spans="3:22" ht="15.6" customHeight="1">
      <c r="C76" s="86"/>
      <c r="D76" s="164"/>
      <c r="E76" s="165"/>
      <c r="F76" s="165"/>
      <c r="G76" s="165"/>
      <c r="H76" s="165"/>
      <c r="I76" s="165"/>
      <c r="J76" s="165"/>
      <c r="K76" s="165"/>
      <c r="L76" s="165"/>
      <c r="M76" s="165"/>
      <c r="N76" s="165"/>
      <c r="O76" s="165"/>
      <c r="P76" s="165"/>
      <c r="Q76" s="165"/>
      <c r="R76" s="165"/>
      <c r="S76" s="165"/>
      <c r="T76" s="165"/>
      <c r="U76" s="166"/>
      <c r="V76" s="87"/>
    </row>
    <row r="77" spans="3:22" ht="15.6" customHeight="1">
      <c r="C77" s="86"/>
      <c r="D77" s="164"/>
      <c r="E77" s="165"/>
      <c r="F77" s="165"/>
      <c r="G77" s="165"/>
      <c r="H77" s="165"/>
      <c r="I77" s="165"/>
      <c r="J77" s="165"/>
      <c r="K77" s="165"/>
      <c r="L77" s="165"/>
      <c r="M77" s="165"/>
      <c r="N77" s="165"/>
      <c r="O77" s="165"/>
      <c r="P77" s="165"/>
      <c r="Q77" s="165"/>
      <c r="R77" s="165"/>
      <c r="S77" s="165"/>
      <c r="T77" s="165"/>
      <c r="U77" s="166"/>
      <c r="V77" s="87"/>
    </row>
    <row r="78" spans="3:22" ht="15.6" customHeight="1">
      <c r="C78" s="86"/>
      <c r="D78" s="164"/>
      <c r="E78" s="165"/>
      <c r="F78" s="165"/>
      <c r="G78" s="165"/>
      <c r="H78" s="165"/>
      <c r="I78" s="165"/>
      <c r="J78" s="165"/>
      <c r="K78" s="165"/>
      <c r="L78" s="165"/>
      <c r="M78" s="165"/>
      <c r="N78" s="165"/>
      <c r="O78" s="165"/>
      <c r="P78" s="165"/>
      <c r="Q78" s="165"/>
      <c r="R78" s="165"/>
      <c r="S78" s="165"/>
      <c r="T78" s="165"/>
      <c r="U78" s="166"/>
      <c r="V78" s="87"/>
    </row>
    <row r="79" spans="3:22" ht="15.6" customHeight="1">
      <c r="C79" s="86"/>
      <c r="D79" s="164"/>
      <c r="E79" s="165"/>
      <c r="F79" s="165"/>
      <c r="G79" s="165"/>
      <c r="H79" s="165"/>
      <c r="I79" s="165"/>
      <c r="J79" s="165"/>
      <c r="K79" s="165"/>
      <c r="L79" s="165"/>
      <c r="M79" s="165"/>
      <c r="N79" s="165"/>
      <c r="O79" s="165"/>
      <c r="P79" s="165"/>
      <c r="Q79" s="165"/>
      <c r="R79" s="165"/>
      <c r="S79" s="165"/>
      <c r="T79" s="165"/>
      <c r="U79" s="166"/>
      <c r="V79" s="87"/>
    </row>
    <row r="80" spans="3:22" ht="15.6" customHeight="1">
      <c r="C80" s="86"/>
      <c r="D80" s="164"/>
      <c r="E80" s="165"/>
      <c r="F80" s="165"/>
      <c r="G80" s="165"/>
      <c r="H80" s="165"/>
      <c r="I80" s="165"/>
      <c r="J80" s="165"/>
      <c r="K80" s="165"/>
      <c r="L80" s="165"/>
      <c r="M80" s="165"/>
      <c r="N80" s="165"/>
      <c r="O80" s="165"/>
      <c r="P80" s="165"/>
      <c r="Q80" s="165"/>
      <c r="R80" s="165"/>
      <c r="S80" s="165"/>
      <c r="T80" s="165"/>
      <c r="U80" s="166"/>
      <c r="V80" s="87"/>
    </row>
    <row r="81" spans="3:22" ht="15.6" customHeight="1">
      <c r="C81" s="86"/>
      <c r="D81" s="164"/>
      <c r="E81" s="165"/>
      <c r="F81" s="165"/>
      <c r="G81" s="165"/>
      <c r="H81" s="165"/>
      <c r="I81" s="165"/>
      <c r="J81" s="165"/>
      <c r="K81" s="165"/>
      <c r="L81" s="165"/>
      <c r="M81" s="165"/>
      <c r="N81" s="165"/>
      <c r="O81" s="165"/>
      <c r="P81" s="165"/>
      <c r="Q81" s="165"/>
      <c r="R81" s="165"/>
      <c r="S81" s="165"/>
      <c r="T81" s="165"/>
      <c r="U81" s="166"/>
      <c r="V81" s="87"/>
    </row>
    <row r="82" spans="3:22" ht="15.6" customHeight="1">
      <c r="C82" s="86"/>
      <c r="D82" s="164"/>
      <c r="E82" s="165"/>
      <c r="F82" s="165"/>
      <c r="G82" s="165"/>
      <c r="H82" s="165"/>
      <c r="I82" s="165"/>
      <c r="J82" s="165"/>
      <c r="K82" s="165"/>
      <c r="L82" s="165"/>
      <c r="M82" s="165"/>
      <c r="N82" s="165"/>
      <c r="O82" s="165"/>
      <c r="P82" s="165"/>
      <c r="Q82" s="165"/>
      <c r="R82" s="165"/>
      <c r="S82" s="165"/>
      <c r="T82" s="165"/>
      <c r="U82" s="166"/>
      <c r="V82" s="87"/>
    </row>
    <row r="83" spans="3:22" ht="15.6" customHeight="1">
      <c r="C83" s="86"/>
      <c r="D83" s="164"/>
      <c r="E83" s="165"/>
      <c r="F83" s="165"/>
      <c r="G83" s="165"/>
      <c r="H83" s="165"/>
      <c r="I83" s="165"/>
      <c r="J83" s="165"/>
      <c r="K83" s="165"/>
      <c r="L83" s="165"/>
      <c r="M83" s="165"/>
      <c r="N83" s="165"/>
      <c r="O83" s="165"/>
      <c r="P83" s="165"/>
      <c r="Q83" s="165"/>
      <c r="R83" s="165"/>
      <c r="S83" s="165"/>
      <c r="T83" s="165"/>
      <c r="U83" s="166"/>
      <c r="V83" s="87"/>
    </row>
    <row r="84" spans="3:22" ht="15.6" customHeight="1">
      <c r="C84" s="86"/>
      <c r="D84" s="242"/>
      <c r="E84" s="243"/>
      <c r="F84" s="243"/>
      <c r="G84" s="243"/>
      <c r="H84" s="243"/>
      <c r="I84" s="243"/>
      <c r="J84" s="243"/>
      <c r="K84" s="243"/>
      <c r="L84" s="243"/>
      <c r="M84" s="243"/>
      <c r="N84" s="243"/>
      <c r="O84" s="243"/>
      <c r="P84" s="243"/>
      <c r="Q84" s="243"/>
      <c r="R84" s="243"/>
      <c r="S84" s="243"/>
      <c r="T84" s="243"/>
      <c r="U84" s="244"/>
      <c r="V84" s="87"/>
    </row>
    <row r="85" spans="3:22" ht="15.6" customHeight="1">
      <c r="C85" s="86"/>
      <c r="D85" s="242"/>
      <c r="E85" s="243"/>
      <c r="F85" s="243"/>
      <c r="G85" s="243"/>
      <c r="H85" s="243"/>
      <c r="I85" s="243"/>
      <c r="J85" s="243"/>
      <c r="K85" s="243"/>
      <c r="L85" s="243"/>
      <c r="M85" s="243"/>
      <c r="N85" s="243"/>
      <c r="O85" s="243"/>
      <c r="P85" s="243"/>
      <c r="Q85" s="243"/>
      <c r="R85" s="243"/>
      <c r="S85" s="243"/>
      <c r="T85" s="243"/>
      <c r="U85" s="244"/>
      <c r="V85" s="87"/>
    </row>
    <row r="86" spans="3:22" ht="15.6" customHeight="1">
      <c r="C86" s="86"/>
      <c r="D86" s="242"/>
      <c r="E86" s="243"/>
      <c r="F86" s="243"/>
      <c r="G86" s="243"/>
      <c r="H86" s="243"/>
      <c r="I86" s="243"/>
      <c r="J86" s="243"/>
      <c r="K86" s="243"/>
      <c r="L86" s="243"/>
      <c r="M86" s="243"/>
      <c r="N86" s="243"/>
      <c r="O86" s="243"/>
      <c r="P86" s="243"/>
      <c r="Q86" s="243"/>
      <c r="R86" s="243"/>
      <c r="S86" s="243"/>
      <c r="T86" s="243"/>
      <c r="U86" s="244"/>
      <c r="V86" s="87"/>
    </row>
    <row r="87" spans="3:22" ht="15.6" customHeight="1">
      <c r="C87" s="86"/>
      <c r="D87" s="167"/>
      <c r="E87" s="170"/>
      <c r="F87" s="170"/>
      <c r="G87" s="170"/>
      <c r="H87" s="170"/>
      <c r="I87" s="170"/>
      <c r="J87" s="170"/>
      <c r="K87" s="170"/>
      <c r="L87" s="170"/>
      <c r="M87" s="170"/>
      <c r="N87" s="170"/>
      <c r="O87" s="170"/>
      <c r="P87" s="170"/>
      <c r="Q87" s="170"/>
      <c r="R87" s="170"/>
      <c r="S87" s="170"/>
      <c r="T87" s="170"/>
      <c r="U87" s="169"/>
      <c r="V87" s="87"/>
    </row>
    <row r="88" spans="3:22" ht="15.6" customHeight="1">
      <c r="C88" s="86"/>
      <c r="D88" s="287" t="s">
        <v>455</v>
      </c>
      <c r="E88" s="288"/>
      <c r="F88" s="289" t="str">
        <f>IF(AND(R1019&gt;=0,R1019&lt;=0.1),"",
 IF(R1019&lt;10%,"Muy alto",
 IF(R1019&lt;20%,"Alto",
 IF(R1019&lt;40%,"Medio",
 IF(R1019&lt;70%,"Medio-bajo",
 "Bajo")))))</f>
        <v/>
      </c>
      <c r="G88" s="289"/>
      <c r="H88" s="289"/>
      <c r="I88" s="289"/>
      <c r="J88" s="178"/>
      <c r="K88" s="170"/>
      <c r="L88" s="170"/>
      <c r="M88" s="170"/>
      <c r="N88" s="170"/>
      <c r="O88" s="170"/>
      <c r="P88" s="170"/>
      <c r="Q88" s="170"/>
      <c r="R88" s="170"/>
      <c r="S88" s="170"/>
      <c r="T88" s="170"/>
      <c r="U88" s="169"/>
      <c r="V88" s="87"/>
    </row>
    <row r="89" spans="3:22" ht="15.6" customHeight="1">
      <c r="C89" s="86"/>
      <c r="D89" s="167"/>
      <c r="E89" s="170"/>
      <c r="F89" s="170"/>
      <c r="G89" s="170"/>
      <c r="H89" s="170"/>
      <c r="I89" s="170"/>
      <c r="J89" s="170"/>
      <c r="K89" s="326" t="s">
        <v>460</v>
      </c>
      <c r="L89" s="326"/>
      <c r="M89" s="326"/>
      <c r="N89" s="326"/>
      <c r="O89" s="326"/>
      <c r="P89" s="326"/>
      <c r="Q89" s="326"/>
      <c r="R89" s="326"/>
      <c r="S89" s="326"/>
      <c r="T89" s="326"/>
      <c r="U89" s="169"/>
      <c r="V89" s="87"/>
    </row>
    <row r="90" spans="3:22" ht="15.6" customHeight="1">
      <c r="C90" s="86"/>
      <c r="D90" s="164"/>
      <c r="E90" s="165"/>
      <c r="F90" s="165"/>
      <c r="G90" s="165"/>
      <c r="H90" s="165"/>
      <c r="I90" s="165"/>
      <c r="J90" s="165"/>
      <c r="K90" s="326"/>
      <c r="L90" s="326"/>
      <c r="M90" s="326"/>
      <c r="N90" s="326"/>
      <c r="O90" s="326"/>
      <c r="P90" s="326"/>
      <c r="Q90" s="326"/>
      <c r="R90" s="326"/>
      <c r="S90" s="326"/>
      <c r="T90" s="326"/>
      <c r="U90" s="166"/>
      <c r="V90" s="87"/>
    </row>
    <row r="91" spans="3:22" ht="15.6" customHeight="1" thickBot="1">
      <c r="C91" s="86"/>
      <c r="D91" s="164"/>
      <c r="E91" s="165"/>
      <c r="F91" s="165"/>
      <c r="G91" s="165"/>
      <c r="H91" s="165"/>
      <c r="I91" s="165"/>
      <c r="J91" s="165"/>
      <c r="K91" s="165"/>
      <c r="L91" s="165"/>
      <c r="M91" s="165"/>
      <c r="N91" s="165"/>
      <c r="O91" s="165"/>
      <c r="P91" s="165"/>
      <c r="Q91" s="165"/>
      <c r="R91" s="165"/>
      <c r="S91" s="165"/>
      <c r="T91" s="165"/>
      <c r="U91" s="166"/>
      <c r="V91" s="87"/>
    </row>
    <row r="92" spans="3:22" ht="19.2" customHeight="1" thickTop="1">
      <c r="C92" s="86"/>
      <c r="D92" s="164"/>
      <c r="E92" s="165"/>
      <c r="F92" s="165"/>
      <c r="G92" s="165"/>
      <c r="H92" s="306" t="s">
        <v>459</v>
      </c>
      <c r="I92" s="322" t="s">
        <v>457</v>
      </c>
      <c r="J92" s="325">
        <v>5</v>
      </c>
      <c r="K92" s="299"/>
      <c r="L92" s="300"/>
      <c r="M92" s="299" t="str">
        <f>_xlfn.XLOOKUP(Diagnóstico!E121,Listas!H6,Listas!L6,"")</f>
        <v/>
      </c>
      <c r="N92" s="300"/>
      <c r="O92" s="293" t="str">
        <f>_xlfn.XLOOKUP(Diagnóstico!E139,Listas!H43,Listas!L43,"")</f>
        <v/>
      </c>
      <c r="P92" s="294"/>
      <c r="Q92" s="293" t="str">
        <f>_xlfn.XLOOKUP(Diagnóstico!E136,Listas!H35:H36,Listas!L35:L36,"")</f>
        <v/>
      </c>
      <c r="R92" s="294"/>
      <c r="S92" s="293" t="str">
        <f>_xlfn.XLOOKUP(Diagnóstico!E133,Listas!H32,Listas!L32,"")</f>
        <v/>
      </c>
      <c r="T92" s="294"/>
      <c r="U92" s="166"/>
      <c r="V92" s="87"/>
    </row>
    <row r="93" spans="3:22" ht="19.2" customHeight="1">
      <c r="C93" s="86"/>
      <c r="D93" s="164"/>
      <c r="E93" s="165"/>
      <c r="F93" s="165"/>
      <c r="G93" s="165"/>
      <c r="H93" s="306"/>
      <c r="I93" s="322"/>
      <c r="J93" s="325"/>
      <c r="K93" s="301"/>
      <c r="L93" s="302"/>
      <c r="M93" s="301"/>
      <c r="N93" s="302"/>
      <c r="O93" s="295"/>
      <c r="P93" s="296"/>
      <c r="Q93" s="295"/>
      <c r="R93" s="296"/>
      <c r="S93" s="295"/>
      <c r="T93" s="296"/>
      <c r="U93" s="166"/>
      <c r="V93" s="87"/>
    </row>
    <row r="94" spans="3:22" ht="19.2" customHeight="1">
      <c r="C94" s="86"/>
      <c r="D94" s="164"/>
      <c r="E94" s="165"/>
      <c r="F94" s="165"/>
      <c r="G94" s="165"/>
      <c r="H94" s="306"/>
      <c r="I94" s="322"/>
      <c r="J94" s="325"/>
      <c r="K94" s="301"/>
      <c r="L94" s="302"/>
      <c r="M94" s="301"/>
      <c r="N94" s="302"/>
      <c r="O94" s="295"/>
      <c r="P94" s="296"/>
      <c r="Q94" s="295"/>
      <c r="R94" s="296"/>
      <c r="S94" s="295"/>
      <c r="T94" s="296"/>
      <c r="U94" s="166"/>
      <c r="V94" s="87"/>
    </row>
    <row r="95" spans="3:22" ht="19.2" customHeight="1" thickBot="1">
      <c r="C95" s="86"/>
      <c r="D95" s="164"/>
      <c r="E95" s="165"/>
      <c r="F95" s="165"/>
      <c r="G95" s="165"/>
      <c r="H95" s="306"/>
      <c r="I95" s="322"/>
      <c r="J95" s="325"/>
      <c r="K95" s="303"/>
      <c r="L95" s="304"/>
      <c r="M95" s="303"/>
      <c r="N95" s="304"/>
      <c r="O95" s="297"/>
      <c r="P95" s="298"/>
      <c r="Q95" s="297"/>
      <c r="R95" s="298"/>
      <c r="S95" s="297"/>
      <c r="T95" s="298"/>
      <c r="U95" s="166"/>
      <c r="V95" s="87"/>
    </row>
    <row r="96" spans="3:22" ht="19.2" customHeight="1" thickTop="1">
      <c r="C96" s="86"/>
      <c r="D96" s="164"/>
      <c r="E96" s="165"/>
      <c r="F96" s="165"/>
      <c r="G96" s="165"/>
      <c r="H96" s="306"/>
      <c r="I96" s="322"/>
      <c r="J96" s="325">
        <v>4</v>
      </c>
      <c r="K96" s="307"/>
      <c r="L96" s="308"/>
      <c r="M96" s="299"/>
      <c r="N96" s="300"/>
      <c r="O96" s="293"/>
      <c r="P96" s="294"/>
      <c r="Q96" s="293" t="str">
        <f>_xlfn.XLOOKUP(Diagnóstico!E124,Listas!H9:H10,Listas!L9:L10,"")</f>
        <v/>
      </c>
      <c r="R96" s="294"/>
      <c r="S96" s="293" t="str">
        <f>_xlfn.XLOOKUP(Diagnóstico!E151,Listas!H69:H71,Listas!L69:L71,"")</f>
        <v/>
      </c>
      <c r="T96" s="294"/>
      <c r="U96" s="166"/>
      <c r="V96" s="87"/>
    </row>
    <row r="97" spans="3:22" ht="19.2" customHeight="1">
      <c r="C97" s="86"/>
      <c r="D97" s="164"/>
      <c r="E97" s="165"/>
      <c r="F97" s="165"/>
      <c r="G97" s="165"/>
      <c r="H97" s="306"/>
      <c r="I97" s="322"/>
      <c r="J97" s="325"/>
      <c r="K97" s="309"/>
      <c r="L97" s="310"/>
      <c r="M97" s="301"/>
      <c r="N97" s="302"/>
      <c r="O97" s="295"/>
      <c r="P97" s="296"/>
      <c r="Q97" s="295"/>
      <c r="R97" s="296"/>
      <c r="S97" s="295"/>
      <c r="T97" s="296"/>
      <c r="U97" s="166"/>
      <c r="V97" s="87"/>
    </row>
    <row r="98" spans="3:22" ht="19.2" customHeight="1">
      <c r="C98" s="86"/>
      <c r="D98" s="164"/>
      <c r="E98" s="165"/>
      <c r="F98" s="165"/>
      <c r="G98" s="165"/>
      <c r="H98" s="306"/>
      <c r="I98" s="322"/>
      <c r="J98" s="325"/>
      <c r="K98" s="309"/>
      <c r="L98" s="310"/>
      <c r="M98" s="301"/>
      <c r="N98" s="302"/>
      <c r="O98" s="295"/>
      <c r="P98" s="296"/>
      <c r="Q98" s="295"/>
      <c r="R98" s="296"/>
      <c r="S98" s="295"/>
      <c r="T98" s="296"/>
      <c r="U98" s="166"/>
      <c r="V98" s="87"/>
    </row>
    <row r="99" spans="3:22" ht="19.2" customHeight="1" thickBot="1">
      <c r="C99" s="86"/>
      <c r="D99" s="167"/>
      <c r="E99" s="170"/>
      <c r="F99" s="170"/>
      <c r="G99" s="170"/>
      <c r="H99" s="306"/>
      <c r="I99" s="322"/>
      <c r="J99" s="325"/>
      <c r="K99" s="311"/>
      <c r="L99" s="312"/>
      <c r="M99" s="303"/>
      <c r="N99" s="304"/>
      <c r="O99" s="297"/>
      <c r="P99" s="298"/>
      <c r="Q99" s="297"/>
      <c r="R99" s="298"/>
      <c r="S99" s="297"/>
      <c r="T99" s="298"/>
      <c r="U99" s="169"/>
      <c r="V99" s="87"/>
    </row>
    <row r="100" spans="3:22" ht="19.2" customHeight="1" thickTop="1">
      <c r="C100" s="86"/>
      <c r="D100" s="167"/>
      <c r="E100" s="170"/>
      <c r="F100" s="170"/>
      <c r="G100" s="170"/>
      <c r="H100" s="306"/>
      <c r="I100" s="322"/>
      <c r="J100" s="325">
        <v>3</v>
      </c>
      <c r="K100" s="313" t="str">
        <f>_xlfn.XLOOKUP(Diagnóstico!E124,Listas!H11:H12,Listas!L11:L12,"")</f>
        <v/>
      </c>
      <c r="L100" s="314"/>
      <c r="M100" s="299" t="str">
        <f>_xlfn.XLOOKUP(Diagnóstico!E154,Listas!H76:H78,Listas!L76:L78,"")</f>
        <v/>
      </c>
      <c r="N100" s="300"/>
      <c r="O100" s="299" t="str">
        <f>_xlfn.XLOOKUP(Diagnóstico!E142,Listas!H46:H47,Listas!L46:L47,"")</f>
        <v/>
      </c>
      <c r="P100" s="300"/>
      <c r="Q100" s="293" t="str">
        <f>_xlfn.XLOOKUP(Diagnóstico!E145,Listas!H56:H57,Listas!L56:L57,"")</f>
        <v/>
      </c>
      <c r="R100" s="294"/>
      <c r="S100" s="293" t="str">
        <f>_xlfn.XLOOKUP(Diagnóstico!E148,Listas!H62:H64,Listas!L62:L64,"")</f>
        <v/>
      </c>
      <c r="T100" s="294"/>
      <c r="U100" s="169"/>
      <c r="V100" s="87"/>
    </row>
    <row r="101" spans="3:22" ht="19.2" customHeight="1">
      <c r="C101" s="86"/>
      <c r="D101" s="167"/>
      <c r="E101" s="170"/>
      <c r="F101" s="170"/>
      <c r="G101" s="170"/>
      <c r="H101" s="306"/>
      <c r="I101" s="322"/>
      <c r="J101" s="325"/>
      <c r="K101" s="315"/>
      <c r="L101" s="316"/>
      <c r="M101" s="301"/>
      <c r="N101" s="302"/>
      <c r="O101" s="301"/>
      <c r="P101" s="302"/>
      <c r="Q101" s="295"/>
      <c r="R101" s="296"/>
      <c r="S101" s="295"/>
      <c r="T101" s="296"/>
      <c r="U101" s="169"/>
      <c r="V101" s="87"/>
    </row>
    <row r="102" spans="3:22" ht="19.2" customHeight="1">
      <c r="C102" s="86"/>
      <c r="D102" s="167"/>
      <c r="E102" s="170"/>
      <c r="F102" s="170"/>
      <c r="G102" s="170"/>
      <c r="H102" s="306"/>
      <c r="I102" s="322"/>
      <c r="J102" s="325"/>
      <c r="K102" s="315"/>
      <c r="L102" s="316"/>
      <c r="M102" s="301"/>
      <c r="N102" s="302"/>
      <c r="O102" s="301"/>
      <c r="P102" s="302"/>
      <c r="Q102" s="295"/>
      <c r="R102" s="296"/>
      <c r="S102" s="295"/>
      <c r="T102" s="296"/>
      <c r="U102" s="169"/>
      <c r="V102" s="87"/>
    </row>
    <row r="103" spans="3:22" ht="19.2" customHeight="1" thickBot="1">
      <c r="C103" s="86"/>
      <c r="D103" s="167"/>
      <c r="E103" s="170"/>
      <c r="F103" s="170"/>
      <c r="G103" s="170"/>
      <c r="H103" s="306"/>
      <c r="I103" s="322"/>
      <c r="J103" s="325"/>
      <c r="K103" s="317"/>
      <c r="L103" s="318"/>
      <c r="M103" s="303"/>
      <c r="N103" s="304"/>
      <c r="O103" s="303"/>
      <c r="P103" s="304"/>
      <c r="Q103" s="297"/>
      <c r="R103" s="298"/>
      <c r="S103" s="297"/>
      <c r="T103" s="298"/>
      <c r="U103" s="169"/>
      <c r="V103" s="87"/>
    </row>
    <row r="104" spans="3:22" ht="19.2" customHeight="1" thickTop="1">
      <c r="C104" s="86"/>
      <c r="D104" s="167"/>
      <c r="E104" s="170"/>
      <c r="F104" s="170"/>
      <c r="G104" s="170"/>
      <c r="H104" s="306"/>
      <c r="I104" s="322"/>
      <c r="J104" s="325">
        <v>2</v>
      </c>
      <c r="K104" s="313" t="str">
        <f>_xlfn.XLOOKUP(Diagnóstico!E124,Listas!H13,Listas!L13,"")</f>
        <v/>
      </c>
      <c r="L104" s="314"/>
      <c r="M104" s="307" t="str">
        <f>_xlfn.XLOOKUP(Diagnóstico!E130,Listas!H25:H26,Listas!L25:L26,"")</f>
        <v/>
      </c>
      <c r="N104" s="308"/>
      <c r="O104" s="299" t="str">
        <f>_xlfn.XLOOKUP(Diagnóstico!E127,Listas!H17:H18,Listas!L17:L18,"")</f>
        <v/>
      </c>
      <c r="P104" s="300"/>
      <c r="Q104" s="299" t="str">
        <f>_xlfn.XLOOKUP(Diagnóstico!E136,Listas!H37:H38,Listas!L37:L38,"")</f>
        <v/>
      </c>
      <c r="R104" s="300"/>
      <c r="S104" s="293" t="str">
        <f>_xlfn.XLOOKUP(Diagnóstico!E157,Listas!H83:H85,Listas!L83:L85,"")</f>
        <v/>
      </c>
      <c r="T104" s="294"/>
      <c r="U104" s="169"/>
      <c r="V104" s="87"/>
    </row>
    <row r="105" spans="3:22" ht="19.2" customHeight="1">
      <c r="C105" s="86"/>
      <c r="D105" s="167"/>
      <c r="E105" s="170"/>
      <c r="F105" s="170"/>
      <c r="G105" s="170"/>
      <c r="H105" s="306"/>
      <c r="I105" s="322"/>
      <c r="J105" s="325"/>
      <c r="K105" s="315"/>
      <c r="L105" s="316"/>
      <c r="M105" s="309"/>
      <c r="N105" s="310"/>
      <c r="O105" s="301"/>
      <c r="P105" s="302"/>
      <c r="Q105" s="301"/>
      <c r="R105" s="302"/>
      <c r="S105" s="295"/>
      <c r="T105" s="296"/>
      <c r="U105" s="169"/>
      <c r="V105" s="87"/>
    </row>
    <row r="106" spans="3:22" ht="19.2" customHeight="1">
      <c r="C106" s="86"/>
      <c r="D106" s="167"/>
      <c r="E106" s="170"/>
      <c r="F106" s="170"/>
      <c r="G106" s="170"/>
      <c r="H106" s="306"/>
      <c r="I106" s="322"/>
      <c r="J106" s="325"/>
      <c r="K106" s="315"/>
      <c r="L106" s="316"/>
      <c r="M106" s="309"/>
      <c r="N106" s="310"/>
      <c r="O106" s="301"/>
      <c r="P106" s="302"/>
      <c r="Q106" s="301"/>
      <c r="R106" s="302"/>
      <c r="S106" s="295"/>
      <c r="T106" s="296"/>
      <c r="U106" s="169"/>
      <c r="V106" s="87"/>
    </row>
    <row r="107" spans="3:22" ht="19.2" customHeight="1" thickBot="1">
      <c r="C107" s="86"/>
      <c r="D107" s="167"/>
      <c r="E107" s="170"/>
      <c r="F107" s="170"/>
      <c r="G107" s="170"/>
      <c r="H107" s="306"/>
      <c r="I107" s="322"/>
      <c r="J107" s="325"/>
      <c r="K107" s="317"/>
      <c r="L107" s="318"/>
      <c r="M107" s="311"/>
      <c r="N107" s="312"/>
      <c r="O107" s="303"/>
      <c r="P107" s="304"/>
      <c r="Q107" s="303"/>
      <c r="R107" s="304"/>
      <c r="S107" s="297"/>
      <c r="T107" s="298"/>
      <c r="U107" s="169"/>
      <c r="V107" s="87"/>
    </row>
    <row r="108" spans="3:22" ht="19.2" customHeight="1" thickTop="1">
      <c r="C108" s="86"/>
      <c r="D108" s="167"/>
      <c r="E108" s="170"/>
      <c r="F108" s="170"/>
      <c r="G108" s="170"/>
      <c r="H108" s="306"/>
      <c r="I108" s="322"/>
      <c r="J108" s="325">
        <v>1</v>
      </c>
      <c r="K108" s="313"/>
      <c r="L108" s="314"/>
      <c r="M108" s="313" t="str">
        <f>_xlfn.XLOOKUP(Diagnóstico!E127,Listas!H19:H20,Listas!L19:L20,"")</f>
        <v/>
      </c>
      <c r="N108" s="314"/>
      <c r="O108" s="299" t="str">
        <f>_xlfn.XLOOKUP(Diagnóstico!E142,Listas!H48:H49,Listas!L48:L49,"")</f>
        <v/>
      </c>
      <c r="P108" s="300"/>
      <c r="Q108" s="299" t="str">
        <f>_xlfn.XLOOKUP(Diagnóstico!E160,Listas!H90:H92,Listas!L90:L92,"")</f>
        <v/>
      </c>
      <c r="R108" s="300"/>
      <c r="S108" s="293"/>
      <c r="T108" s="294"/>
      <c r="U108" s="169"/>
      <c r="V108" s="87"/>
    </row>
    <row r="109" spans="3:22" ht="19.2" customHeight="1">
      <c r="C109" s="86"/>
      <c r="D109" s="167"/>
      <c r="E109" s="170"/>
      <c r="F109" s="170"/>
      <c r="G109" s="170"/>
      <c r="H109" s="306"/>
      <c r="I109" s="322"/>
      <c r="J109" s="325"/>
      <c r="K109" s="315"/>
      <c r="L109" s="316"/>
      <c r="M109" s="315"/>
      <c r="N109" s="316"/>
      <c r="O109" s="301"/>
      <c r="P109" s="302"/>
      <c r="Q109" s="301"/>
      <c r="R109" s="302"/>
      <c r="S109" s="295"/>
      <c r="T109" s="296"/>
      <c r="U109" s="169"/>
      <c r="V109" s="87"/>
    </row>
    <row r="110" spans="3:22" ht="19.2" customHeight="1">
      <c r="C110" s="86"/>
      <c r="D110" s="167"/>
      <c r="E110" s="170"/>
      <c r="F110" s="170"/>
      <c r="G110" s="170"/>
      <c r="H110" s="306"/>
      <c r="I110" s="322"/>
      <c r="J110" s="325"/>
      <c r="K110" s="315"/>
      <c r="L110" s="316"/>
      <c r="M110" s="315"/>
      <c r="N110" s="316"/>
      <c r="O110" s="301"/>
      <c r="P110" s="302"/>
      <c r="Q110" s="301"/>
      <c r="R110" s="302"/>
      <c r="S110" s="295"/>
      <c r="T110" s="296"/>
      <c r="U110" s="169"/>
      <c r="V110" s="87"/>
    </row>
    <row r="111" spans="3:22" ht="19.2" customHeight="1" thickBot="1">
      <c r="C111" s="86"/>
      <c r="D111" s="167"/>
      <c r="E111" s="170"/>
      <c r="F111" s="170"/>
      <c r="G111" s="170"/>
      <c r="H111" s="306"/>
      <c r="I111" s="322"/>
      <c r="J111" s="325"/>
      <c r="K111" s="317"/>
      <c r="L111" s="318"/>
      <c r="M111" s="317"/>
      <c r="N111" s="318"/>
      <c r="O111" s="303"/>
      <c r="P111" s="304"/>
      <c r="Q111" s="303"/>
      <c r="R111" s="304"/>
      <c r="S111" s="297"/>
      <c r="T111" s="298"/>
      <c r="U111" s="169"/>
      <c r="V111" s="87"/>
    </row>
    <row r="112" spans="3:22" ht="15.6" customHeight="1" thickTop="1">
      <c r="C112" s="86"/>
      <c r="D112" s="167"/>
      <c r="E112" s="170"/>
      <c r="F112" s="170"/>
      <c r="G112" s="170"/>
      <c r="H112" s="170"/>
      <c r="I112" s="170"/>
      <c r="J112" s="170"/>
      <c r="K112" s="324">
        <v>1</v>
      </c>
      <c r="L112" s="324"/>
      <c r="M112" s="324">
        <v>2</v>
      </c>
      <c r="N112" s="324"/>
      <c r="O112" s="324">
        <v>3</v>
      </c>
      <c r="P112" s="324"/>
      <c r="Q112" s="324">
        <v>4</v>
      </c>
      <c r="R112" s="324"/>
      <c r="S112" s="324">
        <v>5</v>
      </c>
      <c r="T112" s="324"/>
      <c r="U112" s="169"/>
      <c r="V112" s="87"/>
    </row>
    <row r="113" spans="3:22" ht="15.6" customHeight="1">
      <c r="C113" s="86"/>
      <c r="D113" s="167"/>
      <c r="E113" s="170"/>
      <c r="F113" s="170"/>
      <c r="G113" s="170"/>
      <c r="H113" s="170"/>
      <c r="I113" s="170"/>
      <c r="J113" s="170"/>
      <c r="K113" s="284" t="s">
        <v>456</v>
      </c>
      <c r="L113" s="284"/>
      <c r="M113" s="284"/>
      <c r="N113" s="284"/>
      <c r="O113" s="284"/>
      <c r="P113" s="284"/>
      <c r="Q113" s="284"/>
      <c r="R113" s="284"/>
      <c r="S113" s="284"/>
      <c r="T113" s="284"/>
      <c r="U113" s="169"/>
      <c r="V113" s="87"/>
    </row>
    <row r="114" spans="3:22" ht="15.6" customHeight="1">
      <c r="C114" s="86"/>
      <c r="D114" s="167"/>
      <c r="E114" s="170"/>
      <c r="F114" s="170"/>
      <c r="G114" s="170"/>
      <c r="H114" s="170"/>
      <c r="I114" s="170"/>
      <c r="J114" s="170"/>
      <c r="K114" s="323" t="s">
        <v>458</v>
      </c>
      <c r="L114" s="323"/>
      <c r="M114" s="323"/>
      <c r="N114" s="323"/>
      <c r="O114" s="323"/>
      <c r="P114" s="323"/>
      <c r="Q114" s="323"/>
      <c r="R114" s="323"/>
      <c r="S114" s="323"/>
      <c r="T114" s="323"/>
      <c r="U114" s="169"/>
      <c r="V114" s="87"/>
    </row>
    <row r="115" spans="3:22" ht="15.6" customHeight="1">
      <c r="C115" s="86"/>
      <c r="D115" s="167"/>
      <c r="E115" s="170"/>
      <c r="F115" s="170"/>
      <c r="G115" s="170"/>
      <c r="H115" s="170"/>
      <c r="I115" s="170"/>
      <c r="J115" s="170"/>
      <c r="K115" s="170"/>
      <c r="L115" s="170"/>
      <c r="M115" s="170"/>
      <c r="N115" s="170"/>
      <c r="O115" s="170"/>
      <c r="P115" s="170"/>
      <c r="Q115" s="170"/>
      <c r="R115" s="170"/>
      <c r="S115" s="170"/>
      <c r="T115" s="170"/>
      <c r="U115" s="169"/>
      <c r="V115" s="87"/>
    </row>
    <row r="116" spans="3:22" ht="15.6" customHeight="1">
      <c r="C116" s="86"/>
      <c r="D116" s="167"/>
      <c r="E116" s="165"/>
      <c r="F116" s="165"/>
      <c r="G116" s="165"/>
      <c r="H116" s="165"/>
      <c r="I116" s="165"/>
      <c r="J116" s="165"/>
      <c r="K116" s="165"/>
      <c r="L116" s="165"/>
      <c r="M116" s="165"/>
      <c r="N116" s="165"/>
      <c r="O116" s="165"/>
      <c r="P116" s="165"/>
      <c r="Q116" s="165"/>
      <c r="R116" s="165"/>
      <c r="S116" s="165"/>
      <c r="T116" s="165"/>
      <c r="U116" s="169"/>
      <c r="V116" s="87"/>
    </row>
    <row r="117" spans="3:22" ht="15.6" customHeight="1" thickBot="1">
      <c r="C117" s="86"/>
      <c r="D117" s="167"/>
      <c r="E117" s="165"/>
      <c r="F117" s="165"/>
      <c r="G117" s="165"/>
      <c r="H117" s="165"/>
      <c r="I117" s="165"/>
      <c r="J117" s="165"/>
      <c r="K117" s="165"/>
      <c r="L117" s="165"/>
      <c r="M117" s="165"/>
      <c r="N117" s="165"/>
      <c r="O117" s="165"/>
      <c r="P117" s="165"/>
      <c r="Q117" s="165"/>
      <c r="R117" s="165"/>
      <c r="S117" s="165"/>
      <c r="T117" s="165"/>
      <c r="U117" s="169"/>
      <c r="V117" s="87"/>
    </row>
    <row r="118" spans="3:22" ht="4.2" customHeight="1" thickBot="1">
      <c r="C118" s="86"/>
      <c r="D118" s="249"/>
      <c r="E118" s="250"/>
      <c r="F118" s="250"/>
      <c r="G118" s="250"/>
      <c r="H118" s="250"/>
      <c r="I118" s="250"/>
      <c r="J118" s="250"/>
      <c r="K118" s="250"/>
      <c r="L118" s="250"/>
      <c r="M118" s="250"/>
      <c r="N118" s="250"/>
      <c r="O118" s="250"/>
      <c r="P118" s="250"/>
      <c r="Q118" s="250"/>
      <c r="R118" s="250"/>
      <c r="S118" s="250"/>
      <c r="T118" s="250"/>
      <c r="U118" s="251"/>
      <c r="V118" s="87"/>
    </row>
    <row r="119" spans="3:22" ht="18.600000000000001" thickBot="1">
      <c r="C119" s="86"/>
      <c r="D119" s="238" t="s">
        <v>462</v>
      </c>
      <c r="E119" s="238"/>
      <c r="F119" s="238"/>
      <c r="G119" s="238"/>
      <c r="H119" s="238"/>
      <c r="I119" s="238"/>
      <c r="J119" s="238"/>
      <c r="K119" s="238"/>
      <c r="L119" s="238"/>
      <c r="M119" s="238"/>
      <c r="N119" s="238"/>
      <c r="O119" s="238"/>
      <c r="P119" s="238"/>
      <c r="Q119" s="238"/>
      <c r="R119" s="238"/>
      <c r="S119" s="238"/>
      <c r="T119" s="238"/>
      <c r="U119" s="238"/>
      <c r="V119" s="87"/>
    </row>
    <row r="120" spans="3:22">
      <c r="C120" s="86"/>
      <c r="D120" s="167"/>
      <c r="E120" s="170"/>
      <c r="F120" s="170"/>
      <c r="G120" s="170"/>
      <c r="H120" s="170"/>
      <c r="I120" s="170"/>
      <c r="J120" s="170"/>
      <c r="K120" s="170"/>
      <c r="L120" s="170"/>
      <c r="M120" s="170"/>
      <c r="N120" s="170"/>
      <c r="O120" s="170"/>
      <c r="P120" s="170"/>
      <c r="Q120" s="170"/>
      <c r="R120" s="170"/>
      <c r="S120" s="170"/>
      <c r="T120" s="170"/>
      <c r="U120" s="169"/>
      <c r="V120" s="87"/>
    </row>
    <row r="121" spans="3:22" ht="18" customHeight="1">
      <c r="C121" s="86"/>
      <c r="D121" s="167"/>
      <c r="E121" s="170"/>
      <c r="F121" s="170"/>
      <c r="G121" s="170"/>
      <c r="H121" s="170"/>
      <c r="I121" s="170"/>
      <c r="J121" s="170"/>
      <c r="K121" s="170"/>
      <c r="L121" s="170"/>
      <c r="M121" s="170"/>
      <c r="N121" s="170"/>
      <c r="O121" s="170"/>
      <c r="P121" s="170"/>
      <c r="Q121" s="170"/>
      <c r="R121" s="284" t="s">
        <v>465</v>
      </c>
      <c r="S121" s="284"/>
      <c r="T121" s="284"/>
      <c r="U121" s="169"/>
      <c r="V121" s="87"/>
    </row>
    <row r="122" spans="3:22">
      <c r="C122" s="86"/>
      <c r="D122" s="167"/>
      <c r="E122" s="170"/>
      <c r="F122" s="170"/>
      <c r="G122" s="170"/>
      <c r="H122" s="170"/>
      <c r="I122" s="170"/>
      <c r="J122" s="170"/>
      <c r="K122" s="170"/>
      <c r="L122" s="170"/>
      <c r="M122" s="170"/>
      <c r="N122" s="170"/>
      <c r="O122" s="170"/>
      <c r="P122" s="170"/>
      <c r="Q122" s="170"/>
      <c r="R122" s="170"/>
      <c r="S122" s="170"/>
      <c r="T122" s="170"/>
      <c r="U122" s="169"/>
      <c r="V122" s="87"/>
    </row>
    <row r="123" spans="3:22">
      <c r="C123" s="86"/>
      <c r="D123" s="167"/>
      <c r="E123" s="267"/>
      <c r="F123" s="267"/>
      <c r="G123" s="267"/>
      <c r="H123" s="267"/>
      <c r="I123" s="267"/>
      <c r="J123" s="267"/>
      <c r="K123" s="267"/>
      <c r="L123" s="267"/>
      <c r="M123" s="267"/>
      <c r="N123" s="267"/>
      <c r="O123" s="267"/>
      <c r="P123" s="267"/>
      <c r="Q123" s="267"/>
      <c r="R123" s="267"/>
      <c r="S123" s="267"/>
      <c r="T123" s="267"/>
      <c r="U123" s="169"/>
      <c r="V123" s="87"/>
    </row>
    <row r="124" spans="3:22">
      <c r="C124" s="86"/>
      <c r="D124" s="167"/>
      <c r="E124" s="267"/>
      <c r="F124" s="267"/>
      <c r="G124" s="267"/>
      <c r="H124" s="267"/>
      <c r="I124" s="267"/>
      <c r="J124" s="267"/>
      <c r="K124" s="267"/>
      <c r="L124" s="267"/>
      <c r="M124" s="267"/>
      <c r="N124" s="267"/>
      <c r="O124" s="267"/>
      <c r="P124" s="267"/>
      <c r="Q124" s="267"/>
      <c r="R124" s="267"/>
      <c r="S124" s="267"/>
      <c r="T124" s="267"/>
      <c r="U124" s="169"/>
      <c r="V124" s="87"/>
    </row>
    <row r="125" spans="3:22">
      <c r="C125" s="86"/>
      <c r="D125" s="167"/>
      <c r="E125" s="171"/>
      <c r="F125" s="171"/>
      <c r="G125" s="171"/>
      <c r="H125" s="171"/>
      <c r="I125" s="171"/>
      <c r="J125" s="171"/>
      <c r="K125" s="171"/>
      <c r="L125" s="171"/>
      <c r="M125" s="171"/>
      <c r="N125" s="171"/>
      <c r="O125" s="171"/>
      <c r="P125" s="171"/>
      <c r="Q125" s="171"/>
      <c r="R125" s="171"/>
      <c r="S125" s="171"/>
      <c r="T125" s="171"/>
      <c r="U125" s="169"/>
      <c r="V125" s="87"/>
    </row>
    <row r="126" spans="3:22">
      <c r="C126" s="86"/>
      <c r="D126" s="167"/>
      <c r="E126" s="171"/>
      <c r="F126" s="171"/>
      <c r="G126" s="171"/>
      <c r="H126" s="171"/>
      <c r="I126" s="171"/>
      <c r="J126" s="171"/>
      <c r="K126" s="171"/>
      <c r="L126" s="171"/>
      <c r="M126" s="171"/>
      <c r="N126" s="171"/>
      <c r="O126" s="171"/>
      <c r="P126" s="171"/>
      <c r="Q126" s="171"/>
      <c r="R126" s="171"/>
      <c r="S126" s="171"/>
      <c r="T126" s="171"/>
      <c r="U126" s="169"/>
      <c r="V126" s="87"/>
    </row>
    <row r="127" spans="3:22">
      <c r="C127" s="86"/>
      <c r="D127" s="167"/>
      <c r="E127" s="171"/>
      <c r="F127" s="171"/>
      <c r="G127" s="171"/>
      <c r="H127" s="171"/>
      <c r="I127" s="171"/>
      <c r="J127" s="171"/>
      <c r="K127" s="171"/>
      <c r="L127" s="171"/>
      <c r="M127" s="171"/>
      <c r="N127" s="171"/>
      <c r="O127" s="171"/>
      <c r="P127" s="171"/>
      <c r="Q127" s="171"/>
      <c r="R127" s="171"/>
      <c r="S127" s="171"/>
      <c r="T127" s="171"/>
      <c r="U127" s="169"/>
      <c r="V127" s="87"/>
    </row>
    <row r="128" spans="3:22">
      <c r="C128" s="86"/>
      <c r="D128" s="167"/>
      <c r="E128" s="171"/>
      <c r="F128" s="171"/>
      <c r="G128" s="171"/>
      <c r="H128" s="171"/>
      <c r="I128" s="171"/>
      <c r="J128" s="171"/>
      <c r="K128" s="171"/>
      <c r="L128" s="171"/>
      <c r="M128" s="171"/>
      <c r="N128" s="171"/>
      <c r="O128" s="171"/>
      <c r="P128" s="171"/>
      <c r="Q128" s="171"/>
      <c r="R128" s="171"/>
      <c r="S128" s="171"/>
      <c r="T128" s="171"/>
      <c r="U128" s="169"/>
      <c r="V128" s="87"/>
    </row>
    <row r="129" spans="3:22">
      <c r="C129" s="86"/>
      <c r="D129" s="167"/>
      <c r="E129" s="171"/>
      <c r="F129" s="171"/>
      <c r="G129" s="171"/>
      <c r="H129" s="171"/>
      <c r="I129" s="171"/>
      <c r="J129" s="171"/>
      <c r="K129" s="171"/>
      <c r="L129" s="171"/>
      <c r="M129" s="171"/>
      <c r="N129" s="171"/>
      <c r="O129" s="171"/>
      <c r="P129" s="171"/>
      <c r="Q129" s="171"/>
      <c r="R129" s="171"/>
      <c r="S129" s="171"/>
      <c r="T129" s="171"/>
      <c r="U129" s="169"/>
      <c r="V129" s="87"/>
    </row>
    <row r="130" spans="3:22">
      <c r="C130" s="86"/>
      <c r="D130" s="167"/>
      <c r="E130" s="171"/>
      <c r="F130" s="171"/>
      <c r="G130" s="171"/>
      <c r="H130" s="171"/>
      <c r="I130" s="171"/>
      <c r="J130" s="171"/>
      <c r="K130" s="171"/>
      <c r="L130" s="171"/>
      <c r="M130" s="171"/>
      <c r="N130" s="171"/>
      <c r="O130" s="171"/>
      <c r="P130" s="171"/>
      <c r="Q130" s="171"/>
      <c r="R130" s="171"/>
      <c r="S130" s="171"/>
      <c r="T130" s="171"/>
      <c r="U130" s="169"/>
      <c r="V130" s="87"/>
    </row>
    <row r="131" spans="3:22">
      <c r="C131" s="86"/>
      <c r="D131" s="167"/>
      <c r="E131" s="171"/>
      <c r="F131" s="171"/>
      <c r="G131" s="171"/>
      <c r="H131" s="171"/>
      <c r="I131" s="171"/>
      <c r="J131" s="171"/>
      <c r="K131" s="171"/>
      <c r="L131" s="171"/>
      <c r="M131" s="171"/>
      <c r="N131" s="171"/>
      <c r="O131" s="171"/>
      <c r="P131" s="171"/>
      <c r="Q131" s="171"/>
      <c r="R131" s="171"/>
      <c r="S131" s="171"/>
      <c r="T131" s="171"/>
      <c r="U131" s="169"/>
      <c r="V131" s="87"/>
    </row>
    <row r="132" spans="3:22">
      <c r="C132" s="86"/>
      <c r="D132" s="167"/>
      <c r="E132" s="171"/>
      <c r="F132" s="171"/>
      <c r="G132" s="171"/>
      <c r="H132" s="171"/>
      <c r="I132" s="171"/>
      <c r="J132" s="171"/>
      <c r="K132" s="171"/>
      <c r="L132" s="171"/>
      <c r="M132" s="171"/>
      <c r="N132" s="171"/>
      <c r="O132" s="171"/>
      <c r="P132" s="171"/>
      <c r="Q132" s="171"/>
      <c r="R132" s="171"/>
      <c r="S132" s="171"/>
      <c r="T132" s="171"/>
      <c r="U132" s="169"/>
      <c r="V132" s="87"/>
    </row>
    <row r="133" spans="3:22">
      <c r="C133" s="86"/>
      <c r="D133" s="167"/>
      <c r="E133" s="171"/>
      <c r="F133" s="171"/>
      <c r="G133" s="171"/>
      <c r="H133" s="171"/>
      <c r="I133" s="171"/>
      <c r="J133" s="171"/>
      <c r="K133" s="171"/>
      <c r="L133" s="171"/>
      <c r="M133" s="171"/>
      <c r="N133" s="171"/>
      <c r="O133" s="171"/>
      <c r="P133" s="171"/>
      <c r="Q133" s="171"/>
      <c r="R133" s="171"/>
      <c r="S133" s="171"/>
      <c r="T133" s="171"/>
      <c r="U133" s="169"/>
      <c r="V133" s="87"/>
    </row>
    <row r="134" spans="3:22">
      <c r="C134" s="86"/>
      <c r="D134" s="167"/>
      <c r="E134" s="171"/>
      <c r="F134" s="171"/>
      <c r="G134" s="171"/>
      <c r="H134" s="171"/>
      <c r="I134" s="171"/>
      <c r="J134" s="171"/>
      <c r="K134" s="171"/>
      <c r="L134" s="171"/>
      <c r="M134" s="171"/>
      <c r="N134" s="171"/>
      <c r="O134" s="171"/>
      <c r="P134" s="171"/>
      <c r="Q134" s="171"/>
      <c r="R134" s="171"/>
      <c r="S134" s="171"/>
      <c r="T134" s="171"/>
      <c r="U134" s="169"/>
      <c r="V134" s="87"/>
    </row>
    <row r="135" spans="3:22">
      <c r="C135" s="86"/>
      <c r="D135" s="167"/>
      <c r="E135" s="171"/>
      <c r="F135" s="171"/>
      <c r="G135" s="171"/>
      <c r="H135" s="171"/>
      <c r="I135" s="171"/>
      <c r="J135" s="171"/>
      <c r="K135" s="171"/>
      <c r="L135" s="171"/>
      <c r="M135" s="171"/>
      <c r="N135" s="171"/>
      <c r="O135" s="171"/>
      <c r="P135" s="171"/>
      <c r="Q135" s="171"/>
      <c r="R135" s="171"/>
      <c r="S135" s="171"/>
      <c r="T135" s="171"/>
      <c r="U135" s="169"/>
      <c r="V135" s="87"/>
    </row>
    <row r="136" spans="3:22">
      <c r="C136" s="86"/>
      <c r="D136" s="167"/>
      <c r="E136" s="171"/>
      <c r="F136" s="171"/>
      <c r="G136" s="171"/>
      <c r="H136" s="171"/>
      <c r="I136" s="171"/>
      <c r="J136" s="171"/>
      <c r="K136" s="171"/>
      <c r="L136" s="171"/>
      <c r="M136" s="171"/>
      <c r="N136" s="171"/>
      <c r="O136" s="171"/>
      <c r="P136" s="171"/>
      <c r="Q136" s="171"/>
      <c r="R136" s="171"/>
      <c r="S136" s="171"/>
      <c r="T136" s="171"/>
      <c r="U136" s="169"/>
      <c r="V136" s="87"/>
    </row>
    <row r="137" spans="3:22">
      <c r="C137" s="86"/>
      <c r="D137" s="167"/>
      <c r="E137" s="171"/>
      <c r="F137" s="171"/>
      <c r="G137" s="171"/>
      <c r="H137" s="171"/>
      <c r="I137" s="171"/>
      <c r="J137" s="171"/>
      <c r="K137" s="171"/>
      <c r="L137" s="171"/>
      <c r="M137" s="171"/>
      <c r="N137" s="171"/>
      <c r="O137" s="171"/>
      <c r="P137" s="171"/>
      <c r="Q137" s="171"/>
      <c r="R137" s="171"/>
      <c r="S137" s="171"/>
      <c r="T137" s="171"/>
      <c r="U137" s="169"/>
      <c r="V137" s="87"/>
    </row>
    <row r="138" spans="3:22">
      <c r="C138" s="86"/>
      <c r="D138" s="167"/>
      <c r="E138" s="267"/>
      <c r="F138" s="267"/>
      <c r="G138" s="267"/>
      <c r="H138" s="267"/>
      <c r="I138" s="267"/>
      <c r="J138" s="267"/>
      <c r="K138" s="267"/>
      <c r="L138" s="267"/>
      <c r="M138" s="267"/>
      <c r="N138" s="267"/>
      <c r="O138" s="267"/>
      <c r="P138" s="267"/>
      <c r="Q138" s="267"/>
      <c r="R138" s="267"/>
      <c r="S138" s="267"/>
      <c r="T138" s="267"/>
      <c r="U138" s="169"/>
      <c r="V138" s="87"/>
    </row>
    <row r="139" spans="3:22">
      <c r="C139" s="86"/>
      <c r="D139" s="167"/>
      <c r="E139" s="267"/>
      <c r="F139" s="267"/>
      <c r="G139" s="267"/>
      <c r="H139" s="267"/>
      <c r="I139" s="267"/>
      <c r="J139" s="267"/>
      <c r="K139" s="267"/>
      <c r="L139" s="267"/>
      <c r="M139" s="267"/>
      <c r="N139" s="267"/>
      <c r="O139" s="267"/>
      <c r="P139" s="267"/>
      <c r="Q139" s="267"/>
      <c r="R139" s="267"/>
      <c r="S139" s="267"/>
      <c r="T139" s="267"/>
      <c r="U139" s="169"/>
      <c r="V139" s="87"/>
    </row>
    <row r="140" spans="3:22">
      <c r="C140" s="86"/>
      <c r="D140" s="167"/>
      <c r="E140" s="267"/>
      <c r="F140" s="267"/>
      <c r="G140" s="267"/>
      <c r="H140" s="267"/>
      <c r="I140" s="267"/>
      <c r="J140" s="267"/>
      <c r="K140" s="267"/>
      <c r="L140" s="267"/>
      <c r="M140" s="267"/>
      <c r="N140" s="267"/>
      <c r="O140" s="267"/>
      <c r="P140" s="267"/>
      <c r="Q140" s="267"/>
      <c r="R140" s="267"/>
      <c r="S140" s="267"/>
      <c r="T140" s="267"/>
      <c r="U140" s="169"/>
      <c r="V140" s="87"/>
    </row>
    <row r="141" spans="3:22">
      <c r="C141" s="86"/>
      <c r="D141" s="167"/>
      <c r="E141" s="267"/>
      <c r="F141" s="267"/>
      <c r="G141" s="267"/>
      <c r="H141" s="267"/>
      <c r="I141" s="267"/>
      <c r="J141" s="267"/>
      <c r="K141" s="267"/>
      <c r="L141" s="267"/>
      <c r="M141" s="267"/>
      <c r="N141" s="267"/>
      <c r="O141" s="267"/>
      <c r="P141" s="267"/>
      <c r="Q141" s="267"/>
      <c r="R141" s="267"/>
      <c r="S141" s="267"/>
      <c r="T141" s="267"/>
      <c r="U141" s="169"/>
      <c r="V141" s="87"/>
    </row>
    <row r="142" spans="3:22">
      <c r="C142" s="86"/>
      <c r="D142" s="167"/>
      <c r="E142" s="267"/>
      <c r="F142" s="267"/>
      <c r="G142" s="267"/>
      <c r="H142" s="267"/>
      <c r="I142" s="267"/>
      <c r="J142" s="267"/>
      <c r="K142" s="267"/>
      <c r="L142" s="267"/>
      <c r="M142" s="267"/>
      <c r="N142" s="267"/>
      <c r="O142" s="267"/>
      <c r="P142" s="267"/>
      <c r="Q142" s="267"/>
      <c r="R142" s="267"/>
      <c r="S142" s="267"/>
      <c r="T142" s="267"/>
      <c r="U142" s="169"/>
      <c r="V142" s="87"/>
    </row>
    <row r="143" spans="3:22" ht="21">
      <c r="C143" s="86"/>
      <c r="D143" s="287" t="s">
        <v>455</v>
      </c>
      <c r="E143" s="288"/>
      <c r="F143" s="289" t="str">
        <f>IF(AND(R1028&gt;=0,R1028&lt;=0.1),"",
 IF(R1028&lt;10%,"Muy alto",
 IF(R1028&lt;20%,"Alto",
 IF(R1028&lt;40%,"Medio",
 IF(R1028&lt;70%,"Medio-bajo",
 "Bajo")))))</f>
        <v/>
      </c>
      <c r="G143" s="289"/>
      <c r="H143" s="289"/>
      <c r="I143" s="289"/>
      <c r="J143" s="178"/>
      <c r="K143" s="171"/>
      <c r="L143" s="171"/>
      <c r="M143" s="171"/>
      <c r="N143" s="171"/>
      <c r="O143" s="171"/>
      <c r="P143" s="171"/>
      <c r="Q143" s="171"/>
      <c r="R143" s="171"/>
      <c r="S143" s="171"/>
      <c r="T143" s="171"/>
      <c r="U143" s="169"/>
      <c r="V143" s="87"/>
    </row>
    <row r="144" spans="3:22">
      <c r="C144" s="86"/>
      <c r="D144" s="167"/>
      <c r="E144" s="171"/>
      <c r="F144" s="171"/>
      <c r="G144" s="171"/>
      <c r="H144" s="171"/>
      <c r="I144" s="171"/>
      <c r="J144" s="171"/>
      <c r="K144" s="326" t="s">
        <v>460</v>
      </c>
      <c r="L144" s="326"/>
      <c r="M144" s="326"/>
      <c r="N144" s="326"/>
      <c r="O144" s="326"/>
      <c r="P144" s="326"/>
      <c r="Q144" s="326"/>
      <c r="R144" s="326"/>
      <c r="S144" s="326"/>
      <c r="T144" s="326"/>
      <c r="U144" s="169"/>
      <c r="V144" s="87"/>
    </row>
    <row r="145" spans="3:22">
      <c r="C145" s="86"/>
      <c r="D145" s="167"/>
      <c r="E145" s="171"/>
      <c r="F145" s="171"/>
      <c r="G145" s="171"/>
      <c r="H145" s="171"/>
      <c r="I145" s="171"/>
      <c r="J145" s="171"/>
      <c r="K145" s="326"/>
      <c r="L145" s="326"/>
      <c r="M145" s="326"/>
      <c r="N145" s="326"/>
      <c r="O145" s="326"/>
      <c r="P145" s="326"/>
      <c r="Q145" s="326"/>
      <c r="R145" s="326"/>
      <c r="S145" s="326"/>
      <c r="T145" s="326"/>
      <c r="U145" s="169"/>
      <c r="V145" s="87"/>
    </row>
    <row r="146" spans="3:22" ht="15" thickBot="1">
      <c r="C146" s="86"/>
      <c r="D146" s="167"/>
      <c r="E146" s="171"/>
      <c r="F146" s="171"/>
      <c r="G146" s="171"/>
      <c r="H146" s="171"/>
      <c r="I146" s="171"/>
      <c r="J146" s="171"/>
      <c r="K146" s="171"/>
      <c r="L146" s="171"/>
      <c r="M146" s="171"/>
      <c r="N146" s="171"/>
      <c r="O146" s="171"/>
      <c r="P146" s="171"/>
      <c r="Q146" s="171"/>
      <c r="R146" s="171"/>
      <c r="S146" s="171"/>
      <c r="T146" s="171"/>
      <c r="U146" s="169"/>
      <c r="V146" s="87"/>
    </row>
    <row r="147" spans="3:22" ht="22.2" customHeight="1" thickTop="1">
      <c r="C147" s="86"/>
      <c r="D147" s="167"/>
      <c r="E147" s="171"/>
      <c r="F147" s="171"/>
      <c r="G147" s="171"/>
      <c r="H147" s="306" t="s">
        <v>459</v>
      </c>
      <c r="I147" s="322" t="s">
        <v>457</v>
      </c>
      <c r="J147" s="325">
        <v>5</v>
      </c>
      <c r="K147" s="299"/>
      <c r="L147" s="300"/>
      <c r="M147" s="299" t="str">
        <f>_xlfn.XLOOKUP(Diagnóstico!E176,Listas!N21:N22,Listas!R21:R22,"")</f>
        <v/>
      </c>
      <c r="N147" s="300"/>
      <c r="O147" s="293" t="str">
        <f>_xlfn.XLOOKUP(Diagnóstico!E203,Listas!N63,Listas!R63,"")</f>
        <v/>
      </c>
      <c r="P147" s="294"/>
      <c r="Q147" s="293" t="str">
        <f>_xlfn.XLOOKUP(Diagnóstico!E164,Listas!N6,Listas!R6,"")</f>
        <v/>
      </c>
      <c r="R147" s="294"/>
      <c r="S147" s="293" t="str">
        <f>_xlfn.XLOOKUP(Diagnóstico!E170,Listas!N14,Listas!R14,"")</f>
        <v/>
      </c>
      <c r="T147" s="294"/>
      <c r="U147" s="169"/>
      <c r="V147" s="87"/>
    </row>
    <row r="148" spans="3:22" ht="22.2" customHeight="1">
      <c r="C148" s="86"/>
      <c r="D148" s="167"/>
      <c r="E148" s="171"/>
      <c r="F148" s="171"/>
      <c r="G148" s="171"/>
      <c r="H148" s="306"/>
      <c r="I148" s="322"/>
      <c r="J148" s="325"/>
      <c r="K148" s="301"/>
      <c r="L148" s="302"/>
      <c r="M148" s="301"/>
      <c r="N148" s="302"/>
      <c r="O148" s="295"/>
      <c r="P148" s="296"/>
      <c r="Q148" s="295"/>
      <c r="R148" s="296"/>
      <c r="S148" s="295"/>
      <c r="T148" s="296"/>
      <c r="U148" s="169"/>
      <c r="V148" s="87"/>
    </row>
    <row r="149" spans="3:22" ht="22.2" customHeight="1">
      <c r="C149" s="86"/>
      <c r="D149" s="167"/>
      <c r="E149" s="171"/>
      <c r="F149" s="171"/>
      <c r="G149" s="171"/>
      <c r="H149" s="306"/>
      <c r="I149" s="322"/>
      <c r="J149" s="325"/>
      <c r="K149" s="301"/>
      <c r="L149" s="302"/>
      <c r="M149" s="301"/>
      <c r="N149" s="302"/>
      <c r="O149" s="295"/>
      <c r="P149" s="296"/>
      <c r="Q149" s="295"/>
      <c r="R149" s="296"/>
      <c r="S149" s="295"/>
      <c r="T149" s="296"/>
      <c r="U149" s="169"/>
      <c r="V149" s="87"/>
    </row>
    <row r="150" spans="3:22" ht="22.2" customHeight="1" thickBot="1">
      <c r="C150" s="86"/>
      <c r="D150" s="167"/>
      <c r="E150" s="171"/>
      <c r="F150" s="171"/>
      <c r="G150" s="171"/>
      <c r="H150" s="306"/>
      <c r="I150" s="322"/>
      <c r="J150" s="325"/>
      <c r="K150" s="303"/>
      <c r="L150" s="304"/>
      <c r="M150" s="303"/>
      <c r="N150" s="304"/>
      <c r="O150" s="297"/>
      <c r="P150" s="298"/>
      <c r="Q150" s="297"/>
      <c r="R150" s="298"/>
      <c r="S150" s="297"/>
      <c r="T150" s="298"/>
      <c r="U150" s="169"/>
      <c r="V150" s="87"/>
    </row>
    <row r="151" spans="3:22" ht="22.2" customHeight="1" thickTop="1">
      <c r="C151" s="86"/>
      <c r="D151" s="167"/>
      <c r="E151" s="171"/>
      <c r="F151" s="171"/>
      <c r="G151" s="171"/>
      <c r="H151" s="306"/>
      <c r="I151" s="322"/>
      <c r="J151" s="325">
        <v>4</v>
      </c>
      <c r="K151" s="307"/>
      <c r="L151" s="308"/>
      <c r="M151" s="299" t="str">
        <f>_xlfn.XLOOKUP(Diagnóstico!E179,Listas!N27:N28,Listas!R27:R28,"")</f>
        <v/>
      </c>
      <c r="N151" s="300"/>
      <c r="O151" s="293" t="str">
        <f>_xlfn.XLOOKUP(Diagnóstico!E200,Listas!N59,Listas!R59,"")</f>
        <v/>
      </c>
      <c r="P151" s="294"/>
      <c r="Q151" s="293" t="str">
        <f>_xlfn.XLOOKUP(Diagnóstico!E167,Listas!N10,Listas!R10,"")</f>
        <v/>
      </c>
      <c r="R151" s="294"/>
      <c r="S151" s="293" t="str">
        <f>_xlfn.XLOOKUP(Diagnóstico!E173,Listas!N18,Listas!R18,"")</f>
        <v/>
      </c>
      <c r="T151" s="294"/>
      <c r="U151" s="169"/>
      <c r="V151" s="87"/>
    </row>
    <row r="152" spans="3:22" ht="22.2" customHeight="1">
      <c r="C152" s="86"/>
      <c r="D152" s="167"/>
      <c r="E152" s="170"/>
      <c r="F152" s="170"/>
      <c r="G152" s="170"/>
      <c r="H152" s="306"/>
      <c r="I152" s="322"/>
      <c r="J152" s="325"/>
      <c r="K152" s="309"/>
      <c r="L152" s="310"/>
      <c r="M152" s="301"/>
      <c r="N152" s="302"/>
      <c r="O152" s="295"/>
      <c r="P152" s="296"/>
      <c r="Q152" s="295"/>
      <c r="R152" s="296"/>
      <c r="S152" s="295"/>
      <c r="T152" s="296"/>
      <c r="U152" s="169"/>
      <c r="V152" s="87"/>
    </row>
    <row r="153" spans="3:22" ht="22.2" customHeight="1">
      <c r="C153" s="86"/>
      <c r="D153" s="167"/>
      <c r="E153" s="170"/>
      <c r="F153" s="170"/>
      <c r="G153" s="170"/>
      <c r="H153" s="306"/>
      <c r="I153" s="322"/>
      <c r="J153" s="325"/>
      <c r="K153" s="309"/>
      <c r="L153" s="310"/>
      <c r="M153" s="301"/>
      <c r="N153" s="302"/>
      <c r="O153" s="295"/>
      <c r="P153" s="296"/>
      <c r="Q153" s="295"/>
      <c r="R153" s="296"/>
      <c r="S153" s="295"/>
      <c r="T153" s="296"/>
      <c r="U153" s="169"/>
      <c r="V153" s="87"/>
    </row>
    <row r="154" spans="3:22" ht="22.2" customHeight="1" thickBot="1">
      <c r="C154" s="86"/>
      <c r="D154" s="167"/>
      <c r="E154" s="170"/>
      <c r="F154" s="170"/>
      <c r="G154" s="170"/>
      <c r="H154" s="306"/>
      <c r="I154" s="322"/>
      <c r="J154" s="325"/>
      <c r="K154" s="311"/>
      <c r="L154" s="312"/>
      <c r="M154" s="303"/>
      <c r="N154" s="304"/>
      <c r="O154" s="297"/>
      <c r="P154" s="298"/>
      <c r="Q154" s="297"/>
      <c r="R154" s="298"/>
      <c r="S154" s="297"/>
      <c r="T154" s="298"/>
      <c r="U154" s="169"/>
      <c r="V154" s="87"/>
    </row>
    <row r="155" spans="3:22" ht="22.2" customHeight="1" thickTop="1">
      <c r="C155" s="86"/>
      <c r="D155" s="167"/>
      <c r="E155" s="170"/>
      <c r="F155" s="170"/>
      <c r="G155" s="170"/>
      <c r="H155" s="306"/>
      <c r="I155" s="322"/>
      <c r="J155" s="325">
        <v>3</v>
      </c>
      <c r="K155" s="313" t="str">
        <f>_xlfn.XLOOKUP(Diagnóstico!E191,Listas!N47,Listas!R47,"")</f>
        <v/>
      </c>
      <c r="L155" s="314"/>
      <c r="M155" s="299" t="str">
        <f>_xlfn.XLOOKUP(Diagnóstico!E179,Listas!N29:N30,Listas!R29:R30,"")</f>
        <v/>
      </c>
      <c r="N155" s="300"/>
      <c r="O155" s="299" t="str">
        <f>_xlfn.XLOOKUP(Diagnóstico!E185,Listas!N39,Listas!R39,"")</f>
        <v/>
      </c>
      <c r="P155" s="300"/>
      <c r="Q155" s="293" t="str">
        <f>_xlfn.XLOOKUP(Diagnóstico!E182,Listas!N35,Listas!R35,"")</f>
        <v/>
      </c>
      <c r="R155" s="294"/>
      <c r="S155" s="293" t="str">
        <f>_xlfn.XLOOKUP(Diagnóstico!E188,Listas!N43,Listas!R43,"")</f>
        <v/>
      </c>
      <c r="T155" s="294"/>
      <c r="U155" s="169"/>
      <c r="V155" s="87"/>
    </row>
    <row r="156" spans="3:22" ht="22.2" customHeight="1">
      <c r="C156" s="86"/>
      <c r="D156" s="167"/>
      <c r="E156" s="171"/>
      <c r="F156" s="171"/>
      <c r="G156" s="171"/>
      <c r="H156" s="306"/>
      <c r="I156" s="322"/>
      <c r="J156" s="325"/>
      <c r="K156" s="315"/>
      <c r="L156" s="316"/>
      <c r="M156" s="301"/>
      <c r="N156" s="302"/>
      <c r="O156" s="301"/>
      <c r="P156" s="302"/>
      <c r="Q156" s="295"/>
      <c r="R156" s="296"/>
      <c r="S156" s="295"/>
      <c r="T156" s="296"/>
      <c r="U156" s="169"/>
      <c r="V156" s="87"/>
    </row>
    <row r="157" spans="3:22" ht="22.2" customHeight="1">
      <c r="C157" s="86"/>
      <c r="D157" s="167"/>
      <c r="E157" s="171"/>
      <c r="F157" s="171"/>
      <c r="G157" s="171"/>
      <c r="H157" s="306"/>
      <c r="I157" s="322"/>
      <c r="J157" s="325"/>
      <c r="K157" s="315"/>
      <c r="L157" s="316"/>
      <c r="M157" s="301"/>
      <c r="N157" s="302"/>
      <c r="O157" s="301"/>
      <c r="P157" s="302"/>
      <c r="Q157" s="295"/>
      <c r="R157" s="296"/>
      <c r="S157" s="295"/>
      <c r="T157" s="296"/>
      <c r="U157" s="169"/>
      <c r="V157" s="87"/>
    </row>
    <row r="158" spans="3:22" ht="22.2" customHeight="1" thickBot="1">
      <c r="C158" s="86"/>
      <c r="D158" s="167"/>
      <c r="E158" s="171"/>
      <c r="F158" s="171"/>
      <c r="G158" s="171"/>
      <c r="H158" s="306"/>
      <c r="I158" s="322"/>
      <c r="J158" s="325"/>
      <c r="K158" s="317"/>
      <c r="L158" s="318"/>
      <c r="M158" s="303"/>
      <c r="N158" s="304"/>
      <c r="O158" s="303"/>
      <c r="P158" s="304"/>
      <c r="Q158" s="297"/>
      <c r="R158" s="298"/>
      <c r="S158" s="297"/>
      <c r="T158" s="298"/>
      <c r="U158" s="169"/>
      <c r="V158" s="87"/>
    </row>
    <row r="159" spans="3:22" ht="22.2" customHeight="1" thickTop="1">
      <c r="C159" s="86"/>
      <c r="D159" s="167"/>
      <c r="E159" s="170"/>
      <c r="F159" s="170"/>
      <c r="G159" s="170"/>
      <c r="H159" s="306"/>
      <c r="I159" s="322"/>
      <c r="J159" s="325">
        <v>2</v>
      </c>
      <c r="K159" s="313"/>
      <c r="L159" s="314"/>
      <c r="M159" s="307" t="str">
        <f>_xlfn.XLOOKUP(Diagnóstico!E197,Listas!N55,Listas!R55,"")</f>
        <v/>
      </c>
      <c r="N159" s="308"/>
      <c r="O159" s="299"/>
      <c r="P159" s="300"/>
      <c r="Q159" s="299" t="str">
        <f>_xlfn.XLOOKUP(Diagnóstico!E209,Listas!N72:N74,Listas!R72:R74,"")</f>
        <v/>
      </c>
      <c r="R159" s="300"/>
      <c r="S159" s="293" t="str">
        <f>_xlfn.XLOOKUP(Diagnóstico!E206,Listas!N67,Listas!R67,"")</f>
        <v/>
      </c>
      <c r="T159" s="294"/>
      <c r="U159" s="169"/>
      <c r="V159" s="87"/>
    </row>
    <row r="160" spans="3:22" ht="22.2" customHeight="1">
      <c r="C160" s="86"/>
      <c r="D160" s="167"/>
      <c r="E160" s="170"/>
      <c r="F160" s="170"/>
      <c r="G160" s="170"/>
      <c r="H160" s="306"/>
      <c r="I160" s="322"/>
      <c r="J160" s="325"/>
      <c r="K160" s="315"/>
      <c r="L160" s="316"/>
      <c r="M160" s="309"/>
      <c r="N160" s="310"/>
      <c r="O160" s="301"/>
      <c r="P160" s="302"/>
      <c r="Q160" s="301"/>
      <c r="R160" s="302"/>
      <c r="S160" s="295"/>
      <c r="T160" s="296"/>
      <c r="U160" s="169"/>
      <c r="V160" s="87"/>
    </row>
    <row r="161" spans="3:22" ht="22.2" customHeight="1">
      <c r="C161" s="86"/>
      <c r="D161" s="167"/>
      <c r="E161" s="170"/>
      <c r="F161" s="170"/>
      <c r="G161" s="170"/>
      <c r="H161" s="306"/>
      <c r="I161" s="322"/>
      <c r="J161" s="325"/>
      <c r="K161" s="315"/>
      <c r="L161" s="316"/>
      <c r="M161" s="309"/>
      <c r="N161" s="310"/>
      <c r="O161" s="301"/>
      <c r="P161" s="302"/>
      <c r="Q161" s="301"/>
      <c r="R161" s="302"/>
      <c r="S161" s="295"/>
      <c r="T161" s="296"/>
      <c r="U161" s="169"/>
      <c r="V161" s="87"/>
    </row>
    <row r="162" spans="3:22" ht="22.2" customHeight="1" thickBot="1">
      <c r="C162" s="86"/>
      <c r="D162" s="167"/>
      <c r="E162" s="170"/>
      <c r="F162" s="170"/>
      <c r="G162" s="170"/>
      <c r="H162" s="306"/>
      <c r="I162" s="322"/>
      <c r="J162" s="325"/>
      <c r="K162" s="317"/>
      <c r="L162" s="318"/>
      <c r="M162" s="311"/>
      <c r="N162" s="312"/>
      <c r="O162" s="303"/>
      <c r="P162" s="304"/>
      <c r="Q162" s="303"/>
      <c r="R162" s="304"/>
      <c r="S162" s="297"/>
      <c r="T162" s="298"/>
      <c r="U162" s="169"/>
      <c r="V162" s="87"/>
    </row>
    <row r="163" spans="3:22" ht="22.2" customHeight="1" thickTop="1">
      <c r="C163" s="86"/>
      <c r="D163" s="167"/>
      <c r="E163" s="170"/>
      <c r="F163" s="170"/>
      <c r="G163" s="170"/>
      <c r="H163" s="306"/>
      <c r="I163" s="322"/>
      <c r="J163" s="325">
        <v>1</v>
      </c>
      <c r="K163" s="313"/>
      <c r="L163" s="314"/>
      <c r="M163" s="313"/>
      <c r="N163" s="314"/>
      <c r="O163" s="299"/>
      <c r="P163" s="300"/>
      <c r="Q163" s="299"/>
      <c r="R163" s="300"/>
      <c r="S163" s="293" t="str">
        <f>_xlfn.XLOOKUP(Diagnóstico!E194,Listas!N51,Listas!R51,"")</f>
        <v/>
      </c>
      <c r="T163" s="294"/>
      <c r="U163" s="169"/>
      <c r="V163" s="87"/>
    </row>
    <row r="164" spans="3:22" ht="22.2" customHeight="1">
      <c r="C164" s="86"/>
      <c r="D164" s="167"/>
      <c r="E164" s="170"/>
      <c r="F164" s="170"/>
      <c r="G164" s="170"/>
      <c r="H164" s="306"/>
      <c r="I164" s="322"/>
      <c r="J164" s="325"/>
      <c r="K164" s="315"/>
      <c r="L164" s="316"/>
      <c r="M164" s="315"/>
      <c r="N164" s="316"/>
      <c r="O164" s="301"/>
      <c r="P164" s="302"/>
      <c r="Q164" s="301"/>
      <c r="R164" s="302"/>
      <c r="S164" s="295"/>
      <c r="T164" s="296"/>
      <c r="U164" s="169"/>
      <c r="V164" s="87"/>
    </row>
    <row r="165" spans="3:22" ht="22.2" customHeight="1">
      <c r="C165" s="86"/>
      <c r="D165" s="167"/>
      <c r="E165" s="170"/>
      <c r="F165" s="170"/>
      <c r="G165" s="170"/>
      <c r="H165" s="306"/>
      <c r="I165" s="322"/>
      <c r="J165" s="325"/>
      <c r="K165" s="315"/>
      <c r="L165" s="316"/>
      <c r="M165" s="315"/>
      <c r="N165" s="316"/>
      <c r="O165" s="301"/>
      <c r="P165" s="302"/>
      <c r="Q165" s="301"/>
      <c r="R165" s="302"/>
      <c r="S165" s="295"/>
      <c r="T165" s="296"/>
      <c r="U165" s="169"/>
      <c r="V165" s="87"/>
    </row>
    <row r="166" spans="3:22" ht="22.2" customHeight="1" thickBot="1">
      <c r="C166" s="86"/>
      <c r="D166" s="167"/>
      <c r="E166" s="170"/>
      <c r="F166" s="170"/>
      <c r="G166" s="170"/>
      <c r="H166" s="306"/>
      <c r="I166" s="322"/>
      <c r="J166" s="325"/>
      <c r="K166" s="317"/>
      <c r="L166" s="318"/>
      <c r="M166" s="317"/>
      <c r="N166" s="318"/>
      <c r="O166" s="303"/>
      <c r="P166" s="304"/>
      <c r="Q166" s="303"/>
      <c r="R166" s="304"/>
      <c r="S166" s="297"/>
      <c r="T166" s="298"/>
      <c r="U166" s="169"/>
      <c r="V166" s="87"/>
    </row>
    <row r="167" spans="3:22" ht="15" thickTop="1">
      <c r="C167" s="86"/>
      <c r="D167" s="167"/>
      <c r="E167" s="170"/>
      <c r="F167" s="170"/>
      <c r="G167" s="170"/>
      <c r="H167" s="170"/>
      <c r="I167" s="170"/>
      <c r="J167" s="170"/>
      <c r="K167" s="324">
        <v>1</v>
      </c>
      <c r="L167" s="324"/>
      <c r="M167" s="324">
        <v>2</v>
      </c>
      <c r="N167" s="324"/>
      <c r="O167" s="324">
        <v>3</v>
      </c>
      <c r="P167" s="324"/>
      <c r="Q167" s="324">
        <v>4</v>
      </c>
      <c r="R167" s="324"/>
      <c r="S167" s="324">
        <v>5</v>
      </c>
      <c r="T167" s="324"/>
      <c r="U167" s="169"/>
      <c r="V167" s="87"/>
    </row>
    <row r="168" spans="3:22" ht="18">
      <c r="C168" s="86"/>
      <c r="D168" s="167"/>
      <c r="E168" s="171"/>
      <c r="F168" s="171"/>
      <c r="G168" s="171"/>
      <c r="H168" s="171"/>
      <c r="I168" s="171"/>
      <c r="J168" s="171"/>
      <c r="K168" s="284" t="s">
        <v>456</v>
      </c>
      <c r="L168" s="284"/>
      <c r="M168" s="284"/>
      <c r="N168" s="284"/>
      <c r="O168" s="284"/>
      <c r="P168" s="284"/>
      <c r="Q168" s="284"/>
      <c r="R168" s="284"/>
      <c r="S168" s="284"/>
      <c r="T168" s="284"/>
      <c r="U168" s="169"/>
      <c r="V168" s="87"/>
    </row>
    <row r="169" spans="3:22">
      <c r="C169" s="86"/>
      <c r="D169" s="167"/>
      <c r="E169" s="170"/>
      <c r="F169" s="170"/>
      <c r="G169" s="170"/>
      <c r="H169" s="170"/>
      <c r="I169" s="170"/>
      <c r="J169" s="170"/>
      <c r="K169" s="323" t="s">
        <v>458</v>
      </c>
      <c r="L169" s="323"/>
      <c r="M169" s="323"/>
      <c r="N169" s="323"/>
      <c r="O169" s="323"/>
      <c r="P169" s="323"/>
      <c r="Q169" s="323"/>
      <c r="R169" s="323"/>
      <c r="S169" s="323"/>
      <c r="T169" s="323"/>
      <c r="U169" s="169"/>
      <c r="V169" s="87"/>
    </row>
    <row r="170" spans="3:22">
      <c r="C170" s="86"/>
      <c r="D170" s="167"/>
      <c r="E170" s="170"/>
      <c r="F170" s="170"/>
      <c r="G170" s="170"/>
      <c r="H170" s="170"/>
      <c r="I170" s="170"/>
      <c r="J170" s="170"/>
      <c r="K170" s="170"/>
      <c r="L170" s="170"/>
      <c r="M170" s="170"/>
      <c r="N170" s="170"/>
      <c r="O170" s="170"/>
      <c r="P170" s="170"/>
      <c r="Q170" s="170"/>
      <c r="R170" s="170"/>
      <c r="S170" s="170"/>
      <c r="T170" s="170"/>
      <c r="U170" s="169"/>
      <c r="V170" s="87"/>
    </row>
    <row r="171" spans="3:22">
      <c r="C171" s="86"/>
      <c r="D171" s="167"/>
      <c r="E171" s="170"/>
      <c r="F171" s="170"/>
      <c r="G171" s="170"/>
      <c r="H171" s="170"/>
      <c r="I171" s="170"/>
      <c r="J171" s="170"/>
      <c r="K171" s="170"/>
      <c r="L171" s="170"/>
      <c r="M171" s="170"/>
      <c r="N171" s="170"/>
      <c r="O171" s="170"/>
      <c r="P171" s="170"/>
      <c r="Q171" s="170"/>
      <c r="R171" s="170"/>
      <c r="S171" s="170"/>
      <c r="T171" s="170"/>
      <c r="U171" s="169"/>
      <c r="V171" s="87"/>
    </row>
    <row r="172" spans="3:22">
      <c r="C172" s="86"/>
      <c r="D172" s="167"/>
      <c r="E172" s="170"/>
      <c r="F172" s="170"/>
      <c r="G172" s="170"/>
      <c r="H172" s="170"/>
      <c r="I172" s="170"/>
      <c r="J172" s="170"/>
      <c r="K172" s="170"/>
      <c r="L172" s="170"/>
      <c r="M172" s="170"/>
      <c r="N172" s="170"/>
      <c r="O172" s="170"/>
      <c r="P172" s="170"/>
      <c r="Q172" s="170"/>
      <c r="R172" s="170"/>
      <c r="S172" s="170"/>
      <c r="T172" s="170"/>
      <c r="U172" s="169"/>
      <c r="V172" s="87"/>
    </row>
    <row r="173" spans="3:22" ht="16.2" customHeight="1" thickBot="1">
      <c r="C173" s="86"/>
      <c r="D173" s="167"/>
      <c r="E173" s="165"/>
      <c r="F173" s="165"/>
      <c r="G173" s="165"/>
      <c r="H173" s="165"/>
      <c r="I173" s="165"/>
      <c r="J173" s="165"/>
      <c r="K173" s="165"/>
      <c r="L173" s="165"/>
      <c r="M173" s="165"/>
      <c r="N173" s="165"/>
      <c r="O173" s="165"/>
      <c r="P173" s="165"/>
      <c r="Q173" s="165"/>
      <c r="R173" s="165"/>
      <c r="S173" s="165"/>
      <c r="T173" s="165"/>
      <c r="U173" s="169"/>
      <c r="V173" s="87"/>
    </row>
    <row r="174" spans="3:22" ht="4.2" customHeight="1" thickBot="1">
      <c r="C174" s="86"/>
      <c r="D174" s="249"/>
      <c r="E174" s="250"/>
      <c r="F174" s="250"/>
      <c r="G174" s="250"/>
      <c r="H174" s="250"/>
      <c r="I174" s="250"/>
      <c r="J174" s="250"/>
      <c r="K174" s="250"/>
      <c r="L174" s="250"/>
      <c r="M174" s="250"/>
      <c r="N174" s="250"/>
      <c r="O174" s="250"/>
      <c r="P174" s="250"/>
      <c r="Q174" s="250"/>
      <c r="R174" s="250"/>
      <c r="S174" s="250"/>
      <c r="T174" s="250"/>
      <c r="U174" s="251"/>
      <c r="V174" s="87"/>
    </row>
    <row r="175" spans="3:22" ht="20.399999999999999" customHeight="1" thickBot="1">
      <c r="C175" s="86"/>
      <c r="D175" s="238" t="s">
        <v>463</v>
      </c>
      <c r="E175" s="238"/>
      <c r="F175" s="238"/>
      <c r="G175" s="238"/>
      <c r="H175" s="238"/>
      <c r="I175" s="238"/>
      <c r="J175" s="238"/>
      <c r="K175" s="238"/>
      <c r="L175" s="238"/>
      <c r="M175" s="238"/>
      <c r="N175" s="238"/>
      <c r="O175" s="238"/>
      <c r="P175" s="238"/>
      <c r="Q175" s="238"/>
      <c r="R175" s="238"/>
      <c r="S175" s="238"/>
      <c r="T175" s="238"/>
      <c r="U175" s="238"/>
      <c r="V175" s="87"/>
    </row>
    <row r="176" spans="3:22">
      <c r="C176" s="86"/>
      <c r="D176" s="167"/>
      <c r="E176" s="267"/>
      <c r="F176" s="267"/>
      <c r="G176" s="267"/>
      <c r="H176" s="267"/>
      <c r="I176" s="267"/>
      <c r="J176" s="267"/>
      <c r="K176" s="267"/>
      <c r="L176" s="267"/>
      <c r="M176" s="267"/>
      <c r="N176" s="267"/>
      <c r="O176" s="267"/>
      <c r="P176" s="267"/>
      <c r="Q176" s="267"/>
      <c r="R176" s="267"/>
      <c r="S176" s="267"/>
      <c r="T176" s="267"/>
      <c r="U176" s="169"/>
      <c r="V176" s="87"/>
    </row>
    <row r="177" spans="3:22" ht="18" customHeight="1">
      <c r="C177" s="86"/>
      <c r="D177" s="167"/>
      <c r="E177" s="171"/>
      <c r="F177" s="171"/>
      <c r="G177" s="171"/>
      <c r="H177" s="171"/>
      <c r="I177" s="171"/>
      <c r="J177" s="171"/>
      <c r="K177" s="171"/>
      <c r="L177" s="171"/>
      <c r="M177" s="171"/>
      <c r="N177" s="171"/>
      <c r="O177" s="171"/>
      <c r="P177" s="171"/>
      <c r="Q177" s="171"/>
      <c r="R177" s="284" t="s">
        <v>465</v>
      </c>
      <c r="S177" s="284"/>
      <c r="T177" s="284"/>
      <c r="U177" s="169"/>
      <c r="V177" s="87"/>
    </row>
    <row r="178" spans="3:22">
      <c r="C178" s="86"/>
      <c r="D178" s="167"/>
      <c r="E178" s="171"/>
      <c r="F178" s="171"/>
      <c r="G178" s="171"/>
      <c r="H178" s="171"/>
      <c r="I178" s="171"/>
      <c r="J178" s="171"/>
      <c r="K178" s="171"/>
      <c r="L178" s="171"/>
      <c r="M178" s="171"/>
      <c r="N178" s="171"/>
      <c r="O178" s="171"/>
      <c r="P178" s="171"/>
      <c r="Q178" s="171"/>
      <c r="R178" s="171"/>
      <c r="S178" s="171"/>
      <c r="T178" s="171"/>
      <c r="U178" s="169"/>
      <c r="V178" s="87"/>
    </row>
    <row r="179" spans="3:22">
      <c r="C179" s="86"/>
      <c r="D179" s="167"/>
      <c r="E179" s="171"/>
      <c r="F179" s="171"/>
      <c r="G179" s="171"/>
      <c r="H179" s="171"/>
      <c r="I179" s="171"/>
      <c r="J179" s="171"/>
      <c r="K179" s="171"/>
      <c r="L179" s="171"/>
      <c r="M179" s="171"/>
      <c r="N179" s="171"/>
      <c r="O179" s="171"/>
      <c r="P179" s="171"/>
      <c r="Q179" s="171"/>
      <c r="R179" s="171"/>
      <c r="S179" s="171"/>
      <c r="T179" s="171"/>
      <c r="U179" s="169"/>
      <c r="V179" s="87"/>
    </row>
    <row r="180" spans="3:22">
      <c r="C180" s="86"/>
      <c r="D180" s="167"/>
      <c r="E180" s="171"/>
      <c r="F180" s="171"/>
      <c r="G180" s="171"/>
      <c r="H180" s="171"/>
      <c r="I180" s="171"/>
      <c r="J180" s="171"/>
      <c r="K180" s="171"/>
      <c r="L180" s="171"/>
      <c r="M180" s="171"/>
      <c r="N180" s="171"/>
      <c r="O180" s="171"/>
      <c r="P180" s="171"/>
      <c r="Q180" s="171"/>
      <c r="R180" s="171"/>
      <c r="S180" s="171"/>
      <c r="T180" s="171"/>
      <c r="U180" s="169"/>
      <c r="V180" s="87"/>
    </row>
    <row r="181" spans="3:22">
      <c r="C181" s="86"/>
      <c r="D181" s="167"/>
      <c r="E181" s="171"/>
      <c r="F181" s="171"/>
      <c r="G181" s="171"/>
      <c r="H181" s="171"/>
      <c r="I181" s="171"/>
      <c r="J181" s="171"/>
      <c r="K181" s="171"/>
      <c r="L181" s="171"/>
      <c r="M181" s="171"/>
      <c r="N181" s="171"/>
      <c r="O181" s="171"/>
      <c r="P181" s="171"/>
      <c r="Q181" s="171"/>
      <c r="R181" s="171"/>
      <c r="S181" s="171"/>
      <c r="T181" s="171"/>
      <c r="U181" s="169"/>
      <c r="V181" s="87"/>
    </row>
    <row r="182" spans="3:22">
      <c r="C182" s="86"/>
      <c r="D182" s="167"/>
      <c r="E182" s="171"/>
      <c r="F182" s="171"/>
      <c r="G182" s="171"/>
      <c r="H182" s="171"/>
      <c r="I182" s="171"/>
      <c r="J182" s="171"/>
      <c r="K182" s="171"/>
      <c r="L182" s="171"/>
      <c r="M182" s="171"/>
      <c r="N182" s="171"/>
      <c r="O182" s="171"/>
      <c r="P182" s="171"/>
      <c r="Q182" s="171"/>
      <c r="R182" s="171"/>
      <c r="S182" s="171"/>
      <c r="T182" s="171"/>
      <c r="U182" s="169"/>
      <c r="V182" s="87"/>
    </row>
    <row r="183" spans="3:22">
      <c r="C183" s="86"/>
      <c r="D183" s="167"/>
      <c r="E183" s="171"/>
      <c r="F183" s="171"/>
      <c r="G183" s="171"/>
      <c r="H183" s="171"/>
      <c r="I183" s="171"/>
      <c r="J183" s="171"/>
      <c r="K183" s="171"/>
      <c r="L183" s="171"/>
      <c r="M183" s="171"/>
      <c r="N183" s="171"/>
      <c r="O183" s="171"/>
      <c r="P183" s="171"/>
      <c r="Q183" s="171"/>
      <c r="R183" s="171"/>
      <c r="S183" s="171"/>
      <c r="T183" s="171"/>
      <c r="U183" s="169"/>
      <c r="V183" s="87"/>
    </row>
    <row r="184" spans="3:22">
      <c r="C184" s="86"/>
      <c r="D184" s="167"/>
      <c r="E184" s="171"/>
      <c r="F184" s="171"/>
      <c r="G184" s="171"/>
      <c r="H184" s="171"/>
      <c r="I184" s="171"/>
      <c r="J184" s="171"/>
      <c r="K184" s="171"/>
      <c r="L184" s="171"/>
      <c r="M184" s="171"/>
      <c r="N184" s="171"/>
      <c r="O184" s="171"/>
      <c r="P184" s="171"/>
      <c r="Q184" s="171"/>
      <c r="R184" s="171"/>
      <c r="S184" s="171"/>
      <c r="T184" s="171"/>
      <c r="U184" s="169"/>
      <c r="V184" s="87"/>
    </row>
    <row r="185" spans="3:22">
      <c r="C185" s="86"/>
      <c r="D185" s="167"/>
      <c r="E185" s="171"/>
      <c r="F185" s="171"/>
      <c r="G185" s="171"/>
      <c r="H185" s="171"/>
      <c r="I185" s="171"/>
      <c r="J185" s="171"/>
      <c r="K185" s="171"/>
      <c r="L185" s="171"/>
      <c r="M185" s="171"/>
      <c r="N185" s="171"/>
      <c r="O185" s="171"/>
      <c r="P185" s="171"/>
      <c r="Q185" s="171"/>
      <c r="R185" s="171"/>
      <c r="S185" s="171"/>
      <c r="T185" s="171"/>
      <c r="U185" s="169"/>
      <c r="V185" s="87"/>
    </row>
    <row r="186" spans="3:22">
      <c r="C186" s="86"/>
      <c r="D186" s="167"/>
      <c r="E186" s="171"/>
      <c r="F186" s="171"/>
      <c r="G186" s="171"/>
      <c r="H186" s="171"/>
      <c r="I186" s="171"/>
      <c r="J186" s="171"/>
      <c r="K186" s="171"/>
      <c r="L186" s="171"/>
      <c r="M186" s="171"/>
      <c r="N186" s="171"/>
      <c r="O186" s="171"/>
      <c r="P186" s="171"/>
      <c r="Q186" s="171"/>
      <c r="R186" s="171"/>
      <c r="S186" s="171"/>
      <c r="T186" s="171"/>
      <c r="U186" s="169"/>
      <c r="V186" s="87"/>
    </row>
    <row r="187" spans="3:22">
      <c r="C187" s="86"/>
      <c r="D187" s="167"/>
      <c r="E187" s="171"/>
      <c r="F187" s="171"/>
      <c r="G187" s="171"/>
      <c r="H187" s="171"/>
      <c r="I187" s="171"/>
      <c r="J187" s="171"/>
      <c r="K187" s="171"/>
      <c r="L187" s="171"/>
      <c r="M187" s="171"/>
      <c r="N187" s="171"/>
      <c r="O187" s="171"/>
      <c r="P187" s="171"/>
      <c r="Q187" s="171"/>
      <c r="R187" s="171"/>
      <c r="S187" s="171"/>
      <c r="T187" s="171"/>
      <c r="U187" s="169"/>
      <c r="V187" s="87"/>
    </row>
    <row r="188" spans="3:22">
      <c r="C188" s="86"/>
      <c r="D188" s="167"/>
      <c r="E188" s="171"/>
      <c r="F188" s="171"/>
      <c r="G188" s="171"/>
      <c r="H188" s="171"/>
      <c r="I188" s="171"/>
      <c r="J188" s="171"/>
      <c r="K188" s="171"/>
      <c r="L188" s="171"/>
      <c r="M188" s="171"/>
      <c r="N188" s="171"/>
      <c r="O188" s="171"/>
      <c r="P188" s="171"/>
      <c r="Q188" s="171"/>
      <c r="R188" s="171"/>
      <c r="S188" s="171"/>
      <c r="T188" s="171"/>
      <c r="U188" s="169"/>
      <c r="V188" s="87"/>
    </row>
    <row r="189" spans="3:22">
      <c r="C189" s="86"/>
      <c r="D189" s="167"/>
      <c r="E189" s="171"/>
      <c r="F189" s="171"/>
      <c r="G189" s="171"/>
      <c r="H189" s="171"/>
      <c r="I189" s="171"/>
      <c r="J189" s="171"/>
      <c r="K189" s="171"/>
      <c r="L189" s="171"/>
      <c r="M189" s="171"/>
      <c r="N189" s="171"/>
      <c r="O189" s="171"/>
      <c r="P189" s="171"/>
      <c r="Q189" s="171"/>
      <c r="R189" s="171"/>
      <c r="S189" s="171"/>
      <c r="T189" s="171"/>
      <c r="U189" s="169"/>
      <c r="V189" s="87"/>
    </row>
    <row r="190" spans="3:22">
      <c r="C190" s="86"/>
      <c r="D190" s="167"/>
      <c r="E190" s="171"/>
      <c r="F190" s="171"/>
      <c r="G190" s="171"/>
      <c r="H190" s="171"/>
      <c r="I190" s="171"/>
      <c r="J190" s="171"/>
      <c r="K190" s="171"/>
      <c r="L190" s="171"/>
      <c r="M190" s="171"/>
      <c r="N190" s="171"/>
      <c r="O190" s="171"/>
      <c r="P190" s="171"/>
      <c r="Q190" s="171"/>
      <c r="R190" s="171"/>
      <c r="S190" s="171"/>
      <c r="T190" s="171"/>
      <c r="U190" s="169"/>
      <c r="V190" s="87"/>
    </row>
    <row r="191" spans="3:22">
      <c r="C191" s="86"/>
      <c r="D191" s="167"/>
      <c r="E191" s="267"/>
      <c r="F191" s="267"/>
      <c r="G191" s="267"/>
      <c r="H191" s="267"/>
      <c r="I191" s="267"/>
      <c r="J191" s="267"/>
      <c r="K191" s="267"/>
      <c r="L191" s="267"/>
      <c r="M191" s="267"/>
      <c r="N191" s="267"/>
      <c r="O191" s="267"/>
      <c r="P191" s="267"/>
      <c r="Q191" s="267"/>
      <c r="R191" s="267"/>
      <c r="S191" s="267"/>
      <c r="T191" s="267"/>
      <c r="U191" s="169"/>
      <c r="V191" s="87"/>
    </row>
    <row r="192" spans="3:22">
      <c r="C192" s="86"/>
      <c r="D192" s="167"/>
      <c r="E192" s="267"/>
      <c r="F192" s="267"/>
      <c r="G192" s="267"/>
      <c r="H192" s="267"/>
      <c r="I192" s="267"/>
      <c r="J192" s="267"/>
      <c r="K192" s="267"/>
      <c r="L192" s="267"/>
      <c r="M192" s="267"/>
      <c r="N192" s="267"/>
      <c r="O192" s="267"/>
      <c r="P192" s="267"/>
      <c r="Q192" s="267"/>
      <c r="R192" s="267"/>
      <c r="S192" s="267"/>
      <c r="T192" s="267"/>
      <c r="U192" s="169"/>
      <c r="V192" s="87"/>
    </row>
    <row r="193" spans="3:22">
      <c r="C193" s="86"/>
      <c r="D193" s="167"/>
      <c r="E193" s="267"/>
      <c r="F193" s="267"/>
      <c r="G193" s="267"/>
      <c r="H193" s="267"/>
      <c r="I193" s="267"/>
      <c r="J193" s="267"/>
      <c r="K193" s="267"/>
      <c r="L193" s="267"/>
      <c r="M193" s="267"/>
      <c r="N193" s="267"/>
      <c r="O193" s="267"/>
      <c r="P193" s="267"/>
      <c r="Q193" s="267"/>
      <c r="R193" s="267"/>
      <c r="S193" s="267"/>
      <c r="T193" s="267"/>
      <c r="U193" s="169"/>
      <c r="V193" s="87"/>
    </row>
    <row r="194" spans="3:22">
      <c r="C194" s="86"/>
      <c r="D194" s="167"/>
      <c r="E194" s="267"/>
      <c r="F194" s="267"/>
      <c r="G194" s="267"/>
      <c r="H194" s="267"/>
      <c r="I194" s="267"/>
      <c r="J194" s="267"/>
      <c r="K194" s="267"/>
      <c r="L194" s="267"/>
      <c r="M194" s="267"/>
      <c r="N194" s="267"/>
      <c r="O194" s="267"/>
      <c r="P194" s="267"/>
      <c r="Q194" s="267"/>
      <c r="R194" s="267"/>
      <c r="S194" s="267"/>
      <c r="T194" s="267"/>
      <c r="U194" s="169"/>
      <c r="V194" s="87"/>
    </row>
    <row r="195" spans="3:22">
      <c r="C195" s="86"/>
      <c r="D195" s="167"/>
      <c r="E195" s="267"/>
      <c r="F195" s="267"/>
      <c r="G195" s="267"/>
      <c r="H195" s="267"/>
      <c r="I195" s="267"/>
      <c r="J195" s="267"/>
      <c r="K195" s="267"/>
      <c r="L195" s="267"/>
      <c r="M195" s="267"/>
      <c r="N195" s="267"/>
      <c r="O195" s="267"/>
      <c r="P195" s="267"/>
      <c r="Q195" s="267"/>
      <c r="R195" s="267"/>
      <c r="S195" s="267"/>
      <c r="T195" s="267"/>
      <c r="U195" s="169"/>
      <c r="V195" s="87"/>
    </row>
    <row r="196" spans="3:22">
      <c r="C196" s="86"/>
      <c r="D196" s="167"/>
      <c r="E196" s="267"/>
      <c r="F196" s="267"/>
      <c r="G196" s="267"/>
      <c r="H196" s="267"/>
      <c r="I196" s="267"/>
      <c r="J196" s="267"/>
      <c r="K196" s="267"/>
      <c r="L196" s="267"/>
      <c r="M196" s="267"/>
      <c r="N196" s="267"/>
      <c r="O196" s="267"/>
      <c r="P196" s="267"/>
      <c r="Q196" s="267"/>
      <c r="R196" s="267"/>
      <c r="S196" s="267"/>
      <c r="T196" s="267"/>
      <c r="U196" s="169"/>
      <c r="V196" s="87"/>
    </row>
    <row r="197" spans="3:22">
      <c r="C197" s="86"/>
      <c r="D197" s="167"/>
      <c r="E197" s="267"/>
      <c r="F197" s="267"/>
      <c r="G197" s="267"/>
      <c r="H197" s="267"/>
      <c r="I197" s="267"/>
      <c r="J197" s="267"/>
      <c r="K197" s="267"/>
      <c r="L197" s="267"/>
      <c r="M197" s="267"/>
      <c r="N197" s="267"/>
      <c r="O197" s="267"/>
      <c r="P197" s="267"/>
      <c r="Q197" s="267"/>
      <c r="R197" s="267"/>
      <c r="S197" s="267"/>
      <c r="T197" s="267"/>
      <c r="U197" s="169"/>
      <c r="V197" s="87"/>
    </row>
    <row r="198" spans="3:22">
      <c r="C198" s="86"/>
      <c r="D198" s="167"/>
      <c r="E198" s="267"/>
      <c r="F198" s="267"/>
      <c r="G198" s="267"/>
      <c r="H198" s="267"/>
      <c r="I198" s="267"/>
      <c r="J198" s="267"/>
      <c r="K198" s="267"/>
      <c r="L198" s="267"/>
      <c r="M198" s="267"/>
      <c r="N198" s="267"/>
      <c r="O198" s="267"/>
      <c r="P198" s="267"/>
      <c r="Q198" s="267"/>
      <c r="R198" s="267"/>
      <c r="S198" s="267"/>
      <c r="T198" s="267"/>
      <c r="U198" s="169"/>
      <c r="V198" s="87"/>
    </row>
    <row r="199" spans="3:22" ht="21">
      <c r="C199" s="86"/>
      <c r="D199" s="287" t="s">
        <v>455</v>
      </c>
      <c r="E199" s="288"/>
      <c r="F199" s="289" t="str">
        <f>IF(AND(R1037&gt;=0,R1037&lt;=0.1),"",
 IF(R1037&lt;10%,"Muy alto",
 IF(R1037&lt;20%,"Alto",
 IF(R1037&lt;40%,"Medio",
 IF(R1037&lt;70%,"Medio-bajo",
 "Bajo")))))</f>
        <v/>
      </c>
      <c r="G199" s="289"/>
      <c r="H199" s="289"/>
      <c r="I199" s="289"/>
      <c r="J199" s="178"/>
      <c r="K199" s="170"/>
      <c r="L199" s="170"/>
      <c r="M199" s="170"/>
      <c r="N199" s="170"/>
      <c r="O199" s="170"/>
      <c r="P199" s="170"/>
      <c r="Q199" s="170"/>
      <c r="R199" s="170"/>
      <c r="S199" s="170"/>
      <c r="T199" s="170"/>
      <c r="U199" s="169"/>
      <c r="V199" s="87"/>
    </row>
    <row r="200" spans="3:22">
      <c r="C200" s="86"/>
      <c r="D200" s="167"/>
      <c r="E200" s="170"/>
      <c r="F200" s="170"/>
      <c r="G200" s="170"/>
      <c r="H200" s="170"/>
      <c r="I200" s="170"/>
      <c r="J200" s="170"/>
      <c r="K200" s="326" t="s">
        <v>460</v>
      </c>
      <c r="L200" s="326"/>
      <c r="M200" s="326"/>
      <c r="N200" s="326"/>
      <c r="O200" s="326"/>
      <c r="P200" s="326"/>
      <c r="Q200" s="326"/>
      <c r="R200" s="326"/>
      <c r="S200" s="326"/>
      <c r="T200" s="326"/>
      <c r="U200" s="169"/>
      <c r="V200" s="87"/>
    </row>
    <row r="201" spans="3:22">
      <c r="C201" s="86"/>
      <c r="D201" s="167"/>
      <c r="E201" s="171"/>
      <c r="F201" s="171"/>
      <c r="G201" s="171"/>
      <c r="H201" s="171"/>
      <c r="I201" s="171"/>
      <c r="J201" s="171"/>
      <c r="K201" s="326"/>
      <c r="L201" s="326"/>
      <c r="M201" s="326"/>
      <c r="N201" s="326"/>
      <c r="O201" s="326"/>
      <c r="P201" s="326"/>
      <c r="Q201" s="326"/>
      <c r="R201" s="326"/>
      <c r="S201" s="326"/>
      <c r="T201" s="326"/>
      <c r="U201" s="169"/>
      <c r="V201" s="87"/>
    </row>
    <row r="202" spans="3:22" ht="15" thickBot="1">
      <c r="C202" s="86"/>
      <c r="D202" s="167"/>
      <c r="E202" s="171"/>
      <c r="F202" s="171"/>
      <c r="G202" s="171"/>
      <c r="H202" s="171"/>
      <c r="I202" s="171"/>
      <c r="J202" s="171"/>
      <c r="K202" s="171"/>
      <c r="L202" s="171"/>
      <c r="M202" s="171"/>
      <c r="N202" s="171"/>
      <c r="O202" s="171"/>
      <c r="P202" s="171"/>
      <c r="Q202" s="171"/>
      <c r="R202" s="171"/>
      <c r="S202" s="171"/>
      <c r="T202" s="171"/>
      <c r="U202" s="169"/>
      <c r="V202" s="87"/>
    </row>
    <row r="203" spans="3:22" ht="19.2" customHeight="1" thickTop="1">
      <c r="C203" s="86"/>
      <c r="D203" s="167"/>
      <c r="E203" s="171"/>
      <c r="F203" s="171"/>
      <c r="G203" s="171"/>
      <c r="H203" s="306" t="s">
        <v>459</v>
      </c>
      <c r="I203" s="322" t="s">
        <v>457</v>
      </c>
      <c r="J203" s="325">
        <v>5</v>
      </c>
      <c r="K203" s="299"/>
      <c r="L203" s="300"/>
      <c r="M203" s="299" t="str">
        <f>_xlfn.XLOOKUP(Diagnóstico!E252,Listas!T67:T69,Listas!X67:X69,"")</f>
        <v/>
      </c>
      <c r="N203" s="300"/>
      <c r="O203" s="293" t="str">
        <f>_xlfn.XLOOKUP(Diagnóstico!E225,Listas!T23,Listas!X23,"")</f>
        <v/>
      </c>
      <c r="P203" s="294"/>
      <c r="Q203" s="293" t="str">
        <f>_xlfn.XLOOKUP(Diagnóstico!E216,Listas!T10,Listas!X10,"")</f>
        <v/>
      </c>
      <c r="R203" s="294"/>
      <c r="S203" s="293" t="str">
        <f>_xlfn.XLOOKUP(Diagnóstico!E213,Listas!T6,Listas!X6,"")</f>
        <v/>
      </c>
      <c r="T203" s="294"/>
      <c r="U203" s="169"/>
      <c r="V203" s="87"/>
    </row>
    <row r="204" spans="3:22" ht="19.2" customHeight="1">
      <c r="C204" s="86"/>
      <c r="D204" s="167"/>
      <c r="E204" s="171"/>
      <c r="F204" s="171"/>
      <c r="G204" s="171"/>
      <c r="H204" s="306"/>
      <c r="I204" s="322"/>
      <c r="J204" s="325"/>
      <c r="K204" s="301"/>
      <c r="L204" s="302"/>
      <c r="M204" s="301"/>
      <c r="N204" s="302"/>
      <c r="O204" s="295"/>
      <c r="P204" s="296"/>
      <c r="Q204" s="295"/>
      <c r="R204" s="296"/>
      <c r="S204" s="295"/>
      <c r="T204" s="296"/>
      <c r="U204" s="169"/>
      <c r="V204" s="87"/>
    </row>
    <row r="205" spans="3:22" ht="19.2" customHeight="1">
      <c r="C205" s="86"/>
      <c r="D205" s="167"/>
      <c r="E205" s="171"/>
      <c r="F205" s="171"/>
      <c r="G205" s="171"/>
      <c r="H205" s="306"/>
      <c r="I205" s="322"/>
      <c r="J205" s="325"/>
      <c r="K205" s="301"/>
      <c r="L205" s="302"/>
      <c r="M205" s="301"/>
      <c r="N205" s="302"/>
      <c r="O205" s="295"/>
      <c r="P205" s="296"/>
      <c r="Q205" s="295"/>
      <c r="R205" s="296"/>
      <c r="S205" s="295"/>
      <c r="T205" s="296"/>
      <c r="U205" s="169"/>
      <c r="V205" s="87"/>
    </row>
    <row r="206" spans="3:22" ht="19.2" customHeight="1" thickBot="1">
      <c r="C206" s="86"/>
      <c r="D206" s="167"/>
      <c r="E206" s="171"/>
      <c r="F206" s="171"/>
      <c r="G206" s="171"/>
      <c r="H206" s="306"/>
      <c r="I206" s="322"/>
      <c r="J206" s="325"/>
      <c r="K206" s="303"/>
      <c r="L206" s="304"/>
      <c r="M206" s="303"/>
      <c r="N206" s="304"/>
      <c r="O206" s="297"/>
      <c r="P206" s="298"/>
      <c r="Q206" s="297"/>
      <c r="R206" s="298"/>
      <c r="S206" s="297"/>
      <c r="T206" s="298"/>
      <c r="U206" s="169"/>
      <c r="V206" s="87"/>
    </row>
    <row r="207" spans="3:22" ht="19.2" customHeight="1" thickTop="1">
      <c r="C207" s="86"/>
      <c r="D207" s="167"/>
      <c r="E207" s="171"/>
      <c r="F207" s="171"/>
      <c r="G207" s="171"/>
      <c r="H207" s="306"/>
      <c r="I207" s="322"/>
      <c r="J207" s="325">
        <v>4</v>
      </c>
      <c r="K207" s="307"/>
      <c r="L207" s="308"/>
      <c r="M207" s="299"/>
      <c r="N207" s="300"/>
      <c r="O207" s="293" t="str">
        <f>_xlfn.XLOOKUP(Diagnóstico!E222,Listas!T19,Listas!X19,"")</f>
        <v/>
      </c>
      <c r="P207" s="294"/>
      <c r="Q207" s="293" t="str">
        <f>_xlfn.XLOOKUP(Diagnóstico!E234,Listas!T35,Listas!X35,"")</f>
        <v/>
      </c>
      <c r="R207" s="294"/>
      <c r="S207" s="293" t="str">
        <f>_xlfn.XLOOKUP(Diagnóstico!E219,Listas!T15,Listas!X15,"")</f>
        <v/>
      </c>
      <c r="T207" s="294"/>
      <c r="U207" s="169"/>
      <c r="V207" s="87"/>
    </row>
    <row r="208" spans="3:22" ht="19.2" customHeight="1">
      <c r="C208" s="86"/>
      <c r="D208" s="167"/>
      <c r="E208" s="171"/>
      <c r="F208" s="171"/>
      <c r="G208" s="171"/>
      <c r="H208" s="306"/>
      <c r="I208" s="322"/>
      <c r="J208" s="325"/>
      <c r="K208" s="309"/>
      <c r="L208" s="310"/>
      <c r="M208" s="301"/>
      <c r="N208" s="302"/>
      <c r="O208" s="295"/>
      <c r="P208" s="296"/>
      <c r="Q208" s="295"/>
      <c r="R208" s="296"/>
      <c r="S208" s="295"/>
      <c r="T208" s="296"/>
      <c r="U208" s="169"/>
      <c r="V208" s="87"/>
    </row>
    <row r="209" spans="3:22" ht="19.2" customHeight="1">
      <c r="C209" s="86"/>
      <c r="D209" s="167"/>
      <c r="E209" s="171"/>
      <c r="F209" s="171"/>
      <c r="G209" s="171"/>
      <c r="H209" s="306"/>
      <c r="I209" s="322"/>
      <c r="J209" s="325"/>
      <c r="K209" s="309"/>
      <c r="L209" s="310"/>
      <c r="M209" s="301"/>
      <c r="N209" s="302"/>
      <c r="O209" s="295"/>
      <c r="P209" s="296"/>
      <c r="Q209" s="295"/>
      <c r="R209" s="296"/>
      <c r="S209" s="295"/>
      <c r="T209" s="296"/>
      <c r="U209" s="169"/>
      <c r="V209" s="87"/>
    </row>
    <row r="210" spans="3:22" ht="19.2" customHeight="1" thickBot="1">
      <c r="C210" s="86"/>
      <c r="D210" s="167"/>
      <c r="E210" s="171"/>
      <c r="F210" s="171"/>
      <c r="G210" s="171"/>
      <c r="H210" s="306"/>
      <c r="I210" s="322"/>
      <c r="J210" s="325"/>
      <c r="K210" s="311"/>
      <c r="L210" s="312"/>
      <c r="M210" s="303"/>
      <c r="N210" s="304"/>
      <c r="O210" s="297"/>
      <c r="P210" s="298"/>
      <c r="Q210" s="297"/>
      <c r="R210" s="298"/>
      <c r="S210" s="297"/>
      <c r="T210" s="298"/>
      <c r="U210" s="169"/>
      <c r="V210" s="87"/>
    </row>
    <row r="211" spans="3:22" ht="19.2" customHeight="1" thickTop="1">
      <c r="C211" s="86"/>
      <c r="D211" s="167"/>
      <c r="E211" s="171"/>
      <c r="F211" s="171"/>
      <c r="G211" s="171"/>
      <c r="H211" s="306"/>
      <c r="I211" s="322"/>
      <c r="J211" s="325">
        <v>3</v>
      </c>
      <c r="K211" s="313"/>
      <c r="L211" s="314"/>
      <c r="M211" s="299"/>
      <c r="N211" s="300"/>
      <c r="O211" s="299" t="str">
        <f>_xlfn.XLOOKUP(Diagnóstico!E243,Listas!T47,Listas!X47,"")</f>
        <v/>
      </c>
      <c r="P211" s="300"/>
      <c r="Q211" s="293" t="str">
        <f>_xlfn.XLOOKUP(Diagnóstico!E231,Listas!T31,Listas!X31,"")</f>
        <v/>
      </c>
      <c r="R211" s="294"/>
      <c r="S211" s="293" t="str">
        <f>_xlfn.XLOOKUP(Diagnóstico!E228,Listas!T27,Listas!X27,"")</f>
        <v/>
      </c>
      <c r="T211" s="294"/>
      <c r="U211" s="169"/>
      <c r="V211" s="87"/>
    </row>
    <row r="212" spans="3:22" ht="19.2" customHeight="1">
      <c r="C212" s="86"/>
      <c r="D212" s="167"/>
      <c r="E212" s="171"/>
      <c r="F212" s="171"/>
      <c r="G212" s="171"/>
      <c r="H212" s="306"/>
      <c r="I212" s="322"/>
      <c r="J212" s="325"/>
      <c r="K212" s="315"/>
      <c r="L212" s="316"/>
      <c r="M212" s="301"/>
      <c r="N212" s="302"/>
      <c r="O212" s="301"/>
      <c r="P212" s="302"/>
      <c r="Q212" s="295"/>
      <c r="R212" s="296"/>
      <c r="S212" s="295"/>
      <c r="T212" s="296"/>
      <c r="U212" s="169"/>
      <c r="V212" s="87"/>
    </row>
    <row r="213" spans="3:22" ht="19.2" customHeight="1">
      <c r="C213" s="86"/>
      <c r="D213" s="167"/>
      <c r="E213" s="171"/>
      <c r="F213" s="171"/>
      <c r="G213" s="171"/>
      <c r="H213" s="306"/>
      <c r="I213" s="322"/>
      <c r="J213" s="325"/>
      <c r="K213" s="315"/>
      <c r="L213" s="316"/>
      <c r="M213" s="301"/>
      <c r="N213" s="302"/>
      <c r="O213" s="301"/>
      <c r="P213" s="302"/>
      <c r="Q213" s="295"/>
      <c r="R213" s="296"/>
      <c r="S213" s="295"/>
      <c r="T213" s="296"/>
      <c r="U213" s="169"/>
      <c r="V213" s="87"/>
    </row>
    <row r="214" spans="3:22" ht="19.2" customHeight="1" thickBot="1">
      <c r="C214" s="86"/>
      <c r="D214" s="167"/>
      <c r="E214" s="171"/>
      <c r="F214" s="171"/>
      <c r="G214" s="171"/>
      <c r="H214" s="306"/>
      <c r="I214" s="322"/>
      <c r="J214" s="325"/>
      <c r="K214" s="317"/>
      <c r="L214" s="318"/>
      <c r="M214" s="303"/>
      <c r="N214" s="304"/>
      <c r="O214" s="303"/>
      <c r="P214" s="304"/>
      <c r="Q214" s="297"/>
      <c r="R214" s="298"/>
      <c r="S214" s="297"/>
      <c r="T214" s="298"/>
      <c r="U214" s="169"/>
      <c r="V214" s="87"/>
    </row>
    <row r="215" spans="3:22" ht="19.2" customHeight="1" thickTop="1">
      <c r="C215" s="86"/>
      <c r="D215" s="167"/>
      <c r="E215" s="170"/>
      <c r="F215" s="170"/>
      <c r="G215" s="170"/>
      <c r="H215" s="306"/>
      <c r="I215" s="322"/>
      <c r="J215" s="325">
        <v>2</v>
      </c>
      <c r="K215" s="313"/>
      <c r="L215" s="314"/>
      <c r="M215" s="307" t="str">
        <f>_xlfn.XLOOKUP(Diagnóstico!E237,Listas!T39,Listas!X39,"")</f>
        <v/>
      </c>
      <c r="N215" s="308"/>
      <c r="O215" s="299" t="str">
        <f>_xlfn.XLOOKUP(Diagnóstico!E249,Listas!T60:T62,Listas!X60:X62,"")</f>
        <v/>
      </c>
      <c r="P215" s="300"/>
      <c r="Q215" s="299" t="str">
        <f>_xlfn.XLOOKUP(Diagnóstico!E246,Listas!T52:T54,Listas!X52:X54,"")</f>
        <v/>
      </c>
      <c r="R215" s="300"/>
      <c r="S215" s="293" t="str">
        <f>_xlfn.XLOOKUP(Diagnóstico!E240,Listas!T43,Listas!X43,"")</f>
        <v/>
      </c>
      <c r="T215" s="294"/>
      <c r="U215" s="169"/>
      <c r="V215" s="87"/>
    </row>
    <row r="216" spans="3:22" ht="19.2" customHeight="1">
      <c r="C216" s="86"/>
      <c r="D216" s="167"/>
      <c r="E216" s="170"/>
      <c r="F216" s="170"/>
      <c r="G216" s="170"/>
      <c r="H216" s="306"/>
      <c r="I216" s="322"/>
      <c r="J216" s="325"/>
      <c r="K216" s="315"/>
      <c r="L216" s="316"/>
      <c r="M216" s="309"/>
      <c r="N216" s="310"/>
      <c r="O216" s="301"/>
      <c r="P216" s="302"/>
      <c r="Q216" s="301"/>
      <c r="R216" s="302"/>
      <c r="S216" s="295"/>
      <c r="T216" s="296"/>
      <c r="U216" s="169"/>
      <c r="V216" s="87"/>
    </row>
    <row r="217" spans="3:22" ht="19.2" customHeight="1">
      <c r="C217" s="86"/>
      <c r="D217" s="167"/>
      <c r="E217" s="170"/>
      <c r="F217" s="170"/>
      <c r="G217" s="170"/>
      <c r="H217" s="306"/>
      <c r="I217" s="322"/>
      <c r="J217" s="325"/>
      <c r="K217" s="315"/>
      <c r="L217" s="316"/>
      <c r="M217" s="309"/>
      <c r="N217" s="310"/>
      <c r="O217" s="301"/>
      <c r="P217" s="302"/>
      <c r="Q217" s="301"/>
      <c r="R217" s="302"/>
      <c r="S217" s="295"/>
      <c r="T217" s="296"/>
      <c r="U217" s="169"/>
      <c r="V217" s="87"/>
    </row>
    <row r="218" spans="3:22" ht="19.2" customHeight="1" thickBot="1">
      <c r="C218" s="86"/>
      <c r="D218" s="167"/>
      <c r="E218" s="170"/>
      <c r="F218" s="170"/>
      <c r="G218" s="170"/>
      <c r="H218" s="306"/>
      <c r="I218" s="322"/>
      <c r="J218" s="325"/>
      <c r="K218" s="317"/>
      <c r="L218" s="318"/>
      <c r="M218" s="311"/>
      <c r="N218" s="312"/>
      <c r="O218" s="303"/>
      <c r="P218" s="304"/>
      <c r="Q218" s="303"/>
      <c r="R218" s="304"/>
      <c r="S218" s="297"/>
      <c r="T218" s="298"/>
      <c r="U218" s="169"/>
      <c r="V218" s="87"/>
    </row>
    <row r="219" spans="3:22" ht="19.2" customHeight="1" thickTop="1">
      <c r="C219" s="86"/>
      <c r="D219" s="167"/>
      <c r="E219" s="170"/>
      <c r="F219" s="170"/>
      <c r="G219" s="170"/>
      <c r="H219" s="306"/>
      <c r="I219" s="322"/>
      <c r="J219" s="325">
        <v>1</v>
      </c>
      <c r="K219" s="313"/>
      <c r="L219" s="314"/>
      <c r="M219" s="313"/>
      <c r="N219" s="314"/>
      <c r="O219" s="299"/>
      <c r="P219" s="300"/>
      <c r="Q219" s="299"/>
      <c r="R219" s="300"/>
      <c r="S219" s="293"/>
      <c r="T219" s="294"/>
      <c r="U219" s="169"/>
      <c r="V219" s="87"/>
    </row>
    <row r="220" spans="3:22" ht="19.2" customHeight="1">
      <c r="C220" s="86"/>
      <c r="D220" s="167"/>
      <c r="E220" s="170"/>
      <c r="F220" s="170"/>
      <c r="G220" s="170"/>
      <c r="H220" s="306"/>
      <c r="I220" s="322"/>
      <c r="J220" s="325"/>
      <c r="K220" s="315"/>
      <c r="L220" s="316"/>
      <c r="M220" s="315"/>
      <c r="N220" s="316"/>
      <c r="O220" s="301"/>
      <c r="P220" s="302"/>
      <c r="Q220" s="301"/>
      <c r="R220" s="302"/>
      <c r="S220" s="295"/>
      <c r="T220" s="296"/>
      <c r="U220" s="169"/>
      <c r="V220" s="87"/>
    </row>
    <row r="221" spans="3:22" ht="19.2" customHeight="1">
      <c r="C221" s="86"/>
      <c r="D221" s="167"/>
      <c r="E221" s="170"/>
      <c r="F221" s="170"/>
      <c r="G221" s="170"/>
      <c r="H221" s="306"/>
      <c r="I221" s="322"/>
      <c r="J221" s="325"/>
      <c r="K221" s="315"/>
      <c r="L221" s="316"/>
      <c r="M221" s="315"/>
      <c r="N221" s="316"/>
      <c r="O221" s="301"/>
      <c r="P221" s="302"/>
      <c r="Q221" s="301"/>
      <c r="R221" s="302"/>
      <c r="S221" s="295"/>
      <c r="T221" s="296"/>
      <c r="U221" s="169"/>
      <c r="V221" s="87"/>
    </row>
    <row r="222" spans="3:22" ht="19.2" customHeight="1" thickBot="1">
      <c r="C222" s="86"/>
      <c r="D222" s="167"/>
      <c r="E222" s="170"/>
      <c r="F222" s="170"/>
      <c r="G222" s="170"/>
      <c r="H222" s="306"/>
      <c r="I222" s="322"/>
      <c r="J222" s="325"/>
      <c r="K222" s="317"/>
      <c r="L222" s="318"/>
      <c r="M222" s="317"/>
      <c r="N222" s="318"/>
      <c r="O222" s="303"/>
      <c r="P222" s="304"/>
      <c r="Q222" s="303"/>
      <c r="R222" s="304"/>
      <c r="S222" s="297"/>
      <c r="T222" s="298"/>
      <c r="U222" s="169"/>
      <c r="V222" s="87"/>
    </row>
    <row r="223" spans="3:22" ht="15" thickTop="1">
      <c r="C223" s="86"/>
      <c r="D223" s="167"/>
      <c r="E223" s="170"/>
      <c r="F223" s="170"/>
      <c r="G223" s="170"/>
      <c r="H223" s="170"/>
      <c r="I223" s="170"/>
      <c r="J223" s="170"/>
      <c r="K223" s="324">
        <v>1</v>
      </c>
      <c r="L223" s="324"/>
      <c r="M223" s="324">
        <v>2</v>
      </c>
      <c r="N223" s="324"/>
      <c r="O223" s="324">
        <v>3</v>
      </c>
      <c r="P223" s="324"/>
      <c r="Q223" s="324">
        <v>4</v>
      </c>
      <c r="R223" s="324"/>
      <c r="S223" s="324">
        <v>5</v>
      </c>
      <c r="T223" s="324"/>
      <c r="U223" s="169"/>
      <c r="V223" s="87"/>
    </row>
    <row r="224" spans="3:22" ht="18">
      <c r="C224" s="86"/>
      <c r="D224" s="167"/>
      <c r="E224" s="170"/>
      <c r="F224" s="170"/>
      <c r="G224" s="170"/>
      <c r="H224" s="170"/>
      <c r="I224" s="170"/>
      <c r="J224" s="170"/>
      <c r="K224" s="284" t="s">
        <v>456</v>
      </c>
      <c r="L224" s="284"/>
      <c r="M224" s="284"/>
      <c r="N224" s="284"/>
      <c r="O224" s="284"/>
      <c r="P224" s="284"/>
      <c r="Q224" s="284"/>
      <c r="R224" s="284"/>
      <c r="S224" s="284"/>
      <c r="T224" s="284"/>
      <c r="U224" s="169"/>
      <c r="V224" s="87"/>
    </row>
    <row r="225" spans="3:22">
      <c r="C225" s="86"/>
      <c r="D225" s="167"/>
      <c r="E225" s="170"/>
      <c r="F225" s="170"/>
      <c r="G225" s="170"/>
      <c r="H225" s="170"/>
      <c r="I225" s="170"/>
      <c r="J225" s="170"/>
      <c r="K225" s="323" t="s">
        <v>458</v>
      </c>
      <c r="L225" s="323"/>
      <c r="M225" s="323"/>
      <c r="N225" s="323"/>
      <c r="O225" s="323"/>
      <c r="P225" s="323"/>
      <c r="Q225" s="323"/>
      <c r="R225" s="323"/>
      <c r="S225" s="323"/>
      <c r="T225" s="323"/>
      <c r="U225" s="169"/>
      <c r="V225" s="87"/>
    </row>
    <row r="226" spans="3:22">
      <c r="C226" s="86"/>
      <c r="D226" s="167"/>
      <c r="E226" s="170"/>
      <c r="F226" s="170"/>
      <c r="G226" s="170"/>
      <c r="H226" s="170"/>
      <c r="I226" s="170"/>
      <c r="J226" s="170"/>
      <c r="K226" s="170"/>
      <c r="L226" s="170"/>
      <c r="M226" s="170"/>
      <c r="N226" s="170"/>
      <c r="O226" s="170"/>
      <c r="P226" s="170"/>
      <c r="Q226" s="170"/>
      <c r="R226" s="170"/>
      <c r="S226" s="170"/>
      <c r="T226" s="170"/>
      <c r="U226" s="169"/>
      <c r="V226" s="87"/>
    </row>
    <row r="227" spans="3:22">
      <c r="C227" s="86"/>
      <c r="D227" s="167"/>
      <c r="E227" s="170"/>
      <c r="F227" s="170"/>
      <c r="G227" s="170"/>
      <c r="H227" s="170"/>
      <c r="I227" s="170"/>
      <c r="J227" s="170"/>
      <c r="K227" s="170"/>
      <c r="L227" s="170"/>
      <c r="M227" s="170"/>
      <c r="N227" s="170"/>
      <c r="O227" s="170"/>
      <c r="P227" s="170"/>
      <c r="Q227" s="170"/>
      <c r="R227" s="170"/>
      <c r="S227" s="170"/>
      <c r="T227" s="170"/>
      <c r="U227" s="169"/>
      <c r="V227" s="87"/>
    </row>
    <row r="228" spans="3:22">
      <c r="C228" s="86"/>
      <c r="D228" s="167"/>
      <c r="E228" s="170"/>
      <c r="F228" s="170"/>
      <c r="G228" s="170"/>
      <c r="H228" s="170"/>
      <c r="I228" s="170"/>
      <c r="J228" s="170"/>
      <c r="K228" s="170"/>
      <c r="L228" s="170"/>
      <c r="M228" s="170"/>
      <c r="N228" s="170"/>
      <c r="O228" s="170"/>
      <c r="P228" s="170"/>
      <c r="Q228" s="170"/>
      <c r="R228" s="170"/>
      <c r="S228" s="170"/>
      <c r="T228" s="170"/>
      <c r="U228" s="169"/>
      <c r="V228" s="87"/>
    </row>
    <row r="229" spans="3:22" ht="15" thickBot="1">
      <c r="C229" s="86"/>
      <c r="D229" s="149"/>
      <c r="E229" s="143"/>
      <c r="F229" s="143"/>
      <c r="G229" s="143"/>
      <c r="H229" s="143"/>
      <c r="I229" s="143"/>
      <c r="J229" s="143"/>
      <c r="K229" s="143"/>
      <c r="L229" s="143"/>
      <c r="M229" s="143"/>
      <c r="N229" s="143"/>
      <c r="O229" s="143"/>
      <c r="P229" s="143"/>
      <c r="Q229" s="143"/>
      <c r="R229" s="143"/>
      <c r="S229" s="143"/>
      <c r="T229" s="143"/>
      <c r="U229" s="152"/>
      <c r="V229" s="87"/>
    </row>
    <row r="230" spans="3:22" ht="5.4" customHeight="1" thickBot="1">
      <c r="C230" s="86"/>
      <c r="D230" s="248"/>
      <c r="E230" s="248"/>
      <c r="F230" s="248"/>
      <c r="G230" s="248"/>
      <c r="H230" s="248"/>
      <c r="I230" s="248"/>
      <c r="J230" s="248"/>
      <c r="K230" s="248"/>
      <c r="L230" s="248"/>
      <c r="M230" s="248"/>
      <c r="N230" s="248"/>
      <c r="O230" s="248"/>
      <c r="P230" s="248"/>
      <c r="Q230" s="248"/>
      <c r="R230" s="248"/>
      <c r="S230" s="248"/>
      <c r="T230" s="248"/>
      <c r="U230" s="248"/>
      <c r="V230" s="87"/>
    </row>
    <row r="231" spans="3:22">
      <c r="C231" s="92"/>
      <c r="D231" s="93"/>
      <c r="E231" s="93"/>
      <c r="F231" s="93"/>
      <c r="G231" s="93"/>
      <c r="H231" s="93"/>
      <c r="I231" s="93"/>
      <c r="J231" s="93"/>
      <c r="K231" s="93"/>
      <c r="L231" s="93"/>
      <c r="M231" s="93"/>
      <c r="N231" s="93"/>
      <c r="O231" s="93"/>
      <c r="P231" s="93"/>
      <c r="Q231" s="93"/>
      <c r="R231" s="93"/>
      <c r="S231" s="93"/>
      <c r="T231" s="93"/>
      <c r="U231" s="93"/>
      <c r="V231" s="94"/>
    </row>
    <row r="803" spans="2:3">
      <c r="B803" s="181"/>
      <c r="C803" s="182"/>
    </row>
    <row r="804" spans="2:3">
      <c r="B804" s="181"/>
      <c r="C804" s="182"/>
    </row>
    <row r="805" spans="2:3">
      <c r="B805" s="181"/>
      <c r="C805" s="182"/>
    </row>
    <row r="806" spans="2:3">
      <c r="B806" s="181"/>
      <c r="C806" s="182"/>
    </row>
    <row r="807" spans="2:3">
      <c r="B807" s="181"/>
      <c r="C807" s="182"/>
    </row>
    <row r="808" spans="2:3">
      <c r="B808" s="181"/>
      <c r="C808" s="182"/>
    </row>
    <row r="809" spans="2:3">
      <c r="B809" s="181"/>
      <c r="C809" s="182"/>
    </row>
    <row r="810" spans="2:3">
      <c r="B810" s="181"/>
      <c r="C810" s="182"/>
    </row>
    <row r="811" spans="2:3">
      <c r="B811" s="181"/>
      <c r="C811" s="182"/>
    </row>
    <row r="812" spans="2:3">
      <c r="B812" s="181"/>
      <c r="C812" s="182"/>
    </row>
    <row r="813" spans="2:3">
      <c r="B813" s="181"/>
      <c r="C813" s="182"/>
    </row>
    <row r="814" spans="2:3">
      <c r="B814" s="181"/>
      <c r="C814" s="182"/>
    </row>
    <row r="815" spans="2:3">
      <c r="B815" s="181"/>
      <c r="C815" s="182"/>
    </row>
    <row r="816" spans="2:3">
      <c r="B816" s="181"/>
      <c r="C816" s="182"/>
    </row>
    <row r="817" spans="2:3">
      <c r="B817" s="181"/>
      <c r="C817" s="182"/>
    </row>
    <row r="818" spans="2:3">
      <c r="B818" s="181"/>
      <c r="C818" s="182"/>
    </row>
    <row r="819" spans="2:3">
      <c r="B819" s="181"/>
      <c r="C819" s="182"/>
    </row>
    <row r="820" spans="2:3">
      <c r="B820" s="181"/>
      <c r="C820" s="182"/>
    </row>
    <row r="821" spans="2:3">
      <c r="B821" s="181"/>
      <c r="C821" s="182"/>
    </row>
    <row r="822" spans="2:3">
      <c r="B822" s="181"/>
      <c r="C822" s="182"/>
    </row>
    <row r="823" spans="2:3">
      <c r="B823" s="181"/>
      <c r="C823" s="182"/>
    </row>
    <row r="824" spans="2:3">
      <c r="B824" s="181"/>
      <c r="C824" s="182"/>
    </row>
    <row r="825" spans="2:3">
      <c r="B825" s="181"/>
      <c r="C825" s="182"/>
    </row>
    <row r="826" spans="2:3">
      <c r="B826" s="181"/>
      <c r="C826" s="182"/>
    </row>
    <row r="827" spans="2:3">
      <c r="B827" s="181"/>
      <c r="C827" s="182"/>
    </row>
    <row r="828" spans="2:3">
      <c r="B828" s="181"/>
      <c r="C828" s="182"/>
    </row>
    <row r="829" spans="2:3">
      <c r="B829" s="181"/>
      <c r="C829" s="182"/>
    </row>
    <row r="830" spans="2:3">
      <c r="B830" s="181"/>
      <c r="C830" s="182"/>
    </row>
    <row r="831" spans="2:3">
      <c r="B831" s="181"/>
      <c r="C831" s="182"/>
    </row>
    <row r="832" spans="2:3">
      <c r="B832" s="181"/>
      <c r="C832" s="182"/>
    </row>
    <row r="833" spans="2:3">
      <c r="B833" s="181"/>
      <c r="C833" s="182"/>
    </row>
    <row r="834" spans="2:3">
      <c r="B834" s="181"/>
      <c r="C834" s="182"/>
    </row>
    <row r="835" spans="2:3">
      <c r="B835" s="181"/>
      <c r="C835" s="182"/>
    </row>
    <row r="836" spans="2:3">
      <c r="B836" s="181"/>
      <c r="C836" s="182"/>
    </row>
    <row r="837" spans="2:3">
      <c r="B837" s="181"/>
      <c r="C837" s="182"/>
    </row>
    <row r="838" spans="2:3">
      <c r="B838" s="181"/>
      <c r="C838" s="182"/>
    </row>
    <row r="839" spans="2:3">
      <c r="B839" s="181"/>
      <c r="C839" s="182"/>
    </row>
    <row r="840" spans="2:3">
      <c r="B840" s="181"/>
      <c r="C840" s="182"/>
    </row>
    <row r="841" spans="2:3">
      <c r="B841" s="181"/>
      <c r="C841" s="182"/>
    </row>
    <row r="842" spans="2:3">
      <c r="B842" s="181"/>
      <c r="C842" s="182"/>
    </row>
    <row r="843" spans="2:3">
      <c r="B843" s="181"/>
      <c r="C843" s="182"/>
    </row>
    <row r="844" spans="2:3">
      <c r="B844" s="181"/>
      <c r="C844" s="182"/>
    </row>
    <row r="845" spans="2:3">
      <c r="B845" s="181"/>
      <c r="C845" s="182"/>
    </row>
    <row r="846" spans="2:3">
      <c r="B846" s="181"/>
      <c r="C846" s="182"/>
    </row>
    <row r="847" spans="2:3">
      <c r="B847" s="181"/>
      <c r="C847" s="182"/>
    </row>
    <row r="848" spans="2:3">
      <c r="B848" s="181"/>
      <c r="C848" s="182"/>
    </row>
    <row r="849" spans="2:3">
      <c r="B849" s="181"/>
      <c r="C849" s="182"/>
    </row>
    <row r="850" spans="2:3">
      <c r="B850" s="181"/>
      <c r="C850" s="182"/>
    </row>
    <row r="851" spans="2:3">
      <c r="B851" s="181"/>
      <c r="C851" s="182"/>
    </row>
    <row r="852" spans="2:3">
      <c r="B852" s="181"/>
      <c r="C852" s="182"/>
    </row>
    <row r="853" spans="2:3">
      <c r="B853" s="181"/>
      <c r="C853" s="182"/>
    </row>
    <row r="854" spans="2:3">
      <c r="B854" s="181"/>
      <c r="C854" s="182"/>
    </row>
    <row r="855" spans="2:3">
      <c r="B855" s="181"/>
      <c r="C855" s="182"/>
    </row>
    <row r="856" spans="2:3">
      <c r="B856" s="181"/>
      <c r="C856" s="182"/>
    </row>
    <row r="857" spans="2:3">
      <c r="B857" s="181"/>
      <c r="C857" s="182"/>
    </row>
    <row r="858" spans="2:3">
      <c r="B858" s="181"/>
      <c r="C858" s="182"/>
    </row>
    <row r="859" spans="2:3">
      <c r="B859" s="181"/>
      <c r="C859" s="182"/>
    </row>
    <row r="860" spans="2:3">
      <c r="B860" s="181"/>
      <c r="C860" s="182"/>
    </row>
    <row r="861" spans="2:3">
      <c r="B861" s="181"/>
      <c r="C861" s="182"/>
    </row>
    <row r="862" spans="2:3">
      <c r="B862" s="181"/>
      <c r="C862" s="182"/>
    </row>
    <row r="863" spans="2:3">
      <c r="B863" s="181"/>
      <c r="C863" s="182"/>
    </row>
    <row r="864" spans="2:3">
      <c r="B864" s="181"/>
      <c r="C864" s="182"/>
    </row>
    <row r="865" spans="2:3">
      <c r="B865" s="181"/>
      <c r="C865" s="182"/>
    </row>
    <row r="866" spans="2:3">
      <c r="B866" s="181"/>
      <c r="C866" s="182"/>
    </row>
    <row r="867" spans="2:3">
      <c r="B867" s="181"/>
      <c r="C867" s="182"/>
    </row>
    <row r="868" spans="2:3">
      <c r="B868" s="181"/>
      <c r="C868" s="182"/>
    </row>
    <row r="869" spans="2:3">
      <c r="B869" s="181"/>
      <c r="C869" s="182"/>
    </row>
    <row r="870" spans="2:3">
      <c r="B870" s="181"/>
      <c r="C870" s="182"/>
    </row>
    <row r="871" spans="2:3">
      <c r="B871" s="181"/>
      <c r="C871" s="182"/>
    </row>
    <row r="872" spans="2:3">
      <c r="B872" s="181"/>
      <c r="C872" s="182"/>
    </row>
    <row r="873" spans="2:3">
      <c r="B873" s="181"/>
      <c r="C873" s="182"/>
    </row>
    <row r="874" spans="2:3">
      <c r="B874" s="181"/>
      <c r="C874" s="182"/>
    </row>
    <row r="875" spans="2:3">
      <c r="B875" s="181"/>
      <c r="C875" s="182"/>
    </row>
    <row r="876" spans="2:3">
      <c r="B876" s="181"/>
      <c r="C876" s="182"/>
    </row>
    <row r="877" spans="2:3">
      <c r="B877" s="181"/>
      <c r="C877" s="182"/>
    </row>
    <row r="878" spans="2:3">
      <c r="B878" s="181"/>
      <c r="C878" s="182"/>
    </row>
    <row r="879" spans="2:3">
      <c r="B879" s="181"/>
      <c r="C879" s="182"/>
    </row>
    <row r="880" spans="2:3">
      <c r="B880" s="181"/>
      <c r="C880" s="182"/>
    </row>
    <row r="881" spans="2:3">
      <c r="B881" s="181"/>
      <c r="C881" s="182"/>
    </row>
    <row r="882" spans="2:3">
      <c r="B882" s="181"/>
      <c r="C882" s="182"/>
    </row>
    <row r="883" spans="2:3">
      <c r="B883" s="181"/>
      <c r="C883" s="182"/>
    </row>
    <row r="884" spans="2:3">
      <c r="B884" s="181"/>
      <c r="C884" s="182"/>
    </row>
    <row r="885" spans="2:3">
      <c r="B885" s="181"/>
      <c r="C885" s="182"/>
    </row>
    <row r="886" spans="2:3">
      <c r="B886" s="181"/>
      <c r="C886" s="182"/>
    </row>
    <row r="887" spans="2:3">
      <c r="B887" s="181"/>
      <c r="C887" s="182"/>
    </row>
    <row r="888" spans="2:3">
      <c r="B888" s="181"/>
      <c r="C888" s="182"/>
    </row>
    <row r="889" spans="2:3">
      <c r="B889" s="181"/>
      <c r="C889" s="182"/>
    </row>
    <row r="890" spans="2:3">
      <c r="B890" s="181"/>
      <c r="C890" s="182"/>
    </row>
    <row r="891" spans="2:3">
      <c r="B891" s="181"/>
      <c r="C891" s="182"/>
    </row>
    <row r="892" spans="2:3">
      <c r="B892" s="181"/>
      <c r="C892" s="182"/>
    </row>
    <row r="893" spans="2:3">
      <c r="B893" s="181"/>
      <c r="C893" s="182"/>
    </row>
    <row r="894" spans="2:3">
      <c r="B894" s="181"/>
      <c r="C894" s="182"/>
    </row>
    <row r="895" spans="2:3">
      <c r="B895" s="181"/>
      <c r="C895" s="182"/>
    </row>
    <row r="896" spans="2:3">
      <c r="B896" s="181"/>
      <c r="C896" s="182"/>
    </row>
    <row r="897" spans="2:3">
      <c r="B897" s="181"/>
      <c r="C897" s="182"/>
    </row>
    <row r="898" spans="2:3">
      <c r="B898" s="181"/>
      <c r="C898" s="182"/>
    </row>
    <row r="899" spans="2:3">
      <c r="B899" s="181"/>
      <c r="C899" s="182"/>
    </row>
    <row r="900" spans="2:3">
      <c r="B900" s="181"/>
      <c r="C900" s="182"/>
    </row>
    <row r="901" spans="2:3">
      <c r="B901" s="181"/>
      <c r="C901" s="182"/>
    </row>
    <row r="902" spans="2:3">
      <c r="B902" s="181"/>
      <c r="C902" s="182"/>
    </row>
    <row r="903" spans="2:3">
      <c r="B903" s="181"/>
      <c r="C903" s="182"/>
    </row>
    <row r="904" spans="2:3">
      <c r="B904" s="181"/>
      <c r="C904" s="182"/>
    </row>
    <row r="905" spans="2:3">
      <c r="B905" s="181"/>
      <c r="C905" s="182"/>
    </row>
    <row r="906" spans="2:3">
      <c r="B906" s="181"/>
      <c r="C906" s="182"/>
    </row>
    <row r="907" spans="2:3">
      <c r="B907" s="181"/>
      <c r="C907" s="182"/>
    </row>
    <row r="908" spans="2:3">
      <c r="B908" s="181"/>
      <c r="C908" s="182"/>
    </row>
    <row r="909" spans="2:3">
      <c r="B909" s="181"/>
      <c r="C909" s="182"/>
    </row>
    <row r="910" spans="2:3">
      <c r="B910" s="181"/>
      <c r="C910" s="182"/>
    </row>
    <row r="911" spans="2:3">
      <c r="B911" s="181"/>
      <c r="C911" s="182"/>
    </row>
    <row r="912" spans="2:3">
      <c r="B912" s="181"/>
      <c r="C912" s="182"/>
    </row>
    <row r="913" spans="2:3">
      <c r="B913" s="181"/>
      <c r="C913" s="182"/>
    </row>
    <row r="914" spans="2:3">
      <c r="B914" s="181"/>
      <c r="C914" s="182"/>
    </row>
    <row r="915" spans="2:3">
      <c r="B915" s="181"/>
      <c r="C915" s="182"/>
    </row>
    <row r="916" spans="2:3">
      <c r="B916" s="181"/>
      <c r="C916" s="182"/>
    </row>
    <row r="917" spans="2:3">
      <c r="B917" s="181"/>
      <c r="C917" s="182"/>
    </row>
    <row r="918" spans="2:3">
      <c r="B918" s="181"/>
      <c r="C918" s="182"/>
    </row>
    <row r="919" spans="2:3">
      <c r="B919" s="181"/>
      <c r="C919" s="182"/>
    </row>
    <row r="920" spans="2:3">
      <c r="B920" s="181"/>
      <c r="C920" s="182"/>
    </row>
    <row r="921" spans="2:3">
      <c r="B921" s="181"/>
      <c r="C921" s="182"/>
    </row>
    <row r="922" spans="2:3">
      <c r="B922" s="181"/>
      <c r="C922" s="182"/>
    </row>
    <row r="923" spans="2:3">
      <c r="B923" s="181"/>
      <c r="C923" s="182"/>
    </row>
    <row r="924" spans="2:3">
      <c r="B924" s="181"/>
      <c r="C924" s="182"/>
    </row>
    <row r="925" spans="2:3">
      <c r="B925" s="181"/>
      <c r="C925" s="182"/>
    </row>
    <row r="926" spans="2:3">
      <c r="B926" s="181"/>
      <c r="C926" s="182"/>
    </row>
    <row r="927" spans="2:3">
      <c r="B927" s="181"/>
      <c r="C927" s="182"/>
    </row>
    <row r="928" spans="2:3">
      <c r="B928" s="181"/>
      <c r="C928" s="182"/>
    </row>
    <row r="929" spans="2:3">
      <c r="B929" s="181"/>
      <c r="C929" s="182"/>
    </row>
    <row r="930" spans="2:3">
      <c r="B930" s="181"/>
      <c r="C930" s="182"/>
    </row>
    <row r="931" spans="2:3">
      <c r="B931" s="181"/>
      <c r="C931" s="182"/>
    </row>
    <row r="932" spans="2:3">
      <c r="B932" s="181"/>
      <c r="C932" s="182"/>
    </row>
    <row r="933" spans="2:3">
      <c r="B933" s="181"/>
      <c r="C933" s="182"/>
    </row>
    <row r="934" spans="2:3">
      <c r="B934" s="181"/>
      <c r="C934" s="182"/>
    </row>
    <row r="935" spans="2:3">
      <c r="B935" s="181"/>
      <c r="C935" s="182"/>
    </row>
    <row r="936" spans="2:3">
      <c r="B936" s="181"/>
      <c r="C936" s="182"/>
    </row>
    <row r="937" spans="2:3">
      <c r="B937" s="181"/>
      <c r="C937" s="182"/>
    </row>
    <row r="938" spans="2:3">
      <c r="B938" s="181"/>
      <c r="C938" s="182"/>
    </row>
    <row r="939" spans="2:3">
      <c r="B939" s="181"/>
      <c r="C939" s="182"/>
    </row>
    <row r="940" spans="2:3">
      <c r="B940" s="181"/>
      <c r="C940" s="182"/>
    </row>
    <row r="941" spans="2:3">
      <c r="B941" s="181"/>
      <c r="C941" s="182"/>
    </row>
    <row r="942" spans="2:3">
      <c r="B942" s="181"/>
      <c r="C942" s="182"/>
    </row>
    <row r="943" spans="2:3">
      <c r="B943" s="181"/>
      <c r="C943" s="182"/>
    </row>
    <row r="944" spans="2:3">
      <c r="B944" s="181"/>
      <c r="C944" s="182"/>
    </row>
    <row r="945" spans="2:3">
      <c r="B945" s="181"/>
      <c r="C945" s="182"/>
    </row>
    <row r="946" spans="2:3">
      <c r="B946" s="181"/>
      <c r="C946" s="182"/>
    </row>
    <row r="947" spans="2:3">
      <c r="B947" s="181"/>
      <c r="C947" s="182"/>
    </row>
    <row r="948" spans="2:3">
      <c r="B948" s="181"/>
      <c r="C948" s="182"/>
    </row>
    <row r="949" spans="2:3">
      <c r="B949" s="181"/>
      <c r="C949" s="182"/>
    </row>
    <row r="950" spans="2:3">
      <c r="B950" s="181"/>
      <c r="C950" s="182"/>
    </row>
    <row r="951" spans="2:3">
      <c r="B951" s="181"/>
      <c r="C951" s="182"/>
    </row>
    <row r="952" spans="2:3">
      <c r="B952" s="181"/>
      <c r="C952" s="182"/>
    </row>
    <row r="953" spans="2:3">
      <c r="B953" s="181"/>
      <c r="C953" s="182"/>
    </row>
    <row r="954" spans="2:3">
      <c r="B954" s="181"/>
      <c r="C954" s="182"/>
    </row>
    <row r="955" spans="2:3">
      <c r="B955" s="181"/>
      <c r="C955" s="182"/>
    </row>
    <row r="956" spans="2:3">
      <c r="B956" s="181"/>
      <c r="C956" s="182"/>
    </row>
    <row r="1004" spans="5:19">
      <c r="E1004" s="305" t="s">
        <v>450</v>
      </c>
      <c r="F1004" s="305"/>
      <c r="G1004" s="305"/>
      <c r="H1004" s="305"/>
      <c r="I1004" s="305"/>
      <c r="J1004" s="183"/>
      <c r="Q1004" s="290" t="s">
        <v>451</v>
      </c>
      <c r="R1004" s="291"/>
      <c r="S1004" s="292"/>
    </row>
    <row r="1007" spans="5:19">
      <c r="F1007" s="184">
        <f>Datos!B95</f>
        <v>0</v>
      </c>
    </row>
    <row r="1009" spans="5:19">
      <c r="F1009" s="286" t="s">
        <v>446</v>
      </c>
      <c r="G1009" s="286"/>
      <c r="H1009" s="286"/>
      <c r="I1009" s="286"/>
      <c r="J1009" s="185"/>
      <c r="Q1009" s="285" t="s">
        <v>446</v>
      </c>
      <c r="R1009" s="286"/>
      <c r="S1009" s="286"/>
    </row>
    <row r="1010" spans="5:19">
      <c r="F1010" s="186" t="s">
        <v>444</v>
      </c>
      <c r="G1010" s="186" t="s">
        <v>445</v>
      </c>
      <c r="H1010" s="186"/>
      <c r="I1010" s="186"/>
      <c r="J1010" s="110"/>
      <c r="K1010" s="110"/>
      <c r="L1010" s="110"/>
      <c r="M1010" s="110"/>
      <c r="N1010" s="110"/>
      <c r="O1010" s="110"/>
      <c r="Q1010" s="187" t="s">
        <v>452</v>
      </c>
      <c r="R1010" s="188">
        <f>Datos!B95</f>
        <v>0</v>
      </c>
      <c r="S1010" s="187"/>
    </row>
    <row r="1011" spans="5:19">
      <c r="E1011" s="189" t="s">
        <v>441</v>
      </c>
      <c r="F1011" s="190">
        <v>0</v>
      </c>
      <c r="G1011" s="190">
        <v>0.2</v>
      </c>
      <c r="H1011" s="190"/>
      <c r="I1011" s="186">
        <f>IF(AND($F$1007&gt;0.01,$F$1007&lt;=20%),1,0)</f>
        <v>0</v>
      </c>
      <c r="J1011" s="110"/>
      <c r="K1011" s="110"/>
      <c r="L1011" s="110"/>
      <c r="M1011" s="110"/>
      <c r="N1011" s="110"/>
      <c r="O1011" s="110"/>
      <c r="Q1011" s="187" t="s">
        <v>453</v>
      </c>
      <c r="R1011" s="188">
        <v>1</v>
      </c>
      <c r="S1011" s="187"/>
    </row>
    <row r="1012" spans="5:19">
      <c r="E1012" s="191" t="s">
        <v>442</v>
      </c>
      <c r="F1012" s="192">
        <v>0.20000100000000001</v>
      </c>
      <c r="G1012" s="190">
        <v>0.7</v>
      </c>
      <c r="H1012" s="190"/>
      <c r="I1012" s="186">
        <f>IF(AND($F$1007&gt;=$F$1012,$F$1007&lt;=$G$1012),1,0)</f>
        <v>0</v>
      </c>
      <c r="J1012" s="110"/>
      <c r="K1012" s="110"/>
      <c r="L1012" s="110"/>
      <c r="M1012" s="110"/>
      <c r="N1012" s="110"/>
      <c r="O1012" s="110"/>
      <c r="Q1012" s="187" t="s">
        <v>454</v>
      </c>
      <c r="R1012" s="188">
        <f>R1010-1.5%</f>
        <v>-1.4999999999999999E-2</v>
      </c>
      <c r="S1012" s="188">
        <v>0.03</v>
      </c>
    </row>
    <row r="1013" spans="5:19">
      <c r="E1013" s="193" t="s">
        <v>443</v>
      </c>
      <c r="F1013" s="192">
        <v>0.70000099999999998</v>
      </c>
      <c r="G1013" s="190">
        <v>1</v>
      </c>
      <c r="H1013" s="190"/>
      <c r="I1013" s="186">
        <f>IF(AND($F$1007&gt;=$F$1013,$F$1007&lt;=$G$1013),1,0)</f>
        <v>0</v>
      </c>
      <c r="J1013" s="110"/>
      <c r="K1013" s="110"/>
      <c r="L1013" s="110"/>
      <c r="M1013" s="110"/>
      <c r="N1013" s="110"/>
      <c r="O1013" s="110"/>
    </row>
    <row r="1014" spans="5:19">
      <c r="F1014" s="110"/>
      <c r="G1014" s="110"/>
      <c r="H1014" s="110"/>
      <c r="I1014" s="110"/>
      <c r="J1014" s="110"/>
      <c r="K1014" s="110"/>
      <c r="L1014" s="110"/>
      <c r="M1014" s="110"/>
      <c r="N1014" s="110"/>
      <c r="O1014" s="110"/>
    </row>
    <row r="1016" spans="5:19">
      <c r="F1016" s="184">
        <f>Datos!D49</f>
        <v>0</v>
      </c>
    </row>
    <row r="1018" spans="5:19">
      <c r="F1018" s="319" t="s">
        <v>447</v>
      </c>
      <c r="G1018" s="320"/>
      <c r="H1018" s="320"/>
      <c r="I1018" s="321"/>
      <c r="J1018" s="185"/>
      <c r="Q1018" s="285" t="s">
        <v>447</v>
      </c>
      <c r="R1018" s="286"/>
      <c r="S1018" s="286"/>
    </row>
    <row r="1019" spans="5:19">
      <c r="F1019" s="186" t="s">
        <v>444</v>
      </c>
      <c r="G1019" s="186" t="s">
        <v>445</v>
      </c>
      <c r="H1019" s="186"/>
      <c r="I1019" s="186"/>
      <c r="J1019" s="110"/>
      <c r="Q1019" s="187" t="s">
        <v>452</v>
      </c>
      <c r="R1019" s="188">
        <f>Datos!D49</f>
        <v>0</v>
      </c>
      <c r="S1019" s="187"/>
    </row>
    <row r="1020" spans="5:19">
      <c r="E1020" s="189" t="s">
        <v>441</v>
      </c>
      <c r="F1020" s="190">
        <v>0</v>
      </c>
      <c r="G1020" s="190">
        <v>0.2</v>
      </c>
      <c r="H1020" s="190"/>
      <c r="I1020" s="186">
        <f>IF(AND($F$1016&gt;0.01,$F$1016&lt;=20%),1,0)</f>
        <v>0</v>
      </c>
      <c r="J1020" s="110"/>
      <c r="Q1020" s="187" t="s">
        <v>453</v>
      </c>
      <c r="R1020" s="188">
        <v>1</v>
      </c>
      <c r="S1020" s="187"/>
    </row>
    <row r="1021" spans="5:19">
      <c r="E1021" s="191" t="s">
        <v>442</v>
      </c>
      <c r="F1021" s="192">
        <v>0.20000100000000001</v>
      </c>
      <c r="G1021" s="190">
        <v>0.7</v>
      </c>
      <c r="H1021" s="190"/>
      <c r="I1021" s="186">
        <f>IF(AND($F$1016&gt;=$F$1012,$F$1016&lt;=$G$1012),1,0)</f>
        <v>0</v>
      </c>
      <c r="J1021" s="110"/>
      <c r="Q1021" s="187" t="s">
        <v>454</v>
      </c>
      <c r="R1021" s="188">
        <f>R1019-1.5%</f>
        <v>-1.4999999999999999E-2</v>
      </c>
      <c r="S1021" s="188">
        <v>0.03</v>
      </c>
    </row>
    <row r="1022" spans="5:19">
      <c r="E1022" s="193" t="s">
        <v>443</v>
      </c>
      <c r="F1022" s="192">
        <v>0.70000099999999998</v>
      </c>
      <c r="G1022" s="190">
        <v>1</v>
      </c>
      <c r="H1022" s="190"/>
      <c r="I1022" s="186">
        <f>IF(AND($F$1016&gt;=$F$1013,$F$1016&lt;=$G$1013),1,0)</f>
        <v>0</v>
      </c>
      <c r="J1022" s="110"/>
    </row>
    <row r="1025" spans="5:19">
      <c r="F1025" s="184">
        <f>Datos!F54</f>
        <v>0</v>
      </c>
    </row>
    <row r="1027" spans="5:19">
      <c r="F1027" s="319" t="s">
        <v>448</v>
      </c>
      <c r="G1027" s="320"/>
      <c r="H1027" s="320"/>
      <c r="I1027" s="321"/>
      <c r="J1027" s="185"/>
      <c r="Q1027" s="285" t="s">
        <v>448</v>
      </c>
      <c r="R1027" s="286"/>
      <c r="S1027" s="286"/>
    </row>
    <row r="1028" spans="5:19">
      <c r="F1028" s="186" t="s">
        <v>444</v>
      </c>
      <c r="G1028" s="186" t="s">
        <v>445</v>
      </c>
      <c r="H1028" s="186"/>
      <c r="I1028" s="186"/>
      <c r="J1028" s="110"/>
      <c r="Q1028" s="187" t="s">
        <v>452</v>
      </c>
      <c r="R1028" s="188">
        <f>Datos!F54</f>
        <v>0</v>
      </c>
      <c r="S1028" s="187"/>
    </row>
    <row r="1029" spans="5:19">
      <c r="E1029" s="189" t="s">
        <v>441</v>
      </c>
      <c r="F1029" s="190">
        <v>0</v>
      </c>
      <c r="G1029" s="190">
        <v>0.2</v>
      </c>
      <c r="H1029" s="190"/>
      <c r="I1029" s="186">
        <f>IF(AND($F$1025&gt;0.01,$F$1025&lt;=20%),1,0)</f>
        <v>0</v>
      </c>
      <c r="J1029" s="110"/>
      <c r="Q1029" s="187" t="s">
        <v>453</v>
      </c>
      <c r="R1029" s="188">
        <v>1</v>
      </c>
      <c r="S1029" s="187"/>
    </row>
    <row r="1030" spans="5:19">
      <c r="E1030" s="191" t="s">
        <v>442</v>
      </c>
      <c r="F1030" s="192">
        <v>0.20000100000000001</v>
      </c>
      <c r="G1030" s="190">
        <v>0.7</v>
      </c>
      <c r="H1030" s="190"/>
      <c r="I1030" s="186">
        <f>IF(AND($F$1025&gt;=$F$1012,$F$1025&lt;=$G$1012),1,0)</f>
        <v>0</v>
      </c>
      <c r="J1030" s="110"/>
      <c r="Q1030" s="187" t="s">
        <v>454</v>
      </c>
      <c r="R1030" s="188">
        <f>R1028-1.5%</f>
        <v>-1.4999999999999999E-2</v>
      </c>
      <c r="S1030" s="188">
        <v>0.03</v>
      </c>
    </row>
    <row r="1031" spans="5:19">
      <c r="E1031" s="193" t="s">
        <v>443</v>
      </c>
      <c r="F1031" s="192">
        <v>0.70000099999999998</v>
      </c>
      <c r="G1031" s="190">
        <v>1</v>
      </c>
      <c r="H1031" s="190"/>
      <c r="I1031" s="186">
        <f>IF(AND($F$1025&gt;=$F$1013,$F$1025&lt;=$G$1013),1,0)</f>
        <v>0</v>
      </c>
      <c r="J1031" s="110"/>
    </row>
    <row r="1034" spans="5:19">
      <c r="F1034" s="184">
        <f>Datos!H51</f>
        <v>0</v>
      </c>
    </row>
    <row r="1036" spans="5:19">
      <c r="F1036" s="319" t="s">
        <v>449</v>
      </c>
      <c r="G1036" s="320"/>
      <c r="H1036" s="320"/>
      <c r="I1036" s="321"/>
      <c r="J1036" s="185"/>
      <c r="Q1036" s="285" t="s">
        <v>449</v>
      </c>
      <c r="R1036" s="286"/>
      <c r="S1036" s="286"/>
    </row>
    <row r="1037" spans="5:19">
      <c r="F1037" s="186" t="s">
        <v>444</v>
      </c>
      <c r="G1037" s="186" t="s">
        <v>445</v>
      </c>
      <c r="H1037" s="186"/>
      <c r="I1037" s="186"/>
      <c r="J1037" s="110"/>
      <c r="Q1037" s="187" t="s">
        <v>452</v>
      </c>
      <c r="R1037" s="188">
        <f>Datos!H51</f>
        <v>0</v>
      </c>
      <c r="S1037" s="187"/>
    </row>
    <row r="1038" spans="5:19">
      <c r="E1038" s="189" t="s">
        <v>441</v>
      </c>
      <c r="F1038" s="190">
        <v>0</v>
      </c>
      <c r="G1038" s="190">
        <v>0.2</v>
      </c>
      <c r="H1038" s="190"/>
      <c r="I1038" s="186">
        <f>IF(AND($F$1034&gt;0.01,$F$1034&lt;=20%),1,0)</f>
        <v>0</v>
      </c>
      <c r="J1038" s="110"/>
      <c r="Q1038" s="187" t="s">
        <v>453</v>
      </c>
      <c r="R1038" s="188">
        <v>1</v>
      </c>
      <c r="S1038" s="187"/>
    </row>
    <row r="1039" spans="5:19">
      <c r="E1039" s="191" t="s">
        <v>442</v>
      </c>
      <c r="F1039" s="192">
        <v>0.20000100000000001</v>
      </c>
      <c r="G1039" s="190">
        <v>0.7</v>
      </c>
      <c r="H1039" s="190"/>
      <c r="I1039" s="186">
        <f>IF(AND($F$1034&gt;=$F$1012,$F$1034&lt;=$G$1012),1,0)</f>
        <v>0</v>
      </c>
      <c r="J1039" s="110"/>
      <c r="Q1039" s="187" t="s">
        <v>454</v>
      </c>
      <c r="R1039" s="188">
        <f>R1037-1.5%</f>
        <v>-1.4999999999999999E-2</v>
      </c>
      <c r="S1039" s="188">
        <v>0.03</v>
      </c>
    </row>
    <row r="1040" spans="5:19">
      <c r="E1040" s="193" t="s">
        <v>443</v>
      </c>
      <c r="F1040" s="192">
        <v>0.70000099999999998</v>
      </c>
      <c r="G1040" s="190">
        <v>1</v>
      </c>
      <c r="H1040" s="190"/>
      <c r="I1040" s="186">
        <f>IF(AND($F$1034&gt;=$F$1013,$F$1034&lt;=$G$1013),1,0)</f>
        <v>0</v>
      </c>
      <c r="J1040" s="110"/>
    </row>
  </sheetData>
  <sheetProtection algorithmName="SHA-512" hashValue="yKlcyJpAZdpa2TKHaiPMZlPMeW1mG7coRtM9pleaQTq7vgf5clxnoo9mpH1plfXr+CUTcv9SKmuvPfV7Qp5dzw==" saltValue="ItttUJDWVirefS9xUKiL4g==" spinCount="100000" sheet="1" objects="1" scenarios="1"/>
  <mergeCells count="220">
    <mergeCell ref="J55:J58"/>
    <mergeCell ref="S112:T112"/>
    <mergeCell ref="J92:J95"/>
    <mergeCell ref="J96:J99"/>
    <mergeCell ref="J100:J103"/>
    <mergeCell ref="J104:J107"/>
    <mergeCell ref="J108:J111"/>
    <mergeCell ref="O96:P99"/>
    <mergeCell ref="Q96:R99"/>
    <mergeCell ref="S96:T99"/>
    <mergeCell ref="K100:L103"/>
    <mergeCell ref="M100:N103"/>
    <mergeCell ref="O100:P103"/>
    <mergeCell ref="S100:T103"/>
    <mergeCell ref="S92:T95"/>
    <mergeCell ref="S59:T59"/>
    <mergeCell ref="K55:L58"/>
    <mergeCell ref="M55:N58"/>
    <mergeCell ref="O55:P58"/>
    <mergeCell ref="Q55:R58"/>
    <mergeCell ref="S55:T58"/>
    <mergeCell ref="J35:J38"/>
    <mergeCell ref="J39:J42"/>
    <mergeCell ref="J43:J46"/>
    <mergeCell ref="J47:J50"/>
    <mergeCell ref="J51:J54"/>
    <mergeCell ref="K112:L112"/>
    <mergeCell ref="M112:N112"/>
    <mergeCell ref="O112:P112"/>
    <mergeCell ref="Q112:R112"/>
    <mergeCell ref="Q100:R103"/>
    <mergeCell ref="Q47:R50"/>
    <mergeCell ref="M39:N42"/>
    <mergeCell ref="O39:P42"/>
    <mergeCell ref="Q39:R42"/>
    <mergeCell ref="K92:L95"/>
    <mergeCell ref="M92:N95"/>
    <mergeCell ref="O92:P95"/>
    <mergeCell ref="Q92:R95"/>
    <mergeCell ref="K47:L50"/>
    <mergeCell ref="M47:N50"/>
    <mergeCell ref="K59:L59"/>
    <mergeCell ref="M59:N59"/>
    <mergeCell ref="O59:P59"/>
    <mergeCell ref="Q59:R59"/>
    <mergeCell ref="K144:T145"/>
    <mergeCell ref="K225:T225"/>
    <mergeCell ref="H203:H222"/>
    <mergeCell ref="K200:T201"/>
    <mergeCell ref="K113:T113"/>
    <mergeCell ref="I92:I111"/>
    <mergeCell ref="K60:T60"/>
    <mergeCell ref="I35:I54"/>
    <mergeCell ref="K61:T61"/>
    <mergeCell ref="H35:H54"/>
    <mergeCell ref="K219:L222"/>
    <mergeCell ref="M219:N222"/>
    <mergeCell ref="O219:P222"/>
    <mergeCell ref="Q219:R222"/>
    <mergeCell ref="S219:T222"/>
    <mergeCell ref="Q104:R107"/>
    <mergeCell ref="S104:T107"/>
    <mergeCell ref="K108:L111"/>
    <mergeCell ref="M108:N111"/>
    <mergeCell ref="O108:P111"/>
    <mergeCell ref="Q108:R111"/>
    <mergeCell ref="S108:T111"/>
    <mergeCell ref="K96:L99"/>
    <mergeCell ref="M96:N99"/>
    <mergeCell ref="K32:T33"/>
    <mergeCell ref="K114:T114"/>
    <mergeCell ref="H92:H111"/>
    <mergeCell ref="K89:T90"/>
    <mergeCell ref="Q211:R214"/>
    <mergeCell ref="S211:T214"/>
    <mergeCell ref="K215:L218"/>
    <mergeCell ref="M215:N218"/>
    <mergeCell ref="O215:P218"/>
    <mergeCell ref="Q215:R218"/>
    <mergeCell ref="S215:T218"/>
    <mergeCell ref="K155:L158"/>
    <mergeCell ref="M155:N158"/>
    <mergeCell ref="O155:P158"/>
    <mergeCell ref="Q155:R158"/>
    <mergeCell ref="S155:T158"/>
    <mergeCell ref="K159:L162"/>
    <mergeCell ref="M159:N162"/>
    <mergeCell ref="O159:P162"/>
    <mergeCell ref="Q159:R162"/>
    <mergeCell ref="S159:T162"/>
    <mergeCell ref="K104:L107"/>
    <mergeCell ref="M104:N107"/>
    <mergeCell ref="O104:P107"/>
    <mergeCell ref="O47:P50"/>
    <mergeCell ref="M35:N38"/>
    <mergeCell ref="O35:P38"/>
    <mergeCell ref="Q35:R38"/>
    <mergeCell ref="S35:T38"/>
    <mergeCell ref="S47:T50"/>
    <mergeCell ref="K51:L54"/>
    <mergeCell ref="M51:N54"/>
    <mergeCell ref="O51:P54"/>
    <mergeCell ref="Q51:R54"/>
    <mergeCell ref="S51:T54"/>
    <mergeCell ref="F1009:I1009"/>
    <mergeCell ref="F1018:I1018"/>
    <mergeCell ref="F1027:I1027"/>
    <mergeCell ref="E194:T194"/>
    <mergeCell ref="D174:U174"/>
    <mergeCell ref="D175:U175"/>
    <mergeCell ref="E176:T176"/>
    <mergeCell ref="E191:T191"/>
    <mergeCell ref="E192:T192"/>
    <mergeCell ref="E193:T193"/>
    <mergeCell ref="K223:L223"/>
    <mergeCell ref="M223:N223"/>
    <mergeCell ref="O223:P223"/>
    <mergeCell ref="Q223:R223"/>
    <mergeCell ref="S223:T223"/>
    <mergeCell ref="J203:J206"/>
    <mergeCell ref="J207:J210"/>
    <mergeCell ref="J211:J214"/>
    <mergeCell ref="J215:J218"/>
    <mergeCell ref="J219:J222"/>
    <mergeCell ref="M163:N166"/>
    <mergeCell ref="O163:P166"/>
    <mergeCell ref="Q163:R166"/>
    <mergeCell ref="S163:T166"/>
    <mergeCell ref="K168:T168"/>
    <mergeCell ref="I147:I166"/>
    <mergeCell ref="K169:T169"/>
    <mergeCell ref="K39:L42"/>
    <mergeCell ref="K167:L167"/>
    <mergeCell ref="M167:N167"/>
    <mergeCell ref="O167:P167"/>
    <mergeCell ref="Q167:R167"/>
    <mergeCell ref="S167:T167"/>
    <mergeCell ref="J147:J150"/>
    <mergeCell ref="J151:J154"/>
    <mergeCell ref="J155:J158"/>
    <mergeCell ref="J159:J162"/>
    <mergeCell ref="J163:J166"/>
    <mergeCell ref="S39:T42"/>
    <mergeCell ref="K43:L46"/>
    <mergeCell ref="M43:N46"/>
    <mergeCell ref="O43:P46"/>
    <mergeCell ref="Q43:R46"/>
    <mergeCell ref="S43:T46"/>
    <mergeCell ref="F1036:I1036"/>
    <mergeCell ref="D230:U230"/>
    <mergeCell ref="Q1018:S1018"/>
    <mergeCell ref="Q1027:S1027"/>
    <mergeCell ref="Q1036:S1036"/>
    <mergeCell ref="K224:T224"/>
    <mergeCell ref="I203:I222"/>
    <mergeCell ref="E195:T195"/>
    <mergeCell ref="E196:T196"/>
    <mergeCell ref="E197:T197"/>
    <mergeCell ref="E198:T198"/>
    <mergeCell ref="K203:L206"/>
    <mergeCell ref="M203:N206"/>
    <mergeCell ref="O203:P206"/>
    <mergeCell ref="Q203:R206"/>
    <mergeCell ref="S203:T206"/>
    <mergeCell ref="K207:L210"/>
    <mergeCell ref="M207:N210"/>
    <mergeCell ref="O207:P210"/>
    <mergeCell ref="Q207:R210"/>
    <mergeCell ref="S207:T210"/>
    <mergeCell ref="K211:L214"/>
    <mergeCell ref="M211:N214"/>
    <mergeCell ref="O211:P214"/>
    <mergeCell ref="D5:U5"/>
    <mergeCell ref="D3:U3"/>
    <mergeCell ref="D4:U4"/>
    <mergeCell ref="E1004:I1004"/>
    <mergeCell ref="D64:U64"/>
    <mergeCell ref="D65:U65"/>
    <mergeCell ref="D66:U66"/>
    <mergeCell ref="D69:U69"/>
    <mergeCell ref="D70:U70"/>
    <mergeCell ref="D84:U84"/>
    <mergeCell ref="D85:U85"/>
    <mergeCell ref="D86:U86"/>
    <mergeCell ref="H147:H166"/>
    <mergeCell ref="E139:T139"/>
    <mergeCell ref="E140:T140"/>
    <mergeCell ref="E142:T142"/>
    <mergeCell ref="K147:L150"/>
    <mergeCell ref="M147:N150"/>
    <mergeCell ref="O147:P150"/>
    <mergeCell ref="Q147:R150"/>
    <mergeCell ref="S147:T150"/>
    <mergeCell ref="K151:L154"/>
    <mergeCell ref="M151:N154"/>
    <mergeCell ref="K163:L166"/>
    <mergeCell ref="R7:T7"/>
    <mergeCell ref="R67:T67"/>
    <mergeCell ref="R121:T121"/>
    <mergeCell ref="R177:T177"/>
    <mergeCell ref="Q1009:S1009"/>
    <mergeCell ref="D31:E31"/>
    <mergeCell ref="F31:I31"/>
    <mergeCell ref="Q1004:S1004"/>
    <mergeCell ref="D88:E88"/>
    <mergeCell ref="F88:I88"/>
    <mergeCell ref="D143:E143"/>
    <mergeCell ref="F143:I143"/>
    <mergeCell ref="D199:E199"/>
    <mergeCell ref="F199:I199"/>
    <mergeCell ref="E141:T141"/>
    <mergeCell ref="D118:U118"/>
    <mergeCell ref="D119:U119"/>
    <mergeCell ref="E123:T123"/>
    <mergeCell ref="E124:T124"/>
    <mergeCell ref="E138:T138"/>
    <mergeCell ref="O151:P154"/>
    <mergeCell ref="Q151:R154"/>
    <mergeCell ref="S151:T154"/>
    <mergeCell ref="K35:L38"/>
  </mergeCells>
  <conditionalFormatting sqref="F31:J31">
    <cfRule type="containsText" dxfId="19" priority="16" operator="containsText" text="Medio-bajo">
      <formula>NOT(ISERROR(SEARCH("Medio-bajo",F31)))</formula>
    </cfRule>
    <cfRule type="containsText" dxfId="18" priority="17" operator="containsText" text="Bajo">
      <formula>NOT(ISERROR(SEARCH("Bajo",F31)))</formula>
    </cfRule>
    <cfRule type="containsText" dxfId="17" priority="19" operator="containsText" text="Medio">
      <formula>NOT(ISERROR(SEARCH("Medio",F31)))</formula>
    </cfRule>
    <cfRule type="containsText" dxfId="16" priority="20" operator="containsText" text="Muy alto">
      <formula>NOT(ISERROR(SEARCH("Muy alto",F31)))</formula>
    </cfRule>
    <cfRule type="containsText" dxfId="15" priority="21" operator="containsText" text="Alto">
      <formula>NOT(ISERROR(SEARCH("Alto",F31)))</formula>
    </cfRule>
  </conditionalFormatting>
  <conditionalFormatting sqref="F88:J88">
    <cfRule type="containsText" dxfId="14" priority="11" operator="containsText" text="Medio-bajo">
      <formula>NOT(ISERROR(SEARCH("Medio-bajo",F88)))</formula>
    </cfRule>
    <cfRule type="containsText" dxfId="13" priority="12" operator="containsText" text="Bajo">
      <formula>NOT(ISERROR(SEARCH("Bajo",F88)))</formula>
    </cfRule>
    <cfRule type="containsText" dxfId="12" priority="13" operator="containsText" text="Medio">
      <formula>NOT(ISERROR(SEARCH("Medio",F88)))</formula>
    </cfRule>
    <cfRule type="containsText" dxfId="11" priority="14" operator="containsText" text="Muy alto">
      <formula>NOT(ISERROR(SEARCH("Muy alto",F88)))</formula>
    </cfRule>
    <cfRule type="containsText" dxfId="10" priority="15" operator="containsText" text="Alto">
      <formula>NOT(ISERROR(SEARCH("Alto",F88)))</formula>
    </cfRule>
  </conditionalFormatting>
  <conditionalFormatting sqref="F143:J143">
    <cfRule type="containsText" dxfId="9" priority="6" operator="containsText" text="Medio-bajo">
      <formula>NOT(ISERROR(SEARCH("Medio-bajo",F143)))</formula>
    </cfRule>
    <cfRule type="containsText" dxfId="8" priority="7" operator="containsText" text="Bajo">
      <formula>NOT(ISERROR(SEARCH("Bajo",F143)))</formula>
    </cfRule>
    <cfRule type="containsText" dxfId="7" priority="8" operator="containsText" text="Medio">
      <formula>NOT(ISERROR(SEARCH("Medio",F143)))</formula>
    </cfRule>
    <cfRule type="containsText" dxfId="6" priority="9" operator="containsText" text="Muy alto">
      <formula>NOT(ISERROR(SEARCH("Muy alto",F143)))</formula>
    </cfRule>
    <cfRule type="containsText" dxfId="5" priority="10" operator="containsText" text="Alto">
      <formula>NOT(ISERROR(SEARCH("Alto",F143)))</formula>
    </cfRule>
  </conditionalFormatting>
  <conditionalFormatting sqref="F199:J199">
    <cfRule type="containsText" dxfId="4" priority="1" operator="containsText" text="Medio-bajo">
      <formula>NOT(ISERROR(SEARCH("Medio-bajo",F199)))</formula>
    </cfRule>
    <cfRule type="containsText" dxfId="3" priority="2" operator="containsText" text="Bajo">
      <formula>NOT(ISERROR(SEARCH("Bajo",F199)))</formula>
    </cfRule>
    <cfRule type="containsText" dxfId="2" priority="3" operator="containsText" text="Medio">
      <formula>NOT(ISERROR(SEARCH("Medio",F199)))</formula>
    </cfRule>
    <cfRule type="containsText" dxfId="1" priority="4" operator="containsText" text="Muy alto">
      <formula>NOT(ISERROR(SEARCH("Muy alto",F199)))</formula>
    </cfRule>
    <cfRule type="containsText" dxfId="0" priority="5" operator="containsText" text="Alto">
      <formula>NOT(ISERROR(SEARCH("Alto",F199)))</formula>
    </cfRule>
  </conditionalFormatting>
  <conditionalFormatting sqref="T10:T14">
    <cfRule type="iconSet" priority="52">
      <iconSet showValue="0">
        <cfvo type="percent" val="0"/>
        <cfvo type="percent" val="10"/>
        <cfvo type="percent" val="40"/>
      </iconSet>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49C06-A3B6-41FC-90CB-1584D645E1DD}">
  <sheetPr>
    <tabColor rgb="FF00B0F0"/>
  </sheetPr>
  <dimension ref="B1:Q209"/>
  <sheetViews>
    <sheetView showGridLines="0" zoomScale="58" zoomScaleNormal="58" workbookViewId="0">
      <selection activeCell="L6" sqref="L6"/>
    </sheetView>
  </sheetViews>
  <sheetFormatPr baseColWidth="10" defaultRowHeight="14.4"/>
  <cols>
    <col min="1" max="1" width="11.5546875" customWidth="1"/>
    <col min="2" max="2" width="136.5546875" customWidth="1"/>
    <col min="3" max="3" width="11.5546875" customWidth="1"/>
    <col min="4" max="4" width="95" customWidth="1"/>
    <col min="5" max="5" width="11.5546875" customWidth="1"/>
    <col min="6" max="6" width="148.44140625" customWidth="1"/>
    <col min="7" max="7" width="11.5546875" customWidth="1"/>
    <col min="8" max="8" width="132.33203125" customWidth="1"/>
    <col min="9" max="9" width="11.5546875" customWidth="1"/>
    <col min="10" max="10" width="44.6640625" customWidth="1"/>
    <col min="11" max="11" width="13.109375" customWidth="1"/>
    <col min="12" max="12" width="57.44140625" customWidth="1"/>
    <col min="13" max="13" width="16.33203125" customWidth="1"/>
    <col min="14" max="14" width="50.5546875" customWidth="1"/>
    <col min="15" max="15" width="16.5546875" customWidth="1"/>
    <col min="16" max="16" width="52.88671875" customWidth="1"/>
    <col min="17" max="17" width="15.88671875" customWidth="1"/>
  </cols>
  <sheetData>
    <row r="1" spans="2:17" ht="15" thickBot="1"/>
    <row r="2" spans="2:17" ht="46.2" customHeight="1">
      <c r="B2" s="40" t="s">
        <v>2</v>
      </c>
      <c r="D2" s="41" t="s">
        <v>11</v>
      </c>
      <c r="F2" s="41" t="s">
        <v>566</v>
      </c>
      <c r="H2" s="41" t="s">
        <v>22</v>
      </c>
      <c r="J2" s="328" t="s">
        <v>2</v>
      </c>
      <c r="K2" s="328"/>
      <c r="L2" s="328" t="s">
        <v>11</v>
      </c>
      <c r="M2" s="328"/>
      <c r="N2" s="328" t="s">
        <v>15</v>
      </c>
      <c r="O2" s="328"/>
      <c r="P2" s="328" t="s">
        <v>22</v>
      </c>
      <c r="Q2" s="328"/>
    </row>
    <row r="3" spans="2:17">
      <c r="B3" s="42"/>
      <c r="D3" s="43"/>
      <c r="F3" s="43"/>
      <c r="H3" s="43"/>
      <c r="J3" s="44" t="s">
        <v>192</v>
      </c>
      <c r="K3" s="39">
        <f>B100</f>
        <v>0</v>
      </c>
      <c r="L3" s="44" t="s">
        <v>213</v>
      </c>
      <c r="M3" s="45">
        <f>D54</f>
        <v>0</v>
      </c>
      <c r="N3" s="44" t="s">
        <v>200</v>
      </c>
      <c r="O3" s="45">
        <f>F59</f>
        <v>0</v>
      </c>
      <c r="P3" s="44" t="s">
        <v>207</v>
      </c>
      <c r="Q3" s="46">
        <f>H56</f>
        <v>0</v>
      </c>
    </row>
    <row r="4" spans="2:17">
      <c r="B4" s="47" t="s">
        <v>30</v>
      </c>
      <c r="D4" s="48" t="s">
        <v>135</v>
      </c>
      <c r="F4" s="48" t="s">
        <v>16</v>
      </c>
      <c r="H4" s="48" t="s">
        <v>181</v>
      </c>
      <c r="J4" s="44" t="s">
        <v>193</v>
      </c>
      <c r="K4" s="39">
        <f>B110</f>
        <v>0</v>
      </c>
      <c r="L4" s="44" t="s">
        <v>197</v>
      </c>
      <c r="M4" s="45">
        <f>D75</f>
        <v>0</v>
      </c>
      <c r="N4" s="44" t="s">
        <v>201</v>
      </c>
      <c r="O4" s="45">
        <f>F75</f>
        <v>0</v>
      </c>
      <c r="P4" s="44" t="s">
        <v>208</v>
      </c>
      <c r="Q4" s="46">
        <f>H69</f>
        <v>0</v>
      </c>
    </row>
    <row r="5" spans="2:17">
      <c r="B5" s="49">
        <f>_xlfn.XLOOKUP(Diagnóstico!E33,Listas!B5:B9,Listas!C5:C9,0)</f>
        <v>0</v>
      </c>
      <c r="D5" s="50">
        <f>_xlfn.XLOOKUP(Diagnóstico!E121,Listas!H5:H6,Listas!I5:I6,0)</f>
        <v>0</v>
      </c>
      <c r="F5" s="50">
        <f>_xlfn.XLOOKUP(Diagnóstico!E164,Listas!N5:N6,Listas!O5:O6,0)</f>
        <v>0</v>
      </c>
      <c r="H5" s="50">
        <f>_xlfn.XLOOKUP(Diagnóstico!E213,Listas!T5:T6,Listas!U5:U6,0)</f>
        <v>0</v>
      </c>
      <c r="J5" s="44" t="s">
        <v>5</v>
      </c>
      <c r="K5" s="39">
        <f>B126</f>
        <v>0</v>
      </c>
      <c r="L5" s="44" t="s">
        <v>198</v>
      </c>
      <c r="M5" s="45">
        <f>D88</f>
        <v>0</v>
      </c>
      <c r="N5" s="44" t="s">
        <v>202</v>
      </c>
      <c r="O5" s="45">
        <f>F91</f>
        <v>0</v>
      </c>
      <c r="P5" s="44" t="s">
        <v>209</v>
      </c>
      <c r="Q5" s="46">
        <f>H82</f>
        <v>0</v>
      </c>
    </row>
    <row r="6" spans="2:17">
      <c r="B6" s="42"/>
      <c r="D6" s="51"/>
      <c r="F6" s="43"/>
      <c r="H6" s="43"/>
      <c r="J6" s="44" t="s">
        <v>194</v>
      </c>
      <c r="K6" s="39">
        <f>B157</f>
        <v>0</v>
      </c>
      <c r="L6" s="44" t="s">
        <v>650</v>
      </c>
      <c r="M6" s="45">
        <f>D101</f>
        <v>0</v>
      </c>
      <c r="N6" s="44" t="s">
        <v>203</v>
      </c>
      <c r="O6" s="45">
        <f>F101</f>
        <v>0</v>
      </c>
      <c r="P6" s="44" t="s">
        <v>210</v>
      </c>
      <c r="Q6" s="46">
        <f>H95</f>
        <v>0</v>
      </c>
    </row>
    <row r="7" spans="2:17">
      <c r="B7" s="47" t="s">
        <v>36</v>
      </c>
      <c r="D7" s="52" t="s">
        <v>136</v>
      </c>
      <c r="F7" s="48" t="s">
        <v>17</v>
      </c>
      <c r="H7" s="48" t="s">
        <v>182</v>
      </c>
      <c r="J7" s="44" t="s">
        <v>195</v>
      </c>
      <c r="K7" s="53">
        <f>B179</f>
        <v>0</v>
      </c>
      <c r="L7" s="54"/>
      <c r="M7" s="54"/>
      <c r="N7" s="44" t="s">
        <v>204</v>
      </c>
      <c r="O7" s="45">
        <f>F114</f>
        <v>0</v>
      </c>
      <c r="P7" s="44" t="s">
        <v>211</v>
      </c>
      <c r="Q7" s="39">
        <f>H104</f>
        <v>0</v>
      </c>
    </row>
    <row r="8" spans="2:17">
      <c r="B8" s="55">
        <f>_xlfn.XLOOKUP(Diagnóstico!E36,Listas!B13:B17,Listas!C13:C17,0)</f>
        <v>0</v>
      </c>
      <c r="D8" s="50">
        <f>_xlfn.XLOOKUP(Diagnóstico!E124,Listas!H9:H14,Listas!I9:I14,0)</f>
        <v>0</v>
      </c>
      <c r="F8" s="50">
        <f>_xlfn.XLOOKUP(Diagnóstico!E167,Listas!N9:N10,Listas!O9:O10,0)</f>
        <v>0</v>
      </c>
      <c r="H8" s="50">
        <f>_xlfn.XLOOKUP(Diagnóstico!E216,Listas!T9:T10,Listas!U9:U10,0)</f>
        <v>0</v>
      </c>
      <c r="J8" s="44" t="s">
        <v>199</v>
      </c>
      <c r="K8" s="39">
        <f>B199</f>
        <v>0</v>
      </c>
      <c r="L8" s="56"/>
      <c r="M8" s="54"/>
      <c r="N8" s="56"/>
      <c r="O8" s="54"/>
      <c r="P8" s="44" t="s">
        <v>212</v>
      </c>
      <c r="Q8" s="39">
        <f>H111</f>
        <v>0</v>
      </c>
    </row>
    <row r="9" spans="2:17">
      <c r="B9" s="57"/>
      <c r="D9" s="51"/>
      <c r="F9" s="43"/>
      <c r="H9" s="43"/>
      <c r="J9" s="54"/>
      <c r="K9" s="54"/>
      <c r="L9" s="54"/>
      <c r="M9" s="54"/>
      <c r="N9" s="54"/>
      <c r="O9" s="54"/>
      <c r="P9" s="54"/>
      <c r="Q9" s="54"/>
    </row>
    <row r="10" spans="2:17">
      <c r="B10" s="47" t="s">
        <v>42</v>
      </c>
      <c r="D10" s="52" t="s">
        <v>137</v>
      </c>
      <c r="F10" s="48" t="s">
        <v>162</v>
      </c>
      <c r="H10" s="48" t="s">
        <v>183</v>
      </c>
      <c r="J10" s="54"/>
      <c r="K10" s="54"/>
      <c r="L10" s="54"/>
      <c r="M10" s="54"/>
      <c r="N10" s="54"/>
      <c r="O10" s="54"/>
      <c r="P10" s="54"/>
      <c r="Q10" s="54"/>
    </row>
    <row r="11" spans="2:17">
      <c r="B11" s="49">
        <f>_xlfn.XLOOKUP(Diagnóstico!E39,Listas!B20:B21,Listas!C20:C21,0)</f>
        <v>0</v>
      </c>
      <c r="D11" s="50">
        <f>_xlfn.XLOOKUP(Diagnóstico!E127,Listas!H17:H22,Listas!I17:I22,0)</f>
        <v>0</v>
      </c>
      <c r="F11" s="50">
        <f>_xlfn.XLOOKUP(Diagnóstico!E170,Listas!N13:N14,Listas!O13:O14,0)</f>
        <v>0</v>
      </c>
      <c r="H11" s="50">
        <f>_xlfn.XLOOKUP(Diagnóstico!E219,Listas!T14:T15,Listas!U14:U15,0)</f>
        <v>0</v>
      </c>
      <c r="J11" s="54"/>
      <c r="K11" s="54"/>
      <c r="L11" s="54"/>
      <c r="M11" s="54"/>
      <c r="N11" s="54"/>
      <c r="O11" s="54"/>
      <c r="P11" s="54"/>
      <c r="Q11" s="54"/>
    </row>
    <row r="12" spans="2:17">
      <c r="B12" s="57"/>
      <c r="D12" s="51"/>
      <c r="F12" s="43"/>
      <c r="H12" s="43"/>
      <c r="J12" s="54"/>
      <c r="K12" s="54"/>
      <c r="L12" s="54"/>
      <c r="M12" s="54"/>
      <c r="N12" s="54"/>
      <c r="O12" s="54"/>
      <c r="P12" s="54"/>
      <c r="Q12" s="54"/>
    </row>
    <row r="13" spans="2:17">
      <c r="B13" s="47" t="s">
        <v>43</v>
      </c>
      <c r="D13" s="52" t="s">
        <v>144</v>
      </c>
      <c r="F13" s="48" t="s">
        <v>163</v>
      </c>
      <c r="H13" s="48" t="s">
        <v>184</v>
      </c>
      <c r="J13" s="54"/>
      <c r="K13" s="54"/>
      <c r="L13" s="54"/>
      <c r="M13" s="54"/>
      <c r="N13" s="54"/>
      <c r="O13" s="54"/>
      <c r="P13" s="54"/>
      <c r="Q13" s="54"/>
    </row>
    <row r="14" spans="2:17">
      <c r="B14" s="49">
        <f>_xlfn.XLOOKUP(Diagnóstico!E42,Listas!B24:B28,Listas!C24:C28,0)</f>
        <v>0</v>
      </c>
      <c r="D14" s="50">
        <f>_xlfn.XLOOKUP(Diagnóstico!E130,Listas!H25:H28,Listas!I25:I28,0)</f>
        <v>0</v>
      </c>
      <c r="F14" s="50">
        <f>_xlfn.XLOOKUP(Diagnóstico!E173,Listas!N17:N18,Listas!O17:O18,0)</f>
        <v>0</v>
      </c>
      <c r="H14" s="50">
        <f>_xlfn.XLOOKUP(Diagnóstico!E222,Listas!T18:T19,Listas!U18:U19,0)</f>
        <v>0</v>
      </c>
      <c r="J14" s="54"/>
      <c r="K14" s="54"/>
      <c r="L14" s="54"/>
      <c r="M14" s="54"/>
      <c r="N14" s="54"/>
      <c r="O14" s="54"/>
      <c r="P14" s="54"/>
      <c r="Q14" s="54"/>
    </row>
    <row r="15" spans="2:17">
      <c r="B15" s="57"/>
      <c r="D15" s="51"/>
      <c r="F15" s="43"/>
      <c r="H15" s="43"/>
      <c r="J15" s="54"/>
      <c r="K15" s="54"/>
      <c r="L15" s="54"/>
      <c r="M15" s="54"/>
      <c r="N15" s="54"/>
      <c r="O15" s="54"/>
      <c r="P15" s="54"/>
      <c r="Q15" s="54"/>
    </row>
    <row r="16" spans="2:17">
      <c r="B16" s="47" t="s">
        <v>49</v>
      </c>
      <c r="D16" s="52" t="s">
        <v>148</v>
      </c>
      <c r="F16" s="48" t="s">
        <v>164</v>
      </c>
      <c r="H16" s="48" t="s">
        <v>185</v>
      </c>
      <c r="J16" s="54"/>
      <c r="K16" s="54"/>
      <c r="L16" s="54"/>
      <c r="M16" s="54"/>
      <c r="N16" s="54"/>
      <c r="O16" s="54"/>
      <c r="P16" s="54"/>
      <c r="Q16" s="54"/>
    </row>
    <row r="17" spans="2:17">
      <c r="B17" s="49">
        <f>_xlfn.XLOOKUP(Diagnóstico!E45,Listas!B31:B32,Listas!C31:C32,0)</f>
        <v>0</v>
      </c>
      <c r="D17" s="50">
        <f>_xlfn.XLOOKUP(Diagnóstico!E133,Listas!H31:H32,Listas!I31:I32,0)</f>
        <v>0</v>
      </c>
      <c r="F17" s="50">
        <f>_xlfn.XLOOKUP(Diagnóstico!E176,Listas!N21:N24,Listas!O21:O24,0)</f>
        <v>0</v>
      </c>
      <c r="H17" s="50">
        <f>_xlfn.XLOOKUP(Diagnóstico!E225,Listas!T22:T23,Listas!U22:U23,0)</f>
        <v>0</v>
      </c>
      <c r="J17" s="54"/>
      <c r="K17" s="54"/>
      <c r="L17" s="54"/>
      <c r="M17" s="54"/>
      <c r="N17" s="54"/>
      <c r="O17" s="54"/>
      <c r="P17" s="54"/>
      <c r="Q17" s="54"/>
    </row>
    <row r="18" spans="2:17">
      <c r="B18" s="57"/>
      <c r="D18" s="51"/>
      <c r="F18" s="43"/>
      <c r="H18" s="43"/>
    </row>
    <row r="19" spans="2:17">
      <c r="B19" s="47" t="s">
        <v>50</v>
      </c>
      <c r="D19" s="52" t="s">
        <v>149</v>
      </c>
      <c r="F19" s="48" t="s">
        <v>18</v>
      </c>
      <c r="H19" s="48" t="s">
        <v>186</v>
      </c>
    </row>
    <row r="20" spans="2:17">
      <c r="B20" s="49">
        <f>_xlfn.XLOOKUP(Diagnóstico!E48,Listas!B35:B39,Listas!C35:C39,0)</f>
        <v>0</v>
      </c>
      <c r="D20" s="50">
        <f>_xlfn.XLOOKUP(Diagnóstico!E136,Listas!H35:H39,Listas!I35:I39,0)</f>
        <v>0</v>
      </c>
      <c r="F20" s="50">
        <f>_xlfn.XLOOKUP(Diagnóstico!E179,Listas!N27:N31,Listas!O27:O31,0)</f>
        <v>0</v>
      </c>
      <c r="H20" s="50">
        <f>_xlfn.XLOOKUP(Diagnóstico!E228,Listas!T26:T27,Listas!U26:U27,0)</f>
        <v>0</v>
      </c>
    </row>
    <row r="21" spans="2:17">
      <c r="B21" s="57"/>
      <c r="D21" s="51"/>
      <c r="F21" s="43"/>
      <c r="H21" s="43"/>
    </row>
    <row r="22" spans="2:17">
      <c r="B22" s="47" t="s">
        <v>56</v>
      </c>
      <c r="D22" s="52" t="s">
        <v>155</v>
      </c>
      <c r="F22" s="48" t="s">
        <v>172</v>
      </c>
      <c r="H22" s="48" t="s">
        <v>187</v>
      </c>
    </row>
    <row r="23" spans="2:17">
      <c r="B23" s="49">
        <f>_xlfn.XLOOKUP(Diagnóstico!E51,Listas!B42:B43,Listas!C42:C43,0)</f>
        <v>0</v>
      </c>
      <c r="D23" s="50">
        <f>_xlfn.XLOOKUP(Diagnóstico!E139,Listas!H42:H43,Listas!I42:I43,0)</f>
        <v>0</v>
      </c>
      <c r="F23" s="50">
        <f>_xlfn.XLOOKUP(Diagnóstico!E182,Listas!N34:N35,Listas!O34:O35,0)</f>
        <v>0</v>
      </c>
      <c r="H23" s="50">
        <f>_xlfn.XLOOKUP(Diagnóstico!E231,Listas!T30:T31,Listas!U30:U31,0)</f>
        <v>0</v>
      </c>
    </row>
    <row r="24" spans="2:17">
      <c r="B24" s="57"/>
      <c r="D24" s="51"/>
      <c r="F24" s="43"/>
      <c r="H24" s="43"/>
    </row>
    <row r="25" spans="2:17">
      <c r="B25" s="47" t="s">
        <v>57</v>
      </c>
      <c r="D25" s="52" t="s">
        <v>156</v>
      </c>
      <c r="F25" s="48" t="s">
        <v>173</v>
      </c>
      <c r="H25" s="48" t="s">
        <v>188</v>
      </c>
    </row>
    <row r="26" spans="2:17">
      <c r="B26" s="49">
        <f>_xlfn.XLOOKUP(Diagnóstico!E54,Listas!B46:B50,Listas!C46:C50,0)</f>
        <v>0</v>
      </c>
      <c r="D26" s="50">
        <f>_xlfn.XLOOKUP(Diagnóstico!E142,Listas!H46:H51,Listas!I46:I51,0)</f>
        <v>0</v>
      </c>
      <c r="F26" s="58">
        <f>_xlfn.XLOOKUP(Diagnóstico!E185,Listas!N38:N39,Listas!O38:O39,0)</f>
        <v>0</v>
      </c>
      <c r="H26" s="50">
        <f>_xlfn.XLOOKUP(Diagnóstico!E234,Listas!T34:T35,Listas!U34:U35,0)</f>
        <v>0</v>
      </c>
    </row>
    <row r="27" spans="2:17">
      <c r="B27" s="57"/>
      <c r="D27" s="51"/>
      <c r="F27" s="43"/>
      <c r="H27" s="43"/>
    </row>
    <row r="28" spans="2:17">
      <c r="B28" s="47" t="s">
        <v>63</v>
      </c>
      <c r="D28" s="128" t="s">
        <v>578</v>
      </c>
      <c r="F28" s="48" t="s">
        <v>174</v>
      </c>
      <c r="H28" s="48" t="s">
        <v>189</v>
      </c>
    </row>
    <row r="29" spans="2:17">
      <c r="B29" s="49">
        <f>_xlfn.XLOOKUP(Diagnóstico!E57,Listas!B53:B54,Listas!C53:C54,0)</f>
        <v>0</v>
      </c>
      <c r="D29" s="50">
        <f>_xlfn.XLOOKUP(Diagnóstico!E145,Listas!H54:H57,Listas!I54:I57,0)</f>
        <v>0</v>
      </c>
      <c r="F29" s="50">
        <f>_xlfn.XLOOKUP(Diagnóstico!E188,Listas!N42:N43,Listas!O42:O43,0)</f>
        <v>0</v>
      </c>
      <c r="H29" s="50">
        <f>_xlfn.XLOOKUP(Diagnóstico!E237,Listas!T38:T39,Listas!U38:U39,0)</f>
        <v>0</v>
      </c>
    </row>
    <row r="30" spans="2:17">
      <c r="B30" s="59"/>
      <c r="D30" s="51"/>
      <c r="F30" s="43"/>
      <c r="H30" s="43"/>
    </row>
    <row r="31" spans="2:17">
      <c r="B31" s="60" t="s">
        <v>64</v>
      </c>
      <c r="D31" s="128" t="s">
        <v>583</v>
      </c>
      <c r="F31" s="48" t="s">
        <v>175</v>
      </c>
      <c r="H31" s="48" t="s">
        <v>190</v>
      </c>
    </row>
    <row r="32" spans="2:17">
      <c r="B32" s="49">
        <f>_xlfn.XLOOKUP(Diagnóstico!E60,Listas!B57:B58,Listas!C57:C58,0)</f>
        <v>0</v>
      </c>
      <c r="D32" s="50">
        <f>_xlfn.XLOOKUP(Diagnóstico!E148,Listas!H60:H64,Listas!I60:I64,0)</f>
        <v>0</v>
      </c>
      <c r="F32" s="50">
        <f>_xlfn.XLOOKUP(Diagnóstico!E191,Listas!N46:N47,Listas!O46:O47,0)</f>
        <v>0</v>
      </c>
      <c r="H32" s="50">
        <f>_xlfn.XLOOKUP(Diagnóstico!E240,Listas!T42:T43,Listas!U42:U43,0)</f>
        <v>0</v>
      </c>
    </row>
    <row r="33" spans="2:8">
      <c r="B33" s="59"/>
      <c r="D33" s="51"/>
      <c r="F33" s="43"/>
      <c r="H33" s="43"/>
    </row>
    <row r="34" spans="2:8">
      <c r="B34" s="60" t="s">
        <v>65</v>
      </c>
      <c r="D34" s="128" t="s">
        <v>589</v>
      </c>
      <c r="F34" s="48" t="s">
        <v>373</v>
      </c>
      <c r="H34" s="48" t="s">
        <v>191</v>
      </c>
    </row>
    <row r="35" spans="2:8">
      <c r="B35" s="49">
        <f>_xlfn.XLOOKUP(Diagnóstico!E63,Listas!B61:B66,Listas!C61:C66,0)</f>
        <v>0</v>
      </c>
      <c r="D35" s="50">
        <f>_xlfn.XLOOKUP(Diagnóstico!E151,Listas!H67:H71,Listas!I67:I71,0)</f>
        <v>0</v>
      </c>
      <c r="F35" s="50">
        <f>_xlfn.XLOOKUP(Diagnóstico!E194,Listas!N50:N51,Listas!O50:O51,0)</f>
        <v>0</v>
      </c>
      <c r="H35" s="50">
        <f>_xlfn.XLOOKUP(Diagnóstico!E243,Listas!T46:T47,Listas!U46:U47,0)</f>
        <v>0</v>
      </c>
    </row>
    <row r="36" spans="2:8">
      <c r="B36" s="59"/>
      <c r="D36" s="43"/>
      <c r="F36" s="43"/>
      <c r="H36" s="43"/>
    </row>
    <row r="37" spans="2:8">
      <c r="B37" s="60" t="s">
        <v>66</v>
      </c>
      <c r="D37" s="128" t="s">
        <v>595</v>
      </c>
      <c r="F37" s="48" t="s">
        <v>177</v>
      </c>
      <c r="H37" s="141" t="s">
        <v>621</v>
      </c>
    </row>
    <row r="38" spans="2:8">
      <c r="B38" s="49">
        <f>_xlfn.XLOOKUP(Diagnóstico!E66,Listas!B69:B72,Listas!C69:C72,0)</f>
        <v>0</v>
      </c>
      <c r="D38" s="50">
        <f>_xlfn.XLOOKUP(Diagnóstico!E154,Listas!H74:H78,Listas!I74:I78,0)</f>
        <v>0</v>
      </c>
      <c r="F38" s="50">
        <f>_xlfn.XLOOKUP(Diagnóstico!E197,Listas!N54:N55,Listas!O54:O55,0)</f>
        <v>0</v>
      </c>
      <c r="H38" s="50">
        <f>_xlfn.XLOOKUP(Diagnóstico!E246,Listas!T50:T54,Listas!U50:U54,0)</f>
        <v>0</v>
      </c>
    </row>
    <row r="39" spans="2:8">
      <c r="B39" s="59"/>
      <c r="D39" s="51"/>
      <c r="F39" s="43"/>
      <c r="H39" s="43"/>
    </row>
    <row r="40" spans="2:8">
      <c r="B40" s="60" t="s">
        <v>71</v>
      </c>
      <c r="D40" s="128" t="s">
        <v>608</v>
      </c>
      <c r="F40" s="48" t="s">
        <v>178</v>
      </c>
      <c r="H40" s="141" t="s">
        <v>626</v>
      </c>
    </row>
    <row r="41" spans="2:8">
      <c r="B41" s="49">
        <f>_xlfn.XLOOKUP(Diagnóstico!E69,Listas!B75:B76,Listas!C75:C76,0)</f>
        <v>0</v>
      </c>
      <c r="D41" s="50">
        <f>_xlfn.XLOOKUP(Diagnóstico!E157,Listas!H81:H85,Listas!I81:I85,0)</f>
        <v>0</v>
      </c>
      <c r="F41" s="50">
        <f>_xlfn.XLOOKUP(Diagnóstico!E200,Listas!N58:N59,Listas!O58:O59,0)</f>
        <v>0</v>
      </c>
      <c r="H41" s="50">
        <f>_xlfn.XLOOKUP(Diagnóstico!E249,Listas!T58:T62,Listas!U58:U62,0)</f>
        <v>0</v>
      </c>
    </row>
    <row r="42" spans="2:8">
      <c r="B42" s="57"/>
      <c r="D42" s="51"/>
      <c r="F42" s="43"/>
      <c r="H42" s="43"/>
    </row>
    <row r="43" spans="2:8">
      <c r="B43" s="47" t="s">
        <v>72</v>
      </c>
      <c r="D43" s="128" t="s">
        <v>607</v>
      </c>
      <c r="F43" s="48" t="s">
        <v>179</v>
      </c>
      <c r="H43" s="141" t="s">
        <v>632</v>
      </c>
    </row>
    <row r="44" spans="2:8">
      <c r="B44" s="65">
        <f>_xlfn.XLOOKUP(Diagnóstico!E72,Listas!B79:B84,Listas!C79:C84,0)</f>
        <v>0</v>
      </c>
      <c r="D44" s="50">
        <f>_xlfn.XLOOKUP(Diagnóstico!E160,Listas!H88:H92,Listas!I88:I92,0)</f>
        <v>0</v>
      </c>
      <c r="F44" s="50">
        <f>_xlfn.XLOOKUP(Diagnóstico!E203,Listas!N62:N63,Listas!O62:O63,0)</f>
        <v>0</v>
      </c>
      <c r="H44" s="50">
        <f>_xlfn.XLOOKUP(Diagnóstico!E252,Listas!T65:T69,Listas!U65:U69,0)</f>
        <v>0</v>
      </c>
    </row>
    <row r="45" spans="2:8">
      <c r="B45" s="57"/>
      <c r="D45" s="129"/>
      <c r="F45" s="43"/>
      <c r="H45" s="43">
        <f>_xlfn.XLOOKUP(Diagnóstico!E252,Listas!T65:T69,Listas!U65:U69,0)</f>
        <v>0</v>
      </c>
    </row>
    <row r="46" spans="2:8">
      <c r="B46" s="47" t="s">
        <v>79</v>
      </c>
      <c r="F46" s="48" t="s">
        <v>180</v>
      </c>
    </row>
    <row r="47" spans="2:8">
      <c r="B47" s="67">
        <f>_xlfn.XLOOKUP(Diagnóstico!E75,Listas!B87:B93,Listas!C87:C93,0)</f>
        <v>0</v>
      </c>
      <c r="F47" s="50">
        <f>_xlfn.XLOOKUP(Diagnóstico!E206,Listas!N66:N67,Listas!O66:O67,0)</f>
        <v>0</v>
      </c>
    </row>
    <row r="48" spans="2:8">
      <c r="B48" s="59"/>
      <c r="D48" s="61" t="s">
        <v>23</v>
      </c>
      <c r="F48" s="43"/>
    </row>
    <row r="49" spans="2:8" ht="15" thickBot="1">
      <c r="B49" s="60" t="s">
        <v>87</v>
      </c>
      <c r="D49" s="62">
        <f>SUM(D5,D8,D11,D14,D17,D20,D23,D26,D29,D32,D35,D38,D41,D44)</f>
        <v>0</v>
      </c>
      <c r="F49" s="141" t="s">
        <v>637</v>
      </c>
    </row>
    <row r="50" spans="2:8">
      <c r="B50" s="49">
        <f>_xlfn.XLOOKUP(Diagnóstico!E78,Listas!B96:B97,Listas!C96:C97,0)</f>
        <v>0</v>
      </c>
      <c r="F50" s="50">
        <f>_xlfn.XLOOKUP(Diagnóstico!E209,Listas!N70:N74,Listas!O70:O74,0)</f>
        <v>0</v>
      </c>
      <c r="H50" s="61" t="s">
        <v>23</v>
      </c>
    </row>
    <row r="51" spans="2:8" ht="15" thickBot="1">
      <c r="B51" s="59"/>
      <c r="F51" s="43"/>
      <c r="H51" s="62">
        <f>SUM(H5,H8,H11,H14,H17,H20,H23,H26,H29,H32,H35,H38,H41,H44)</f>
        <v>0</v>
      </c>
    </row>
    <row r="52" spans="2:8">
      <c r="B52" s="60" t="s">
        <v>88</v>
      </c>
    </row>
    <row r="53" spans="2:8">
      <c r="B53" s="49">
        <f>_xlfn.XLOOKUP(Diagnóstico!E81,Listas!B100:B104,Listas!C100:C104,0)</f>
        <v>0</v>
      </c>
      <c r="D53" s="130" t="s">
        <v>196</v>
      </c>
      <c r="F53" s="61" t="s">
        <v>23</v>
      </c>
    </row>
    <row r="54" spans="2:8" ht="15" thickBot="1">
      <c r="B54" s="59"/>
      <c r="D54" s="131">
        <f>SUM(D57,D60,D63,D66,D69,D72)</f>
        <v>0</v>
      </c>
      <c r="F54" s="62">
        <f>SUM(F5,F8,F11,F14,F17,F20,F23,F26,F29,F32,F35,F38,F41,F44,F47,F50)</f>
        <v>0</v>
      </c>
    </row>
    <row r="55" spans="2:8">
      <c r="B55" s="60" t="s">
        <v>94</v>
      </c>
      <c r="D55" s="104"/>
      <c r="H55" s="63" t="s">
        <v>207</v>
      </c>
    </row>
    <row r="56" spans="2:8">
      <c r="B56" s="49">
        <f>_xlfn.XLOOKUP(Diagnóstico!E84,Listas!B107:B111,Listas!C107:C111,0)</f>
        <v>0</v>
      </c>
      <c r="D56" s="132" t="s">
        <v>135</v>
      </c>
      <c r="H56" s="64">
        <f>SUM(H59,H62,H65)</f>
        <v>0</v>
      </c>
    </row>
    <row r="57" spans="2:8" ht="15" thickBot="1">
      <c r="B57" s="59"/>
      <c r="D57" s="133">
        <f>_xlfn.XLOOKUP(Diagnóstico!E121,Listas!H5:H6,Listas!J5:J6,0)</f>
        <v>0</v>
      </c>
      <c r="H57" s="66"/>
    </row>
    <row r="58" spans="2:8">
      <c r="B58" s="60" t="s">
        <v>100</v>
      </c>
      <c r="D58" s="134"/>
      <c r="F58" s="63" t="s">
        <v>200</v>
      </c>
      <c r="H58" s="47" t="s">
        <v>181</v>
      </c>
    </row>
    <row r="59" spans="2:8">
      <c r="B59" s="49">
        <f>_xlfn.XLOOKUP(Diagnóstico!E87,Listas!B114:B119,Listas!C114:C119,0)</f>
        <v>0</v>
      </c>
      <c r="D59" s="135" t="s">
        <v>136</v>
      </c>
      <c r="F59" s="64">
        <f>SUM(F62,F65,F68,F71)</f>
        <v>0</v>
      </c>
      <c r="H59" s="49">
        <f>_xlfn.XLOOKUP(Diagnóstico!E213,Listas!T5:T6,Listas!V5:V6,0)</f>
        <v>0</v>
      </c>
    </row>
    <row r="60" spans="2:8">
      <c r="B60" s="42"/>
      <c r="D60" s="133">
        <f>_xlfn.XLOOKUP(Diagnóstico!E124,Listas!H9:H14,Listas!J9:J14,0)</f>
        <v>0</v>
      </c>
      <c r="F60" s="66"/>
      <c r="H60" s="66"/>
    </row>
    <row r="61" spans="2:8">
      <c r="B61" s="60" t="s">
        <v>107</v>
      </c>
      <c r="D61" s="134"/>
      <c r="F61" s="47" t="s">
        <v>16</v>
      </c>
      <c r="H61" s="47" t="s">
        <v>182</v>
      </c>
    </row>
    <row r="62" spans="2:8">
      <c r="B62" s="49">
        <f>_xlfn.XLOOKUP(Diagnóstico!E90,Listas!B122:B123,Listas!C122:C123,0)</f>
        <v>0</v>
      </c>
      <c r="D62" s="135" t="s">
        <v>155</v>
      </c>
      <c r="F62" s="49">
        <f>_xlfn.XLOOKUP(Diagnóstico!E164,Listas!N5:N6,Listas!P5:P6,0)</f>
        <v>0</v>
      </c>
      <c r="H62" s="49">
        <f>_xlfn.XLOOKUP(Diagnóstico!E216,Listas!T9:T10,Listas!V9:V10,0)</f>
        <v>0</v>
      </c>
    </row>
    <row r="63" spans="2:8">
      <c r="B63" s="42"/>
      <c r="D63" s="133">
        <f>_xlfn.XLOOKUP(Diagnóstico!E139,Listas!H42:H43,Listas!J42:J43,0)</f>
        <v>0</v>
      </c>
      <c r="F63" s="42"/>
      <c r="H63" s="66"/>
    </row>
    <row r="64" spans="2:8">
      <c r="B64" s="60" t="s">
        <v>108</v>
      </c>
      <c r="D64" s="134"/>
      <c r="F64" s="47" t="s">
        <v>17</v>
      </c>
      <c r="H64" s="142" t="s">
        <v>621</v>
      </c>
    </row>
    <row r="65" spans="2:8" ht="15" thickBot="1">
      <c r="B65" s="49">
        <f>_xlfn.XLOOKUP(Diagnóstico!E93,Listas!B126:B129,Listas!C126:C129,0)</f>
        <v>0</v>
      </c>
      <c r="D65" s="128" t="s">
        <v>578</v>
      </c>
      <c r="F65" s="49">
        <f>_xlfn.XLOOKUP(Diagnóstico!E167,Listas!N9:N10,Listas!P9:P10,0)</f>
        <v>0</v>
      </c>
      <c r="H65" s="79">
        <f>_xlfn.XLOOKUP(Diagnóstico!E246,Listas!T50:T54,Listas!V50:V54,0)</f>
        <v>0</v>
      </c>
    </row>
    <row r="66" spans="2:8">
      <c r="B66" s="42"/>
      <c r="D66" s="50">
        <f>_xlfn.XLOOKUP(Diagnóstico!E145,Listas!H54:H57,Listas!J54:J57,0)</f>
        <v>0</v>
      </c>
      <c r="F66" s="42"/>
      <c r="H66" s="43"/>
    </row>
    <row r="67" spans="2:8" ht="15" thickBot="1">
      <c r="B67" s="60" t="s">
        <v>113</v>
      </c>
      <c r="D67" s="51"/>
      <c r="F67" s="47" t="s">
        <v>162</v>
      </c>
    </row>
    <row r="68" spans="2:8">
      <c r="B68" s="49">
        <f>_xlfn.XLOOKUP(Diagnóstico!E96,Listas!B132:B136,Listas!C132:C136,0)</f>
        <v>0</v>
      </c>
      <c r="D68" s="128" t="s">
        <v>583</v>
      </c>
      <c r="F68" s="49">
        <f>_xlfn.XLOOKUP(Diagnóstico!E170,Listas!N13:N14,Listas!P13:P14,0)</f>
        <v>0</v>
      </c>
      <c r="H68" s="63" t="s">
        <v>208</v>
      </c>
    </row>
    <row r="69" spans="2:8">
      <c r="B69" s="42"/>
      <c r="D69" s="50">
        <f>_xlfn.XLOOKUP(Diagnóstico!E148,Listas!H60:H64,Listas!J60:J64,0)</f>
        <v>0</v>
      </c>
      <c r="F69" s="42"/>
      <c r="H69" s="64">
        <f>SUM(H72,H75,H78)</f>
        <v>0</v>
      </c>
    </row>
    <row r="70" spans="2:8">
      <c r="B70" s="60" t="s">
        <v>118</v>
      </c>
      <c r="D70" s="51"/>
      <c r="F70" s="47" t="s">
        <v>163</v>
      </c>
      <c r="H70" s="66"/>
    </row>
    <row r="71" spans="2:8">
      <c r="B71" s="49">
        <f>_xlfn.XLOOKUP(Diagnóstico!E99,Listas!B139:B142,Listas!C139:C142,0)</f>
        <v>0</v>
      </c>
      <c r="D71" s="128" t="s">
        <v>589</v>
      </c>
      <c r="F71" s="49">
        <f>_xlfn.XLOOKUP(Diagnóstico!E173,Listas!N17:N18,Listas!P17:P18,0)</f>
        <v>0</v>
      </c>
      <c r="H71" s="47" t="s">
        <v>183</v>
      </c>
    </row>
    <row r="72" spans="2:8" ht="15" thickBot="1">
      <c r="B72" s="42"/>
      <c r="D72" s="50">
        <f>_xlfn.XLOOKUP(Diagnóstico!E151,Listas!H67:H71,Listas!J67:J71,0)</f>
        <v>0</v>
      </c>
      <c r="F72" s="69"/>
      <c r="H72" s="49">
        <f>_xlfn.XLOOKUP(Diagnóstico!E219,Listas!T14:T15,Listas!V14:V15,0)</f>
        <v>0</v>
      </c>
    </row>
    <row r="73" spans="2:8" ht="15" thickBot="1">
      <c r="B73" s="60" t="s">
        <v>123</v>
      </c>
      <c r="D73" s="43"/>
      <c r="H73" s="66"/>
    </row>
    <row r="74" spans="2:8">
      <c r="B74" s="49">
        <f>_xlfn.XLOOKUP(Diagnóstico!E102,Listas!B145:B149,Listas!C145:C149,0)</f>
        <v>0</v>
      </c>
      <c r="D74" s="63" t="s">
        <v>197</v>
      </c>
      <c r="F74" s="63" t="s">
        <v>201</v>
      </c>
      <c r="H74" s="47" t="s">
        <v>184</v>
      </c>
    </row>
    <row r="75" spans="2:8">
      <c r="B75" s="42"/>
      <c r="D75" s="64">
        <f>SUM(D78,D81,D84)</f>
        <v>0</v>
      </c>
      <c r="F75" s="64">
        <f>SUM(F78,F81,F84,F87)</f>
        <v>0</v>
      </c>
      <c r="H75" s="49">
        <f>_xlfn.XLOOKUP(Diagnóstico!E222,Listas!T18:T19,Listas!V18:V19,0)</f>
        <v>0</v>
      </c>
    </row>
    <row r="76" spans="2:8">
      <c r="B76" s="60" t="s">
        <v>129</v>
      </c>
      <c r="D76" s="66"/>
      <c r="F76" s="66"/>
      <c r="H76" s="66"/>
    </row>
    <row r="77" spans="2:8">
      <c r="B77" s="49">
        <f>_xlfn.XLOOKUP(Diagnóstico!E105,Listas!B152:B156,Listas!C152:C156,0)</f>
        <v>0</v>
      </c>
      <c r="D77" s="60" t="s">
        <v>137</v>
      </c>
      <c r="F77" s="47" t="s">
        <v>164</v>
      </c>
      <c r="H77" s="142" t="s">
        <v>632</v>
      </c>
    </row>
    <row r="78" spans="2:8">
      <c r="B78" s="115"/>
      <c r="D78" s="49">
        <f>_xlfn.XLOOKUP(Diagnóstico!E127,Listas!H17:H22,Listas!J17:J22,0)</f>
        <v>0</v>
      </c>
      <c r="F78" s="49">
        <f>_xlfn.XLOOKUP(Diagnóstico!E176,Listas!N21:N24,Listas!P21:P24,0)</f>
        <v>0</v>
      </c>
      <c r="H78" s="49">
        <f>_xlfn.XLOOKUP(Diagnóstico!E252,Listas!T65:T69,Listas!V65:V69,0)</f>
        <v>0</v>
      </c>
    </row>
    <row r="79" spans="2:8" ht="15" thickBot="1">
      <c r="B79" s="118" t="s">
        <v>575</v>
      </c>
      <c r="D79" s="68"/>
      <c r="F79" s="66"/>
      <c r="H79" s="76"/>
    </row>
    <row r="80" spans="2:8" ht="15" thickBot="1">
      <c r="B80" s="49">
        <f>_xlfn.XLOOKUP(Diagnóstico!E108,Listas!B159:B160,Listas!C159:C160,0)</f>
        <v>0</v>
      </c>
      <c r="D80" s="60" t="s">
        <v>144</v>
      </c>
      <c r="F80" s="47" t="s">
        <v>18</v>
      </c>
    </row>
    <row r="81" spans="2:8">
      <c r="B81" s="104"/>
      <c r="D81" s="49">
        <f>_xlfn.XLOOKUP(Diagnóstico!E130,Listas!H25:H28,Listas!J25:J28,0)</f>
        <v>0</v>
      </c>
      <c r="F81" s="49">
        <f>_xlfn.XLOOKUP(Diagnóstico!E179,Listas!N27:N31,Listas!P27:P31,0)</f>
        <v>0</v>
      </c>
      <c r="H81" s="63" t="s">
        <v>209</v>
      </c>
    </row>
    <row r="82" spans="2:8">
      <c r="B82" s="118" t="s">
        <v>576</v>
      </c>
      <c r="D82" s="68"/>
      <c r="F82" s="66"/>
      <c r="H82" s="64">
        <f>SUM(H85,H88,H91)</f>
        <v>0</v>
      </c>
    </row>
    <row r="83" spans="2:8">
      <c r="B83" s="49">
        <f>_xlfn.XLOOKUP(Diagnóstico!E111,Listas!B163:B164,Listas!C163:C164,0)</f>
        <v>0</v>
      </c>
      <c r="D83" s="60" t="s">
        <v>156</v>
      </c>
      <c r="F83" s="47" t="s">
        <v>172</v>
      </c>
      <c r="H83" s="66"/>
    </row>
    <row r="84" spans="2:8">
      <c r="B84" s="104"/>
      <c r="D84" s="49">
        <f>_xlfn.XLOOKUP(Diagnóstico!E142,Listas!H46:H51,Listas!J46:J51,0)</f>
        <v>0</v>
      </c>
      <c r="F84" s="49">
        <f>_xlfn.XLOOKUP(Diagnóstico!E182,Listas!N34:N35,Listas!P34:P35,0)</f>
        <v>0</v>
      </c>
      <c r="H84" s="47" t="s">
        <v>185</v>
      </c>
    </row>
    <row r="85" spans="2:8" ht="15" thickBot="1">
      <c r="B85" s="118" t="s">
        <v>577</v>
      </c>
      <c r="D85" s="70"/>
      <c r="F85" s="66"/>
      <c r="H85" s="49">
        <f>_xlfn.XLOOKUP(Diagnóstico!E225,Listas!T22:T23,Listas!V22:V23,0)</f>
        <v>0</v>
      </c>
    </row>
    <row r="86" spans="2:8" ht="15" thickBot="1">
      <c r="B86" s="49">
        <f>_xlfn.XLOOKUP(Diagnóstico!E114,Listas!B167:B168,Listas!C167:C168,0)</f>
        <v>0</v>
      </c>
      <c r="F86" s="142" t="s">
        <v>637</v>
      </c>
      <c r="H86" s="42"/>
    </row>
    <row r="87" spans="2:8">
      <c r="B87" s="104"/>
      <c r="D87" s="63" t="s">
        <v>198</v>
      </c>
      <c r="F87" s="49">
        <f>_xlfn.XLOOKUP(Diagnóstico!E209,Listas!N70:N74,Listas!P70:P74,0)</f>
        <v>0</v>
      </c>
      <c r="H87" s="47" t="s">
        <v>186</v>
      </c>
    </row>
    <row r="88" spans="2:8" ht="15" thickBot="1">
      <c r="B88" s="104"/>
      <c r="D88" s="64">
        <f>SUM(D91,D94,D97)</f>
        <v>0</v>
      </c>
      <c r="F88" s="76"/>
      <c r="H88" s="49">
        <f>_xlfn.XLOOKUP(Diagnóstico!E228,Listas!T26:T27,Listas!V26:V27,0)</f>
        <v>0</v>
      </c>
    </row>
    <row r="89" spans="2:8" ht="15" thickBot="1">
      <c r="B89" s="118" t="s">
        <v>615</v>
      </c>
      <c r="D89" s="66"/>
      <c r="H89" s="42"/>
    </row>
    <row r="90" spans="2:8">
      <c r="B90" s="49">
        <f>_xlfn.XLOOKUP(Diagnóstico!E117,Listas!B171:B175,Listas!C171:C175,0)</f>
        <v>0</v>
      </c>
      <c r="D90" s="60" t="s">
        <v>148</v>
      </c>
      <c r="F90" s="63" t="s">
        <v>202</v>
      </c>
      <c r="H90" s="47" t="s">
        <v>187</v>
      </c>
    </row>
    <row r="91" spans="2:8">
      <c r="B91" s="104"/>
      <c r="D91" s="49">
        <f>_xlfn.XLOOKUP(Diagnóstico!E133,Listas!H31:H32,Listas!J31:J32,0)</f>
        <v>0</v>
      </c>
      <c r="F91" s="64">
        <f>SUM(F94,F97)</f>
        <v>0</v>
      </c>
      <c r="H91" s="49">
        <f>_xlfn.XLOOKUP(Diagnóstico!E231,Listas!T30:T31,Listas!V30:V31,0)</f>
        <v>0</v>
      </c>
    </row>
    <row r="92" spans="2:8" ht="15" thickBot="1">
      <c r="B92" s="104"/>
      <c r="D92" s="68"/>
      <c r="F92" s="66"/>
      <c r="H92" s="69"/>
    </row>
    <row r="93" spans="2:8" ht="15" thickBot="1">
      <c r="D93" s="60" t="s">
        <v>149</v>
      </c>
      <c r="F93" s="47" t="s">
        <v>173</v>
      </c>
    </row>
    <row r="94" spans="2:8">
      <c r="B94" s="61" t="s">
        <v>23</v>
      </c>
      <c r="D94" s="49">
        <f>_xlfn.XLOOKUP(Diagnóstico!E136,Listas!H35:H39,Listas!J35:J39,0)</f>
        <v>0</v>
      </c>
      <c r="F94" s="65">
        <f>_xlfn.XLOOKUP(Diagnóstico!E185,Listas!N38:N39,Listas!P38:P39,0)</f>
        <v>0</v>
      </c>
      <c r="H94" s="63" t="s">
        <v>210</v>
      </c>
    </row>
    <row r="95" spans="2:8" ht="15" thickBot="1">
      <c r="B95" s="75">
        <f>SUM(B5,B8,B11,B14,B17,B20,B23,B26,B29,B32,B35,B38,B41,B44,B47,B50,B53,B56,B59,B62,B65,B68,B71,B74,B77,B80,B83,B86,B90)</f>
        <v>0</v>
      </c>
      <c r="D95" s="68"/>
      <c r="F95" s="42"/>
      <c r="H95" s="64">
        <f>SUM(H98,H100)</f>
        <v>0</v>
      </c>
    </row>
    <row r="96" spans="2:8">
      <c r="D96" s="136" t="s">
        <v>608</v>
      </c>
      <c r="F96" s="47" t="s">
        <v>174</v>
      </c>
      <c r="H96" s="66"/>
    </row>
    <row r="97" spans="2:8">
      <c r="D97" s="49">
        <f>_xlfn.XLOOKUP(Diagnóstico!E157,Listas!H81:H85,Listas!J81:J85,0)</f>
        <v>0</v>
      </c>
      <c r="F97" s="49">
        <f>_xlfn.XLOOKUP(Diagnóstico!E188,Listas!N42:N43,Listas!P42:P43,0)</f>
        <v>0</v>
      </c>
      <c r="H97" s="47" t="s">
        <v>188</v>
      </c>
    </row>
    <row r="98" spans="2:8" ht="15" thickBot="1">
      <c r="D98" s="73"/>
      <c r="F98" s="69"/>
      <c r="H98" s="49">
        <f>_xlfn.XLOOKUP(Diagnóstico!E234,Listas!T34:T35,Listas!V34:V35,0)</f>
        <v>0</v>
      </c>
    </row>
    <row r="99" spans="2:8" ht="15" thickBot="1">
      <c r="B99" s="63" t="s">
        <v>192</v>
      </c>
      <c r="H99" s="47" t="s">
        <v>190</v>
      </c>
    </row>
    <row r="100" spans="2:8">
      <c r="B100" s="64">
        <f>SUM(B103,B106)</f>
        <v>0</v>
      </c>
      <c r="D100" s="139" t="s">
        <v>650</v>
      </c>
      <c r="F100" s="63" t="s">
        <v>203</v>
      </c>
      <c r="H100" s="49">
        <f>_xlfn.XLOOKUP(Diagnóstico!E240,Listas!T42:T43,Listas!V42:V43,0)</f>
        <v>0</v>
      </c>
    </row>
    <row r="101" spans="2:8" ht="15" thickBot="1">
      <c r="B101" s="66"/>
      <c r="D101" s="140">
        <f>SUM(D104,D107)</f>
        <v>0</v>
      </c>
      <c r="F101" s="64">
        <f>SUM(F104,F107,F110)</f>
        <v>0</v>
      </c>
      <c r="H101" s="69"/>
    </row>
    <row r="102" spans="2:8" ht="15" thickBot="1">
      <c r="B102" s="47" t="s">
        <v>30</v>
      </c>
      <c r="D102" s="66"/>
      <c r="F102" s="66"/>
    </row>
    <row r="103" spans="2:8">
      <c r="B103" s="49">
        <f>_xlfn.XLOOKUP(Diagnóstico!E33,Listas!B5:B9,Listas!D5:D9,0)</f>
        <v>0</v>
      </c>
      <c r="D103" s="136" t="s">
        <v>595</v>
      </c>
      <c r="F103" s="47" t="s">
        <v>175</v>
      </c>
      <c r="H103" s="63" t="s">
        <v>211</v>
      </c>
    </row>
    <row r="104" spans="2:8">
      <c r="B104" s="66"/>
      <c r="D104" s="49">
        <f>_xlfn.XLOOKUP(Diagnóstico!E154,Listas!H74:H78,Listas!J74:J78,0)</f>
        <v>0</v>
      </c>
      <c r="F104" s="49">
        <f>_xlfn.XLOOKUP(Diagnóstico!E191,Listas!N46:N47,Listas!P46:P47,0)</f>
        <v>0</v>
      </c>
      <c r="H104" s="64">
        <f>SUM(H107)</f>
        <v>0</v>
      </c>
    </row>
    <row r="105" spans="2:8">
      <c r="B105" s="47" t="s">
        <v>36</v>
      </c>
      <c r="D105" s="72"/>
      <c r="F105" s="42"/>
      <c r="H105" s="66"/>
    </row>
    <row r="106" spans="2:8">
      <c r="B106" s="55">
        <f>_xlfn.XLOOKUP(Diagnóstico!E36,Listas!B13:B17,Listas!D13:D17,0)</f>
        <v>0</v>
      </c>
      <c r="D106" s="136" t="s">
        <v>607</v>
      </c>
      <c r="F106" s="47" t="s">
        <v>176</v>
      </c>
      <c r="H106" s="47" t="s">
        <v>189</v>
      </c>
    </row>
    <row r="107" spans="2:8" ht="15" thickBot="1">
      <c r="B107" s="77"/>
      <c r="D107" s="49">
        <f>_xlfn.XLOOKUP(Diagnóstico!E160,Listas!H88:H92,Listas!J88:J92,0)</f>
        <v>0</v>
      </c>
      <c r="F107" s="49">
        <f>_xlfn.XLOOKUP(Diagnóstico!E194,Listas!N50:N51,Listas!P50:P51,0)</f>
        <v>0</v>
      </c>
      <c r="H107" s="49">
        <f>_xlfn.XLOOKUP(Diagnóstico!E237,Listas!T38:T39,Listas!V38:V39,0)</f>
        <v>0</v>
      </c>
    </row>
    <row r="108" spans="2:8" ht="15" thickBot="1">
      <c r="D108" s="73"/>
      <c r="F108" s="42"/>
      <c r="H108" s="69"/>
    </row>
    <row r="109" spans="2:8" ht="15" thickBot="1">
      <c r="B109" s="63" t="s">
        <v>193</v>
      </c>
      <c r="D109" s="137"/>
      <c r="F109" s="47" t="s">
        <v>177</v>
      </c>
    </row>
    <row r="110" spans="2:8">
      <c r="B110" s="64">
        <f>SUM(B113,B116,B119,B122)</f>
        <v>0</v>
      </c>
      <c r="D110" s="138"/>
      <c r="F110" s="49">
        <f>_xlfn.XLOOKUP(Diagnóstico!E197,Listas!N54:N55,Listas!P54:P55,0)</f>
        <v>0</v>
      </c>
      <c r="H110" s="63" t="s">
        <v>212</v>
      </c>
    </row>
    <row r="111" spans="2:8" ht="15" thickBot="1">
      <c r="B111" s="66"/>
      <c r="F111" s="69"/>
      <c r="H111" s="64">
        <f>SUM(H114,H117)</f>
        <v>0</v>
      </c>
    </row>
    <row r="112" spans="2:8" ht="15" thickBot="1">
      <c r="B112" s="47" t="s">
        <v>42</v>
      </c>
      <c r="H112" s="66"/>
    </row>
    <row r="113" spans="2:8">
      <c r="B113" s="49">
        <f>_xlfn.XLOOKUP(Diagnóstico!E39,Listas!B20:B21,Listas!D20:D21,0)</f>
        <v>0</v>
      </c>
      <c r="F113" s="63" t="s">
        <v>204</v>
      </c>
      <c r="H113" s="47" t="s">
        <v>191</v>
      </c>
    </row>
    <row r="114" spans="2:8">
      <c r="B114" s="78"/>
      <c r="F114" s="64">
        <f>SUM(F117,F120,F123)</f>
        <v>0</v>
      </c>
      <c r="H114" s="49">
        <f>_xlfn.XLOOKUP(Diagnóstico!E243,Listas!T46:T47,Listas!V46:V47,0)</f>
        <v>0</v>
      </c>
    </row>
    <row r="115" spans="2:8">
      <c r="B115" s="47" t="s">
        <v>43</v>
      </c>
      <c r="F115" s="66"/>
      <c r="H115" s="66"/>
    </row>
    <row r="116" spans="2:8">
      <c r="B116" s="49">
        <f>_xlfn.XLOOKUP(Diagnóstico!E42,Listas!B24:B28,Listas!D24:D28,0)</f>
        <v>0</v>
      </c>
      <c r="F116" s="47" t="s">
        <v>178</v>
      </c>
      <c r="H116" s="142" t="s">
        <v>626</v>
      </c>
    </row>
    <row r="117" spans="2:8">
      <c r="B117" s="78"/>
      <c r="F117" s="49">
        <f>_xlfn.XLOOKUP(Diagnóstico!E200,Listas!N58:N59,Listas!P58:P59,0)</f>
        <v>0</v>
      </c>
      <c r="H117" s="49">
        <f>_xlfn.XLOOKUP(Diagnóstico!E249,Listas!T58:T62,Listas!V58:V62,0)</f>
        <v>0</v>
      </c>
    </row>
    <row r="118" spans="2:8" ht="15" thickBot="1">
      <c r="B118" s="47" t="s">
        <v>49</v>
      </c>
      <c r="F118" s="42"/>
      <c r="H118" s="76"/>
    </row>
    <row r="119" spans="2:8">
      <c r="B119" s="49">
        <f>_xlfn.XLOOKUP(Diagnóstico!E45,Listas!B31:B32,Listas!D31:D32,0)</f>
        <v>0</v>
      </c>
      <c r="F119" s="47" t="s">
        <v>179</v>
      </c>
    </row>
    <row r="120" spans="2:8">
      <c r="B120" s="78"/>
      <c r="F120" s="49">
        <f>_xlfn.XLOOKUP(Diagnóstico!E203,Listas!N62:N63,Listas!P62:P63,0)</f>
        <v>0</v>
      </c>
    </row>
    <row r="121" spans="2:8">
      <c r="B121" s="47" t="s">
        <v>50</v>
      </c>
      <c r="F121" s="42"/>
    </row>
    <row r="122" spans="2:8">
      <c r="B122" s="49">
        <f>_xlfn.XLOOKUP(Diagnóstico!E48,Listas!B35:B39,Listas!D35:D39,0)</f>
        <v>0</v>
      </c>
      <c r="F122" s="47" t="s">
        <v>180</v>
      </c>
    </row>
    <row r="123" spans="2:8" ht="15" thickBot="1">
      <c r="B123" s="77"/>
      <c r="D123" s="71"/>
      <c r="F123" s="79">
        <f>_xlfn.XLOOKUP(Diagnóstico!E206,Listas!N66:N67,Listas!P66:P67,0)</f>
        <v>0</v>
      </c>
    </row>
    <row r="124" spans="2:8" ht="15" thickBot="1"/>
    <row r="125" spans="2:8">
      <c r="B125" s="63" t="s">
        <v>5</v>
      </c>
    </row>
    <row r="126" spans="2:8">
      <c r="B126" s="64">
        <f>SUM(B129,B132,B135,B138,B141,B144,B147,B150,B153)</f>
        <v>0</v>
      </c>
    </row>
    <row r="127" spans="2:8">
      <c r="B127" s="66"/>
    </row>
    <row r="128" spans="2:8">
      <c r="B128" s="47" t="s">
        <v>56</v>
      </c>
    </row>
    <row r="129" spans="2:2">
      <c r="B129" s="49">
        <f>_xlfn.XLOOKUP(Diagnóstico!E51,Listas!B42:B43,Listas!D42:D43,0)</f>
        <v>0</v>
      </c>
    </row>
    <row r="130" spans="2:2">
      <c r="B130" s="78"/>
    </row>
    <row r="131" spans="2:2">
      <c r="B131" s="47" t="s">
        <v>57</v>
      </c>
    </row>
    <row r="132" spans="2:2">
      <c r="B132" s="49">
        <f>_xlfn.XLOOKUP(Diagnóstico!E54,Listas!B46:B50,Listas!D46:D50,0)</f>
        <v>0</v>
      </c>
    </row>
    <row r="133" spans="2:2">
      <c r="B133" s="78"/>
    </row>
    <row r="134" spans="2:2">
      <c r="B134" s="47" t="s">
        <v>63</v>
      </c>
    </row>
    <row r="135" spans="2:2">
      <c r="B135" s="49">
        <f>_xlfn.XLOOKUP(Diagnóstico!E57,Listas!B53:B54,Listas!D53:D54,0)</f>
        <v>0</v>
      </c>
    </row>
    <row r="136" spans="2:2">
      <c r="B136" s="80"/>
    </row>
    <row r="137" spans="2:2">
      <c r="B137" s="60" t="s">
        <v>64</v>
      </c>
    </row>
    <row r="138" spans="2:2">
      <c r="B138" s="49">
        <f>_xlfn.XLOOKUP(Diagnóstico!E60,Listas!B57:B58,Listas!D57:D58,0)</f>
        <v>0</v>
      </c>
    </row>
    <row r="139" spans="2:2">
      <c r="B139" s="80"/>
    </row>
    <row r="140" spans="2:2">
      <c r="B140" s="60" t="s">
        <v>65</v>
      </c>
    </row>
    <row r="141" spans="2:2">
      <c r="B141" s="49">
        <f>_xlfn.XLOOKUP(Diagnóstico!E63,Listas!B61:B66,Listas!D61:D66,0)</f>
        <v>0</v>
      </c>
    </row>
    <row r="142" spans="2:2">
      <c r="B142" s="80"/>
    </row>
    <row r="143" spans="2:2">
      <c r="B143" s="60" t="s">
        <v>66</v>
      </c>
    </row>
    <row r="144" spans="2:2">
      <c r="B144" s="49">
        <f>_xlfn.XLOOKUP(Diagnóstico!E66,Listas!B69:B72,Listas!D69:D72,0)</f>
        <v>0</v>
      </c>
    </row>
    <row r="145" spans="2:2">
      <c r="B145" s="80"/>
    </row>
    <row r="146" spans="2:2">
      <c r="B146" s="60" t="s">
        <v>71</v>
      </c>
    </row>
    <row r="147" spans="2:2">
      <c r="B147" s="49">
        <f>_xlfn.XLOOKUP(Diagnóstico!E69,Listas!B75:B76,Listas!D75:D76,0)</f>
        <v>0</v>
      </c>
    </row>
    <row r="148" spans="2:2">
      <c r="B148" s="78"/>
    </row>
    <row r="149" spans="2:2">
      <c r="B149" s="47" t="s">
        <v>72</v>
      </c>
    </row>
    <row r="150" spans="2:2">
      <c r="B150" s="65">
        <f>_xlfn.XLOOKUP(Diagnóstico!E72,Listas!B79:B84,Listas!D79:D84,0)</f>
        <v>0</v>
      </c>
    </row>
    <row r="151" spans="2:2">
      <c r="B151" s="78"/>
    </row>
    <row r="152" spans="2:2">
      <c r="B152" s="47" t="s">
        <v>79</v>
      </c>
    </row>
    <row r="153" spans="2:2">
      <c r="B153" s="67">
        <f>_xlfn.XLOOKUP(Diagnóstico!E75,Listas!B87:B93,Listas!D87:D93,0)</f>
        <v>0</v>
      </c>
    </row>
    <row r="154" spans="2:2" ht="15" thickBot="1">
      <c r="B154" s="81"/>
    </row>
    <row r="155" spans="2:2" ht="15" thickBot="1"/>
    <row r="156" spans="2:2">
      <c r="B156" s="63" t="s">
        <v>194</v>
      </c>
    </row>
    <row r="157" spans="2:2">
      <c r="B157" s="64">
        <f>SUM(B160,B163,B166,B169,B172,B175)</f>
        <v>0</v>
      </c>
    </row>
    <row r="158" spans="2:2">
      <c r="B158" s="66"/>
    </row>
    <row r="159" spans="2:2">
      <c r="B159" s="60" t="s">
        <v>87</v>
      </c>
    </row>
    <row r="160" spans="2:2">
      <c r="B160" s="49">
        <f>_xlfn.XLOOKUP(Diagnóstico!E78,Listas!B96:B97,Listas!D96:D97,0)</f>
        <v>0</v>
      </c>
    </row>
    <row r="161" spans="2:2">
      <c r="B161" s="80"/>
    </row>
    <row r="162" spans="2:2">
      <c r="B162" s="60" t="s">
        <v>88</v>
      </c>
    </row>
    <row r="163" spans="2:2">
      <c r="B163" s="49">
        <f>_xlfn.XLOOKUP(Diagnóstico!E81,Listas!B100:B104,Listas!D100:D104,0)</f>
        <v>0</v>
      </c>
    </row>
    <row r="164" spans="2:2">
      <c r="B164" s="80"/>
    </row>
    <row r="165" spans="2:2">
      <c r="B165" s="60" t="s">
        <v>94</v>
      </c>
    </row>
    <row r="166" spans="2:2">
      <c r="B166" s="49">
        <f>_xlfn.XLOOKUP(Diagnóstico!E84,Listas!B107:B111,Listas!D107:D111,0)</f>
        <v>0</v>
      </c>
    </row>
    <row r="167" spans="2:2">
      <c r="B167" s="80"/>
    </row>
    <row r="168" spans="2:2">
      <c r="B168" s="60" t="s">
        <v>100</v>
      </c>
    </row>
    <row r="169" spans="2:2">
      <c r="B169" s="49">
        <f>_xlfn.XLOOKUP(Diagnóstico!E87,Listas!B114:B119,Listas!D114:D119,0)</f>
        <v>0</v>
      </c>
    </row>
    <row r="170" spans="2:2">
      <c r="B170" s="66"/>
    </row>
    <row r="171" spans="2:2">
      <c r="B171" s="60" t="s">
        <v>107</v>
      </c>
    </row>
    <row r="172" spans="2:2">
      <c r="B172" s="49">
        <f>_xlfn.XLOOKUP(Diagnóstico!E90,Listas!B122:B123,Listas!D122:D123,0)</f>
        <v>0</v>
      </c>
    </row>
    <row r="173" spans="2:2">
      <c r="B173" s="66"/>
    </row>
    <row r="174" spans="2:2">
      <c r="B174" s="60" t="s">
        <v>108</v>
      </c>
    </row>
    <row r="175" spans="2:2">
      <c r="B175" s="49">
        <f>_xlfn.XLOOKUP(Diagnóstico!E93,Listas!B126:B129,Listas!D126:D129,0)</f>
        <v>0</v>
      </c>
    </row>
    <row r="176" spans="2:2" ht="15" thickBot="1">
      <c r="B176" s="76"/>
    </row>
    <row r="177" spans="2:2" ht="15" thickBot="1"/>
    <row r="178" spans="2:2">
      <c r="B178" s="63" t="s">
        <v>195</v>
      </c>
    </row>
    <row r="179" spans="2:2">
      <c r="B179" s="64">
        <f>SUM(B182,B185,B188,B191,B194)</f>
        <v>0</v>
      </c>
    </row>
    <row r="180" spans="2:2">
      <c r="B180" s="66"/>
    </row>
    <row r="181" spans="2:2">
      <c r="B181" s="60" t="s">
        <v>113</v>
      </c>
    </row>
    <row r="182" spans="2:2">
      <c r="B182" s="49">
        <f>_xlfn.XLOOKUP(Diagnóstico!E96,Listas!B132:B136,Listas!D132:D136,0)</f>
        <v>0</v>
      </c>
    </row>
    <row r="183" spans="2:2">
      <c r="B183" s="42"/>
    </row>
    <row r="184" spans="2:2">
      <c r="B184" s="60" t="s">
        <v>118</v>
      </c>
    </row>
    <row r="185" spans="2:2">
      <c r="B185" s="49">
        <f>_xlfn.XLOOKUP(Diagnóstico!E99,Listas!B139:B142,Listas!D139:D142,0)</f>
        <v>0</v>
      </c>
    </row>
    <row r="186" spans="2:2">
      <c r="B186" s="42"/>
    </row>
    <row r="187" spans="2:2">
      <c r="B187" s="60" t="s">
        <v>123</v>
      </c>
    </row>
    <row r="188" spans="2:2">
      <c r="B188" s="49">
        <f>_xlfn.XLOOKUP(Diagnóstico!E102,Listas!B145:B149,Listas!D145:D149,0)</f>
        <v>0</v>
      </c>
    </row>
    <row r="189" spans="2:2">
      <c r="B189" s="42"/>
    </row>
    <row r="190" spans="2:2">
      <c r="B190" s="60" t="s">
        <v>129</v>
      </c>
    </row>
    <row r="191" spans="2:2">
      <c r="B191" s="114">
        <f>_xlfn.XLOOKUP(Diagnóstico!E105,Listas!B152:B156,Listas!D152:D156,0)</f>
        <v>0</v>
      </c>
    </row>
    <row r="192" spans="2:2">
      <c r="B192" s="104"/>
    </row>
    <row r="193" spans="2:2">
      <c r="B193" s="118" t="s">
        <v>615</v>
      </c>
    </row>
    <row r="194" spans="2:2">
      <c r="B194" s="114">
        <f>_xlfn.XLOOKUP(Diagnóstico!E117,Listas!B171:B175,Listas!D171:D175,0)</f>
        <v>0</v>
      </c>
    </row>
    <row r="195" spans="2:2">
      <c r="B195" s="104"/>
    </row>
    <row r="197" spans="2:2" ht="15" thickBot="1"/>
    <row r="198" spans="2:2">
      <c r="B198" s="116" t="s">
        <v>199</v>
      </c>
    </row>
    <row r="199" spans="2:2">
      <c r="B199" s="74">
        <f>SUM(B202,B205,B208)</f>
        <v>0</v>
      </c>
    </row>
    <row r="200" spans="2:2">
      <c r="B200" s="66"/>
    </row>
    <row r="201" spans="2:2">
      <c r="B201" s="117" t="s">
        <v>575</v>
      </c>
    </row>
    <row r="202" spans="2:2">
      <c r="B202" s="50">
        <f>_xlfn.XLOOKUP(Diagnóstico!E108,Listas!B159:B160,Listas!D159:D160,0)</f>
        <v>0</v>
      </c>
    </row>
    <row r="203" spans="2:2">
      <c r="B203" s="51"/>
    </row>
    <row r="204" spans="2:2">
      <c r="B204" s="117" t="s">
        <v>576</v>
      </c>
    </row>
    <row r="205" spans="2:2">
      <c r="B205" s="50">
        <f>_xlfn.XLOOKUP(Diagnóstico!E111,Listas!B163:B164,Listas!D163:D164,0)</f>
        <v>0</v>
      </c>
    </row>
    <row r="206" spans="2:2">
      <c r="B206" s="51"/>
    </row>
    <row r="207" spans="2:2">
      <c r="B207" s="117" t="s">
        <v>577</v>
      </c>
    </row>
    <row r="208" spans="2:2">
      <c r="B208" s="50">
        <f>_xlfn.XLOOKUP(Diagnóstico!E114,Listas!B167:B168,Listas!D167:D168,0)</f>
        <v>0</v>
      </c>
    </row>
    <row r="209" spans="2:2" ht="15" thickBot="1">
      <c r="B209" s="76"/>
    </row>
  </sheetData>
  <mergeCells count="4">
    <mergeCell ref="J2:K2"/>
    <mergeCell ref="L2:M2"/>
    <mergeCell ref="N2:O2"/>
    <mergeCell ref="P2:Q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1ADE-D254-4D59-99B2-22DD4DD90418}">
  <sheetPr>
    <tabColor theme="4" tint="0.59999389629810485"/>
  </sheetPr>
  <dimension ref="B2:X198"/>
  <sheetViews>
    <sheetView showGridLines="0" topLeftCell="Q66" zoomScale="80" zoomScaleNormal="80" workbookViewId="0">
      <selection activeCell="T69" sqref="T69"/>
    </sheetView>
  </sheetViews>
  <sheetFormatPr baseColWidth="10" defaultRowHeight="14.4"/>
  <cols>
    <col min="1" max="1" width="4.44140625" customWidth="1"/>
    <col min="2" max="2" width="104.21875" style="26" customWidth="1"/>
    <col min="3" max="3" width="7" style="3" customWidth="1"/>
    <col min="4" max="4" width="9.77734375" style="3" customWidth="1"/>
    <col min="5" max="5" width="52.21875" style="3" customWidth="1"/>
    <col min="6" max="6" width="18.5546875" style="3" customWidth="1"/>
    <col min="7" max="7" width="7" style="3" customWidth="1"/>
    <col min="8" max="8" width="78.5546875" style="26" customWidth="1"/>
    <col min="9" max="10" width="6.77734375" style="7" customWidth="1"/>
    <col min="11" max="11" width="52.44140625" style="8" customWidth="1"/>
    <col min="12" max="12" width="41.77734375" style="3" customWidth="1"/>
    <col min="13" max="13" width="8.21875" style="3" customWidth="1"/>
    <col min="14" max="14" width="89.6640625" style="26" customWidth="1"/>
    <col min="15" max="16" width="6.88671875" style="9" customWidth="1"/>
    <col min="17" max="17" width="52.5546875" style="8" customWidth="1"/>
    <col min="18" max="18" width="34.109375" style="3" customWidth="1"/>
    <col min="19" max="19" width="7.88671875" style="3" customWidth="1"/>
    <col min="20" max="20" width="86.77734375" style="30" customWidth="1"/>
    <col min="21" max="22" width="8" style="7" customWidth="1"/>
    <col min="23" max="23" width="52.44140625" style="8" customWidth="1"/>
    <col min="24" max="24" width="39.88671875" customWidth="1"/>
  </cols>
  <sheetData>
    <row r="2" spans="2:24" ht="28.8">
      <c r="B2" s="5" t="s">
        <v>2</v>
      </c>
      <c r="H2" s="6" t="s">
        <v>11</v>
      </c>
      <c r="N2" s="6" t="s">
        <v>15</v>
      </c>
      <c r="T2" s="10" t="s">
        <v>19</v>
      </c>
    </row>
    <row r="4" spans="2:24" ht="28.8">
      <c r="B4" s="11" t="s">
        <v>30</v>
      </c>
      <c r="C4" s="12"/>
      <c r="D4" s="8"/>
      <c r="H4" s="13" t="s">
        <v>135</v>
      </c>
      <c r="N4" s="11" t="s">
        <v>16</v>
      </c>
      <c r="T4" s="13" t="s">
        <v>181</v>
      </c>
    </row>
    <row r="5" spans="2:24" ht="100.8">
      <c r="B5" s="14" t="s">
        <v>31</v>
      </c>
      <c r="C5" s="4">
        <v>0</v>
      </c>
      <c r="D5" s="15">
        <v>0</v>
      </c>
      <c r="E5" s="14" t="s">
        <v>214</v>
      </c>
      <c r="F5" s="14" t="s">
        <v>507</v>
      </c>
      <c r="H5" s="14" t="s">
        <v>3</v>
      </c>
      <c r="I5" s="15">
        <f>6/100</f>
        <v>0.06</v>
      </c>
      <c r="J5" s="15">
        <v>0.17</v>
      </c>
      <c r="K5" s="16" t="s">
        <v>315</v>
      </c>
      <c r="N5" s="14" t="s">
        <v>3</v>
      </c>
      <c r="O5" s="15">
        <f>5/100</f>
        <v>0.05</v>
      </c>
      <c r="P5" s="15">
        <f>1/4</f>
        <v>0.25</v>
      </c>
      <c r="Q5" s="14" t="s">
        <v>351</v>
      </c>
      <c r="T5" s="17" t="s">
        <v>3</v>
      </c>
      <c r="U5" s="18">
        <v>0.1</v>
      </c>
      <c r="V5" s="18">
        <v>0.33</v>
      </c>
      <c r="W5" s="14" t="s">
        <v>385</v>
      </c>
    </row>
    <row r="6" spans="2:24" ht="158.4">
      <c r="B6" s="14" t="s">
        <v>32</v>
      </c>
      <c r="C6" s="19">
        <f>(7/4)/100</f>
        <v>1.7500000000000002E-2</v>
      </c>
      <c r="D6" s="15">
        <f>(50/4)/100</f>
        <v>0.125</v>
      </c>
      <c r="E6" s="14" t="s">
        <v>215</v>
      </c>
      <c r="F6" s="14" t="s">
        <v>466</v>
      </c>
      <c r="H6" s="14" t="s">
        <v>4</v>
      </c>
      <c r="I6" s="15">
        <v>0</v>
      </c>
      <c r="J6" s="15">
        <v>0</v>
      </c>
      <c r="K6" s="16" t="s">
        <v>314</v>
      </c>
      <c r="L6" s="105" t="s">
        <v>510</v>
      </c>
      <c r="N6" s="14" t="s">
        <v>4</v>
      </c>
      <c r="O6" s="15">
        <f>0</f>
        <v>0</v>
      </c>
      <c r="P6" s="15">
        <v>0</v>
      </c>
      <c r="Q6" s="14" t="s">
        <v>350</v>
      </c>
      <c r="R6" s="106" t="s">
        <v>533</v>
      </c>
      <c r="T6" s="17" t="s">
        <v>4</v>
      </c>
      <c r="U6" s="18">
        <v>0</v>
      </c>
      <c r="V6" s="18">
        <v>0</v>
      </c>
      <c r="W6" s="14" t="s">
        <v>384</v>
      </c>
      <c r="X6" s="106" t="s">
        <v>554</v>
      </c>
    </row>
    <row r="7" spans="2:24" ht="86.4">
      <c r="B7" s="14" t="s">
        <v>33</v>
      </c>
      <c r="C7" s="19">
        <f>(7/3)/100</f>
        <v>2.3333333333333334E-2</v>
      </c>
      <c r="D7" s="15">
        <f>(50/3)/100</f>
        <v>0.16666666666666669</v>
      </c>
      <c r="E7" s="14" t="s">
        <v>216</v>
      </c>
      <c r="H7" s="20"/>
      <c r="N7" s="21"/>
      <c r="T7" s="22"/>
    </row>
    <row r="8" spans="2:24" ht="86.4">
      <c r="B8" s="14" t="s">
        <v>34</v>
      </c>
      <c r="C8" s="19">
        <f>(7/2)/100</f>
        <v>3.5000000000000003E-2</v>
      </c>
      <c r="D8" s="15">
        <f>(50/2)/100</f>
        <v>0.25</v>
      </c>
      <c r="E8" s="14" t="s">
        <v>217</v>
      </c>
      <c r="H8" s="13" t="s">
        <v>136</v>
      </c>
      <c r="N8" s="13" t="s">
        <v>17</v>
      </c>
      <c r="T8" s="13" t="s">
        <v>182</v>
      </c>
    </row>
    <row r="9" spans="2:24" ht="100.8">
      <c r="B9" s="14" t="s">
        <v>35</v>
      </c>
      <c r="C9" s="19">
        <f>(5)/100</f>
        <v>0.05</v>
      </c>
      <c r="D9" s="15">
        <f>50/100</f>
        <v>0.5</v>
      </c>
      <c r="E9" s="14" t="s">
        <v>218</v>
      </c>
      <c r="H9" s="23">
        <v>0</v>
      </c>
      <c r="I9" s="15">
        <v>0</v>
      </c>
      <c r="J9" s="15">
        <v>0</v>
      </c>
      <c r="K9" s="16" t="s">
        <v>316</v>
      </c>
      <c r="L9" s="105" t="s">
        <v>511</v>
      </c>
      <c r="N9" s="14" t="s">
        <v>3</v>
      </c>
      <c r="O9" s="15">
        <f>5/100</f>
        <v>0.05</v>
      </c>
      <c r="P9" s="15">
        <f>1/4</f>
        <v>0.25</v>
      </c>
      <c r="Q9" s="14" t="s">
        <v>353</v>
      </c>
      <c r="T9" s="17" t="s">
        <v>3</v>
      </c>
      <c r="U9" s="18">
        <v>0.09</v>
      </c>
      <c r="V9" s="18">
        <v>0.33</v>
      </c>
      <c r="W9" s="14" t="s">
        <v>387</v>
      </c>
    </row>
    <row r="10" spans="2:24" ht="115.2">
      <c r="B10" s="8"/>
      <c r="C10" s="24"/>
      <c r="D10" s="25"/>
      <c r="E10" s="8"/>
      <c r="H10" s="14" t="s">
        <v>6</v>
      </c>
      <c r="I10" s="15">
        <f>(10/5)/100</f>
        <v>0.02</v>
      </c>
      <c r="J10" s="15">
        <f>(1/3)/5</f>
        <v>6.6666666666666666E-2</v>
      </c>
      <c r="K10" s="16" t="s">
        <v>317</v>
      </c>
      <c r="L10" s="105" t="s">
        <v>317</v>
      </c>
      <c r="N10" s="14" t="s">
        <v>4</v>
      </c>
      <c r="O10" s="15">
        <f>0</f>
        <v>0</v>
      </c>
      <c r="P10" s="15">
        <v>0</v>
      </c>
      <c r="Q10" s="14" t="s">
        <v>352</v>
      </c>
      <c r="R10" s="106" t="s">
        <v>534</v>
      </c>
      <c r="T10" s="17" t="s">
        <v>4</v>
      </c>
      <c r="U10" s="18">
        <v>0</v>
      </c>
      <c r="V10" s="18">
        <v>0</v>
      </c>
      <c r="W10" s="14" t="s">
        <v>386</v>
      </c>
      <c r="X10" s="106" t="s">
        <v>555</v>
      </c>
    </row>
    <row r="11" spans="2:24" ht="57.6">
      <c r="D11" s="27"/>
      <c r="H11" s="14" t="s">
        <v>7</v>
      </c>
      <c r="I11" s="15">
        <f>(10/4)/100</f>
        <v>2.5000000000000001E-2</v>
      </c>
      <c r="J11" s="15">
        <f>(1/3)/4</f>
        <v>8.3333333333333329E-2</v>
      </c>
      <c r="K11" s="16" t="s">
        <v>318</v>
      </c>
      <c r="L11" s="105" t="s">
        <v>512</v>
      </c>
      <c r="N11" s="21"/>
      <c r="T11" s="2"/>
    </row>
    <row r="12" spans="2:24" ht="57.6">
      <c r="B12" s="11" t="s">
        <v>36</v>
      </c>
      <c r="D12" s="27"/>
      <c r="H12" s="14" t="s">
        <v>8</v>
      </c>
      <c r="I12" s="15">
        <f>(10/3)/100</f>
        <v>3.3333333333333333E-2</v>
      </c>
      <c r="J12" s="15">
        <f>(1/3)/3</f>
        <v>0.1111111111111111</v>
      </c>
      <c r="K12" s="16" t="s">
        <v>318</v>
      </c>
      <c r="L12" s="105" t="s">
        <v>512</v>
      </c>
      <c r="N12" s="11" t="s">
        <v>162</v>
      </c>
      <c r="T12" s="2"/>
    </row>
    <row r="13" spans="2:24" ht="86.4">
      <c r="B13" s="28" t="s">
        <v>37</v>
      </c>
      <c r="C13" s="29">
        <v>0</v>
      </c>
      <c r="D13" s="29">
        <v>0</v>
      </c>
      <c r="E13" s="28" t="s">
        <v>219</v>
      </c>
      <c r="F13" s="28" t="s">
        <v>467</v>
      </c>
      <c r="H13" s="14" t="s">
        <v>9</v>
      </c>
      <c r="I13" s="15">
        <f>(10/2)/100</f>
        <v>0.05</v>
      </c>
      <c r="J13" s="15">
        <v>0.13</v>
      </c>
      <c r="K13" s="16" t="s">
        <v>319</v>
      </c>
      <c r="L13" s="105" t="s">
        <v>513</v>
      </c>
      <c r="N13" s="17" t="s">
        <v>3</v>
      </c>
      <c r="O13" s="15">
        <v>0.1</v>
      </c>
      <c r="P13" s="15">
        <f>1/4</f>
        <v>0.25</v>
      </c>
      <c r="Q13" s="14" t="s">
        <v>355</v>
      </c>
      <c r="T13" s="13" t="s">
        <v>183</v>
      </c>
    </row>
    <row r="14" spans="2:24" ht="100.8">
      <c r="B14" s="28" t="s">
        <v>38</v>
      </c>
      <c r="C14" s="29">
        <f>(2/4)/100</f>
        <v>5.0000000000000001E-3</v>
      </c>
      <c r="D14" s="29">
        <f>(50/4)/100</f>
        <v>0.125</v>
      </c>
      <c r="E14" s="28" t="s">
        <v>220</v>
      </c>
      <c r="F14" s="28" t="s">
        <v>468</v>
      </c>
      <c r="H14" s="14" t="s">
        <v>10</v>
      </c>
      <c r="I14" s="15">
        <f>7/100</f>
        <v>7.0000000000000007E-2</v>
      </c>
      <c r="J14" s="15">
        <v>0.17</v>
      </c>
      <c r="K14" s="16" t="s">
        <v>320</v>
      </c>
      <c r="N14" s="17" t="s">
        <v>4</v>
      </c>
      <c r="O14" s="15">
        <v>0</v>
      </c>
      <c r="P14" s="15">
        <v>0</v>
      </c>
      <c r="Q14" s="14" t="s">
        <v>354</v>
      </c>
      <c r="R14" s="106" t="s">
        <v>549</v>
      </c>
      <c r="T14" s="17" t="s">
        <v>3</v>
      </c>
      <c r="U14" s="18">
        <v>0.08</v>
      </c>
      <c r="V14" s="18">
        <v>0.33</v>
      </c>
      <c r="W14" s="14" t="s">
        <v>389</v>
      </c>
    </row>
    <row r="15" spans="2:24" ht="129.6">
      <c r="B15" s="28" t="s">
        <v>39</v>
      </c>
      <c r="C15" s="29">
        <f>(2/3)/100</f>
        <v>6.6666666666666662E-3</v>
      </c>
      <c r="D15" s="29">
        <f>(50/3)/100</f>
        <v>0.16666666666666669</v>
      </c>
      <c r="E15" s="28" t="s">
        <v>221</v>
      </c>
      <c r="H15" s="30"/>
      <c r="N15" s="31"/>
      <c r="T15" s="17" t="s">
        <v>4</v>
      </c>
      <c r="U15" s="18">
        <v>0</v>
      </c>
      <c r="V15" s="18">
        <v>0</v>
      </c>
      <c r="W15" s="14" t="s">
        <v>388</v>
      </c>
      <c r="X15" s="106" t="s">
        <v>556</v>
      </c>
    </row>
    <row r="16" spans="2:24" ht="57.6">
      <c r="B16" s="28" t="s">
        <v>40</v>
      </c>
      <c r="C16" s="29">
        <f>(2/2)/100</f>
        <v>0.01</v>
      </c>
      <c r="D16" s="29">
        <f>(50/2)/100</f>
        <v>0.25</v>
      </c>
      <c r="E16" s="28" t="s">
        <v>222</v>
      </c>
      <c r="H16" s="13" t="s">
        <v>137</v>
      </c>
      <c r="N16" s="13" t="s">
        <v>163</v>
      </c>
      <c r="T16" s="2"/>
    </row>
    <row r="17" spans="2:24" ht="72">
      <c r="B17" s="28" t="s">
        <v>41</v>
      </c>
      <c r="C17" s="29">
        <f>2/100</f>
        <v>0.02</v>
      </c>
      <c r="D17" s="29">
        <f>50/100</f>
        <v>0.5</v>
      </c>
      <c r="E17" s="28" t="s">
        <v>243</v>
      </c>
      <c r="H17" s="14" t="s">
        <v>138</v>
      </c>
      <c r="I17" s="15">
        <f>0</f>
        <v>0</v>
      </c>
      <c r="J17" s="15">
        <v>0</v>
      </c>
      <c r="K17" s="16" t="s">
        <v>321</v>
      </c>
      <c r="L17" s="105" t="s">
        <v>514</v>
      </c>
      <c r="N17" s="17" t="s">
        <v>3</v>
      </c>
      <c r="O17" s="15">
        <v>0.08</v>
      </c>
      <c r="P17" s="15">
        <f>1/4</f>
        <v>0.25</v>
      </c>
      <c r="Q17" s="14" t="s">
        <v>357</v>
      </c>
      <c r="T17" s="13" t="s">
        <v>184</v>
      </c>
    </row>
    <row r="18" spans="2:24" ht="100.8">
      <c r="B18" s="21"/>
      <c r="D18" s="27"/>
      <c r="H18" s="14" t="s">
        <v>139</v>
      </c>
      <c r="I18" s="15">
        <f>(5/5)/100</f>
        <v>0.01</v>
      </c>
      <c r="J18" s="15">
        <f>(1/3)/5</f>
        <v>6.6666666666666666E-2</v>
      </c>
      <c r="K18" s="16" t="s">
        <v>322</v>
      </c>
      <c r="L18" s="105" t="s">
        <v>515</v>
      </c>
      <c r="N18" s="17" t="s">
        <v>4</v>
      </c>
      <c r="O18" s="15">
        <v>0</v>
      </c>
      <c r="P18" s="15">
        <v>0</v>
      </c>
      <c r="Q18" s="14" t="s">
        <v>356</v>
      </c>
      <c r="R18" s="106" t="s">
        <v>550</v>
      </c>
      <c r="T18" s="17" t="s">
        <v>3</v>
      </c>
      <c r="U18" s="18">
        <f>7/100</f>
        <v>7.0000000000000007E-2</v>
      </c>
      <c r="V18" s="18">
        <v>0.33</v>
      </c>
      <c r="W18" s="14" t="s">
        <v>390</v>
      </c>
    </row>
    <row r="19" spans="2:24" ht="144">
      <c r="B19" s="11" t="s">
        <v>42</v>
      </c>
      <c r="D19" s="27"/>
      <c r="H19" s="14" t="s">
        <v>140</v>
      </c>
      <c r="I19" s="15">
        <f>(5/4)/100</f>
        <v>1.2500000000000001E-2</v>
      </c>
      <c r="J19" s="15">
        <f>(1/3)/4</f>
        <v>8.3333333333333329E-2</v>
      </c>
      <c r="K19" s="16" t="s">
        <v>326</v>
      </c>
      <c r="L19" s="16" t="s">
        <v>516</v>
      </c>
      <c r="N19" s="31"/>
      <c r="T19" s="17" t="s">
        <v>4</v>
      </c>
      <c r="U19" s="18">
        <v>0</v>
      </c>
      <c r="V19" s="18">
        <v>0</v>
      </c>
      <c r="W19" s="14" t="s">
        <v>557</v>
      </c>
      <c r="X19" s="106" t="s">
        <v>558</v>
      </c>
    </row>
    <row r="20" spans="2:24" ht="86.4">
      <c r="B20" s="14" t="s">
        <v>3</v>
      </c>
      <c r="C20" s="15">
        <v>0.02</v>
      </c>
      <c r="D20" s="15">
        <f>25/100</f>
        <v>0.25</v>
      </c>
      <c r="E20" s="14" t="s">
        <v>224</v>
      </c>
      <c r="H20" s="14" t="s">
        <v>141</v>
      </c>
      <c r="I20" s="15">
        <f>(5/3)/100</f>
        <v>1.6666666666666666E-2</v>
      </c>
      <c r="J20" s="15">
        <f>(1/3)/3</f>
        <v>0.1111111111111111</v>
      </c>
      <c r="K20" s="16" t="s">
        <v>325</v>
      </c>
      <c r="L20" s="16" t="s">
        <v>517</v>
      </c>
      <c r="N20" s="11" t="s">
        <v>164</v>
      </c>
      <c r="T20" s="2"/>
    </row>
    <row r="21" spans="2:24" ht="115.2">
      <c r="B21" s="14" t="s">
        <v>4</v>
      </c>
      <c r="C21" s="15">
        <v>0</v>
      </c>
      <c r="D21" s="15">
        <v>0</v>
      </c>
      <c r="E21" s="14" t="s">
        <v>223</v>
      </c>
      <c r="F21" s="14" t="s">
        <v>506</v>
      </c>
      <c r="H21" s="14" t="s">
        <v>142</v>
      </c>
      <c r="I21" s="15">
        <f>(5/2)/100</f>
        <v>2.5000000000000001E-2</v>
      </c>
      <c r="J21" s="15">
        <f>(1/3)/2</f>
        <v>0.16666666666666666</v>
      </c>
      <c r="K21" s="16" t="s">
        <v>323</v>
      </c>
      <c r="N21" s="17" t="s">
        <v>165</v>
      </c>
      <c r="O21" s="15">
        <v>0</v>
      </c>
      <c r="P21" s="15">
        <f>(1/3)/4</f>
        <v>8.3333333333333329E-2</v>
      </c>
      <c r="Q21" s="14" t="s">
        <v>535</v>
      </c>
      <c r="R21" s="106" t="s">
        <v>536</v>
      </c>
      <c r="T21" s="13" t="s">
        <v>185</v>
      </c>
    </row>
    <row r="22" spans="2:24" ht="86.4">
      <c r="B22" s="21"/>
      <c r="D22" s="27"/>
      <c r="H22" s="14" t="s">
        <v>143</v>
      </c>
      <c r="I22" s="15">
        <f>4/100</f>
        <v>0.04</v>
      </c>
      <c r="J22" s="15">
        <f>1/3</f>
        <v>0.33333333333333331</v>
      </c>
      <c r="K22" s="16" t="s">
        <v>324</v>
      </c>
      <c r="N22" s="17" t="s">
        <v>166</v>
      </c>
      <c r="O22" s="15">
        <f>(4/3)/100</f>
        <v>1.3333333333333332E-2</v>
      </c>
      <c r="P22" s="15">
        <f>(1/3)/3</f>
        <v>0.1111111111111111</v>
      </c>
      <c r="Q22" s="14" t="s">
        <v>358</v>
      </c>
      <c r="R22" s="106" t="s">
        <v>537</v>
      </c>
      <c r="T22" s="17" t="s">
        <v>3</v>
      </c>
      <c r="U22" s="18">
        <v>7.0000000000000007E-2</v>
      </c>
      <c r="V22" s="18">
        <f>34/100</f>
        <v>0.34</v>
      </c>
      <c r="W22" s="14" t="s">
        <v>392</v>
      </c>
    </row>
    <row r="23" spans="2:24" ht="100.8">
      <c r="B23" s="13" t="s">
        <v>43</v>
      </c>
      <c r="D23" s="27"/>
      <c r="N23" s="32" t="s">
        <v>167</v>
      </c>
      <c r="O23" s="15">
        <f>(4/2)/100</f>
        <v>0.02</v>
      </c>
      <c r="P23" s="15">
        <f>(1/3)/2</f>
        <v>0.16666666666666666</v>
      </c>
      <c r="Q23" s="14" t="s">
        <v>360</v>
      </c>
      <c r="T23" s="17" t="s">
        <v>4</v>
      </c>
      <c r="U23" s="18">
        <v>0</v>
      </c>
      <c r="V23" s="18">
        <v>0</v>
      </c>
      <c r="W23" s="14" t="s">
        <v>391</v>
      </c>
      <c r="X23" s="106" t="s">
        <v>559</v>
      </c>
    </row>
    <row r="24" spans="2:24" ht="86.4">
      <c r="B24" s="14" t="s">
        <v>44</v>
      </c>
      <c r="C24" s="18">
        <v>0</v>
      </c>
      <c r="D24" s="15">
        <v>0</v>
      </c>
      <c r="E24" s="14" t="s">
        <v>225</v>
      </c>
      <c r="F24" s="14" t="s">
        <v>469</v>
      </c>
      <c r="H24" s="13" t="s">
        <v>144</v>
      </c>
      <c r="N24" s="28" t="s">
        <v>168</v>
      </c>
      <c r="O24" s="15">
        <f>4/100</f>
        <v>0.04</v>
      </c>
      <c r="P24" s="15">
        <v>0.25</v>
      </c>
      <c r="Q24" s="14" t="s">
        <v>359</v>
      </c>
      <c r="T24" s="22"/>
    </row>
    <row r="25" spans="2:24" ht="100.8">
      <c r="B25" s="14" t="s">
        <v>45</v>
      </c>
      <c r="C25" s="18">
        <f>(2/4)/100</f>
        <v>5.0000000000000001E-3</v>
      </c>
      <c r="D25" s="15">
        <f>(25/4)/100</f>
        <v>6.25E-2</v>
      </c>
      <c r="E25" s="14" t="s">
        <v>226</v>
      </c>
      <c r="F25" s="14" t="s">
        <v>470</v>
      </c>
      <c r="H25" s="14" t="s">
        <v>12</v>
      </c>
      <c r="I25" s="15">
        <f>0</f>
        <v>0</v>
      </c>
      <c r="J25" s="15">
        <v>0</v>
      </c>
      <c r="K25" s="16" t="s">
        <v>327</v>
      </c>
      <c r="L25" s="105" t="s">
        <v>518</v>
      </c>
      <c r="T25" s="13" t="s">
        <v>186</v>
      </c>
    </row>
    <row r="26" spans="2:24" ht="86.4">
      <c r="B26" s="14" t="s">
        <v>46</v>
      </c>
      <c r="C26" s="18">
        <f>(2/3)/100</f>
        <v>6.6666666666666662E-3</v>
      </c>
      <c r="D26" s="15">
        <f>(25/3)/100</f>
        <v>8.3333333333333343E-2</v>
      </c>
      <c r="E26" s="14" t="s">
        <v>227</v>
      </c>
      <c r="H26" s="14" t="s">
        <v>145</v>
      </c>
      <c r="I26" s="15">
        <f>(5/3)/100</f>
        <v>1.6666666666666666E-2</v>
      </c>
      <c r="J26" s="15">
        <f>(1/3)/3</f>
        <v>0.1111111111111111</v>
      </c>
      <c r="K26" s="16" t="s">
        <v>328</v>
      </c>
      <c r="L26" s="105" t="s">
        <v>328</v>
      </c>
      <c r="N26" s="13" t="s">
        <v>18</v>
      </c>
      <c r="T26" s="17" t="s">
        <v>3</v>
      </c>
      <c r="U26" s="18">
        <f>8/100</f>
        <v>0.08</v>
      </c>
      <c r="V26" s="18">
        <f>33/100</f>
        <v>0.33</v>
      </c>
      <c r="W26" s="14" t="s">
        <v>394</v>
      </c>
    </row>
    <row r="27" spans="2:24" ht="115.2">
      <c r="B27" s="14" t="s">
        <v>47</v>
      </c>
      <c r="C27" s="18">
        <f>(2/2)/100</f>
        <v>0.01</v>
      </c>
      <c r="D27" s="15">
        <f>(25/2)/100</f>
        <v>0.125</v>
      </c>
      <c r="E27" s="14" t="s">
        <v>228</v>
      </c>
      <c r="H27" s="28" t="s">
        <v>146</v>
      </c>
      <c r="I27" s="15">
        <f>(5/2)/100</f>
        <v>2.5000000000000001E-2</v>
      </c>
      <c r="J27" s="15">
        <f>(1/3)/2</f>
        <v>0.16666666666666666</v>
      </c>
      <c r="K27" s="16" t="s">
        <v>329</v>
      </c>
      <c r="N27" s="17" t="s">
        <v>205</v>
      </c>
      <c r="O27" s="15">
        <v>0</v>
      </c>
      <c r="P27" s="15">
        <v>0</v>
      </c>
      <c r="Q27" s="14" t="s">
        <v>552</v>
      </c>
      <c r="R27" s="106" t="s">
        <v>553</v>
      </c>
      <c r="T27" s="17" t="s">
        <v>4</v>
      </c>
      <c r="U27" s="18">
        <v>0</v>
      </c>
      <c r="V27" s="18">
        <v>0</v>
      </c>
      <c r="W27" s="14" t="s">
        <v>393</v>
      </c>
      <c r="X27" s="106" t="s">
        <v>560</v>
      </c>
    </row>
    <row r="28" spans="2:24" ht="100.8">
      <c r="B28" s="14" t="s">
        <v>48</v>
      </c>
      <c r="C28" s="18">
        <f>2/100</f>
        <v>0.02</v>
      </c>
      <c r="D28" s="15">
        <f>25/100</f>
        <v>0.25</v>
      </c>
      <c r="E28" s="14" t="s">
        <v>242</v>
      </c>
      <c r="H28" s="28" t="s">
        <v>147</v>
      </c>
      <c r="I28" s="15">
        <f>4/100</f>
        <v>0.04</v>
      </c>
      <c r="J28" s="15">
        <f>1/3</f>
        <v>0.33333333333333331</v>
      </c>
      <c r="K28" s="16" t="s">
        <v>330</v>
      </c>
      <c r="N28" s="17" t="s">
        <v>206</v>
      </c>
      <c r="O28" s="15">
        <f>(4/4)/100</f>
        <v>0.01</v>
      </c>
      <c r="P28" s="15">
        <f>(1/3)/4</f>
        <v>8.3333333333333329E-2</v>
      </c>
      <c r="Q28" s="14" t="s">
        <v>361</v>
      </c>
      <c r="R28" s="106" t="s">
        <v>538</v>
      </c>
      <c r="T28" s="2"/>
    </row>
    <row r="29" spans="2:24" ht="86.4">
      <c r="D29" s="27"/>
      <c r="N29" s="17" t="s">
        <v>169</v>
      </c>
      <c r="O29" s="15">
        <f>(4/3)/100</f>
        <v>1.3333333333333332E-2</v>
      </c>
      <c r="P29" s="15">
        <f>(1/3)/3</f>
        <v>0.1111111111111111</v>
      </c>
      <c r="Q29" s="14" t="s">
        <v>362</v>
      </c>
      <c r="R29" s="106" t="s">
        <v>539</v>
      </c>
      <c r="T29" s="13" t="s">
        <v>187</v>
      </c>
    </row>
    <row r="30" spans="2:24" ht="86.4">
      <c r="B30" s="11" t="s">
        <v>49</v>
      </c>
      <c r="D30" s="27"/>
      <c r="H30" s="13" t="s">
        <v>148</v>
      </c>
      <c r="N30" s="17" t="s">
        <v>170</v>
      </c>
      <c r="O30" s="15">
        <f>(4/2)/100</f>
        <v>0.02</v>
      </c>
      <c r="P30" s="15">
        <f>(1/3)/2</f>
        <v>0.16666666666666666</v>
      </c>
      <c r="Q30" s="14" t="s">
        <v>363</v>
      </c>
      <c r="R30" s="106" t="s">
        <v>540</v>
      </c>
      <c r="T30" s="17" t="s">
        <v>3</v>
      </c>
      <c r="U30" s="18">
        <f>7/100</f>
        <v>7.0000000000000007E-2</v>
      </c>
      <c r="V30" s="18">
        <f>33/100</f>
        <v>0.33</v>
      </c>
      <c r="W30" s="14" t="s">
        <v>396</v>
      </c>
    </row>
    <row r="31" spans="2:24" ht="115.2">
      <c r="B31" s="14" t="s">
        <v>3</v>
      </c>
      <c r="C31" s="18">
        <f>2/100</f>
        <v>0.02</v>
      </c>
      <c r="D31" s="15">
        <f>25/100</f>
        <v>0.25</v>
      </c>
      <c r="E31" s="14" t="s">
        <v>229</v>
      </c>
      <c r="H31" s="23" t="s">
        <v>3</v>
      </c>
      <c r="I31" s="15">
        <f>6/100</f>
        <v>0.06</v>
      </c>
      <c r="J31" s="15">
        <v>0.33</v>
      </c>
      <c r="K31" s="16" t="s">
        <v>332</v>
      </c>
      <c r="N31" s="17" t="s">
        <v>171</v>
      </c>
      <c r="O31" s="15">
        <f>4/100</f>
        <v>0.04</v>
      </c>
      <c r="P31" s="15">
        <v>0.25</v>
      </c>
      <c r="Q31" s="14" t="s">
        <v>364</v>
      </c>
      <c r="T31" s="17" t="s">
        <v>4</v>
      </c>
      <c r="U31" s="18">
        <v>0</v>
      </c>
      <c r="V31" s="18">
        <v>0</v>
      </c>
      <c r="W31" s="14" t="s">
        <v>395</v>
      </c>
      <c r="X31" s="106" t="s">
        <v>561</v>
      </c>
    </row>
    <row r="32" spans="2:24" ht="115.2">
      <c r="B32" s="14" t="s">
        <v>4</v>
      </c>
      <c r="C32" s="18">
        <v>0</v>
      </c>
      <c r="D32" s="15">
        <v>0</v>
      </c>
      <c r="E32" s="14" t="s">
        <v>496</v>
      </c>
      <c r="F32" s="14" t="s">
        <v>495</v>
      </c>
      <c r="H32" s="14" t="s">
        <v>4</v>
      </c>
      <c r="I32" s="15">
        <f>0</f>
        <v>0</v>
      </c>
      <c r="J32" s="15">
        <v>0</v>
      </c>
      <c r="K32" s="16" t="s">
        <v>331</v>
      </c>
      <c r="L32" s="105" t="s">
        <v>331</v>
      </c>
      <c r="N32" s="1"/>
      <c r="T32" s="22"/>
    </row>
    <row r="33" spans="2:24" ht="28.8">
      <c r="B33" s="21"/>
      <c r="D33" s="27"/>
      <c r="H33" s="8"/>
      <c r="N33" s="11" t="s">
        <v>172</v>
      </c>
      <c r="T33" s="13" t="s">
        <v>188</v>
      </c>
    </row>
    <row r="34" spans="2:24" ht="86.4">
      <c r="B34" s="13" t="s">
        <v>50</v>
      </c>
      <c r="D34" s="27"/>
      <c r="H34" s="13" t="s">
        <v>149</v>
      </c>
      <c r="N34" s="17" t="s">
        <v>3</v>
      </c>
      <c r="O34" s="15">
        <f>4/100</f>
        <v>0.04</v>
      </c>
      <c r="P34" s="15">
        <v>0.25</v>
      </c>
      <c r="Q34" s="14" t="s">
        <v>366</v>
      </c>
      <c r="T34" s="17" t="s">
        <v>3</v>
      </c>
      <c r="U34" s="18">
        <v>0.08</v>
      </c>
      <c r="V34" s="18">
        <f>1/2</f>
        <v>0.5</v>
      </c>
      <c r="W34" s="14" t="s">
        <v>398</v>
      </c>
    </row>
    <row r="35" spans="2:24" ht="129.6">
      <c r="B35" s="14" t="s">
        <v>51</v>
      </c>
      <c r="C35" s="18">
        <v>0</v>
      </c>
      <c r="D35" s="15">
        <v>0</v>
      </c>
      <c r="E35" s="14" t="s">
        <v>230</v>
      </c>
      <c r="F35" s="14" t="s">
        <v>508</v>
      </c>
      <c r="H35" s="14" t="s">
        <v>150</v>
      </c>
      <c r="I35" s="15">
        <f>0</f>
        <v>0</v>
      </c>
      <c r="J35" s="15">
        <v>0</v>
      </c>
      <c r="K35" s="16" t="s">
        <v>333</v>
      </c>
      <c r="L35" s="105" t="s">
        <v>519</v>
      </c>
      <c r="N35" s="17" t="s">
        <v>4</v>
      </c>
      <c r="O35" s="15">
        <v>0</v>
      </c>
      <c r="P35" s="15">
        <v>0</v>
      </c>
      <c r="Q35" s="14" t="s">
        <v>365</v>
      </c>
      <c r="R35" s="106" t="s">
        <v>541</v>
      </c>
      <c r="T35" s="17" t="s">
        <v>4</v>
      </c>
      <c r="U35" s="18">
        <v>0</v>
      </c>
      <c r="V35" s="18">
        <v>0</v>
      </c>
      <c r="W35" s="14" t="s">
        <v>397</v>
      </c>
      <c r="X35" s="106" t="s">
        <v>562</v>
      </c>
    </row>
    <row r="36" spans="2:24" ht="129.6">
      <c r="B36" s="14" t="s">
        <v>52</v>
      </c>
      <c r="C36" s="18">
        <f>(3/4)/100</f>
        <v>7.4999999999999997E-3</v>
      </c>
      <c r="D36" s="15">
        <f>(25/4)/100</f>
        <v>6.25E-2</v>
      </c>
      <c r="E36" s="14" t="s">
        <v>231</v>
      </c>
      <c r="F36" s="14" t="s">
        <v>509</v>
      </c>
      <c r="H36" s="14" t="s">
        <v>151</v>
      </c>
      <c r="I36" s="15">
        <f>(8/4)/100</f>
        <v>0.02</v>
      </c>
      <c r="J36" s="15">
        <f>(1/2)/4</f>
        <v>0.125</v>
      </c>
      <c r="K36" s="16" t="s">
        <v>529</v>
      </c>
      <c r="L36" s="105" t="s">
        <v>530</v>
      </c>
      <c r="N36" s="31"/>
      <c r="T36" s="2"/>
    </row>
    <row r="37" spans="2:24" ht="72">
      <c r="B37" s="14" t="s">
        <v>53</v>
      </c>
      <c r="C37" s="18">
        <f>(3/3)/100</f>
        <v>0.01</v>
      </c>
      <c r="D37" s="15">
        <f>(25/3)/100</f>
        <v>8.3333333333333343E-2</v>
      </c>
      <c r="E37" s="14" t="s">
        <v>232</v>
      </c>
      <c r="H37" s="14" t="s">
        <v>152</v>
      </c>
      <c r="I37" s="15">
        <f>(8/3)/100</f>
        <v>2.6666666666666665E-2</v>
      </c>
      <c r="J37" s="15">
        <f>(1/2)/3</f>
        <v>0.16666666666666666</v>
      </c>
      <c r="K37" s="16" t="s">
        <v>334</v>
      </c>
      <c r="L37" s="105" t="s">
        <v>520</v>
      </c>
      <c r="N37" s="13" t="s">
        <v>173</v>
      </c>
      <c r="T37" s="13" t="s">
        <v>189</v>
      </c>
    </row>
    <row r="38" spans="2:24" ht="86.4">
      <c r="B38" s="14" t="s">
        <v>54</v>
      </c>
      <c r="C38" s="18">
        <f>(3/2)/100</f>
        <v>1.4999999999999999E-2</v>
      </c>
      <c r="D38" s="15">
        <f>(25/2)/100</f>
        <v>0.125</v>
      </c>
      <c r="E38" s="14" t="s">
        <v>233</v>
      </c>
      <c r="H38" s="14" t="s">
        <v>153</v>
      </c>
      <c r="I38" s="15">
        <f>(8/2)/100</f>
        <v>0.04</v>
      </c>
      <c r="J38" s="15">
        <v>0.2</v>
      </c>
      <c r="K38" s="16" t="s">
        <v>335</v>
      </c>
      <c r="L38" s="105" t="s">
        <v>521</v>
      </c>
      <c r="N38" s="17" t="s">
        <v>3</v>
      </c>
      <c r="O38" s="15">
        <f>6/100</f>
        <v>0.06</v>
      </c>
      <c r="P38" s="15">
        <f>1/2</f>
        <v>0.5</v>
      </c>
      <c r="Q38" s="14" t="s">
        <v>368</v>
      </c>
      <c r="T38" s="17" t="s">
        <v>3</v>
      </c>
      <c r="U38" s="18">
        <v>0.06</v>
      </c>
      <c r="V38" s="18">
        <f>1</f>
        <v>1</v>
      </c>
      <c r="W38" s="14" t="s">
        <v>400</v>
      </c>
    </row>
    <row r="39" spans="2:24" ht="129.6">
      <c r="B39" s="14" t="s">
        <v>55</v>
      </c>
      <c r="C39" s="18">
        <f>3/100</f>
        <v>0.03</v>
      </c>
      <c r="D39" s="15">
        <f>25/100</f>
        <v>0.25</v>
      </c>
      <c r="E39" s="14" t="s">
        <v>241</v>
      </c>
      <c r="H39" s="14" t="s">
        <v>154</v>
      </c>
      <c r="I39" s="15">
        <f>6/100</f>
        <v>0.06</v>
      </c>
      <c r="J39" s="15">
        <v>0.33</v>
      </c>
      <c r="K39" s="16" t="s">
        <v>336</v>
      </c>
      <c r="N39" s="17" t="s">
        <v>4</v>
      </c>
      <c r="O39" s="15">
        <v>0</v>
      </c>
      <c r="P39" s="15">
        <v>0</v>
      </c>
      <c r="Q39" s="14" t="s">
        <v>367</v>
      </c>
      <c r="R39" s="106" t="s">
        <v>542</v>
      </c>
      <c r="T39" s="17" t="s">
        <v>4</v>
      </c>
      <c r="U39" s="18">
        <v>0</v>
      </c>
      <c r="V39" s="18">
        <v>0</v>
      </c>
      <c r="W39" s="14" t="s">
        <v>399</v>
      </c>
      <c r="X39" s="14" t="s">
        <v>563</v>
      </c>
    </row>
    <row r="40" spans="2:24">
      <c r="B40" s="33"/>
      <c r="D40" s="27"/>
      <c r="H40" s="8"/>
      <c r="N40" s="1"/>
      <c r="T40" s="2"/>
    </row>
    <row r="41" spans="2:24" ht="28.8">
      <c r="B41" s="13" t="s">
        <v>56</v>
      </c>
      <c r="D41" s="27"/>
      <c r="H41" s="13" t="s">
        <v>155</v>
      </c>
      <c r="N41" s="11" t="s">
        <v>174</v>
      </c>
      <c r="T41" s="13" t="s">
        <v>190</v>
      </c>
    </row>
    <row r="42" spans="2:24" ht="100.8">
      <c r="B42" s="14" t="s">
        <v>3</v>
      </c>
      <c r="C42" s="18">
        <f>5/100</f>
        <v>0.05</v>
      </c>
      <c r="D42" s="15">
        <f>12/100</f>
        <v>0.12</v>
      </c>
      <c r="E42" s="14" t="s">
        <v>235</v>
      </c>
      <c r="H42" s="14" t="s">
        <v>3</v>
      </c>
      <c r="I42" s="15">
        <f>5/100</f>
        <v>0.05</v>
      </c>
      <c r="J42" s="15">
        <v>0.17</v>
      </c>
      <c r="K42" s="16" t="s">
        <v>338</v>
      </c>
      <c r="N42" s="34" t="s">
        <v>3</v>
      </c>
      <c r="O42" s="15">
        <f>6/100</f>
        <v>0.06</v>
      </c>
      <c r="P42" s="15">
        <f>1/2</f>
        <v>0.5</v>
      </c>
      <c r="Q42" s="14" t="s">
        <v>370</v>
      </c>
      <c r="T42" s="17" t="s">
        <v>3</v>
      </c>
      <c r="U42" s="18">
        <v>7.0000000000000007E-2</v>
      </c>
      <c r="V42" s="18">
        <f>1/2</f>
        <v>0.5</v>
      </c>
      <c r="W42" s="14" t="s">
        <v>402</v>
      </c>
    </row>
    <row r="43" spans="2:24" ht="129.6">
      <c r="B43" s="14" t="s">
        <v>4</v>
      </c>
      <c r="C43" s="18">
        <v>0</v>
      </c>
      <c r="D43" s="15">
        <v>0</v>
      </c>
      <c r="E43" s="14" t="s">
        <v>234</v>
      </c>
      <c r="F43" s="14" t="s">
        <v>483</v>
      </c>
      <c r="H43" s="14" t="s">
        <v>4</v>
      </c>
      <c r="I43" s="15">
        <f>0</f>
        <v>0</v>
      </c>
      <c r="J43" s="15">
        <v>0</v>
      </c>
      <c r="K43" s="16" t="s">
        <v>337</v>
      </c>
      <c r="L43" s="105" t="s">
        <v>522</v>
      </c>
      <c r="N43" s="34" t="s">
        <v>4</v>
      </c>
      <c r="O43" s="15">
        <v>0</v>
      </c>
      <c r="P43" s="15">
        <v>0</v>
      </c>
      <c r="Q43" s="14" t="s">
        <v>369</v>
      </c>
      <c r="R43" s="106" t="s">
        <v>543</v>
      </c>
      <c r="T43" s="17" t="s">
        <v>4</v>
      </c>
      <c r="U43" s="18">
        <v>0</v>
      </c>
      <c r="V43" s="18">
        <v>0</v>
      </c>
      <c r="W43" s="14" t="s">
        <v>401</v>
      </c>
      <c r="X43" s="106" t="s">
        <v>564</v>
      </c>
    </row>
    <row r="44" spans="2:24">
      <c r="B44" s="21"/>
      <c r="D44" s="27"/>
      <c r="H44" s="8"/>
      <c r="N44" s="31"/>
      <c r="T44" s="2"/>
    </row>
    <row r="45" spans="2:24" ht="28.8">
      <c r="B45" s="13" t="s">
        <v>57</v>
      </c>
      <c r="D45" s="27"/>
      <c r="H45" s="13" t="s">
        <v>156</v>
      </c>
      <c r="N45" s="11" t="s">
        <v>175</v>
      </c>
      <c r="T45" s="13" t="s">
        <v>191</v>
      </c>
    </row>
    <row r="46" spans="2:24" ht="86.4">
      <c r="B46" s="23" t="s">
        <v>58</v>
      </c>
      <c r="C46" s="35">
        <v>0</v>
      </c>
      <c r="D46" s="15">
        <v>0</v>
      </c>
      <c r="E46" s="14" t="s">
        <v>236</v>
      </c>
      <c r="F46" s="14" t="s">
        <v>486</v>
      </c>
      <c r="H46" s="14" t="s">
        <v>13</v>
      </c>
      <c r="I46" s="15">
        <f>0</f>
        <v>0</v>
      </c>
      <c r="J46" s="15">
        <v>0</v>
      </c>
      <c r="K46" s="16" t="s">
        <v>339</v>
      </c>
      <c r="L46" s="105" t="s">
        <v>523</v>
      </c>
      <c r="N46" s="17" t="s">
        <v>3</v>
      </c>
      <c r="O46" s="15">
        <f>2/100</f>
        <v>0.02</v>
      </c>
      <c r="P46" s="15">
        <f>1/3</f>
        <v>0.33333333333333331</v>
      </c>
      <c r="Q46" s="14" t="s">
        <v>372</v>
      </c>
      <c r="T46" s="17" t="s">
        <v>3</v>
      </c>
      <c r="U46" s="18">
        <f>8/100</f>
        <v>0.08</v>
      </c>
      <c r="V46" s="18">
        <v>0.5</v>
      </c>
      <c r="W46" s="14" t="s">
        <v>404</v>
      </c>
    </row>
    <row r="47" spans="2:24" ht="135">
      <c r="B47" s="14" t="s">
        <v>59</v>
      </c>
      <c r="C47" s="18">
        <f>(6/4)/100</f>
        <v>1.4999999999999999E-2</v>
      </c>
      <c r="D47" s="15">
        <f>((100/9)/100)/4</f>
        <v>2.7777777777777776E-2</v>
      </c>
      <c r="E47" s="14" t="s">
        <v>237</v>
      </c>
      <c r="F47" s="14" t="s">
        <v>487</v>
      </c>
      <c r="H47" s="14" t="s">
        <v>157</v>
      </c>
      <c r="I47" s="15">
        <f>(6/5)/100</f>
        <v>1.2E-2</v>
      </c>
      <c r="J47" s="15">
        <f>(1/3)/5</f>
        <v>6.6666666666666666E-2</v>
      </c>
      <c r="K47" s="16" t="s">
        <v>340</v>
      </c>
      <c r="L47" s="105" t="s">
        <v>524</v>
      </c>
      <c r="N47" s="17" t="s">
        <v>4</v>
      </c>
      <c r="O47" s="15">
        <v>0</v>
      </c>
      <c r="P47" s="15">
        <v>0</v>
      </c>
      <c r="Q47" s="36" t="s">
        <v>371</v>
      </c>
      <c r="R47" s="36" t="s">
        <v>544</v>
      </c>
      <c r="T47" s="17" t="s">
        <v>4</v>
      </c>
      <c r="U47" s="18">
        <v>0</v>
      </c>
      <c r="V47" s="18">
        <v>0</v>
      </c>
      <c r="W47" s="14" t="s">
        <v>403</v>
      </c>
      <c r="X47" s="106" t="s">
        <v>565</v>
      </c>
    </row>
    <row r="48" spans="2:24" ht="72">
      <c r="B48" s="14" t="s">
        <v>60</v>
      </c>
      <c r="C48" s="18">
        <f>(6/3)/100</f>
        <v>0.02</v>
      </c>
      <c r="D48" s="15">
        <f>((100/9)/100)/3</f>
        <v>3.7037037037037035E-2</v>
      </c>
      <c r="E48" s="14" t="s">
        <v>238</v>
      </c>
      <c r="H48" s="28" t="s">
        <v>158</v>
      </c>
      <c r="I48" s="15">
        <f>(6/4)/100</f>
        <v>1.4999999999999999E-2</v>
      </c>
      <c r="J48" s="15">
        <f>(1/3)/4</f>
        <v>8.3333333333333329E-2</v>
      </c>
      <c r="K48" s="16" t="s">
        <v>341</v>
      </c>
      <c r="L48" s="105" t="s">
        <v>525</v>
      </c>
      <c r="N48" s="37"/>
      <c r="T48" s="22"/>
    </row>
    <row r="49" spans="2:24" ht="72">
      <c r="B49" s="14" t="s">
        <v>61</v>
      </c>
      <c r="C49" s="18">
        <f>(6/2)/100</f>
        <v>0.03</v>
      </c>
      <c r="D49" s="15">
        <f>((100/9)/100)/2</f>
        <v>5.5555555555555552E-2</v>
      </c>
      <c r="E49" s="14" t="s">
        <v>239</v>
      </c>
      <c r="H49" s="14" t="s">
        <v>159</v>
      </c>
      <c r="I49" s="15">
        <f>(6/3)/100</f>
        <v>0.02</v>
      </c>
      <c r="J49" s="15">
        <f>(1/3)/3</f>
        <v>0.1111111111111111</v>
      </c>
      <c r="K49" s="16" t="s">
        <v>342</v>
      </c>
      <c r="L49" s="105" t="s">
        <v>526</v>
      </c>
      <c r="N49" s="13" t="s">
        <v>373</v>
      </c>
      <c r="T49" s="113" t="s">
        <v>621</v>
      </c>
    </row>
    <row r="50" spans="2:24" ht="144">
      <c r="B50" s="14" t="s">
        <v>62</v>
      </c>
      <c r="C50" s="18">
        <f>5/100</f>
        <v>0.05</v>
      </c>
      <c r="D50" s="15">
        <f>11/100</f>
        <v>0.11</v>
      </c>
      <c r="E50" s="14" t="s">
        <v>240</v>
      </c>
      <c r="H50" s="14" t="s">
        <v>160</v>
      </c>
      <c r="I50" s="15">
        <f>(6/2)/100</f>
        <v>0.03</v>
      </c>
      <c r="J50" s="15">
        <f>(1/3)/2</f>
        <v>0.16666666666666666</v>
      </c>
      <c r="K50" s="16" t="s">
        <v>343</v>
      </c>
      <c r="N50" s="17" t="s">
        <v>3</v>
      </c>
      <c r="O50" s="15">
        <v>7.0000000000000007E-2</v>
      </c>
      <c r="P50" s="15">
        <f>1/3</f>
        <v>0.33333333333333331</v>
      </c>
      <c r="Q50" s="14" t="s">
        <v>377</v>
      </c>
      <c r="T50" s="17" t="s">
        <v>622</v>
      </c>
      <c r="U50" s="18">
        <v>0.05</v>
      </c>
      <c r="V50" s="18">
        <v>0.34</v>
      </c>
      <c r="W50" s="14" t="s">
        <v>703</v>
      </c>
    </row>
    <row r="51" spans="2:24" ht="115.2">
      <c r="B51" s="33"/>
      <c r="D51" s="27"/>
      <c r="H51" s="14" t="s">
        <v>161</v>
      </c>
      <c r="I51" s="15">
        <f>5/100</f>
        <v>0.05</v>
      </c>
      <c r="J51" s="15">
        <f>1/3</f>
        <v>0.33333333333333331</v>
      </c>
      <c r="K51" s="16" t="s">
        <v>344</v>
      </c>
      <c r="N51" s="17" t="s">
        <v>4</v>
      </c>
      <c r="O51" s="15">
        <v>0</v>
      </c>
      <c r="P51" s="15">
        <v>0</v>
      </c>
      <c r="Q51" s="14" t="s">
        <v>376</v>
      </c>
      <c r="R51" s="106" t="s">
        <v>545</v>
      </c>
      <c r="T51" s="17" t="s">
        <v>623</v>
      </c>
      <c r="U51" s="18">
        <v>0.04</v>
      </c>
      <c r="V51" s="18">
        <v>0.25</v>
      </c>
      <c r="W51" s="14" t="s">
        <v>704</v>
      </c>
      <c r="X51" s="8"/>
    </row>
    <row r="52" spans="2:24" ht="38.4" customHeight="1">
      <c r="B52" s="11" t="s">
        <v>63</v>
      </c>
      <c r="D52" s="27"/>
      <c r="N52" s="37"/>
      <c r="T52" s="14" t="s">
        <v>624</v>
      </c>
      <c r="U52" s="18">
        <v>0.03</v>
      </c>
      <c r="V52" s="18">
        <v>0.15</v>
      </c>
      <c r="W52" s="14" t="s">
        <v>705</v>
      </c>
      <c r="X52" s="126" t="s">
        <v>708</v>
      </c>
    </row>
    <row r="53" spans="2:24" ht="100.8">
      <c r="B53" s="14" t="s">
        <v>3</v>
      </c>
      <c r="C53" s="18">
        <f>3/100</f>
        <v>0.03</v>
      </c>
      <c r="D53" s="15">
        <f>11/100</f>
        <v>0.11</v>
      </c>
      <c r="E53" s="14" t="s">
        <v>303</v>
      </c>
      <c r="H53" s="122" t="s">
        <v>578</v>
      </c>
      <c r="N53" s="11" t="s">
        <v>177</v>
      </c>
      <c r="T53" s="14" t="s">
        <v>625</v>
      </c>
      <c r="U53" s="18">
        <v>0.02</v>
      </c>
      <c r="V53" s="18">
        <v>0.05</v>
      </c>
      <c r="W53" s="14" t="s">
        <v>706</v>
      </c>
      <c r="X53" s="126" t="s">
        <v>709</v>
      </c>
    </row>
    <row r="54" spans="2:24" ht="100.8">
      <c r="B54" s="14" t="s">
        <v>4</v>
      </c>
      <c r="C54" s="18">
        <v>0</v>
      </c>
      <c r="D54" s="15">
        <v>0</v>
      </c>
      <c r="E54" s="14" t="s">
        <v>244</v>
      </c>
      <c r="F54" s="14" t="s">
        <v>497</v>
      </c>
      <c r="H54" s="14" t="s">
        <v>579</v>
      </c>
      <c r="I54" s="15">
        <v>0.03</v>
      </c>
      <c r="J54" s="15">
        <v>0.17</v>
      </c>
      <c r="K54" s="16" t="s">
        <v>651</v>
      </c>
      <c r="N54" s="17" t="s">
        <v>3</v>
      </c>
      <c r="O54" s="15">
        <v>7.0000000000000007E-2</v>
      </c>
      <c r="P54" s="15">
        <f>1/3</f>
        <v>0.33333333333333331</v>
      </c>
      <c r="Q54" s="14" t="s">
        <v>375</v>
      </c>
      <c r="T54" s="14" t="s">
        <v>727</v>
      </c>
      <c r="U54" s="18">
        <v>0</v>
      </c>
      <c r="V54" s="18">
        <v>0</v>
      </c>
      <c r="W54" s="14" t="s">
        <v>707</v>
      </c>
      <c r="X54" s="126" t="s">
        <v>710</v>
      </c>
    </row>
    <row r="55" spans="2:24" ht="115.2">
      <c r="D55" s="27"/>
      <c r="H55" s="14" t="s">
        <v>580</v>
      </c>
      <c r="I55" s="15">
        <v>0.02</v>
      </c>
      <c r="J55" s="15">
        <v>0.1</v>
      </c>
      <c r="K55" s="16" t="s">
        <v>652</v>
      </c>
      <c r="L55" s="121"/>
      <c r="N55" s="17" t="s">
        <v>4</v>
      </c>
      <c r="O55" s="15">
        <v>0</v>
      </c>
      <c r="P55" s="15">
        <v>0</v>
      </c>
      <c r="Q55" s="14" t="s">
        <v>374</v>
      </c>
      <c r="R55" s="14" t="s">
        <v>546</v>
      </c>
      <c r="T55" s="20"/>
    </row>
    <row r="56" spans="2:24" ht="72">
      <c r="B56" s="11" t="s">
        <v>64</v>
      </c>
      <c r="D56" s="27"/>
      <c r="H56" s="28" t="s">
        <v>581</v>
      </c>
      <c r="I56" s="18">
        <v>0.01</v>
      </c>
      <c r="J56" s="18">
        <v>0.05</v>
      </c>
      <c r="K56" s="14" t="s">
        <v>653</v>
      </c>
      <c r="L56" s="14" t="s">
        <v>660</v>
      </c>
      <c r="N56" s="37"/>
      <c r="T56" s="20"/>
    </row>
    <row r="57" spans="2:24" ht="72">
      <c r="B57" s="14" t="s">
        <v>3</v>
      </c>
      <c r="C57" s="18">
        <f>3/100</f>
        <v>0.03</v>
      </c>
      <c r="D57" s="15">
        <f>11/100</f>
        <v>0.11</v>
      </c>
      <c r="E57" s="14" t="s">
        <v>246</v>
      </c>
      <c r="H57" s="14" t="s">
        <v>582</v>
      </c>
      <c r="I57" s="123">
        <v>0</v>
      </c>
      <c r="J57" s="123">
        <v>0</v>
      </c>
      <c r="K57" s="14" t="s">
        <v>654</v>
      </c>
      <c r="L57" s="14" t="s">
        <v>661</v>
      </c>
      <c r="N57" s="11" t="s">
        <v>178</v>
      </c>
      <c r="T57" s="113" t="s">
        <v>626</v>
      </c>
    </row>
    <row r="58" spans="2:24" ht="129.6">
      <c r="B58" s="14" t="s">
        <v>4</v>
      </c>
      <c r="C58" s="18">
        <v>0</v>
      </c>
      <c r="D58" s="15">
        <v>0</v>
      </c>
      <c r="E58" s="14" t="s">
        <v>245</v>
      </c>
      <c r="F58" s="14" t="s">
        <v>498</v>
      </c>
      <c r="H58" s="8"/>
      <c r="I58" s="120"/>
      <c r="J58" s="120"/>
      <c r="K58" s="121"/>
      <c r="N58" s="17" t="s">
        <v>3</v>
      </c>
      <c r="O58" s="15">
        <v>0.08</v>
      </c>
      <c r="P58" s="15">
        <f>1/3</f>
        <v>0.33333333333333331</v>
      </c>
      <c r="Q58" s="14" t="s">
        <v>379</v>
      </c>
      <c r="T58" s="17" t="s">
        <v>627</v>
      </c>
      <c r="U58" s="18">
        <v>0.05</v>
      </c>
      <c r="V58" s="18">
        <v>0.5</v>
      </c>
      <c r="W58" s="14" t="s">
        <v>711</v>
      </c>
    </row>
    <row r="59" spans="2:24" ht="115.2">
      <c r="B59" s="21"/>
      <c r="D59" s="27"/>
      <c r="H59" s="122" t="s">
        <v>583</v>
      </c>
      <c r="N59" s="17" t="s">
        <v>4</v>
      </c>
      <c r="O59" s="15">
        <v>0</v>
      </c>
      <c r="P59" s="15">
        <v>0</v>
      </c>
      <c r="Q59" s="14" t="s">
        <v>378</v>
      </c>
      <c r="R59" s="106" t="s">
        <v>551</v>
      </c>
      <c r="T59" s="17" t="s">
        <v>628</v>
      </c>
      <c r="U59" s="18">
        <v>0.04</v>
      </c>
      <c r="V59" s="18">
        <v>0.35</v>
      </c>
      <c r="W59" s="14" t="s">
        <v>712</v>
      </c>
      <c r="X59" s="8"/>
    </row>
    <row r="60" spans="2:24" ht="115.2">
      <c r="B60" s="11" t="s">
        <v>65</v>
      </c>
      <c r="D60" s="27"/>
      <c r="H60" s="14" t="s">
        <v>584</v>
      </c>
      <c r="I60" s="15">
        <v>0.03</v>
      </c>
      <c r="J60" s="15">
        <v>0.16</v>
      </c>
      <c r="K60" s="16" t="s">
        <v>655</v>
      </c>
      <c r="N60" s="37"/>
      <c r="T60" s="14" t="s">
        <v>629</v>
      </c>
      <c r="U60" s="18">
        <v>0.03</v>
      </c>
      <c r="V60" s="18">
        <v>0.2</v>
      </c>
      <c r="W60" s="14" t="s">
        <v>713</v>
      </c>
      <c r="X60" s="126" t="s">
        <v>716</v>
      </c>
    </row>
    <row r="61" spans="2:24" ht="100.8">
      <c r="B61" s="23">
        <v>0</v>
      </c>
      <c r="C61" s="18">
        <v>0</v>
      </c>
      <c r="D61" s="15">
        <v>0</v>
      </c>
      <c r="E61" s="14" t="s">
        <v>247</v>
      </c>
      <c r="F61" s="14" t="s">
        <v>499</v>
      </c>
      <c r="H61" s="14" t="s">
        <v>585</v>
      </c>
      <c r="I61" s="15">
        <v>0.02</v>
      </c>
      <c r="J61" s="15">
        <v>0.1</v>
      </c>
      <c r="K61" s="16" t="s">
        <v>656</v>
      </c>
      <c r="L61" s="121"/>
      <c r="N61" s="11" t="s">
        <v>179</v>
      </c>
      <c r="T61" s="14" t="s">
        <v>630</v>
      </c>
      <c r="U61" s="18">
        <v>0.02</v>
      </c>
      <c r="V61" s="18">
        <v>0.1</v>
      </c>
      <c r="W61" s="14" t="s">
        <v>714</v>
      </c>
      <c r="X61" s="126" t="s">
        <v>717</v>
      </c>
    </row>
    <row r="62" spans="2:24" ht="86.4">
      <c r="B62" s="14" t="s">
        <v>6</v>
      </c>
      <c r="C62" s="18">
        <f>(3/5)/100</f>
        <v>6.0000000000000001E-3</v>
      </c>
      <c r="D62" s="15">
        <f>((100/9)/100)/5</f>
        <v>2.222222222222222E-2</v>
      </c>
      <c r="E62" s="14" t="s">
        <v>248</v>
      </c>
      <c r="F62" s="14" t="s">
        <v>500</v>
      </c>
      <c r="H62" s="28" t="s">
        <v>586</v>
      </c>
      <c r="I62" s="18">
        <v>0.01</v>
      </c>
      <c r="J62" s="18">
        <v>7.0000000000000007E-2</v>
      </c>
      <c r="K62" s="14" t="s">
        <v>657</v>
      </c>
      <c r="L62" s="14" t="s">
        <v>662</v>
      </c>
      <c r="N62" s="17" t="s">
        <v>3</v>
      </c>
      <c r="O62" s="15">
        <v>0.09</v>
      </c>
      <c r="P62" s="15">
        <f>1/3</f>
        <v>0.33333333333333331</v>
      </c>
      <c r="Q62" s="14" t="s">
        <v>381</v>
      </c>
      <c r="T62" s="14" t="s">
        <v>631</v>
      </c>
      <c r="U62" s="18">
        <v>0</v>
      </c>
      <c r="V62" s="18">
        <v>0</v>
      </c>
      <c r="W62" s="14" t="s">
        <v>715</v>
      </c>
      <c r="X62" s="126" t="s">
        <v>718</v>
      </c>
    </row>
    <row r="63" spans="2:24" ht="115.2">
      <c r="B63" s="14" t="s">
        <v>7</v>
      </c>
      <c r="C63" s="18">
        <f>(3/4)/100</f>
        <v>7.4999999999999997E-3</v>
      </c>
      <c r="D63" s="15">
        <f>((100/9)/100)/4</f>
        <v>2.7777777777777776E-2</v>
      </c>
      <c r="E63" s="14" t="s">
        <v>249</v>
      </c>
      <c r="H63" s="14" t="s">
        <v>587</v>
      </c>
      <c r="I63" s="123">
        <v>5.0000000000000001E-3</v>
      </c>
      <c r="J63" s="123">
        <v>0.05</v>
      </c>
      <c r="K63" s="14" t="s">
        <v>658</v>
      </c>
      <c r="L63" s="14" t="s">
        <v>663</v>
      </c>
      <c r="N63" s="17" t="s">
        <v>4</v>
      </c>
      <c r="O63" s="15">
        <v>0</v>
      </c>
      <c r="P63" s="15">
        <v>0</v>
      </c>
      <c r="Q63" s="14" t="s">
        <v>380</v>
      </c>
      <c r="R63" s="106" t="s">
        <v>547</v>
      </c>
      <c r="T63" s="20"/>
    </row>
    <row r="64" spans="2:24" ht="72">
      <c r="B64" s="14" t="s">
        <v>8</v>
      </c>
      <c r="C64" s="18">
        <f>(3/3)/100</f>
        <v>0.01</v>
      </c>
      <c r="D64" s="15">
        <f>((100/9)/100)/3</f>
        <v>3.7037037037037035E-2</v>
      </c>
      <c r="E64" s="14" t="s">
        <v>250</v>
      </c>
      <c r="H64" s="14" t="s">
        <v>588</v>
      </c>
      <c r="I64" s="123">
        <v>0</v>
      </c>
      <c r="J64" s="123">
        <v>0</v>
      </c>
      <c r="K64" s="14" t="s">
        <v>659</v>
      </c>
      <c r="L64" s="14" t="s">
        <v>664</v>
      </c>
      <c r="N64" s="37"/>
      <c r="T64" s="113" t="s">
        <v>632</v>
      </c>
    </row>
    <row r="65" spans="2:24" ht="129.6">
      <c r="B65" s="14" t="s">
        <v>9</v>
      </c>
      <c r="C65" s="18">
        <f>(3/2)/100</f>
        <v>1.4999999999999999E-2</v>
      </c>
      <c r="D65" s="15">
        <f>((100/9)/100)/2</f>
        <v>5.5555555555555552E-2</v>
      </c>
      <c r="E65" s="14" t="s">
        <v>251</v>
      </c>
      <c r="H65" s="8"/>
      <c r="I65" s="119"/>
      <c r="J65" s="119"/>
      <c r="N65" s="11" t="s">
        <v>180</v>
      </c>
      <c r="T65" s="17" t="s">
        <v>728</v>
      </c>
      <c r="U65" s="18">
        <v>0.05</v>
      </c>
      <c r="V65" s="18">
        <v>0.34</v>
      </c>
      <c r="W65" s="14" t="s">
        <v>719</v>
      </c>
    </row>
    <row r="66" spans="2:24" ht="129.6">
      <c r="B66" s="14" t="s">
        <v>10</v>
      </c>
      <c r="C66" s="18">
        <f>3/100</f>
        <v>0.03</v>
      </c>
      <c r="D66" s="15">
        <f>11/100</f>
        <v>0.11</v>
      </c>
      <c r="E66" s="14" t="s">
        <v>252</v>
      </c>
      <c r="H66" s="122" t="s">
        <v>589</v>
      </c>
      <c r="N66" s="17" t="s">
        <v>3</v>
      </c>
      <c r="O66" s="15">
        <f>9/100</f>
        <v>0.09</v>
      </c>
      <c r="P66" s="15">
        <f>1/3</f>
        <v>0.33333333333333331</v>
      </c>
      <c r="Q66" s="14" t="s">
        <v>383</v>
      </c>
      <c r="T66" s="126" t="s">
        <v>633</v>
      </c>
      <c r="U66" s="18">
        <v>0.04</v>
      </c>
      <c r="V66" s="18">
        <v>0.25</v>
      </c>
      <c r="W66" s="14" t="s">
        <v>720</v>
      </c>
      <c r="X66" s="8"/>
    </row>
    <row r="67" spans="2:24" ht="129.6">
      <c r="B67" s="33"/>
      <c r="D67" s="27"/>
      <c r="H67" s="14" t="s">
        <v>590</v>
      </c>
      <c r="I67" s="15">
        <v>0.03</v>
      </c>
      <c r="J67" s="15">
        <v>0.16</v>
      </c>
      <c r="K67" s="16" t="s">
        <v>665</v>
      </c>
      <c r="N67" s="17" t="s">
        <v>4</v>
      </c>
      <c r="O67" s="15">
        <v>0</v>
      </c>
      <c r="P67" s="15">
        <v>0</v>
      </c>
      <c r="Q67" s="14" t="s">
        <v>382</v>
      </c>
      <c r="R67" s="106" t="s">
        <v>548</v>
      </c>
      <c r="T67" s="14" t="s">
        <v>634</v>
      </c>
      <c r="U67" s="18">
        <v>0.03</v>
      </c>
      <c r="V67" s="18">
        <v>0.15</v>
      </c>
      <c r="W67" s="14" t="s">
        <v>721</v>
      </c>
      <c r="X67" s="126" t="s">
        <v>724</v>
      </c>
    </row>
    <row r="68" spans="2:24" ht="86.4">
      <c r="B68" s="13" t="s">
        <v>66</v>
      </c>
      <c r="D68" s="27"/>
      <c r="H68" s="14" t="s">
        <v>591</v>
      </c>
      <c r="I68" s="15">
        <v>0.02</v>
      </c>
      <c r="J68" s="15">
        <v>0.1</v>
      </c>
      <c r="K68" s="16" t="s">
        <v>666</v>
      </c>
      <c r="L68" s="121"/>
      <c r="T68" s="14" t="s">
        <v>635</v>
      </c>
      <c r="U68" s="18">
        <v>0.02</v>
      </c>
      <c r="V68" s="18">
        <v>0.1</v>
      </c>
      <c r="W68" s="14" t="s">
        <v>722</v>
      </c>
      <c r="X68" s="126" t="s">
        <v>725</v>
      </c>
    </row>
    <row r="69" spans="2:24" ht="100.8">
      <c r="B69" s="14" t="s">
        <v>67</v>
      </c>
      <c r="C69" s="18">
        <v>0</v>
      </c>
      <c r="D69" s="15">
        <v>0</v>
      </c>
      <c r="E69" s="14" t="s">
        <v>253</v>
      </c>
      <c r="F69" s="14" t="s">
        <v>501</v>
      </c>
      <c r="H69" s="28" t="s">
        <v>592</v>
      </c>
      <c r="I69" s="18">
        <v>0.01</v>
      </c>
      <c r="J69" s="18">
        <v>7.0000000000000007E-2</v>
      </c>
      <c r="K69" s="14" t="s">
        <v>667</v>
      </c>
      <c r="L69" s="14" t="s">
        <v>670</v>
      </c>
      <c r="N69" s="113" t="s">
        <v>637</v>
      </c>
      <c r="T69" s="14" t="s">
        <v>636</v>
      </c>
      <c r="U69" s="18">
        <v>0</v>
      </c>
      <c r="V69" s="18">
        <v>0</v>
      </c>
      <c r="W69" s="14" t="s">
        <v>723</v>
      </c>
      <c r="X69" s="126" t="s">
        <v>726</v>
      </c>
    </row>
    <row r="70" spans="2:24" ht="115.2">
      <c r="B70" s="14" t="s">
        <v>68</v>
      </c>
      <c r="C70" s="18">
        <f>(3/3)/100</f>
        <v>0.01</v>
      </c>
      <c r="D70" s="15">
        <f>((100/9)/100)/3</f>
        <v>3.7037037037037035E-2</v>
      </c>
      <c r="E70" s="14" t="s">
        <v>254</v>
      </c>
      <c r="F70" s="14" t="s">
        <v>502</v>
      </c>
      <c r="H70" s="14" t="s">
        <v>593</v>
      </c>
      <c r="I70" s="123">
        <v>5.0000000000000001E-3</v>
      </c>
      <c r="J70" s="123">
        <v>0.05</v>
      </c>
      <c r="K70" s="14" t="s">
        <v>668</v>
      </c>
      <c r="L70" s="14" t="s">
        <v>671</v>
      </c>
      <c r="N70" s="17" t="s">
        <v>639</v>
      </c>
      <c r="O70" s="15">
        <v>0.06</v>
      </c>
      <c r="P70" s="15">
        <v>0.25</v>
      </c>
      <c r="Q70" s="14" t="s">
        <v>699</v>
      </c>
      <c r="T70" s="20"/>
    </row>
    <row r="71" spans="2:24" ht="100.8">
      <c r="B71" s="14" t="s">
        <v>69</v>
      </c>
      <c r="C71" s="18">
        <f>(3/2)/100</f>
        <v>1.4999999999999999E-2</v>
      </c>
      <c r="D71" s="15">
        <f>((100/9)/100)/2</f>
        <v>5.5555555555555552E-2</v>
      </c>
      <c r="E71" s="14" t="s">
        <v>255</v>
      </c>
      <c r="H71" s="14" t="s">
        <v>594</v>
      </c>
      <c r="I71" s="123">
        <v>0</v>
      </c>
      <c r="J71" s="123">
        <v>0</v>
      </c>
      <c r="K71" s="14" t="s">
        <v>669</v>
      </c>
      <c r="L71" s="14" t="s">
        <v>672</v>
      </c>
      <c r="N71" s="17" t="s">
        <v>638</v>
      </c>
      <c r="O71" s="15">
        <v>0.04</v>
      </c>
      <c r="P71" s="15">
        <f>(1/3)/2</f>
        <v>0.16666666666666666</v>
      </c>
      <c r="Q71" s="16" t="s">
        <v>700</v>
      </c>
      <c r="R71" s="8"/>
      <c r="T71" s="20"/>
    </row>
    <row r="72" spans="2:24" ht="100.8">
      <c r="B72" s="14" t="s">
        <v>70</v>
      </c>
      <c r="C72" s="18">
        <f>3/100</f>
        <v>0.03</v>
      </c>
      <c r="D72" s="15">
        <f>11/100</f>
        <v>0.11</v>
      </c>
      <c r="E72" s="14" t="s">
        <v>256</v>
      </c>
      <c r="N72" s="126" t="s">
        <v>640</v>
      </c>
      <c r="O72" s="15">
        <v>0.02</v>
      </c>
      <c r="P72" s="15">
        <f>(1/3)/3</f>
        <v>0.1111111111111111</v>
      </c>
      <c r="Q72" s="16" t="s">
        <v>701</v>
      </c>
      <c r="R72" s="16" t="s">
        <v>702</v>
      </c>
      <c r="T72" s="20"/>
    </row>
    <row r="73" spans="2:24" ht="86.4">
      <c r="B73" s="33"/>
      <c r="D73" s="27"/>
      <c r="H73" s="124" t="s">
        <v>595</v>
      </c>
      <c r="N73" s="14" t="s">
        <v>641</v>
      </c>
      <c r="O73" s="15">
        <v>0.01</v>
      </c>
      <c r="P73" s="15">
        <f>(1/3)/4</f>
        <v>8.3333333333333329E-2</v>
      </c>
      <c r="Q73" s="16" t="s">
        <v>698</v>
      </c>
      <c r="R73" s="16" t="s">
        <v>698</v>
      </c>
      <c r="T73" s="20"/>
    </row>
    <row r="74" spans="2:24" ht="86.4">
      <c r="B74" s="11" t="s">
        <v>71</v>
      </c>
      <c r="D74" s="27"/>
      <c r="H74" s="14" t="s">
        <v>596</v>
      </c>
      <c r="I74" s="15">
        <v>0.03</v>
      </c>
      <c r="J74" s="15">
        <v>0.5</v>
      </c>
      <c r="K74" s="16" t="s">
        <v>673</v>
      </c>
      <c r="N74" s="14" t="s">
        <v>642</v>
      </c>
      <c r="O74" s="15">
        <v>0</v>
      </c>
      <c r="P74" s="15">
        <v>0</v>
      </c>
      <c r="Q74" s="14" t="s">
        <v>697</v>
      </c>
      <c r="R74" s="14" t="s">
        <v>697</v>
      </c>
      <c r="T74" s="20"/>
    </row>
    <row r="75" spans="2:24" ht="72">
      <c r="B75" s="14" t="s">
        <v>3</v>
      </c>
      <c r="C75" s="18">
        <f>3/100</f>
        <v>0.03</v>
      </c>
      <c r="D75" s="107">
        <f>11/100</f>
        <v>0.11</v>
      </c>
      <c r="E75" s="14" t="s">
        <v>258</v>
      </c>
      <c r="H75" s="14" t="s">
        <v>597</v>
      </c>
      <c r="I75" s="15">
        <v>0.02</v>
      </c>
      <c r="J75" s="15">
        <v>0.25</v>
      </c>
      <c r="K75" s="16" t="s">
        <v>674</v>
      </c>
      <c r="L75" s="121"/>
      <c r="N75" s="31"/>
      <c r="T75" s="20"/>
    </row>
    <row r="76" spans="2:24" ht="86.4">
      <c r="B76" s="14" t="s">
        <v>4</v>
      </c>
      <c r="C76" s="18">
        <v>0</v>
      </c>
      <c r="D76" s="15">
        <v>0</v>
      </c>
      <c r="E76" s="14" t="s">
        <v>257</v>
      </c>
      <c r="F76" s="14" t="s">
        <v>471</v>
      </c>
      <c r="H76" s="28" t="s">
        <v>598</v>
      </c>
      <c r="I76" s="18">
        <v>0.01</v>
      </c>
      <c r="J76" s="18">
        <v>0.15</v>
      </c>
      <c r="K76" s="14" t="s">
        <v>675</v>
      </c>
      <c r="L76" s="14" t="s">
        <v>678</v>
      </c>
      <c r="N76" s="37"/>
      <c r="T76" s="20"/>
    </row>
    <row r="77" spans="2:24" ht="57.6">
      <c r="B77" s="21"/>
      <c r="D77" s="27"/>
      <c r="H77" s="14" t="s">
        <v>599</v>
      </c>
      <c r="I77" s="123">
        <v>5.0000000000000001E-3</v>
      </c>
      <c r="J77" s="123">
        <v>0.05</v>
      </c>
      <c r="K77" s="14" t="s">
        <v>676</v>
      </c>
      <c r="L77" s="14" t="s">
        <v>679</v>
      </c>
      <c r="N77" s="37"/>
      <c r="T77" s="20"/>
    </row>
    <row r="78" spans="2:24" ht="72">
      <c r="B78" s="11" t="s">
        <v>72</v>
      </c>
      <c r="D78" s="27"/>
      <c r="H78" s="14" t="s">
        <v>600</v>
      </c>
      <c r="I78" s="123">
        <v>0</v>
      </c>
      <c r="J78" s="123">
        <v>0</v>
      </c>
      <c r="K78" s="14" t="s">
        <v>677</v>
      </c>
      <c r="L78" s="14" t="s">
        <v>680</v>
      </c>
      <c r="N78" s="37"/>
      <c r="T78" s="20"/>
    </row>
    <row r="79" spans="2:24" ht="100.8">
      <c r="B79" s="14" t="s">
        <v>73</v>
      </c>
      <c r="C79" s="18">
        <v>0</v>
      </c>
      <c r="D79" s="15">
        <v>0</v>
      </c>
      <c r="E79" s="14" t="s">
        <v>259</v>
      </c>
      <c r="F79" s="14" t="s">
        <v>472</v>
      </c>
      <c r="H79" s="20"/>
      <c r="N79" s="37"/>
      <c r="T79" s="20"/>
    </row>
    <row r="80" spans="2:24" ht="144">
      <c r="B80" s="14" t="s">
        <v>74</v>
      </c>
      <c r="C80" s="18">
        <f>(4/5)/100</f>
        <v>8.0000000000000002E-3</v>
      </c>
      <c r="D80" s="15">
        <f>((100/9)/100)/5</f>
        <v>2.222222222222222E-2</v>
      </c>
      <c r="E80" s="14" t="s">
        <v>260</v>
      </c>
      <c r="F80" s="14" t="s">
        <v>473</v>
      </c>
      <c r="H80" s="124" t="s">
        <v>601</v>
      </c>
      <c r="N80" s="37"/>
      <c r="T80" s="20"/>
    </row>
    <row r="81" spans="2:20" ht="79.2" customHeight="1">
      <c r="B81" s="14" t="s">
        <v>75</v>
      </c>
      <c r="C81" s="18">
        <f>(4/4)/100</f>
        <v>0.01</v>
      </c>
      <c r="D81" s="15">
        <f>((100/9)/100)/4</f>
        <v>2.7777777777777776E-2</v>
      </c>
      <c r="E81" s="14" t="s">
        <v>261</v>
      </c>
      <c r="H81" s="14" t="s">
        <v>602</v>
      </c>
      <c r="I81" s="15">
        <v>0.03</v>
      </c>
      <c r="J81" s="15">
        <v>0.34</v>
      </c>
      <c r="K81" s="16" t="s">
        <v>681</v>
      </c>
      <c r="N81" s="37"/>
      <c r="T81" s="20"/>
    </row>
    <row r="82" spans="2:20" ht="86.4">
      <c r="B82" s="14" t="s">
        <v>76</v>
      </c>
      <c r="C82" s="18">
        <f>(4/3)/100</f>
        <v>1.3333333333333332E-2</v>
      </c>
      <c r="D82" s="15">
        <f>((100/9)/100)/3</f>
        <v>3.7037037037037035E-2</v>
      </c>
      <c r="E82" s="14" t="s">
        <v>262</v>
      </c>
      <c r="H82" s="14" t="s">
        <v>603</v>
      </c>
      <c r="I82" s="15">
        <v>0.02</v>
      </c>
      <c r="J82" s="15">
        <v>0.2</v>
      </c>
      <c r="K82" s="16" t="s">
        <v>682</v>
      </c>
      <c r="L82" s="121"/>
      <c r="N82" s="37"/>
      <c r="T82" s="20"/>
    </row>
    <row r="83" spans="2:20" ht="74.400000000000006" customHeight="1">
      <c r="B83" s="14" t="s">
        <v>77</v>
      </c>
      <c r="C83" s="18">
        <f>(4/2)/100</f>
        <v>0.02</v>
      </c>
      <c r="D83" s="15">
        <f>((100/9)/100)/2</f>
        <v>5.5555555555555552E-2</v>
      </c>
      <c r="E83" s="14" t="s">
        <v>264</v>
      </c>
      <c r="H83" s="28" t="s">
        <v>604</v>
      </c>
      <c r="I83" s="18">
        <v>0.01</v>
      </c>
      <c r="J83" s="18">
        <v>0.15</v>
      </c>
      <c r="K83" s="14" t="s">
        <v>683</v>
      </c>
      <c r="L83" s="14" t="s">
        <v>683</v>
      </c>
      <c r="N83" s="37"/>
      <c r="T83" s="20"/>
    </row>
    <row r="84" spans="2:20" ht="76.2" customHeight="1">
      <c r="B84" s="14" t="s">
        <v>78</v>
      </c>
      <c r="C84" s="18">
        <f>3/100</f>
        <v>0.03</v>
      </c>
      <c r="D84" s="108">
        <f>11/100</f>
        <v>0.11</v>
      </c>
      <c r="E84" s="14" t="s">
        <v>263</v>
      </c>
      <c r="H84" s="14" t="s">
        <v>605</v>
      </c>
      <c r="I84" s="123">
        <v>5.0000000000000001E-3</v>
      </c>
      <c r="J84" s="123">
        <v>0.05</v>
      </c>
      <c r="K84" s="14" t="s">
        <v>684</v>
      </c>
      <c r="L84" s="14" t="s">
        <v>687</v>
      </c>
      <c r="N84" s="37"/>
      <c r="T84" s="20"/>
    </row>
    <row r="85" spans="2:20" ht="93" customHeight="1">
      <c r="B85" s="33"/>
      <c r="D85" s="27"/>
      <c r="H85" s="14" t="s">
        <v>606</v>
      </c>
      <c r="I85" s="123">
        <v>0</v>
      </c>
      <c r="J85" s="123">
        <v>0</v>
      </c>
      <c r="K85" s="14" t="s">
        <v>685</v>
      </c>
      <c r="L85" s="14" t="s">
        <v>686</v>
      </c>
      <c r="N85" s="37"/>
      <c r="T85" s="20"/>
    </row>
    <row r="86" spans="2:20">
      <c r="B86" s="11" t="s">
        <v>79</v>
      </c>
      <c r="D86" s="27"/>
      <c r="H86" s="20"/>
      <c r="N86" s="37"/>
      <c r="T86" s="20"/>
    </row>
    <row r="87" spans="2:20" ht="72">
      <c r="B87" s="14" t="s">
        <v>80</v>
      </c>
      <c r="C87" s="18">
        <v>0</v>
      </c>
      <c r="D87" s="15">
        <v>0</v>
      </c>
      <c r="E87" s="14" t="s">
        <v>265</v>
      </c>
      <c r="F87" s="14" t="s">
        <v>503</v>
      </c>
      <c r="H87" s="124" t="s">
        <v>607</v>
      </c>
      <c r="N87" s="37"/>
      <c r="T87" s="20"/>
    </row>
    <row r="88" spans="2:20" ht="86.4">
      <c r="B88" s="14" t="s">
        <v>81</v>
      </c>
      <c r="C88" s="18">
        <f>(2/6)/100</f>
        <v>3.3333333333333331E-3</v>
      </c>
      <c r="D88" s="15">
        <f>((100/9)/100)/6</f>
        <v>1.8518518518518517E-2</v>
      </c>
      <c r="E88" s="14" t="s">
        <v>266</v>
      </c>
      <c r="F88" s="14" t="s">
        <v>504</v>
      </c>
      <c r="H88" s="14" t="s">
        <v>609</v>
      </c>
      <c r="I88" s="15">
        <v>0.03</v>
      </c>
      <c r="J88" s="15">
        <v>0.5</v>
      </c>
      <c r="K88" s="16" t="s">
        <v>688</v>
      </c>
      <c r="N88" s="37"/>
      <c r="T88" s="20"/>
    </row>
    <row r="89" spans="2:20" ht="72">
      <c r="B89" s="14" t="s">
        <v>82</v>
      </c>
      <c r="C89" s="18">
        <f>(2/5)/100</f>
        <v>4.0000000000000001E-3</v>
      </c>
      <c r="D89" s="15">
        <f>((100/9)/100)/5</f>
        <v>2.222222222222222E-2</v>
      </c>
      <c r="E89" s="14" t="s">
        <v>267</v>
      </c>
      <c r="H89" s="14" t="s">
        <v>610</v>
      </c>
      <c r="I89" s="15">
        <v>0.02</v>
      </c>
      <c r="J89" s="15">
        <v>0.25</v>
      </c>
      <c r="K89" s="16" t="s">
        <v>689</v>
      </c>
      <c r="L89" s="121"/>
      <c r="N89" s="37"/>
      <c r="T89" s="20"/>
    </row>
    <row r="90" spans="2:20" ht="57.6">
      <c r="B90" s="14" t="s">
        <v>83</v>
      </c>
      <c r="C90" s="18">
        <f>(2/4)/100</f>
        <v>5.0000000000000001E-3</v>
      </c>
      <c r="D90" s="15">
        <f>((100/9)/100)/4</f>
        <v>2.7777777777777776E-2</v>
      </c>
      <c r="E90" s="14" t="s">
        <v>268</v>
      </c>
      <c r="H90" s="28" t="s">
        <v>611</v>
      </c>
      <c r="I90" s="18">
        <v>0.01</v>
      </c>
      <c r="J90" s="18">
        <v>0.15</v>
      </c>
      <c r="K90" s="14" t="s">
        <v>690</v>
      </c>
      <c r="L90" s="14" t="s">
        <v>693</v>
      </c>
      <c r="N90" s="37"/>
      <c r="T90" s="20"/>
    </row>
    <row r="91" spans="2:20" ht="72">
      <c r="B91" s="14" t="s">
        <v>84</v>
      </c>
      <c r="C91" s="18">
        <f>(2/3)/100</f>
        <v>6.6666666666666662E-3</v>
      </c>
      <c r="D91" s="15">
        <f>((100/9)/100)/3</f>
        <v>3.7037037037037035E-2</v>
      </c>
      <c r="E91" s="14" t="s">
        <v>269</v>
      </c>
      <c r="H91" s="14" t="s">
        <v>612</v>
      </c>
      <c r="I91" s="123">
        <v>5.0000000000000001E-3</v>
      </c>
      <c r="J91" s="123">
        <v>0.05</v>
      </c>
      <c r="K91" s="14" t="s">
        <v>691</v>
      </c>
      <c r="L91" s="14" t="s">
        <v>694</v>
      </c>
      <c r="N91" s="37"/>
      <c r="T91" s="20"/>
    </row>
    <row r="92" spans="2:20" ht="57.6">
      <c r="B92" s="14" t="s">
        <v>85</v>
      </c>
      <c r="C92" s="18">
        <f>(2/2)/100</f>
        <v>0.01</v>
      </c>
      <c r="D92" s="15">
        <f>((100/9)/100)/2</f>
        <v>5.5555555555555552E-2</v>
      </c>
      <c r="E92" s="14" t="s">
        <v>270</v>
      </c>
      <c r="H92" s="14" t="s">
        <v>613</v>
      </c>
      <c r="I92" s="123">
        <v>0</v>
      </c>
      <c r="J92" s="123">
        <v>0</v>
      </c>
      <c r="K92" s="14" t="s">
        <v>692</v>
      </c>
      <c r="L92" s="14" t="s">
        <v>695</v>
      </c>
      <c r="N92" s="37"/>
      <c r="T92" s="20"/>
    </row>
    <row r="93" spans="2:20" ht="72">
      <c r="B93" s="14" t="s">
        <v>86</v>
      </c>
      <c r="C93" s="18">
        <f>2/100</f>
        <v>0.02</v>
      </c>
      <c r="D93" s="15">
        <f>11/100</f>
        <v>0.11</v>
      </c>
      <c r="E93" s="14" t="s">
        <v>271</v>
      </c>
      <c r="H93" s="20"/>
      <c r="N93" s="37"/>
      <c r="T93" s="20"/>
    </row>
    <row r="94" spans="2:20">
      <c r="B94" s="33"/>
      <c r="D94" s="27"/>
      <c r="H94" s="20"/>
      <c r="N94" s="21"/>
      <c r="T94" s="20"/>
    </row>
    <row r="95" spans="2:20">
      <c r="B95" s="11" t="s">
        <v>87</v>
      </c>
      <c r="D95" s="27"/>
      <c r="H95" s="20"/>
      <c r="N95" s="21"/>
      <c r="T95" s="20"/>
    </row>
    <row r="96" spans="2:20" ht="43.2">
      <c r="B96" s="14" t="s">
        <v>3</v>
      </c>
      <c r="C96" s="18">
        <f>5/100</f>
        <v>0.05</v>
      </c>
      <c r="D96" s="15">
        <f>17/100</f>
        <v>0.17</v>
      </c>
      <c r="E96" s="14" t="s">
        <v>273</v>
      </c>
      <c r="H96" s="20"/>
      <c r="N96" s="21"/>
      <c r="T96" s="20"/>
    </row>
    <row r="97" spans="2:20" ht="72">
      <c r="B97" s="14" t="s">
        <v>4</v>
      </c>
      <c r="C97" s="18">
        <v>0</v>
      </c>
      <c r="D97" s="15">
        <v>0</v>
      </c>
      <c r="E97" s="14" t="s">
        <v>272</v>
      </c>
      <c r="F97" s="14" t="s">
        <v>482</v>
      </c>
      <c r="H97" s="20"/>
      <c r="N97" s="21"/>
      <c r="T97" s="20"/>
    </row>
    <row r="98" spans="2:20">
      <c r="B98" s="33"/>
      <c r="D98" s="27"/>
      <c r="H98" s="20"/>
      <c r="N98" s="21"/>
      <c r="T98" s="20"/>
    </row>
    <row r="99" spans="2:20" ht="28.8">
      <c r="B99" s="13" t="s">
        <v>88</v>
      </c>
      <c r="D99" s="27"/>
      <c r="H99" s="20"/>
      <c r="N99" s="21"/>
      <c r="T99" s="20"/>
    </row>
    <row r="100" spans="2:20" ht="129.6">
      <c r="B100" s="14" t="s">
        <v>89</v>
      </c>
      <c r="C100" s="18">
        <v>0</v>
      </c>
      <c r="D100" s="15">
        <v>0</v>
      </c>
      <c r="E100" s="14" t="s">
        <v>274</v>
      </c>
      <c r="F100" s="14" t="s">
        <v>474</v>
      </c>
      <c r="H100" s="20"/>
      <c r="N100" s="21"/>
      <c r="T100" s="20"/>
    </row>
    <row r="101" spans="2:20" ht="115.2">
      <c r="B101" s="14" t="s">
        <v>90</v>
      </c>
      <c r="C101" s="18">
        <f>(5/4)/100</f>
        <v>1.2500000000000001E-2</v>
      </c>
      <c r="D101" s="15">
        <f>((100/6)/100)/4</f>
        <v>4.1666666666666671E-2</v>
      </c>
      <c r="E101" s="14" t="s">
        <v>492</v>
      </c>
      <c r="F101" s="14" t="s">
        <v>491</v>
      </c>
      <c r="H101" s="20"/>
      <c r="N101" s="21"/>
      <c r="T101" s="20"/>
    </row>
    <row r="102" spans="2:20" ht="86.4">
      <c r="B102" s="14" t="s">
        <v>91</v>
      </c>
      <c r="C102" s="18">
        <f>(5/3)/100</f>
        <v>1.6666666666666666E-2</v>
      </c>
      <c r="D102" s="15">
        <f>((100/6)/100)/3</f>
        <v>5.5555555555555559E-2</v>
      </c>
      <c r="E102" s="14" t="s">
        <v>275</v>
      </c>
      <c r="H102" s="20"/>
      <c r="N102" s="21"/>
      <c r="T102" s="20"/>
    </row>
    <row r="103" spans="2:20" ht="100.8">
      <c r="B103" s="14" t="s">
        <v>92</v>
      </c>
      <c r="C103" s="18">
        <f>(5/2)/100</f>
        <v>2.5000000000000001E-2</v>
      </c>
      <c r="D103" s="15">
        <f>((100/6)/100)/2</f>
        <v>8.3333333333333343E-2</v>
      </c>
      <c r="E103" s="14" t="s">
        <v>276</v>
      </c>
      <c r="H103" s="20"/>
      <c r="N103" s="21"/>
      <c r="T103" s="20"/>
    </row>
    <row r="104" spans="2:20" ht="57.6">
      <c r="B104" s="14" t="s">
        <v>93</v>
      </c>
      <c r="C104" s="18">
        <f>3/100</f>
        <v>0.03</v>
      </c>
      <c r="D104" s="15">
        <f>17/100</f>
        <v>0.17</v>
      </c>
      <c r="E104" s="14" t="s">
        <v>277</v>
      </c>
      <c r="H104" s="20"/>
      <c r="N104" s="21"/>
      <c r="T104" s="20"/>
    </row>
    <row r="105" spans="2:20">
      <c r="D105" s="27"/>
      <c r="H105" s="20"/>
      <c r="N105" s="21"/>
      <c r="T105" s="20"/>
    </row>
    <row r="106" spans="2:20" ht="28.8">
      <c r="B106" s="11" t="s">
        <v>94</v>
      </c>
      <c r="D106" s="27"/>
      <c r="H106" s="20"/>
      <c r="N106" s="21"/>
      <c r="T106" s="20"/>
    </row>
    <row r="107" spans="2:20" ht="129.6">
      <c r="B107" s="14" t="s">
        <v>95</v>
      </c>
      <c r="C107" s="18">
        <v>0</v>
      </c>
      <c r="D107" s="15">
        <v>0</v>
      </c>
      <c r="E107" s="14" t="s">
        <v>278</v>
      </c>
      <c r="F107" s="14" t="s">
        <v>493</v>
      </c>
      <c r="H107" s="20"/>
      <c r="N107" s="21"/>
      <c r="T107" s="20"/>
    </row>
    <row r="108" spans="2:20" ht="105">
      <c r="B108" s="14" t="s">
        <v>96</v>
      </c>
      <c r="C108" s="18">
        <f>(5/4)/100</f>
        <v>1.2500000000000001E-2</v>
      </c>
      <c r="D108" s="15">
        <f>((100/6)/100)/4</f>
        <v>4.1666666666666671E-2</v>
      </c>
      <c r="E108" s="38" t="s">
        <v>279</v>
      </c>
      <c r="F108" s="38" t="s">
        <v>494</v>
      </c>
      <c r="H108" s="20"/>
      <c r="N108" s="21"/>
      <c r="T108" s="20"/>
    </row>
    <row r="109" spans="2:20" ht="86.4">
      <c r="B109" s="14" t="s">
        <v>98</v>
      </c>
      <c r="C109" s="18">
        <f>(5/3)/100</f>
        <v>1.6666666666666666E-2</v>
      </c>
      <c r="D109" s="15">
        <f>((100/6)/100)/3</f>
        <v>5.5555555555555559E-2</v>
      </c>
      <c r="E109" s="14" t="s">
        <v>280</v>
      </c>
      <c r="H109" s="20"/>
      <c r="N109" s="21"/>
      <c r="T109" s="20"/>
    </row>
    <row r="110" spans="2:20" ht="72">
      <c r="B110" s="14" t="s">
        <v>97</v>
      </c>
      <c r="C110" s="18">
        <f>(5/2)/100</f>
        <v>2.5000000000000001E-2</v>
      </c>
      <c r="D110" s="15">
        <f>((100/6)/100)/2</f>
        <v>8.3333333333333343E-2</v>
      </c>
      <c r="E110" s="14" t="s">
        <v>281</v>
      </c>
      <c r="H110" s="20"/>
      <c r="N110" s="21"/>
      <c r="T110" s="20"/>
    </row>
    <row r="111" spans="2:20" ht="57.6">
      <c r="B111" s="14" t="s">
        <v>99</v>
      </c>
      <c r="C111" s="18">
        <f>4/100</f>
        <v>0.04</v>
      </c>
      <c r="D111" s="15">
        <f>17/100</f>
        <v>0.17</v>
      </c>
      <c r="E111" s="14" t="s">
        <v>282</v>
      </c>
      <c r="H111" s="20"/>
      <c r="N111" s="21"/>
      <c r="T111" s="20"/>
    </row>
    <row r="112" spans="2:20">
      <c r="B112" s="33"/>
      <c r="D112" s="27"/>
      <c r="H112" s="20"/>
      <c r="N112" s="21"/>
      <c r="T112" s="20"/>
    </row>
    <row r="113" spans="2:20">
      <c r="B113" s="11" t="s">
        <v>100</v>
      </c>
      <c r="D113" s="27"/>
      <c r="H113" s="20"/>
      <c r="N113" s="21"/>
      <c r="T113" s="20"/>
    </row>
    <row r="114" spans="2:20" ht="86.4">
      <c r="B114" s="14" t="s">
        <v>101</v>
      </c>
      <c r="C114" s="18">
        <v>0</v>
      </c>
      <c r="D114" s="15">
        <v>0</v>
      </c>
      <c r="E114" s="14" t="s">
        <v>489</v>
      </c>
      <c r="F114" s="14" t="s">
        <v>490</v>
      </c>
      <c r="H114" s="20"/>
      <c r="N114" s="21"/>
      <c r="T114" s="20"/>
    </row>
    <row r="115" spans="2:20" ht="72">
      <c r="B115" s="14" t="s">
        <v>102</v>
      </c>
      <c r="C115" s="18">
        <f>(7/5)/100</f>
        <v>1.3999999999999999E-2</v>
      </c>
      <c r="D115" s="15">
        <f>((100/6)/100)/5</f>
        <v>3.333333333333334E-2</v>
      </c>
      <c r="E115" s="14" t="s">
        <v>283</v>
      </c>
      <c r="F115" s="14" t="s">
        <v>488</v>
      </c>
      <c r="H115" s="20"/>
      <c r="N115" s="21"/>
      <c r="T115" s="20"/>
    </row>
    <row r="116" spans="2:20" ht="57.6">
      <c r="B116" s="14" t="s">
        <v>103</v>
      </c>
      <c r="C116" s="18">
        <f>(7/4)/100</f>
        <v>1.7500000000000002E-2</v>
      </c>
      <c r="D116" s="15">
        <f>((100/6)/100)/4</f>
        <v>4.1666666666666671E-2</v>
      </c>
      <c r="E116" s="14" t="s">
        <v>284</v>
      </c>
      <c r="H116" s="20"/>
      <c r="N116" s="21"/>
      <c r="T116" s="20"/>
    </row>
    <row r="117" spans="2:20" ht="43.2">
      <c r="B117" s="14" t="s">
        <v>104</v>
      </c>
      <c r="C117" s="18">
        <f>(7/3)/100</f>
        <v>2.3333333333333334E-2</v>
      </c>
      <c r="D117" s="15">
        <f>((100/6)/100)/3</f>
        <v>5.5555555555555559E-2</v>
      </c>
      <c r="E117" s="14" t="s">
        <v>285</v>
      </c>
      <c r="H117" s="20"/>
      <c r="N117" s="21"/>
      <c r="T117" s="20"/>
    </row>
    <row r="118" spans="2:20" ht="57.6">
      <c r="B118" s="14" t="s">
        <v>105</v>
      </c>
      <c r="C118" s="18">
        <f>(7/2)/100</f>
        <v>3.5000000000000003E-2</v>
      </c>
      <c r="D118" s="15">
        <f>((100/6)/100)/2</f>
        <v>8.3333333333333343E-2</v>
      </c>
      <c r="E118" s="14" t="s">
        <v>286</v>
      </c>
      <c r="H118" s="20"/>
      <c r="N118" s="21"/>
      <c r="T118" s="20"/>
    </row>
    <row r="119" spans="2:20" ht="57.6">
      <c r="B119" s="14" t="s">
        <v>106</v>
      </c>
      <c r="C119" s="18">
        <f>5/100</f>
        <v>0.05</v>
      </c>
      <c r="D119" s="15">
        <f>17/100</f>
        <v>0.17</v>
      </c>
      <c r="E119" s="14" t="s">
        <v>287</v>
      </c>
      <c r="H119" s="20"/>
      <c r="N119" s="21"/>
      <c r="T119" s="20"/>
    </row>
    <row r="120" spans="2:20">
      <c r="B120" s="33"/>
      <c r="D120" s="27"/>
      <c r="H120" s="20"/>
      <c r="N120" s="21"/>
      <c r="T120" s="20"/>
    </row>
    <row r="121" spans="2:20">
      <c r="B121" s="11" t="s">
        <v>107</v>
      </c>
      <c r="D121" s="27"/>
      <c r="H121" s="20"/>
      <c r="N121" s="21"/>
      <c r="T121" s="20"/>
    </row>
    <row r="122" spans="2:20" ht="86.4">
      <c r="B122" s="14" t="s">
        <v>3</v>
      </c>
      <c r="C122" s="18">
        <f>4/100</f>
        <v>0.04</v>
      </c>
      <c r="D122" s="15">
        <f>16/100</f>
        <v>0.16</v>
      </c>
      <c r="E122" s="14" t="s">
        <v>289</v>
      </c>
      <c r="H122" s="20"/>
      <c r="N122" s="21"/>
      <c r="T122" s="20"/>
    </row>
    <row r="123" spans="2:20" ht="86.4">
      <c r="B123" s="14" t="s">
        <v>4</v>
      </c>
      <c r="C123" s="18">
        <v>0</v>
      </c>
      <c r="D123" s="15">
        <v>0</v>
      </c>
      <c r="E123" s="14" t="s">
        <v>288</v>
      </c>
      <c r="F123" s="14" t="s">
        <v>475</v>
      </c>
      <c r="H123" s="20"/>
      <c r="N123" s="21"/>
      <c r="T123" s="20"/>
    </row>
    <row r="124" spans="2:20">
      <c r="B124" s="33"/>
      <c r="D124" s="27"/>
      <c r="H124" s="20"/>
      <c r="N124" s="21"/>
      <c r="T124" s="20"/>
    </row>
    <row r="125" spans="2:20">
      <c r="B125" s="11" t="s">
        <v>108</v>
      </c>
      <c r="D125" s="27"/>
      <c r="H125" s="20"/>
      <c r="N125" s="21"/>
      <c r="T125" s="20"/>
    </row>
    <row r="126" spans="2:20" ht="86.4">
      <c r="B126" s="14" t="s">
        <v>109</v>
      </c>
      <c r="C126" s="18">
        <v>0</v>
      </c>
      <c r="D126" s="15">
        <v>0</v>
      </c>
      <c r="E126" s="14" t="s">
        <v>290</v>
      </c>
      <c r="F126" s="14" t="s">
        <v>476</v>
      </c>
      <c r="H126" s="20"/>
      <c r="N126" s="21"/>
      <c r="T126" s="20"/>
    </row>
    <row r="127" spans="2:20" ht="100.8">
      <c r="B127" s="14" t="s">
        <v>110</v>
      </c>
      <c r="C127" s="18">
        <f>(4/3)/100</f>
        <v>1.3333333333333332E-2</v>
      </c>
      <c r="D127" s="15">
        <f>((100/6)/100)/3</f>
        <v>5.5555555555555559E-2</v>
      </c>
      <c r="E127" s="14" t="s">
        <v>291</v>
      </c>
      <c r="F127" s="14" t="s">
        <v>477</v>
      </c>
      <c r="H127" s="20"/>
      <c r="N127" s="21"/>
      <c r="T127" s="20"/>
    </row>
    <row r="128" spans="2:20" ht="57.6">
      <c r="B128" s="14" t="s">
        <v>111</v>
      </c>
      <c r="C128" s="18">
        <f>(4/2)/100</f>
        <v>0.02</v>
      </c>
      <c r="D128" s="15">
        <f>((100/6)/100)/2</f>
        <v>8.3333333333333343E-2</v>
      </c>
      <c r="E128" s="14" t="s">
        <v>292</v>
      </c>
      <c r="H128" s="20"/>
      <c r="N128" s="21"/>
      <c r="T128" s="20"/>
    </row>
    <row r="129" spans="2:20" ht="100.8">
      <c r="B129" s="14" t="s">
        <v>112</v>
      </c>
      <c r="C129" s="18">
        <f>3/100</f>
        <v>0.03</v>
      </c>
      <c r="D129" s="15">
        <f>16/100</f>
        <v>0.16</v>
      </c>
      <c r="E129" s="14" t="s">
        <v>293</v>
      </c>
      <c r="H129" s="20"/>
      <c r="N129" s="21"/>
      <c r="T129" s="20"/>
    </row>
    <row r="130" spans="2:20">
      <c r="B130" s="33"/>
      <c r="D130" s="27"/>
      <c r="H130" s="20"/>
      <c r="N130" s="21"/>
      <c r="T130" s="20"/>
    </row>
    <row r="131" spans="2:20">
      <c r="B131" s="11" t="s">
        <v>113</v>
      </c>
      <c r="D131" s="27"/>
      <c r="H131" s="20"/>
      <c r="N131" s="21"/>
      <c r="T131" s="20"/>
    </row>
    <row r="132" spans="2:20" ht="115.2">
      <c r="B132" s="14" t="s">
        <v>14</v>
      </c>
      <c r="C132" s="18">
        <v>0</v>
      </c>
      <c r="D132" s="15">
        <v>0</v>
      </c>
      <c r="E132" s="14" t="s">
        <v>294</v>
      </c>
      <c r="F132" s="14" t="s">
        <v>478</v>
      </c>
      <c r="H132" s="20"/>
      <c r="N132" s="21"/>
      <c r="T132" s="20"/>
    </row>
    <row r="133" spans="2:20" ht="129.6">
      <c r="B133" s="28" t="s">
        <v>114</v>
      </c>
      <c r="C133" s="18">
        <f>(2/4)/100</f>
        <v>5.0000000000000001E-3</v>
      </c>
      <c r="D133" s="15">
        <f>(25/4)/100</f>
        <v>6.25E-2</v>
      </c>
      <c r="E133" s="14" t="s">
        <v>295</v>
      </c>
      <c r="F133" s="14" t="s">
        <v>479</v>
      </c>
      <c r="H133" s="20"/>
      <c r="N133" s="21"/>
      <c r="T133" s="20"/>
    </row>
    <row r="134" spans="2:20" ht="57.6">
      <c r="B134" s="28" t="s">
        <v>115</v>
      </c>
      <c r="C134" s="18">
        <f>(2/3)/100</f>
        <v>6.6666666666666662E-3</v>
      </c>
      <c r="D134" s="15">
        <f>(25/3)/100</f>
        <v>8.3333333333333343E-2</v>
      </c>
      <c r="E134" s="14" t="s">
        <v>296</v>
      </c>
      <c r="H134" s="20"/>
      <c r="N134" s="21"/>
      <c r="T134" s="20"/>
    </row>
    <row r="135" spans="2:20" ht="86.4">
      <c r="B135" s="28" t="s">
        <v>116</v>
      </c>
      <c r="C135" s="18">
        <f>(2/2)/100</f>
        <v>0.01</v>
      </c>
      <c r="D135" s="15">
        <f>(25/2)/100</f>
        <v>0.125</v>
      </c>
      <c r="E135" s="14" t="s">
        <v>297</v>
      </c>
      <c r="H135" s="20"/>
      <c r="N135" s="21"/>
      <c r="T135" s="20"/>
    </row>
    <row r="136" spans="2:20" ht="115.2">
      <c r="B136" s="28" t="s">
        <v>117</v>
      </c>
      <c r="C136" s="18">
        <f>2/100</f>
        <v>0.02</v>
      </c>
      <c r="D136" s="15">
        <f>20/100</f>
        <v>0.2</v>
      </c>
      <c r="E136" s="14" t="s">
        <v>298</v>
      </c>
      <c r="H136" s="20"/>
      <c r="N136" s="21"/>
      <c r="T136" s="20"/>
    </row>
    <row r="137" spans="2:20">
      <c r="D137" s="27"/>
      <c r="H137" s="20"/>
      <c r="N137" s="21"/>
      <c r="T137" s="20"/>
    </row>
    <row r="138" spans="2:20">
      <c r="B138" s="11" t="s">
        <v>118</v>
      </c>
      <c r="D138" s="27"/>
      <c r="H138" s="20"/>
      <c r="N138" s="21"/>
      <c r="T138" s="20"/>
    </row>
    <row r="139" spans="2:20" ht="57.6">
      <c r="B139" s="14" t="s">
        <v>119</v>
      </c>
      <c r="C139" s="18">
        <f>0</f>
        <v>0</v>
      </c>
      <c r="D139" s="15">
        <v>0</v>
      </c>
      <c r="E139" s="14" t="s">
        <v>299</v>
      </c>
      <c r="F139" s="14" t="s">
        <v>484</v>
      </c>
      <c r="H139" s="20"/>
      <c r="N139" s="21"/>
      <c r="T139" s="20"/>
    </row>
    <row r="140" spans="2:20" ht="72">
      <c r="B140" s="14" t="s">
        <v>120</v>
      </c>
      <c r="C140" s="18">
        <f>(8/3)/100</f>
        <v>2.6666666666666665E-2</v>
      </c>
      <c r="D140" s="15">
        <f>(25/3)/100</f>
        <v>8.3333333333333343E-2</v>
      </c>
      <c r="E140" s="14" t="s">
        <v>300</v>
      </c>
      <c r="F140" s="14" t="s">
        <v>485</v>
      </c>
      <c r="H140" s="20"/>
      <c r="N140" s="21"/>
      <c r="T140" s="20"/>
    </row>
    <row r="141" spans="2:20" ht="57.6">
      <c r="B141" s="14" t="s">
        <v>121</v>
      </c>
      <c r="C141" s="18">
        <f>(8/2)/100</f>
        <v>0.04</v>
      </c>
      <c r="D141" s="15">
        <f>(25/2)/100</f>
        <v>0.125</v>
      </c>
      <c r="E141" s="14" t="s">
        <v>301</v>
      </c>
      <c r="H141" s="20"/>
      <c r="N141" s="21"/>
      <c r="T141" s="20"/>
    </row>
    <row r="142" spans="2:20" ht="100.8">
      <c r="B142" s="14" t="s">
        <v>122</v>
      </c>
      <c r="C142" s="18">
        <f>6/100</f>
        <v>0.06</v>
      </c>
      <c r="D142" s="15">
        <f>20/100</f>
        <v>0.2</v>
      </c>
      <c r="E142" s="14" t="s">
        <v>302</v>
      </c>
      <c r="H142" s="20"/>
      <c r="N142" s="21"/>
      <c r="T142" s="20"/>
    </row>
    <row r="143" spans="2:20">
      <c r="D143" s="27"/>
      <c r="H143" s="20"/>
      <c r="N143" s="21"/>
      <c r="T143" s="20"/>
    </row>
    <row r="144" spans="2:20" ht="28.8">
      <c r="B144" s="11" t="s">
        <v>123</v>
      </c>
      <c r="D144" s="27"/>
      <c r="H144" s="20"/>
      <c r="N144" s="21"/>
      <c r="T144" s="20"/>
    </row>
    <row r="145" spans="2:20" ht="72">
      <c r="B145" s="14" t="s">
        <v>124</v>
      </c>
      <c r="C145" s="18">
        <f>0</f>
        <v>0</v>
      </c>
      <c r="D145" s="15">
        <v>0</v>
      </c>
      <c r="E145" s="14" t="s">
        <v>304</v>
      </c>
      <c r="F145" s="14" t="s">
        <v>505</v>
      </c>
      <c r="H145" s="20"/>
      <c r="N145" s="21"/>
      <c r="T145" s="20"/>
    </row>
    <row r="146" spans="2:20" ht="115.2">
      <c r="B146" s="14" t="s">
        <v>125</v>
      </c>
      <c r="C146" s="18">
        <f>(8/4)/100</f>
        <v>0.02</v>
      </c>
      <c r="D146" s="15">
        <f>(25/4)/100</f>
        <v>6.25E-2</v>
      </c>
      <c r="E146" s="14" t="s">
        <v>305</v>
      </c>
      <c r="F146" s="14" t="s">
        <v>305</v>
      </c>
      <c r="H146" s="20"/>
      <c r="N146" s="21"/>
      <c r="T146" s="20"/>
    </row>
    <row r="147" spans="2:20" ht="43.2">
      <c r="B147" s="14" t="s">
        <v>126</v>
      </c>
      <c r="C147" s="18">
        <f>(8/3)/100</f>
        <v>2.6666666666666665E-2</v>
      </c>
      <c r="D147" s="15">
        <f>(25/3)/100</f>
        <v>8.3333333333333343E-2</v>
      </c>
      <c r="E147" s="14" t="s">
        <v>306</v>
      </c>
      <c r="H147" s="20"/>
      <c r="N147" s="21"/>
      <c r="T147" s="20"/>
    </row>
    <row r="148" spans="2:20" ht="57.6">
      <c r="B148" s="14" t="s">
        <v>127</v>
      </c>
      <c r="C148" s="18">
        <f>(8/2)/100</f>
        <v>0.04</v>
      </c>
      <c r="D148" s="15">
        <f>(25/2)/100</f>
        <v>0.125</v>
      </c>
      <c r="E148" s="14" t="s">
        <v>307</v>
      </c>
      <c r="H148" s="20"/>
      <c r="N148" s="21"/>
      <c r="T148" s="20"/>
    </row>
    <row r="149" spans="2:20" ht="100.8">
      <c r="B149" s="14" t="s">
        <v>128</v>
      </c>
      <c r="C149" s="18">
        <f>6/100</f>
        <v>0.06</v>
      </c>
      <c r="D149" s="15">
        <f>20/100</f>
        <v>0.2</v>
      </c>
      <c r="E149" s="14" t="s">
        <v>308</v>
      </c>
      <c r="H149" s="20"/>
      <c r="N149" s="21"/>
      <c r="T149" s="20"/>
    </row>
    <row r="150" spans="2:20">
      <c r="B150" s="21"/>
      <c r="D150" s="27"/>
      <c r="H150" s="20"/>
      <c r="N150" s="21"/>
      <c r="T150" s="20"/>
    </row>
    <row r="151" spans="2:20">
      <c r="B151" s="11" t="s">
        <v>129</v>
      </c>
      <c r="D151" s="27"/>
      <c r="H151" s="21"/>
      <c r="N151" s="21"/>
      <c r="T151" s="20"/>
    </row>
    <row r="152" spans="2:20" ht="100.8">
      <c r="B152" s="14" t="s">
        <v>130</v>
      </c>
      <c r="C152" s="18">
        <f>0</f>
        <v>0</v>
      </c>
      <c r="D152" s="15">
        <v>0</v>
      </c>
      <c r="E152" s="14" t="s">
        <v>309</v>
      </c>
      <c r="F152" s="14" t="s">
        <v>480</v>
      </c>
      <c r="H152" s="21"/>
      <c r="N152" s="21"/>
      <c r="T152" s="20"/>
    </row>
    <row r="153" spans="2:20" ht="86.4">
      <c r="B153" s="14" t="s">
        <v>131</v>
      </c>
      <c r="C153" s="18">
        <f>(6/4)/100</f>
        <v>1.4999999999999999E-2</v>
      </c>
      <c r="D153" s="15">
        <f>(25/4)/100</f>
        <v>6.25E-2</v>
      </c>
      <c r="E153" s="14" t="s">
        <v>310</v>
      </c>
      <c r="F153" s="14" t="s">
        <v>481</v>
      </c>
      <c r="H153" s="21"/>
      <c r="N153" s="21"/>
      <c r="T153" s="20"/>
    </row>
    <row r="154" spans="2:20" ht="72">
      <c r="B154" s="14" t="s">
        <v>132</v>
      </c>
      <c r="C154" s="18">
        <f>(6/3)/100</f>
        <v>0.02</v>
      </c>
      <c r="D154" s="15">
        <f>(25/3)/100</f>
        <v>8.3333333333333343E-2</v>
      </c>
      <c r="E154" s="14" t="s">
        <v>311</v>
      </c>
      <c r="H154" s="21"/>
      <c r="N154" s="21"/>
      <c r="T154" s="20"/>
    </row>
    <row r="155" spans="2:20" ht="72">
      <c r="B155" s="14" t="s">
        <v>133</v>
      </c>
      <c r="C155" s="18">
        <f>(6/2)/100</f>
        <v>0.03</v>
      </c>
      <c r="D155" s="15">
        <f>(25/2)/100</f>
        <v>0.125</v>
      </c>
      <c r="E155" s="14" t="s">
        <v>312</v>
      </c>
      <c r="H155" s="21"/>
      <c r="N155" s="21"/>
      <c r="T155" s="20"/>
    </row>
    <row r="156" spans="2:20" ht="115.2">
      <c r="B156" s="14" t="s">
        <v>134</v>
      </c>
      <c r="C156" s="18">
        <f>6/100</f>
        <v>0.06</v>
      </c>
      <c r="D156" s="15">
        <f>20/100</f>
        <v>0.2</v>
      </c>
      <c r="E156" s="14" t="s">
        <v>313</v>
      </c>
      <c r="H156" s="21"/>
      <c r="N156" s="21"/>
      <c r="T156" s="20"/>
    </row>
    <row r="157" spans="2:20">
      <c r="B157" s="21"/>
      <c r="H157" s="21"/>
      <c r="N157" s="21"/>
      <c r="T157" s="20"/>
    </row>
    <row r="158" spans="2:20">
      <c r="B158" s="113" t="s">
        <v>575</v>
      </c>
      <c r="C158" s="7"/>
      <c r="D158" s="7"/>
      <c r="E158" s="8"/>
      <c r="H158" s="21"/>
      <c r="N158" s="21"/>
      <c r="T158" s="20"/>
    </row>
    <row r="159" spans="2:20" ht="28.8">
      <c r="B159" s="14" t="s">
        <v>3</v>
      </c>
      <c r="C159" s="15">
        <v>0.02</v>
      </c>
      <c r="D159" s="15">
        <f>1/3</f>
        <v>0.33333333333333331</v>
      </c>
      <c r="E159" s="16" t="s">
        <v>346</v>
      </c>
      <c r="H159" s="21"/>
      <c r="N159" s="21"/>
      <c r="T159" s="20"/>
    </row>
    <row r="160" spans="2:20" ht="72">
      <c r="B160" s="14" t="s">
        <v>4</v>
      </c>
      <c r="C160" s="15">
        <v>0</v>
      </c>
      <c r="D160" s="15">
        <v>0</v>
      </c>
      <c r="E160" s="16" t="s">
        <v>345</v>
      </c>
      <c r="F160" s="105" t="s">
        <v>527</v>
      </c>
      <c r="H160" s="21"/>
      <c r="N160" s="21"/>
      <c r="T160" s="20"/>
    </row>
    <row r="161" spans="2:20">
      <c r="B161" s="30"/>
      <c r="C161" s="7"/>
      <c r="D161" s="7"/>
      <c r="E161" s="8"/>
      <c r="H161" s="21"/>
      <c r="N161" s="21"/>
      <c r="T161" s="20"/>
    </row>
    <row r="162" spans="2:20">
      <c r="B162" s="113" t="s">
        <v>576</v>
      </c>
      <c r="C162" s="7"/>
      <c r="D162" s="7"/>
      <c r="E162" s="8"/>
      <c r="H162" s="21"/>
      <c r="N162" s="21"/>
      <c r="T162" s="20"/>
    </row>
    <row r="163" spans="2:20" ht="72">
      <c r="B163" s="14" t="s">
        <v>3</v>
      </c>
      <c r="C163" s="15">
        <v>0.02</v>
      </c>
      <c r="D163" s="15">
        <f>1/3</f>
        <v>0.33333333333333331</v>
      </c>
      <c r="E163" s="16" t="s">
        <v>348</v>
      </c>
      <c r="H163" s="21"/>
      <c r="N163" s="21"/>
      <c r="T163" s="20"/>
    </row>
    <row r="164" spans="2:20" ht="90">
      <c r="B164" s="14" t="s">
        <v>4</v>
      </c>
      <c r="C164" s="15">
        <v>0</v>
      </c>
      <c r="D164" s="15">
        <v>0</v>
      </c>
      <c r="E164" s="38" t="s">
        <v>347</v>
      </c>
      <c r="F164" s="38" t="s">
        <v>528</v>
      </c>
      <c r="N164" s="21"/>
      <c r="T164" s="20"/>
    </row>
    <row r="165" spans="2:20">
      <c r="B165" s="30"/>
      <c r="C165" s="7"/>
      <c r="D165" s="7"/>
      <c r="E165" s="8"/>
      <c r="N165" s="21"/>
      <c r="T165" s="20"/>
    </row>
    <row r="166" spans="2:20">
      <c r="B166" s="113" t="s">
        <v>577</v>
      </c>
      <c r="C166" s="7"/>
      <c r="D166" s="7"/>
      <c r="E166" s="8"/>
      <c r="N166" s="21"/>
      <c r="T166" s="20"/>
    </row>
    <row r="167" spans="2:20" ht="72">
      <c r="B167" s="14" t="s">
        <v>3</v>
      </c>
      <c r="C167" s="15">
        <v>0.02</v>
      </c>
      <c r="D167" s="15">
        <f>1/3</f>
        <v>0.33333333333333331</v>
      </c>
      <c r="E167" s="16" t="s">
        <v>349</v>
      </c>
      <c r="N167" s="21"/>
      <c r="T167" s="20"/>
    </row>
    <row r="168" spans="2:20" ht="86.4">
      <c r="B168" s="14" t="s">
        <v>4</v>
      </c>
      <c r="C168" s="15">
        <v>0</v>
      </c>
      <c r="D168" s="15">
        <v>0</v>
      </c>
      <c r="E168" s="16" t="s">
        <v>532</v>
      </c>
      <c r="F168" s="105" t="s">
        <v>531</v>
      </c>
      <c r="N168" s="21"/>
      <c r="T168" s="20"/>
    </row>
    <row r="169" spans="2:20">
      <c r="B169" s="21"/>
      <c r="N169" s="21"/>
      <c r="T169" s="20"/>
    </row>
    <row r="170" spans="2:20">
      <c r="B170" s="113" t="s">
        <v>614</v>
      </c>
      <c r="C170" s="7"/>
      <c r="D170" s="7"/>
      <c r="E170" s="8"/>
      <c r="N170" s="21"/>
      <c r="T170" s="20"/>
    </row>
    <row r="171" spans="2:20" ht="72.599999999999994" customHeight="1">
      <c r="B171" s="14" t="s">
        <v>616</v>
      </c>
      <c r="C171" s="15">
        <v>0.04</v>
      </c>
      <c r="D171" s="15">
        <v>0.2</v>
      </c>
      <c r="E171" s="16" t="s">
        <v>643</v>
      </c>
      <c r="N171" s="21"/>
      <c r="T171" s="20"/>
    </row>
    <row r="172" spans="2:20" ht="57.6">
      <c r="B172" s="125" t="s">
        <v>617</v>
      </c>
      <c r="C172" s="15">
        <v>0.03</v>
      </c>
      <c r="D172" s="15">
        <f>(25/2)/100</f>
        <v>0.125</v>
      </c>
      <c r="E172" s="16" t="s">
        <v>644</v>
      </c>
      <c r="F172" s="121"/>
      <c r="N172" s="21"/>
      <c r="T172" s="20"/>
    </row>
    <row r="173" spans="2:20" ht="57.6">
      <c r="B173" s="14" t="s">
        <v>618</v>
      </c>
      <c r="C173" s="15">
        <v>0.02</v>
      </c>
      <c r="D173" s="15">
        <f>(25/3)/100</f>
        <v>8.3333333333333343E-2</v>
      </c>
      <c r="E173" s="127" t="s">
        <v>645</v>
      </c>
      <c r="N173" s="21"/>
      <c r="T173" s="20"/>
    </row>
    <row r="174" spans="2:20" ht="158.4">
      <c r="B174" s="14" t="s">
        <v>619</v>
      </c>
      <c r="C174" s="15">
        <v>0.01</v>
      </c>
      <c r="D174" s="15">
        <f>(25/4)/100</f>
        <v>6.25E-2</v>
      </c>
      <c r="E174" s="28" t="s">
        <v>646</v>
      </c>
      <c r="F174" s="28" t="s">
        <v>648</v>
      </c>
      <c r="N174" s="21"/>
      <c r="T174" s="20"/>
    </row>
    <row r="175" spans="2:20" ht="129.6">
      <c r="B175" s="14" t="s">
        <v>620</v>
      </c>
      <c r="C175" s="15">
        <v>0</v>
      </c>
      <c r="D175" s="15">
        <v>0</v>
      </c>
      <c r="E175" s="28" t="s">
        <v>647</v>
      </c>
      <c r="F175" s="28" t="s">
        <v>649</v>
      </c>
      <c r="N175" s="21"/>
      <c r="T175" s="20"/>
    </row>
    <row r="176" spans="2:20">
      <c r="B176" s="21"/>
      <c r="N176" s="21"/>
      <c r="T176" s="20"/>
    </row>
    <row r="177" spans="2:20">
      <c r="B177" s="21"/>
      <c r="N177" s="21"/>
      <c r="T177" s="20"/>
    </row>
    <row r="178" spans="2:20">
      <c r="B178" s="21"/>
      <c r="N178" s="21"/>
      <c r="T178" s="20"/>
    </row>
    <row r="179" spans="2:20">
      <c r="B179" s="21"/>
      <c r="N179" s="21"/>
      <c r="T179" s="20"/>
    </row>
    <row r="180" spans="2:20">
      <c r="B180" s="21"/>
      <c r="N180" s="21"/>
      <c r="T180" s="20"/>
    </row>
    <row r="181" spans="2:20">
      <c r="B181" s="21"/>
      <c r="N181" s="21"/>
      <c r="T181" s="20"/>
    </row>
    <row r="182" spans="2:20">
      <c r="B182" s="21"/>
      <c r="N182" s="21"/>
      <c r="T182" s="20"/>
    </row>
    <row r="183" spans="2:20">
      <c r="B183" s="21"/>
      <c r="N183" s="21"/>
      <c r="T183" s="20"/>
    </row>
    <row r="184" spans="2:20">
      <c r="B184" s="21"/>
      <c r="N184" s="21"/>
      <c r="T184" s="20"/>
    </row>
    <row r="185" spans="2:20">
      <c r="B185" s="21"/>
      <c r="N185" s="21"/>
      <c r="T185" s="20"/>
    </row>
    <row r="186" spans="2:20">
      <c r="B186" s="21"/>
    </row>
    <row r="187" spans="2:20">
      <c r="B187" s="21"/>
    </row>
    <row r="188" spans="2:20">
      <c r="B188" s="21"/>
    </row>
    <row r="189" spans="2:20">
      <c r="B189" s="21"/>
    </row>
    <row r="190" spans="2:20">
      <c r="B190" s="21"/>
    </row>
    <row r="191" spans="2:20">
      <c r="B191" s="21"/>
    </row>
    <row r="192" spans="2:20">
      <c r="B192" s="21"/>
    </row>
    <row r="193" spans="2:2">
      <c r="B193" s="21"/>
    </row>
    <row r="194" spans="2:2">
      <c r="B194" s="21"/>
    </row>
    <row r="195" spans="2:2">
      <c r="B195" s="21"/>
    </row>
    <row r="196" spans="2:2">
      <c r="B196" s="21"/>
    </row>
    <row r="197" spans="2:2">
      <c r="B197" s="21"/>
    </row>
    <row r="198" spans="2:2">
      <c r="B198" s="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Introducción</vt:lpstr>
      <vt:lpstr>Diagnóstico</vt:lpstr>
      <vt:lpstr>Hallazgos y Recomendaciones</vt:lpstr>
      <vt:lpstr>Mapa de Riesgo y Madurez</vt:lpstr>
      <vt:lpstr>Datos</vt:lpstr>
      <vt:lpstr>Listas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Rodriguez</dc:creator>
  <cp:lastModifiedBy>Sebastian Rodriguez</cp:lastModifiedBy>
  <dcterms:created xsi:type="dcterms:W3CDTF">2024-10-05T15:02:30Z</dcterms:created>
  <dcterms:modified xsi:type="dcterms:W3CDTF">2025-11-17T23:36:21Z</dcterms:modified>
</cp:coreProperties>
</file>