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imerUsuario\Desktop\Información tesis\"/>
    </mc:Choice>
  </mc:AlternateContent>
  <bookViews>
    <workbookView xWindow="37320" yWindow="0" windowWidth="20490" windowHeight="7755"/>
  </bookViews>
  <sheets>
    <sheet name="Verificación" sheetId="6" r:id="rId1"/>
    <sheet name="UV" sheetId="9" r:id="rId2"/>
    <sheet name="LOD Y LOQ" sheetId="8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9" l="1"/>
  <c r="E19" i="9" l="1"/>
  <c r="C19" i="9"/>
  <c r="L3" i="6"/>
  <c r="C16" i="9"/>
  <c r="E18" i="9"/>
  <c r="C15" i="9"/>
  <c r="D15" i="9"/>
  <c r="D13" i="9"/>
  <c r="D12" i="9"/>
  <c r="D11" i="9"/>
  <c r="D8" i="9"/>
  <c r="F8" i="9"/>
  <c r="C6" i="9"/>
  <c r="F16" i="9"/>
  <c r="E16" i="9"/>
  <c r="D16" i="9"/>
  <c r="K3" i="6"/>
  <c r="L15" i="8"/>
  <c r="L10" i="8"/>
  <c r="K10" i="8"/>
  <c r="J15" i="8"/>
  <c r="D15" i="8"/>
  <c r="D14" i="8"/>
  <c r="C14" i="8"/>
  <c r="D16" i="8"/>
  <c r="E7" i="9" l="1"/>
  <c r="E6" i="9"/>
  <c r="E15" i="9" s="1"/>
  <c r="D7" i="9"/>
  <c r="D6" i="9"/>
  <c r="C7" i="9"/>
  <c r="D9" i="9" l="1"/>
  <c r="L8" i="6" l="1"/>
  <c r="L4" i="6"/>
  <c r="L5" i="6"/>
  <c r="L6" i="6"/>
  <c r="L7" i="6"/>
  <c r="AI44" i="6" l="1"/>
  <c r="AH12" i="6" l="1"/>
  <c r="AH10" i="6"/>
  <c r="M15" i="8"/>
  <c r="N15" i="8" s="1"/>
  <c r="V16" i="6"/>
  <c r="L16" i="8"/>
  <c r="M16" i="8" s="1"/>
  <c r="N16" i="8" s="1"/>
  <c r="L17" i="8"/>
  <c r="M17" i="8" s="1"/>
  <c r="N17" i="8" s="1"/>
  <c r="V15" i="6"/>
  <c r="V14" i="6"/>
  <c r="U16" i="6"/>
  <c r="U15" i="6"/>
  <c r="U14" i="6"/>
  <c r="F9" i="9"/>
  <c r="D10" i="9"/>
  <c r="F7" i="9"/>
  <c r="F6" i="9"/>
  <c r="F15" i="9" l="1"/>
  <c r="F10" i="9"/>
  <c r="F12" i="9"/>
  <c r="F11" i="9"/>
  <c r="AH7" i="6"/>
  <c r="AH4" i="6"/>
  <c r="AH5" i="6"/>
  <c r="AH6" i="6" s="1"/>
  <c r="AH3" i="6"/>
  <c r="F13" i="9" l="1"/>
  <c r="AH14" i="6"/>
  <c r="AA41" i="6"/>
  <c r="AA40" i="6"/>
  <c r="AI33" i="6"/>
  <c r="AI29" i="6"/>
  <c r="AJ29" i="6"/>
  <c r="AH33" i="6"/>
  <c r="AG33" i="6"/>
  <c r="AG34" i="6"/>
  <c r="AG32" i="6"/>
  <c r="AG27" i="6"/>
  <c r="AG28" i="6"/>
  <c r="AG29" i="6"/>
  <c r="AG26" i="6"/>
  <c r="Y39" i="6" l="1"/>
  <c r="Y40" i="6"/>
  <c r="Y41" i="6"/>
  <c r="Y42" i="6"/>
  <c r="Y43" i="6"/>
  <c r="Y44" i="6"/>
  <c r="Y45" i="6"/>
  <c r="Y38" i="6"/>
  <c r="Y33" i="6"/>
  <c r="Y34" i="6"/>
  <c r="Y35" i="6"/>
  <c r="Y32" i="6"/>
  <c r="Y29" i="6"/>
  <c r="Y28" i="6"/>
  <c r="Z28" i="6" s="1"/>
  <c r="AA28" i="6" s="1"/>
  <c r="Y27" i="6"/>
  <c r="Z27" i="6" s="1"/>
  <c r="Z29" i="6"/>
  <c r="Y26" i="6"/>
  <c r="Z26" i="6" s="1"/>
  <c r="P10" i="6"/>
  <c r="P9" i="6"/>
  <c r="P8" i="6"/>
  <c r="P5" i="6"/>
  <c r="C17" i="8" l="1"/>
  <c r="C20" i="8" s="1"/>
  <c r="C15" i="8"/>
  <c r="C18" i="8" s="1"/>
  <c r="C16" i="8"/>
  <c r="C19" i="8" s="1"/>
  <c r="L12" i="8"/>
  <c r="C21" i="8" l="1"/>
  <c r="C22" i="8" s="1"/>
  <c r="C23" i="8" s="1"/>
  <c r="C24" i="8" s="1"/>
  <c r="C25" i="8"/>
  <c r="I4" i="8" l="1"/>
  <c r="I5" i="8"/>
  <c r="I6" i="8"/>
  <c r="I7" i="8"/>
  <c r="I3" i="8"/>
  <c r="H8" i="8" l="1"/>
  <c r="G8" i="8"/>
  <c r="I8" i="8" l="1"/>
  <c r="F9" i="6" l="1"/>
  <c r="E9" i="6"/>
  <c r="D9" i="6"/>
  <c r="C9" i="6"/>
  <c r="H8" i="6"/>
  <c r="H9" i="6" s="1"/>
  <c r="G8" i="6"/>
  <c r="M19" i="6" l="1"/>
  <c r="M21" i="6"/>
  <c r="M23" i="6"/>
  <c r="M20" i="6"/>
  <c r="M22" i="6"/>
  <c r="I19" i="6"/>
  <c r="I21" i="6"/>
  <c r="I23" i="6"/>
  <c r="I20" i="6"/>
  <c r="I22" i="6"/>
  <c r="I24" i="6"/>
  <c r="J8" i="6"/>
  <c r="L24" i="6"/>
  <c r="E24" i="6"/>
  <c r="J20" i="6"/>
  <c r="J22" i="6"/>
  <c r="J24" i="6"/>
  <c r="J19" i="6"/>
  <c r="J21" i="6"/>
  <c r="J23" i="6"/>
  <c r="C12" i="6"/>
  <c r="M24" i="6"/>
  <c r="K20" i="6"/>
  <c r="K22" i="6"/>
  <c r="K24" i="6"/>
  <c r="K19" i="6"/>
  <c r="K21" i="6"/>
  <c r="K23" i="6"/>
  <c r="H21" i="6"/>
  <c r="H23" i="6"/>
  <c r="H19" i="6"/>
  <c r="H20" i="6"/>
  <c r="H22" i="6"/>
  <c r="H24" i="6"/>
  <c r="G9" i="6"/>
  <c r="D10" i="6"/>
  <c r="I8" i="6"/>
  <c r="J4" i="6"/>
  <c r="J5" i="6"/>
  <c r="J6" i="6"/>
  <c r="J7" i="6"/>
  <c r="J3" i="6"/>
  <c r="C20" i="6" l="1"/>
  <c r="A21" i="6"/>
  <c r="E21" i="6"/>
  <c r="C22" i="6"/>
  <c r="A23" i="6"/>
  <c r="E23" i="6"/>
  <c r="C24" i="6"/>
  <c r="B19" i="6"/>
  <c r="F19" i="6"/>
  <c r="D20" i="6"/>
  <c r="B21" i="6"/>
  <c r="F21" i="6"/>
  <c r="D22" i="6"/>
  <c r="B23" i="6"/>
  <c r="F23" i="6"/>
  <c r="D24" i="6"/>
  <c r="C19" i="6"/>
  <c r="A19" i="6"/>
  <c r="A20" i="6"/>
  <c r="E20" i="6"/>
  <c r="C21" i="6"/>
  <c r="A22" i="6"/>
  <c r="E22" i="6"/>
  <c r="C23" i="6"/>
  <c r="A24" i="6"/>
  <c r="D19" i="6"/>
  <c r="B20" i="6"/>
  <c r="F20" i="6"/>
  <c r="D21" i="6"/>
  <c r="B22" i="6"/>
  <c r="F22" i="6"/>
  <c r="D23" i="6"/>
  <c r="B24" i="6"/>
  <c r="E19" i="6"/>
  <c r="C10" i="6"/>
  <c r="E10" i="6"/>
  <c r="F10" i="6"/>
  <c r="L21" i="6"/>
  <c r="L23" i="6"/>
  <c r="L20" i="6"/>
  <c r="L22" i="6"/>
  <c r="L19" i="6"/>
  <c r="G10" i="6"/>
  <c r="P16" i="6"/>
  <c r="P22" i="6" s="1"/>
  <c r="K8" i="6"/>
  <c r="H10" i="6"/>
  <c r="F24" i="6"/>
  <c r="I3" i="6"/>
  <c r="P17" i="6" l="1"/>
  <c r="P15" i="6"/>
  <c r="AG49" i="6"/>
  <c r="AG48" i="6"/>
  <c r="AG50" i="6" s="1"/>
  <c r="AI49" i="6"/>
  <c r="AI48" i="6"/>
  <c r="P18" i="6" l="1"/>
  <c r="P21" i="6"/>
  <c r="P23" i="6" s="1"/>
  <c r="AI50" i="6"/>
  <c r="Q9" i="6" l="1"/>
  <c r="Q10" i="6"/>
  <c r="Q8" i="6"/>
  <c r="V38" i="6"/>
  <c r="AI45" i="6" l="1"/>
  <c r="AH45" i="6"/>
  <c r="AG45" i="6"/>
  <c r="AG46" i="6" s="1"/>
  <c r="AF45" i="6"/>
  <c r="AF44" i="6"/>
  <c r="AH44" i="6"/>
  <c r="AG44" i="6"/>
  <c r="AG47" i="6" l="1"/>
  <c r="AI47" i="6"/>
  <c r="AI46" i="6"/>
  <c r="AF47" i="6"/>
  <c r="AF46" i="6"/>
  <c r="AH46" i="6"/>
  <c r="AH47" i="6"/>
  <c r="AH29" i="6"/>
  <c r="AH28" i="6"/>
  <c r="AH27" i="6"/>
  <c r="AH26" i="6"/>
  <c r="AI28" i="6" l="1"/>
  <c r="AJ28" i="6" s="1"/>
  <c r="AH34" i="6"/>
  <c r="AH32" i="6"/>
  <c r="AJ33" i="6" l="1"/>
  <c r="AI34" i="6"/>
  <c r="AJ34" i="6" s="1"/>
  <c r="Q6" i="6"/>
  <c r="Q7" i="6"/>
  <c r="Z39" i="6" l="1"/>
  <c r="Z40" i="6"/>
  <c r="Z41" i="6"/>
  <c r="Z42" i="6"/>
  <c r="AA42" i="6" s="1"/>
  <c r="Z43" i="6"/>
  <c r="Z44" i="6"/>
  <c r="AA44" i="6" s="1"/>
  <c r="Z45" i="6"/>
  <c r="Z38" i="6"/>
  <c r="AA45" i="6" l="1"/>
  <c r="AA43" i="6"/>
  <c r="AB43" i="6" s="1"/>
  <c r="AB44" i="6"/>
  <c r="AB40" i="6"/>
  <c r="AB42" i="6"/>
  <c r="AB45" i="6"/>
  <c r="AB41" i="6"/>
  <c r="Z32" i="6"/>
  <c r="Z35" i="6"/>
  <c r="Z34" i="6"/>
  <c r="Z33" i="6"/>
  <c r="AC40" i="6" l="1"/>
  <c r="AA35" i="6"/>
  <c r="AB35" i="6" s="1"/>
  <c r="AA34" i="6"/>
  <c r="AB34" i="6" s="1"/>
  <c r="AA29" i="6"/>
  <c r="AB29" i="6" s="1"/>
  <c r="AB28" i="6" l="1"/>
  <c r="I4" i="6"/>
  <c r="K4" i="6" s="1"/>
  <c r="U18" i="6" l="1"/>
  <c r="Y11" i="6"/>
  <c r="Y14" i="6" s="1"/>
  <c r="Y17" i="6" s="1"/>
  <c r="X11" i="6"/>
  <c r="X12" i="6" s="1"/>
  <c r="V18" i="6"/>
  <c r="X14" i="6" l="1"/>
  <c r="Y12" i="6"/>
  <c r="Y15" i="6" s="1"/>
  <c r="Y13" i="6"/>
  <c r="Y16" i="6" s="1"/>
  <c r="X13" i="6"/>
  <c r="I5" i="6"/>
  <c r="K5" i="6" s="1"/>
  <c r="I6" i="6"/>
  <c r="K6" i="6" s="1"/>
  <c r="I7" i="6"/>
  <c r="K7" i="6" s="1"/>
  <c r="P24" i="6"/>
  <c r="X16" i="6" l="1"/>
  <c r="X15" i="6"/>
  <c r="X17" i="6"/>
  <c r="Y18" i="6"/>
  <c r="X18" i="6" l="1"/>
  <c r="X19" i="6" s="1"/>
  <c r="X20" i="6" s="1"/>
  <c r="X21" i="6" s="1"/>
  <c r="Y19" i="6"/>
  <c r="Y20" i="6" s="1"/>
  <c r="Y21" i="6" l="1"/>
  <c r="Q5" i="6"/>
  <c r="S9" i="6" l="1"/>
  <c r="T9" i="6" s="1"/>
  <c r="S8" i="6"/>
  <c r="T8" i="6" s="1"/>
</calcChain>
</file>

<file path=xl/sharedStrings.xml><?xml version="1.0" encoding="utf-8"?>
<sst xmlns="http://schemas.openxmlformats.org/spreadsheetml/2006/main" count="327" uniqueCount="187">
  <si>
    <t>área</t>
  </si>
  <si>
    <t>Nombre</t>
  </si>
  <si>
    <t>leche sin dopar (73)</t>
  </si>
  <si>
    <t>leche sin dopar (72)</t>
  </si>
  <si>
    <t>leche sin dopar (71)</t>
  </si>
  <si>
    <t>Leche con UV 1 h y 30 min (68)</t>
  </si>
  <si>
    <t>Leche con UV 2 h (69)</t>
  </si>
  <si>
    <t>Leche dopada sin UV (70)</t>
  </si>
  <si>
    <t>quedó</t>
  </si>
  <si>
    <t>perdió</t>
  </si>
  <si>
    <t>[ng/mL]</t>
  </si>
  <si>
    <t>N datos</t>
  </si>
  <si>
    <t>Prom</t>
  </si>
  <si>
    <t>Prom G</t>
  </si>
  <si>
    <t>Prom - Prom G</t>
  </si>
  <si>
    <t>Q</t>
  </si>
  <si>
    <t>Qw</t>
  </si>
  <si>
    <t>Qa</t>
  </si>
  <si>
    <t>t, N grupos</t>
  </si>
  <si>
    <t>N mediciones</t>
  </si>
  <si>
    <t>S^2a</t>
  </si>
  <si>
    <t>S^2w</t>
  </si>
  <si>
    <t>Valor de F</t>
  </si>
  <si>
    <t>F umbral</t>
  </si>
  <si>
    <t>Qw + Qa</t>
  </si>
  <si>
    <t>numerador</t>
  </si>
  <si>
    <t>denominador</t>
  </si>
  <si>
    <t>Para la tabla de F</t>
  </si>
  <si>
    <t>t - N</t>
  </si>
  <si>
    <t>promedio</t>
  </si>
  <si>
    <t>lectura 1</t>
  </si>
  <si>
    <t>lectura 2</t>
  </si>
  <si>
    <t>lectura 3</t>
  </si>
  <si>
    <t>LDP</t>
  </si>
  <si>
    <t>rep</t>
  </si>
  <si>
    <t>rep inter</t>
  </si>
  <si>
    <t>desv</t>
  </si>
  <si>
    <t># datos</t>
  </si>
  <si>
    <t>Xi - X</t>
  </si>
  <si>
    <t>(Xi - X)^2</t>
  </si>
  <si>
    <t>suma</t>
  </si>
  <si>
    <t>desviacion</t>
  </si>
  <si>
    <t>varianza</t>
  </si>
  <si>
    <t>CV ó desv estan relativa</t>
  </si>
  <si>
    <t>lectura 4</t>
  </si>
  <si>
    <t>lectura 5</t>
  </si>
  <si>
    <t>[ng/mL] rep</t>
  </si>
  <si>
    <t>[ng/mL] rep inter</t>
  </si>
  <si>
    <t>lectura 6</t>
  </si>
  <si>
    <t># vial</t>
  </si>
  <si>
    <t>Área</t>
  </si>
  <si>
    <t>10 ng/mL</t>
  </si>
  <si>
    <t>0,625 ng/mL</t>
  </si>
  <si>
    <t>5 ng/mL</t>
  </si>
  <si>
    <t>2,5 ng/mL</t>
  </si>
  <si>
    <t>1,25 ng/mL</t>
  </si>
  <si>
    <t>Área réplica</t>
  </si>
  <si>
    <t>Análisis de varianza de un factor</t>
  </si>
  <si>
    <t>RESUMEN</t>
  </si>
  <si>
    <t>Grupos</t>
  </si>
  <si>
    <t>Cuenta</t>
  </si>
  <si>
    <t>Suma</t>
  </si>
  <si>
    <t>Promedio</t>
  </si>
  <si>
    <t>Varianza</t>
  </si>
  <si>
    <t>Columna 1</t>
  </si>
  <si>
    <t>Columna 2</t>
  </si>
  <si>
    <t>ANÁLISIS DE VARIANZA</t>
  </si>
  <si>
    <t>Origen de las variaciones</t>
  </si>
  <si>
    <t>Suma de cuadrados</t>
  </si>
  <si>
    <t>Grados de libertad</t>
  </si>
  <si>
    <t>Promedio de los cuadrados</t>
  </si>
  <si>
    <t>F</t>
  </si>
  <si>
    <t>Probabilidad</t>
  </si>
  <si>
    <t>Valor crítico para F</t>
  </si>
  <si>
    <t>Entre grupos</t>
  </si>
  <si>
    <t>Dentro de los grupos</t>
  </si>
  <si>
    <t>Total</t>
  </si>
  <si>
    <t>prom</t>
  </si>
  <si>
    <t>Columna 3</t>
  </si>
  <si>
    <t>Columna 4</t>
  </si>
  <si>
    <t>Columna 5</t>
  </si>
  <si>
    <t>Columna 6</t>
  </si>
  <si>
    <t>m</t>
  </si>
  <si>
    <t>b</t>
  </si>
  <si>
    <t>Hipótesis nula (Ho) se refiere a que el método analítico no está sujeto a errores sistemáticos, pero si a errores aleatorios. Las medias poblacionales son iguales. Si no se cumple esta hipótesis se toma la hipótesis alternativa, donde las medias poblacionales no son iguales.</t>
  </si>
  <si>
    <t>F=0,01315 y Fc=2,6206</t>
  </si>
  <si>
    <t>Valor crítico: se rechaza Ho si F &gt; Fc</t>
  </si>
  <si>
    <r>
      <t xml:space="preserve">P-valor: se rechaza Ho si P &lt; </t>
    </r>
    <r>
      <rPr>
        <sz val="11"/>
        <color theme="1"/>
        <rFont val="Calibri"/>
        <family val="2"/>
      </rPr>
      <t>α</t>
    </r>
  </si>
  <si>
    <t>P=0,9999 y α=0,05</t>
  </si>
  <si>
    <t>P es mayor a α, por lo que se acepta la hipótesis nula</t>
  </si>
  <si>
    <t>F es menor a Fc, por lo que se acepta la hipótesis nula</t>
  </si>
  <si>
    <t>áreas</t>
  </si>
  <si>
    <t>sin uv (91)</t>
  </si>
  <si>
    <t>sin uv (92)</t>
  </si>
  <si>
    <t>viales</t>
  </si>
  <si>
    <t>sin uv (105)</t>
  </si>
  <si>
    <t>sin uv (106)</t>
  </si>
  <si>
    <t>5 mL de leche dopada con 500 uL de patron de 10 ng/mL</t>
  </si>
  <si>
    <t>22,5 mL de leche dopada con 1500 uL de patron de 10 ng/mL</t>
  </si>
  <si>
    <t>sin uv (111)</t>
  </si>
  <si>
    <t>sin uv (112)</t>
  </si>
  <si>
    <t>con uv 1 h (113)</t>
  </si>
  <si>
    <t>con uv 1 h (114)</t>
  </si>
  <si>
    <t>con uv 1 h y 30 min (115)</t>
  </si>
  <si>
    <t>con uv 1 h y 30 min (116)</t>
  </si>
  <si>
    <t>con uv 2 h (117)</t>
  </si>
  <si>
    <t>con uv 2 h (118)</t>
  </si>
  <si>
    <t>X</t>
  </si>
  <si>
    <t>[en 1 mL]</t>
  </si>
  <si>
    <t>[en Vt=24 mL]</t>
  </si>
  <si>
    <t>[en Vt= 5,5 mL]</t>
  </si>
  <si>
    <t>con uv 2 h (107)</t>
  </si>
  <si>
    <t>con uv 2 h (108)</t>
  </si>
  <si>
    <t>con uv 2 h (93)</t>
  </si>
  <si>
    <t>con uv 2 h (94)</t>
  </si>
  <si>
    <t>[ ng/mL en 1 mL]</t>
  </si>
  <si>
    <t>x</t>
  </si>
  <si>
    <t>15,75 [ ng/mL en 1 mL]</t>
  </si>
  <si>
    <t>Leche entera</t>
  </si>
  <si>
    <t>Leche cruda</t>
  </si>
  <si>
    <t>[en Vt=5,5 mL]</t>
  </si>
  <si>
    <t>sin uv (123)</t>
  </si>
  <si>
    <t>sin uv (126)</t>
  </si>
  <si>
    <t>con uv 1 h (124)</t>
  </si>
  <si>
    <t>con uv 1 h (125)</t>
  </si>
  <si>
    <t>sin uv (131)</t>
  </si>
  <si>
    <t>con uv 1 h (129)</t>
  </si>
  <si>
    <t>con uv 1 h (130)</t>
  </si>
  <si>
    <t>LECHE ENTERA</t>
  </si>
  <si>
    <t>SIN UV</t>
  </si>
  <si>
    <t>CON UV 1 H</t>
  </si>
  <si>
    <t>LECHE CRUDA</t>
  </si>
  <si>
    <t>t, N grupos - 1</t>
  </si>
  <si>
    <t>incerti al 95% de P</t>
  </si>
  <si>
    <t>[ Real ]</t>
  </si>
  <si>
    <t>Variable 1</t>
  </si>
  <si>
    <t>Variable 2</t>
  </si>
  <si>
    <t>Media</t>
  </si>
  <si>
    <t>Observaciones</t>
  </si>
  <si>
    <t>Diferencia hipotética de las medias</t>
  </si>
  <si>
    <t>Estadístico t</t>
  </si>
  <si>
    <t>P(T&lt;=t) una cola</t>
  </si>
  <si>
    <t>Valor crítico de t (una cola)</t>
  </si>
  <si>
    <t>P(T&lt;=t) dos colas</t>
  </si>
  <si>
    <t>Valor crítico de t (dos colas)</t>
  </si>
  <si>
    <t>Prueba t para medias de dos muestras emparejadas</t>
  </si>
  <si>
    <t>Coeficiente de correlación de Pearson</t>
  </si>
  <si>
    <t>% REDUCCIÓN</t>
  </si>
  <si>
    <t>% REDUCCIÓN Final</t>
  </si>
  <si>
    <t>Incerti</t>
  </si>
  <si>
    <t>15,25 mL de leche dopada con 250 uL de patrón a 10 ng/mL</t>
  </si>
  <si>
    <t>desviación</t>
  </si>
  <si>
    <t>LOD</t>
  </si>
  <si>
    <t>LOQ</t>
  </si>
  <si>
    <t>Xi-X</t>
  </si>
  <si>
    <t>(Xi-X)^2</t>
  </si>
  <si>
    <t>y= mX+b</t>
  </si>
  <si>
    <t>X=(y-b)/m</t>
  </si>
  <si>
    <t>muestra dopada teoría</t>
  </si>
  <si>
    <t>Area exp</t>
  </si>
  <si>
    <t>[] calc (ng/ mL)</t>
  </si>
  <si>
    <t>des</t>
  </si>
  <si>
    <t>área teóric</t>
  </si>
  <si>
    <t>#datos</t>
  </si>
  <si>
    <t>Área 1</t>
  </si>
  <si>
    <t>Área 2</t>
  </si>
  <si>
    <t>Área 3</t>
  </si>
  <si>
    <t>Área 4</t>
  </si>
  <si>
    <t>Área 5</t>
  </si>
  <si>
    <t>Área 6</t>
  </si>
  <si>
    <t>Área promedio</t>
  </si>
  <si>
    <t>%RSD</t>
  </si>
  <si>
    <t>y=1660,6X-97,112</t>
  </si>
  <si>
    <t>y=mX+b</t>
  </si>
  <si>
    <t>[] calculada</t>
  </si>
  <si>
    <t>Area</t>
  </si>
  <si>
    <t>desvi</t>
  </si>
  <si>
    <t>BK</t>
  </si>
  <si>
    <t>R(%)</t>
  </si>
  <si>
    <t>NO BK</t>
  </si>
  <si>
    <t>[ ] corregida</t>
  </si>
  <si>
    <t>área corregida</t>
  </si>
  <si>
    <t>PARA LA LECHE CRUDA</t>
  </si>
  <si>
    <t>PARA LECHE ENTERA UHT</t>
  </si>
  <si>
    <t>RSD en área</t>
  </si>
  <si>
    <t>RSD en [ ]</t>
  </si>
  <si>
    <t>UV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</si>
</sst>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8" borderId="0" xfId="0" applyFill="1" applyBorder="1" applyAlignment="1">
      <alignment horizontal="center" vertical="center"/>
    </xf>
    <xf numFmtId="0" fontId="0" fillId="8" borderId="0" xfId="0" applyFill="1" applyBorder="1"/>
    <xf numFmtId="0" fontId="0" fillId="9" borderId="0" xfId="0" applyFill="1" applyAlignment="1">
      <alignment horizontal="center" vertical="center"/>
    </xf>
    <xf numFmtId="0" fontId="0" fillId="5" borderId="0" xfId="0" applyFill="1"/>
    <xf numFmtId="0" fontId="0" fillId="1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5" borderId="0" xfId="0" applyFill="1" applyBorder="1" applyAlignment="1"/>
    <xf numFmtId="0" fontId="3" fillId="0" borderId="0" xfId="0" applyFont="1" applyFill="1" applyBorder="1" applyAlignment="1">
      <alignment horizontal="right"/>
    </xf>
    <xf numFmtId="0" fontId="0" fillId="8" borderId="0" xfId="0" applyFill="1" applyBorder="1" applyAlignment="1">
      <alignment vertical="center"/>
    </xf>
    <xf numFmtId="0" fontId="0" fillId="15" borderId="0" xfId="0" applyFill="1"/>
    <xf numFmtId="0" fontId="0" fillId="0" borderId="0" xfId="0" applyFont="1" applyFill="1" applyBorder="1" applyAlignment="1">
      <alignment horizontal="center" vertical="center"/>
    </xf>
    <xf numFmtId="0" fontId="0" fillId="0" borderId="2" xfId="0" applyFill="1" applyBorder="1" applyAlignment="1"/>
    <xf numFmtId="0" fontId="1" fillId="0" borderId="3" xfId="0" applyFont="1" applyFill="1" applyBorder="1" applyAlignment="1">
      <alignment horizontal="center"/>
    </xf>
    <xf numFmtId="0" fontId="0" fillId="16" borderId="0" xfId="0" applyFill="1" applyBorder="1" applyAlignment="1"/>
    <xf numFmtId="0" fontId="0" fillId="0" borderId="0" xfId="0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/>
    <xf numFmtId="0" fontId="0" fillId="4" borderId="0" xfId="0" applyFont="1" applyFill="1" applyBorder="1" applyAlignment="1">
      <alignment horizontal="left" vertical="center"/>
    </xf>
    <xf numFmtId="0" fontId="0" fillId="4" borderId="0" xfId="0" applyFont="1" applyFill="1" applyAlignment="1">
      <alignment horizontal="left" vertical="center"/>
    </xf>
    <xf numFmtId="0" fontId="0" fillId="4" borderId="0" xfId="0" applyFill="1"/>
    <xf numFmtId="0" fontId="0" fillId="4" borderId="0" xfId="0" applyFill="1" applyAlignment="1">
      <alignment vertical="center"/>
    </xf>
    <xf numFmtId="0" fontId="2" fillId="4" borderId="0" xfId="0" applyFont="1" applyFill="1" applyAlignment="1">
      <alignment vertical="center"/>
    </xf>
    <xf numFmtId="0" fontId="0" fillId="11" borderId="0" xfId="0" applyFill="1"/>
    <xf numFmtId="0" fontId="2" fillId="0" borderId="0" xfId="0" applyFont="1" applyFill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0" fillId="11" borderId="0" xfId="0" applyFont="1" applyFill="1" applyBorder="1" applyAlignment="1">
      <alignment horizontal="center" vertical="center"/>
    </xf>
    <xf numFmtId="0" fontId="0" fillId="11" borderId="0" xfId="0" applyFont="1" applyFill="1" applyAlignment="1">
      <alignment horizontal="center" vertical="center"/>
    </xf>
    <xf numFmtId="0" fontId="0" fillId="11" borderId="0" xfId="0" applyFont="1" applyFill="1" applyAlignment="1">
      <alignment horizontal="left" vertical="center"/>
    </xf>
    <xf numFmtId="0" fontId="0" fillId="4" borderId="0" xfId="0" applyFont="1" applyFill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164" fontId="0" fillId="9" borderId="0" xfId="0" applyNumberFormat="1" applyFill="1" applyAlignment="1">
      <alignment horizontal="center" vertical="center"/>
    </xf>
    <xf numFmtId="2" fontId="0" fillId="9" borderId="0" xfId="0" applyNumberFormat="1" applyFill="1" applyAlignment="1">
      <alignment horizontal="center" vertical="center"/>
    </xf>
    <xf numFmtId="11" fontId="0" fillId="15" borderId="0" xfId="0" applyNumberFormat="1" applyFill="1"/>
    <xf numFmtId="11" fontId="0" fillId="5" borderId="0" xfId="0" applyNumberFormat="1" applyFill="1" applyBorder="1"/>
    <xf numFmtId="165" fontId="0" fillId="0" borderId="0" xfId="0" applyNumberFormat="1"/>
    <xf numFmtId="0" fontId="0" fillId="17" borderId="0" xfId="0" applyFill="1"/>
    <xf numFmtId="11" fontId="0" fillId="0" borderId="0" xfId="0" applyNumberFormat="1"/>
    <xf numFmtId="11" fontId="0" fillId="18" borderId="0" xfId="0" applyNumberFormat="1" applyFill="1"/>
    <xf numFmtId="11" fontId="0" fillId="5" borderId="0" xfId="0" applyNumberFormat="1" applyFill="1"/>
    <xf numFmtId="11" fontId="0" fillId="14" borderId="0" xfId="0" applyNumberFormat="1" applyFill="1"/>
    <xf numFmtId="11" fontId="0" fillId="5" borderId="0" xfId="0" applyNumberFormat="1" applyFill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15" borderId="0" xfId="0" applyNumberFormat="1" applyFill="1"/>
    <xf numFmtId="11" fontId="0" fillId="5" borderId="0" xfId="0" applyNumberFormat="1" applyFill="1" applyBorder="1" applyAlignment="1">
      <alignment vertical="center"/>
    </xf>
    <xf numFmtId="0" fontId="0" fillId="19" borderId="0" xfId="0" applyFill="1"/>
    <xf numFmtId="0" fontId="0" fillId="0" borderId="0" xfId="0" applyNumberFormat="1"/>
    <xf numFmtId="166" fontId="0" fillId="19" borderId="0" xfId="0" applyNumberFormat="1" applyFill="1"/>
    <xf numFmtId="0" fontId="0" fillId="0" borderId="0" xfId="0" applyAlignment="1">
      <alignment horizontal="center"/>
    </xf>
    <xf numFmtId="165" fontId="0" fillId="9" borderId="0" xfId="0" applyNumberFormat="1" applyFill="1" applyAlignment="1">
      <alignment horizontal="center" vertical="center"/>
    </xf>
    <xf numFmtId="166" fontId="0" fillId="9" borderId="0" xfId="0" applyNumberFormat="1" applyFill="1" applyAlignment="1">
      <alignment horizontal="center" vertical="center"/>
    </xf>
    <xf numFmtId="0" fontId="0" fillId="2" borderId="0" xfId="0" applyFill="1"/>
    <xf numFmtId="0" fontId="0" fillId="2" borderId="0" xfId="0" applyFill="1" applyBorder="1"/>
    <xf numFmtId="0" fontId="0" fillId="0" borderId="0" xfId="0" applyAlignment="1">
      <alignment horizontal="center"/>
    </xf>
    <xf numFmtId="0" fontId="0" fillId="0" borderId="0" xfId="0" applyFont="1" applyFill="1" applyAlignment="1">
      <alignment horizontal="left" vertical="center"/>
    </xf>
    <xf numFmtId="0" fontId="0" fillId="2" borderId="0" xfId="0" applyFont="1" applyFill="1" applyBorder="1" applyAlignment="1">
      <alignment horizontal="center" vertical="center"/>
    </xf>
    <xf numFmtId="0" fontId="0" fillId="11" borderId="0" xfId="0" applyFont="1" applyFill="1" applyBorder="1" applyAlignment="1">
      <alignment horizontal="center" vertical="center"/>
    </xf>
    <xf numFmtId="0" fontId="0" fillId="18" borderId="0" xfId="0" applyFill="1"/>
    <xf numFmtId="0" fontId="0" fillId="0" borderId="2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14" borderId="0" xfId="0" applyFill="1" applyBorder="1" applyAlignment="1">
      <alignment horizontal="center" vertical="center" wrapText="1"/>
    </xf>
    <xf numFmtId="0" fontId="0" fillId="12" borderId="0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7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11" borderId="0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19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024181532384322"/>
                  <c:y val="1.625761140215153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Verificación!$L$3:$L$8</c:f>
                <c:numCache>
                  <c:formatCode>General</c:formatCode>
                  <c:ptCount val="6"/>
                  <c:pt idx="0">
                    <c:v>1351.8097112974158</c:v>
                  </c:pt>
                  <c:pt idx="1">
                    <c:v>348.42026551067136</c:v>
                  </c:pt>
                  <c:pt idx="2">
                    <c:v>65.656368471969301</c:v>
                  </c:pt>
                  <c:pt idx="3">
                    <c:v>202.95034482118436</c:v>
                  </c:pt>
                  <c:pt idx="4">
                    <c:v>151.60859706429525</c:v>
                  </c:pt>
                  <c:pt idx="5">
                    <c:v>44.153172637713695</c:v>
                  </c:pt>
                </c:numCache>
              </c:numRef>
            </c:plus>
            <c:minus>
              <c:numRef>
                <c:f>Verificación!$L$3:$L$8</c:f>
                <c:numCache>
                  <c:formatCode>General</c:formatCode>
                  <c:ptCount val="6"/>
                  <c:pt idx="0">
                    <c:v>1351.8097112974158</c:v>
                  </c:pt>
                  <c:pt idx="1">
                    <c:v>348.42026551067136</c:v>
                  </c:pt>
                  <c:pt idx="2">
                    <c:v>65.656368471969301</c:v>
                  </c:pt>
                  <c:pt idx="3">
                    <c:v>202.95034482118436</c:v>
                  </c:pt>
                  <c:pt idx="4">
                    <c:v>151.60859706429525</c:v>
                  </c:pt>
                  <c:pt idx="5">
                    <c:v>44.153172637713695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Verificación!$B$3:$B$8</c:f>
              <c:numCache>
                <c:formatCode>0.00</c:formatCode>
                <c:ptCount val="6"/>
                <c:pt idx="0" formatCode="0.0">
                  <c:v>10</c:v>
                </c:pt>
                <c:pt idx="1">
                  <c:v>5</c:v>
                </c:pt>
                <c:pt idx="2">
                  <c:v>2.5</c:v>
                </c:pt>
                <c:pt idx="3" formatCode="General">
                  <c:v>1.25</c:v>
                </c:pt>
                <c:pt idx="4" formatCode="0.000">
                  <c:v>0.625</c:v>
                </c:pt>
                <c:pt idx="5" formatCode="0.0000">
                  <c:v>0.3125</c:v>
                </c:pt>
              </c:numCache>
            </c:numRef>
          </c:xVal>
          <c:yVal>
            <c:numRef>
              <c:f>Verificación!$I$3:$I$8</c:f>
              <c:numCache>
                <c:formatCode>0.00E+00</c:formatCode>
                <c:ptCount val="6"/>
                <c:pt idx="0">
                  <c:v>16574.258600000001</c:v>
                </c:pt>
                <c:pt idx="1">
                  <c:v>8189.1305666666676</c:v>
                </c:pt>
                <c:pt idx="2">
                  <c:v>3799.8930500000001</c:v>
                </c:pt>
                <c:pt idx="3">
                  <c:v>1940.7722166666665</c:v>
                </c:pt>
                <c:pt idx="4">
                  <c:v>1042.1564000000001</c:v>
                </c:pt>
                <c:pt idx="5">
                  <c:v>563.2819750000001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1236312"/>
        <c:axId val="251237488"/>
      </c:scatterChart>
      <c:valAx>
        <c:axId val="251236312"/>
        <c:scaling>
          <c:orientation val="minMax"/>
          <c:max val="1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Concentración</a:t>
                </a:r>
                <a:r>
                  <a:rPr lang="es-CO" baseline="0"/>
                  <a:t> [ug/mL]</a:t>
                </a:r>
                <a:endParaRPr lang="es-CO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51237488"/>
        <c:crosses val="autoZero"/>
        <c:crossBetween val="midCat"/>
      </c:valAx>
      <c:valAx>
        <c:axId val="251237488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Área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51236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Sin UVC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2"/>
              <c:pt idx="0">
                <c:v>Leche entera UHT</c:v>
              </c:pt>
              <c:pt idx="1">
                <c:v> Leche cruda</c:v>
              </c:pt>
            </c:strLit>
          </c:cat>
          <c:val>
            <c:numRef>
              <c:f>(UV!$C$4,UV!$E$4)</c:f>
              <c:numCache>
                <c:formatCode>General</c:formatCode>
                <c:ptCount val="2"/>
                <c:pt idx="0">
                  <c:v>0.67788248508599325</c:v>
                </c:pt>
                <c:pt idx="1">
                  <c:v>0.61398230065973802</c:v>
                </c:pt>
              </c:numCache>
            </c:numRef>
          </c:val>
        </c:ser>
        <c:ser>
          <c:idx val="1"/>
          <c:order val="1"/>
          <c:tx>
            <c:v>Con UVC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2"/>
              <c:pt idx="0">
                <c:v>Leche entera UHT</c:v>
              </c:pt>
              <c:pt idx="1">
                <c:v> Leche cruda</c:v>
              </c:pt>
            </c:strLit>
          </c:cat>
          <c:val>
            <c:numRef>
              <c:f>(UV!$D$4,UV!$F$4)</c:f>
              <c:numCache>
                <c:formatCode>General</c:formatCode>
                <c:ptCount val="2"/>
                <c:pt idx="0">
                  <c:v>0.35456077421244397</c:v>
                </c:pt>
                <c:pt idx="1">
                  <c:v>0.48643364723090299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1234744"/>
        <c:axId val="251231216"/>
      </c:barChart>
      <c:catAx>
        <c:axId val="251234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51231216"/>
        <c:crosses val="autoZero"/>
        <c:auto val="1"/>
        <c:lblAlgn val="ctr"/>
        <c:lblOffset val="100"/>
        <c:noMultiLvlLbl val="0"/>
      </c:catAx>
      <c:valAx>
        <c:axId val="251231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Concentración</a:t>
                </a:r>
                <a:r>
                  <a:rPr lang="es-CO" baseline="0"/>
                  <a:t> [ug/L]</a:t>
                </a:r>
                <a:endParaRPr lang="es-CO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51234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Leche entera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2"/>
              <c:pt idx="0">
                <c:v>Leche entera UHT</c:v>
              </c:pt>
              <c:pt idx="1">
                <c:v> Leche cruda</c:v>
              </c:pt>
            </c:strLit>
          </c:cat>
          <c:val>
            <c:numRef>
              <c:f>(UV!$D$8,UV!$F$8)</c:f>
              <c:numCache>
                <c:formatCode>General</c:formatCode>
                <c:ptCount val="2"/>
                <c:pt idx="0">
                  <c:v>47.854507110717911</c:v>
                </c:pt>
                <c:pt idx="1">
                  <c:v>20.773995161062629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1232000"/>
        <c:axId val="251232392"/>
      </c:barChart>
      <c:catAx>
        <c:axId val="25123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51232392"/>
        <c:crosses val="autoZero"/>
        <c:auto val="1"/>
        <c:lblAlgn val="ctr"/>
        <c:lblOffset val="100"/>
        <c:noMultiLvlLbl val="0"/>
      </c:catAx>
      <c:valAx>
        <c:axId val="25123239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Porcentaje</a:t>
                </a:r>
                <a:r>
                  <a:rPr lang="es-CO" baseline="0"/>
                  <a:t> de reducción de AFM1</a:t>
                </a:r>
                <a:endParaRPr lang="es-CO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51232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911108</xdr:colOff>
      <xdr:row>25</xdr:row>
      <xdr:rowOff>116418</xdr:rowOff>
    </xdr:from>
    <xdr:to>
      <xdr:col>6</xdr:col>
      <xdr:colOff>1111251</xdr:colOff>
      <xdr:row>44</xdr:row>
      <xdr:rowOff>179917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19</xdr:row>
      <xdr:rowOff>33337</xdr:rowOff>
    </xdr:from>
    <xdr:to>
      <xdr:col>5</xdr:col>
      <xdr:colOff>419100</xdr:colOff>
      <xdr:row>33</xdr:row>
      <xdr:rowOff>109537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114300</xdr:colOff>
      <xdr:row>6</xdr:row>
      <xdr:rowOff>19050</xdr:rowOff>
    </xdr:from>
    <xdr:to>
      <xdr:col>12</xdr:col>
      <xdr:colOff>114300</xdr:colOff>
      <xdr:row>20</xdr:row>
      <xdr:rowOff>95250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82"/>
  <sheetViews>
    <sheetView tabSelected="1" zoomScale="90" zoomScaleNormal="90" workbookViewId="0">
      <selection activeCell="E14" sqref="E14"/>
    </sheetView>
  </sheetViews>
  <sheetFormatPr baseColWidth="10" defaultRowHeight="15" x14ac:dyDescent="0.25"/>
  <cols>
    <col min="1" max="1" width="14.28515625" customWidth="1"/>
    <col min="2" max="2" width="16.85546875" customWidth="1"/>
    <col min="3" max="3" width="16.5703125" customWidth="1"/>
    <col min="4" max="4" width="13.42578125" customWidth="1"/>
    <col min="5" max="5" width="17.5703125" customWidth="1"/>
    <col min="6" max="6" width="13.42578125" customWidth="1"/>
    <col min="7" max="7" width="17.28515625" customWidth="1"/>
    <col min="8" max="9" width="16.7109375" customWidth="1"/>
    <col min="10" max="10" width="16.140625" customWidth="1"/>
    <col min="11" max="11" width="15.7109375" customWidth="1"/>
    <col min="12" max="12" width="17.5703125" customWidth="1"/>
    <col min="14" max="14" width="15.85546875" customWidth="1"/>
    <col min="15" max="15" width="17.7109375" customWidth="1"/>
    <col min="16" max="16" width="15.28515625" customWidth="1"/>
    <col min="17" max="17" width="29.42578125" customWidth="1"/>
    <col min="22" max="22" width="15.85546875" customWidth="1"/>
    <col min="23" max="23" width="26" customWidth="1"/>
    <col min="24" max="24" width="11.42578125" customWidth="1"/>
    <col min="26" max="26" width="25.85546875" customWidth="1"/>
    <col min="27" max="27" width="22.7109375" customWidth="1"/>
    <col min="28" max="28" width="23.140625" customWidth="1"/>
    <col min="30" max="30" width="23.7109375" customWidth="1"/>
    <col min="31" max="31" width="17.140625" customWidth="1"/>
    <col min="32" max="32" width="20.7109375" customWidth="1"/>
    <col min="33" max="33" width="24.7109375" customWidth="1"/>
    <col min="34" max="35" width="24.5703125" customWidth="1"/>
    <col min="39" max="39" width="15" customWidth="1"/>
    <col min="40" max="40" width="14.85546875" customWidth="1"/>
    <col min="41" max="41" width="12.140625" customWidth="1"/>
    <col min="42" max="42" width="19.85546875" customWidth="1"/>
    <col min="43" max="43" width="20.140625" customWidth="1"/>
    <col min="44" max="44" width="18" customWidth="1"/>
    <col min="45" max="45" width="22.85546875" customWidth="1"/>
  </cols>
  <sheetData>
    <row r="1" spans="1:42" x14ac:dyDescent="0.25">
      <c r="O1" t="s">
        <v>173</v>
      </c>
      <c r="Q1" s="4" t="s">
        <v>172</v>
      </c>
      <c r="S1" s="74" t="s">
        <v>82</v>
      </c>
      <c r="T1" s="74">
        <v>1660.6</v>
      </c>
      <c r="Z1" s="6" t="s">
        <v>82</v>
      </c>
      <c r="AA1" s="6">
        <v>1669.2</v>
      </c>
      <c r="AB1">
        <v>1660.6</v>
      </c>
    </row>
    <row r="2" spans="1:42" x14ac:dyDescent="0.25">
      <c r="A2" s="2"/>
      <c r="B2" s="15" t="s">
        <v>10</v>
      </c>
      <c r="C2" s="15" t="s">
        <v>164</v>
      </c>
      <c r="D2" s="15" t="s">
        <v>165</v>
      </c>
      <c r="E2" s="15" t="s">
        <v>166</v>
      </c>
      <c r="F2" s="15" t="s">
        <v>167</v>
      </c>
      <c r="G2" s="15" t="s">
        <v>168</v>
      </c>
      <c r="H2" s="15" t="s">
        <v>169</v>
      </c>
      <c r="I2" s="16" t="s">
        <v>170</v>
      </c>
      <c r="J2" s="15" t="s">
        <v>151</v>
      </c>
      <c r="K2" s="15" t="s">
        <v>171</v>
      </c>
      <c r="L2" s="15" t="s">
        <v>184</v>
      </c>
      <c r="N2" s="6"/>
      <c r="O2" s="4"/>
      <c r="P2" s="4"/>
      <c r="Q2" s="4" t="s">
        <v>157</v>
      </c>
      <c r="R2" s="4"/>
      <c r="S2" s="75" t="s">
        <v>83</v>
      </c>
      <c r="T2" s="75">
        <v>-97.111999999999995</v>
      </c>
      <c r="U2" s="6"/>
      <c r="Z2" s="6" t="s">
        <v>83</v>
      </c>
      <c r="AA2" s="6">
        <v>-159.01</v>
      </c>
      <c r="AB2">
        <v>-97.111999999999995</v>
      </c>
      <c r="AH2" t="s">
        <v>174</v>
      </c>
      <c r="AI2" t="s">
        <v>175</v>
      </c>
      <c r="AL2" s="76" t="s">
        <v>173</v>
      </c>
      <c r="AM2" s="82" t="s">
        <v>172</v>
      </c>
      <c r="AN2" s="82"/>
      <c r="AO2" s="74" t="s">
        <v>82</v>
      </c>
      <c r="AP2" s="74">
        <v>1660.6</v>
      </c>
    </row>
    <row r="3" spans="1:42" x14ac:dyDescent="0.25">
      <c r="B3" s="54">
        <v>10</v>
      </c>
      <c r="C3" s="56">
        <v>14731.37</v>
      </c>
      <c r="D3" s="56">
        <v>15139.84</v>
      </c>
      <c r="E3" s="56">
        <v>16895.188300000002</v>
      </c>
      <c r="F3" s="56">
        <v>16900.325000000001</v>
      </c>
      <c r="G3" s="56">
        <v>17974.763299999999</v>
      </c>
      <c r="H3" s="56">
        <v>17804.064999999999</v>
      </c>
      <c r="I3" s="57">
        <f t="shared" ref="I3:I8" si="0">AVERAGE(C3:H3)</f>
        <v>16574.258600000001</v>
      </c>
      <c r="J3">
        <f>STDEV(C3:H3)</f>
        <v>1351.8097112974158</v>
      </c>
      <c r="K3">
        <f>(J3/I3)*100</f>
        <v>8.1560795201868981</v>
      </c>
      <c r="L3" s="80">
        <f>(K3*I3)/100</f>
        <v>1351.8097112974158</v>
      </c>
      <c r="M3" s="96" t="s">
        <v>150</v>
      </c>
      <c r="N3" s="96"/>
      <c r="O3" s="96"/>
      <c r="P3" s="96"/>
      <c r="Q3" s="96"/>
      <c r="T3" s="6"/>
      <c r="U3" s="6"/>
      <c r="V3" s="6"/>
      <c r="W3" s="4"/>
      <c r="AG3" t="s">
        <v>33</v>
      </c>
      <c r="AH3">
        <f>(AI3-AP$3)/AP$2</f>
        <v>1.9782700831024931</v>
      </c>
      <c r="AI3">
        <v>3188.0032999999999</v>
      </c>
      <c r="AL3" s="4"/>
      <c r="AM3" s="82" t="s">
        <v>157</v>
      </c>
      <c r="AN3" s="82"/>
      <c r="AO3" s="75" t="s">
        <v>83</v>
      </c>
      <c r="AP3" s="75">
        <v>-97.111999999999995</v>
      </c>
    </row>
    <row r="4" spans="1:42" x14ac:dyDescent="0.25">
      <c r="B4" s="55">
        <v>5</v>
      </c>
      <c r="C4" s="56">
        <v>7588.6233000000002</v>
      </c>
      <c r="D4" s="56">
        <v>8287.4050000000007</v>
      </c>
      <c r="E4" s="56">
        <v>8117.2717000000002</v>
      </c>
      <c r="F4" s="56">
        <v>8340.0967000000001</v>
      </c>
      <c r="G4" s="56">
        <v>8644.8700000000008</v>
      </c>
      <c r="H4" s="56">
        <v>8156.5167000000001</v>
      </c>
      <c r="I4" s="57">
        <f t="shared" si="0"/>
        <v>8189.1305666666676</v>
      </c>
      <c r="J4">
        <f t="shared" ref="J4:J7" si="1">STDEV(C4:H4)</f>
        <v>348.42026551067141</v>
      </c>
      <c r="K4">
        <f t="shared" ref="K4:K7" si="2">(J4/I4)*100</f>
        <v>4.2546673627221647</v>
      </c>
      <c r="L4" s="80">
        <f t="shared" ref="L4:L7" si="3">(K4*I4)/100</f>
        <v>348.42026551067136</v>
      </c>
      <c r="M4" s="97" t="s">
        <v>1</v>
      </c>
      <c r="N4" s="97"/>
      <c r="O4" s="97"/>
      <c r="P4" s="19" t="s">
        <v>115</v>
      </c>
      <c r="Q4" s="19" t="s">
        <v>117</v>
      </c>
      <c r="R4" s="19" t="s">
        <v>0</v>
      </c>
      <c r="S4" t="s">
        <v>8</v>
      </c>
      <c r="T4" t="s">
        <v>9</v>
      </c>
      <c r="V4" s="6"/>
      <c r="AG4" t="s">
        <v>33</v>
      </c>
      <c r="AH4">
        <f t="shared" ref="AH4:AH5" si="4">(AI4-AP$3)/AP$2</f>
        <v>1.7663766108635433</v>
      </c>
      <c r="AI4">
        <v>2836.1329999999998</v>
      </c>
    </row>
    <row r="5" spans="1:42" x14ac:dyDescent="0.25">
      <c r="B5" s="55">
        <v>2.5</v>
      </c>
      <c r="C5" s="56">
        <v>3705.3883000000001</v>
      </c>
      <c r="D5" s="56">
        <v>3730.6532999999999</v>
      </c>
      <c r="E5" s="56">
        <v>3816.9483</v>
      </c>
      <c r="F5" s="56">
        <v>3837.32</v>
      </c>
      <c r="G5" s="56">
        <v>3863.6817000000001</v>
      </c>
      <c r="H5" s="56">
        <v>3845.3667</v>
      </c>
      <c r="I5" s="57">
        <f t="shared" si="0"/>
        <v>3799.8930500000001</v>
      </c>
      <c r="J5">
        <f t="shared" si="1"/>
        <v>65.656368471969301</v>
      </c>
      <c r="K5">
        <f t="shared" si="2"/>
        <v>1.7278478001366195</v>
      </c>
      <c r="L5" s="80">
        <f t="shared" si="3"/>
        <v>65.656368471969301</v>
      </c>
      <c r="M5" s="98" t="s">
        <v>2</v>
      </c>
      <c r="N5" s="98"/>
      <c r="O5" s="98"/>
      <c r="P5" s="18">
        <f>(R5-T2)/T1</f>
        <v>0.32439600144526076</v>
      </c>
      <c r="Q5">
        <f>P5/15.75</f>
        <v>2.0596571520334016E-2</v>
      </c>
      <c r="R5" s="18">
        <v>441.58</v>
      </c>
      <c r="S5" s="35" t="s">
        <v>116</v>
      </c>
      <c r="T5" s="35" t="s">
        <v>116</v>
      </c>
      <c r="V5" s="6"/>
      <c r="AA5" s="67"/>
      <c r="AC5" s="60"/>
      <c r="AG5" s="60" t="s">
        <v>33</v>
      </c>
      <c r="AH5">
        <f t="shared" si="4"/>
        <v>1.5406300734674214</v>
      </c>
      <c r="AI5">
        <v>2461.2583</v>
      </c>
    </row>
    <row r="6" spans="1:42" x14ac:dyDescent="0.25">
      <c r="B6" s="17">
        <v>1.25</v>
      </c>
      <c r="C6" s="56">
        <v>2027.9067</v>
      </c>
      <c r="D6" s="56">
        <v>1802.82</v>
      </c>
      <c r="E6" s="56">
        <v>1668.03</v>
      </c>
      <c r="F6" s="56">
        <v>1845.6932999999999</v>
      </c>
      <c r="G6" s="56">
        <v>2214.37</v>
      </c>
      <c r="H6" s="56">
        <v>2085.8132999999998</v>
      </c>
      <c r="I6" s="57">
        <f t="shared" si="0"/>
        <v>1940.7722166666665</v>
      </c>
      <c r="J6">
        <f t="shared" si="1"/>
        <v>202.95034482118439</v>
      </c>
      <c r="K6">
        <f t="shared" si="2"/>
        <v>10.457195495603166</v>
      </c>
      <c r="L6" s="80">
        <f t="shared" si="3"/>
        <v>202.95034482118436</v>
      </c>
      <c r="M6" s="98" t="s">
        <v>3</v>
      </c>
      <c r="N6" s="98"/>
      <c r="O6" s="98"/>
      <c r="P6" s="18">
        <v>0</v>
      </c>
      <c r="Q6">
        <f t="shared" ref="Q6:Q7" si="5">P6/15.75</f>
        <v>0</v>
      </c>
      <c r="R6" s="18">
        <v>0</v>
      </c>
      <c r="S6" s="35" t="s">
        <v>116</v>
      </c>
      <c r="T6" s="35" t="s">
        <v>116</v>
      </c>
      <c r="V6" s="6"/>
      <c r="W6" s="6"/>
      <c r="AA6" s="67"/>
      <c r="AC6" s="60"/>
      <c r="AG6" s="60" t="s">
        <v>77</v>
      </c>
      <c r="AH6">
        <f>AVERAGE(AH3:AH5)</f>
        <v>1.7617589224778192</v>
      </c>
    </row>
    <row r="7" spans="1:42" x14ac:dyDescent="0.25">
      <c r="B7" s="73">
        <v>0.625</v>
      </c>
      <c r="C7" s="56">
        <v>1266.82</v>
      </c>
      <c r="D7" s="56">
        <v>1098.0999999999999</v>
      </c>
      <c r="E7" s="56">
        <v>875.18169999999998</v>
      </c>
      <c r="F7" s="56">
        <v>1117.29</v>
      </c>
      <c r="G7" s="56">
        <v>877.13170000000002</v>
      </c>
      <c r="H7" s="56">
        <v>1018.415</v>
      </c>
      <c r="I7" s="57">
        <f t="shared" si="0"/>
        <v>1042.1564000000001</v>
      </c>
      <c r="J7">
        <f t="shared" si="1"/>
        <v>151.60859706429525</v>
      </c>
      <c r="K7">
        <f t="shared" si="2"/>
        <v>14.547585857966736</v>
      </c>
      <c r="L7" s="80">
        <f t="shared" si="3"/>
        <v>151.60859706429525</v>
      </c>
      <c r="M7" s="98" t="s">
        <v>4</v>
      </c>
      <c r="N7" s="98"/>
      <c r="O7" s="98"/>
      <c r="P7" s="18">
        <v>0</v>
      </c>
      <c r="Q7">
        <f t="shared" si="5"/>
        <v>0</v>
      </c>
      <c r="R7" s="18">
        <v>0</v>
      </c>
      <c r="S7" s="35" t="s">
        <v>116</v>
      </c>
      <c r="T7" s="35" t="s">
        <v>116</v>
      </c>
      <c r="V7" s="6"/>
      <c r="W7" s="6"/>
      <c r="AA7" s="67"/>
      <c r="AC7" s="60"/>
      <c r="AG7" s="60" t="s">
        <v>176</v>
      </c>
      <c r="AH7">
        <f>STDEV(AH3:AH5)</f>
        <v>0.21885654386576267</v>
      </c>
    </row>
    <row r="8" spans="1:42" x14ac:dyDescent="0.25">
      <c r="B8" s="72">
        <v>0.3125</v>
      </c>
      <c r="C8" s="61">
        <v>553.55330000000004</v>
      </c>
      <c r="D8" s="61">
        <v>614.22329999999999</v>
      </c>
      <c r="E8" s="61">
        <v>490.91</v>
      </c>
      <c r="F8" s="61">
        <v>594.44129999999996</v>
      </c>
      <c r="G8" s="61">
        <f>AVERAGE(C8:D8)</f>
        <v>583.88830000000007</v>
      </c>
      <c r="H8" s="61">
        <f>AVERAGE(E8:F8)</f>
        <v>542.67565000000002</v>
      </c>
      <c r="I8" s="62">
        <f t="shared" si="0"/>
        <v>563.2819750000001</v>
      </c>
      <c r="J8" s="7">
        <f>STDEV(C8:H8)</f>
        <v>44.153172637713695</v>
      </c>
      <c r="K8">
        <f>(J8/I8)*100</f>
        <v>7.8385559271115834</v>
      </c>
      <c r="L8" s="80">
        <f>(K8*I8)/100</f>
        <v>44.153172637713695</v>
      </c>
      <c r="M8" s="98" t="s">
        <v>5</v>
      </c>
      <c r="N8" s="98"/>
      <c r="O8" s="98"/>
      <c r="P8" s="18">
        <f>(R8-T2)/T1</f>
        <v>1.1804972299168977</v>
      </c>
      <c r="Q8">
        <f>P8/5.5</f>
        <v>0.21463585998489049</v>
      </c>
      <c r="R8" s="18">
        <v>1863.2217000000001</v>
      </c>
      <c r="S8">
        <f>(Q8*100)/Q10</f>
        <v>59.639622602648103</v>
      </c>
      <c r="T8">
        <f>100-S8</f>
        <v>40.360377397351897</v>
      </c>
      <c r="V8" s="6">
        <v>1484.7950000000001</v>
      </c>
      <c r="W8" s="6"/>
      <c r="AA8" s="67"/>
      <c r="AC8" s="60"/>
      <c r="AG8" s="60"/>
    </row>
    <row r="9" spans="1:42" x14ac:dyDescent="0.25">
      <c r="B9" s="3" t="s">
        <v>12</v>
      </c>
      <c r="C9" s="60">
        <f t="shared" ref="C9:H9" si="6">AVERAGE(C3:C8)</f>
        <v>4978.9435999999996</v>
      </c>
      <c r="D9" s="60">
        <f t="shared" si="6"/>
        <v>5112.1736000000001</v>
      </c>
      <c r="E9" s="60">
        <f t="shared" si="6"/>
        <v>5310.588333333334</v>
      </c>
      <c r="F9" s="60">
        <f t="shared" si="6"/>
        <v>5439.1943833333326</v>
      </c>
      <c r="G9" s="60">
        <f t="shared" si="6"/>
        <v>5693.1175000000003</v>
      </c>
      <c r="H9" s="60">
        <f t="shared" si="6"/>
        <v>5575.4753916666659</v>
      </c>
      <c r="I9" s="4"/>
      <c r="M9" s="98" t="s">
        <v>6</v>
      </c>
      <c r="N9" s="98"/>
      <c r="O9" s="98"/>
      <c r="P9" s="18">
        <f>(R9-T2)/T1</f>
        <v>0.90762898952185966</v>
      </c>
      <c r="Q9">
        <f>P9/5.5</f>
        <v>0.16502345264033813</v>
      </c>
      <c r="R9" s="18">
        <v>1410.0967000000001</v>
      </c>
      <c r="S9">
        <f>(Q9*100)/Q10</f>
        <v>45.854110476919246</v>
      </c>
      <c r="T9">
        <f>100-S9</f>
        <v>54.145889523080754</v>
      </c>
      <c r="V9" s="6">
        <v>2073.67</v>
      </c>
      <c r="W9" s="6"/>
      <c r="X9" t="s">
        <v>34</v>
      </c>
      <c r="Y9" t="s">
        <v>35</v>
      </c>
      <c r="AA9" s="67"/>
      <c r="AC9" s="60"/>
      <c r="AG9" s="60"/>
    </row>
    <row r="10" spans="1:42" x14ac:dyDescent="0.25">
      <c r="B10" s="3" t="s">
        <v>14</v>
      </c>
      <c r="C10" s="60">
        <f>C9-$C$12</f>
        <v>-372.63853472222399</v>
      </c>
      <c r="D10" s="60">
        <f>D9-$C$12</f>
        <v>-239.40853472222352</v>
      </c>
      <c r="E10" s="60">
        <f>E9-$C$12</f>
        <v>-40.993801388889551</v>
      </c>
      <c r="F10" s="60">
        <f>F9-C12</f>
        <v>87.612248611108953</v>
      </c>
      <c r="G10" s="60">
        <f>G9-C12</f>
        <v>341.53536527777669</v>
      </c>
      <c r="H10" s="60">
        <f>H9-C12</f>
        <v>223.89325694444233</v>
      </c>
      <c r="I10" s="4"/>
      <c r="M10" s="98" t="s">
        <v>7</v>
      </c>
      <c r="N10" s="98"/>
      <c r="O10" s="98"/>
      <c r="P10" s="18">
        <f>(R10-T2)/T1</f>
        <v>1.9793841382632786</v>
      </c>
      <c r="Q10">
        <f>P10/5.5</f>
        <v>0.35988802513877793</v>
      </c>
      <c r="R10" s="18">
        <v>3189.8533000000002</v>
      </c>
      <c r="S10" s="35" t="s">
        <v>116</v>
      </c>
      <c r="T10" s="35" t="s">
        <v>116</v>
      </c>
      <c r="V10" s="6">
        <v>1671.1183000000001</v>
      </c>
      <c r="W10" s="6" t="s">
        <v>37</v>
      </c>
      <c r="X10">
        <v>3</v>
      </c>
      <c r="Y10">
        <v>3</v>
      </c>
      <c r="AA10" s="67"/>
      <c r="AC10" s="60"/>
      <c r="AG10" s="60" t="s">
        <v>177</v>
      </c>
      <c r="AH10">
        <f>(AI10-AP3)/AP2</f>
        <v>0.32550204745272793</v>
      </c>
      <c r="AI10">
        <v>443.41669999999999</v>
      </c>
    </row>
    <row r="11" spans="1:42" x14ac:dyDescent="0.25">
      <c r="B11" s="3" t="s">
        <v>11</v>
      </c>
      <c r="C11">
        <v>6</v>
      </c>
      <c r="D11">
        <v>6</v>
      </c>
      <c r="E11">
        <v>6</v>
      </c>
      <c r="F11">
        <v>6</v>
      </c>
      <c r="G11">
        <v>6</v>
      </c>
      <c r="H11">
        <v>6</v>
      </c>
      <c r="I11" s="6"/>
      <c r="M11" s="95"/>
      <c r="N11" s="95"/>
      <c r="O11" s="95"/>
      <c r="P11" s="7"/>
      <c r="Q11" s="7"/>
      <c r="T11" s="6"/>
      <c r="U11" s="6"/>
      <c r="V11" s="6"/>
      <c r="W11" s="6" t="s">
        <v>29</v>
      </c>
      <c r="X11">
        <f>AVERAGE(U14:U16)</f>
        <v>1.5623927431881566</v>
      </c>
      <c r="Y11">
        <f>AVERAGE(V14:V16)</f>
        <v>1.5086385993191751</v>
      </c>
      <c r="AC11" s="60"/>
      <c r="AG11" s="60"/>
    </row>
    <row r="12" spans="1:42" x14ac:dyDescent="0.25">
      <c r="B12" s="12" t="s">
        <v>13</v>
      </c>
      <c r="C12" s="60">
        <f>AVERAGE(C3:H8)</f>
        <v>5351.5821347222236</v>
      </c>
      <c r="M12" s="95"/>
      <c r="N12" s="95"/>
      <c r="O12" s="95"/>
      <c r="P12" s="7"/>
      <c r="Q12" s="7"/>
      <c r="T12" s="6"/>
      <c r="U12" s="6"/>
      <c r="V12" s="6"/>
      <c r="W12" s="6" t="s">
        <v>38</v>
      </c>
      <c r="X12">
        <f>U14-$X$11</f>
        <v>0.12178961759957674</v>
      </c>
      <c r="Y12">
        <f>V14-$Y$11</f>
        <v>0.10696146973422294</v>
      </c>
      <c r="AC12" s="60"/>
      <c r="AG12" s="60" t="s">
        <v>178</v>
      </c>
      <c r="AH12">
        <f>((AH6-AH10)/2.5)*100</f>
        <v>57.450275001003646</v>
      </c>
    </row>
    <row r="13" spans="1:42" x14ac:dyDescent="0.25">
      <c r="J13" s="6"/>
      <c r="K13" s="6"/>
      <c r="L13" s="6"/>
      <c r="M13" s="6"/>
      <c r="N13" s="6"/>
      <c r="O13" s="6"/>
      <c r="P13" s="6"/>
      <c r="Q13" s="6"/>
      <c r="R13" s="6"/>
      <c r="S13" s="6" t="s">
        <v>34</v>
      </c>
      <c r="T13" s="6" t="s">
        <v>35</v>
      </c>
      <c r="U13" s="6" t="s">
        <v>46</v>
      </c>
      <c r="V13" s="6" t="s">
        <v>47</v>
      </c>
      <c r="W13" s="6"/>
      <c r="X13">
        <f>U15-$X$11</f>
        <v>5.3207325865241462E-2</v>
      </c>
      <c r="Y13">
        <f>V15-$Y$11</f>
        <v>-0.12643094797231669</v>
      </c>
      <c r="AC13" s="60"/>
      <c r="AG13" s="60"/>
    </row>
    <row r="14" spans="1:42" x14ac:dyDescent="0.25">
      <c r="H14" s="10" t="s">
        <v>132</v>
      </c>
      <c r="I14" s="11" t="s">
        <v>25</v>
      </c>
      <c r="J14" s="93" t="s">
        <v>27</v>
      </c>
      <c r="K14" s="5"/>
      <c r="M14" s="6"/>
      <c r="N14" s="6"/>
      <c r="O14" s="6"/>
      <c r="P14" s="6"/>
      <c r="Q14" s="6"/>
      <c r="S14">
        <v>1873.76</v>
      </c>
      <c r="T14" s="18">
        <v>1793.5033000000001</v>
      </c>
      <c r="U14" s="58">
        <f>((S14-T$2)/T$1)/0.7047</f>
        <v>1.6841823607877333</v>
      </c>
      <c r="V14" s="58">
        <f>((T14-T$2)/T$1)/0.7047</f>
        <v>1.615600069053398</v>
      </c>
      <c r="W14" s="6"/>
      <c r="X14">
        <f>U16-$X$11</f>
        <v>-0.17499694346481776</v>
      </c>
      <c r="Y14">
        <f>V16-$Y$11</f>
        <v>1.9469478238093085E-2</v>
      </c>
      <c r="AA14" s="4" t="s">
        <v>172</v>
      </c>
      <c r="AC14" s="60"/>
      <c r="AG14" s="60" t="s">
        <v>179</v>
      </c>
      <c r="AH14">
        <f>(AH6/2.5)*100</f>
        <v>70.470356899112758</v>
      </c>
    </row>
    <row r="15" spans="1:42" x14ac:dyDescent="0.25">
      <c r="H15" s="10" t="s">
        <v>28</v>
      </c>
      <c r="I15" s="11" t="s">
        <v>26</v>
      </c>
      <c r="J15" s="93"/>
      <c r="O15" s="3" t="s">
        <v>15</v>
      </c>
      <c r="P15" s="3">
        <f>SUMSQ(A19:F24)</f>
        <v>1147338982.4977775</v>
      </c>
      <c r="S15">
        <v>1793.5033000000001</v>
      </c>
      <c r="T15" s="21">
        <v>1520.3816999999999</v>
      </c>
      <c r="U15" s="58">
        <f>((S15-T$2)/T$1)/0.7047</f>
        <v>1.615600069053398</v>
      </c>
      <c r="V15" s="58">
        <f>((T15-T$2)/T$1)/0.7047</f>
        <v>1.3822076513468584</v>
      </c>
      <c r="W15" s="7" t="s">
        <v>39</v>
      </c>
      <c r="X15">
        <f t="shared" ref="X15:Y17" si="7">X12*X12</f>
        <v>1.4832710955051133E-2</v>
      </c>
      <c r="Y15">
        <f t="shared" si="7"/>
        <v>1.144075600770509E-2</v>
      </c>
      <c r="AC15" s="60"/>
    </row>
    <row r="16" spans="1:42" x14ac:dyDescent="0.25">
      <c r="J16" s="4"/>
      <c r="O16" s="3" t="s">
        <v>16</v>
      </c>
      <c r="P16" s="3">
        <f>SUMSQ(H19:M24)</f>
        <v>1145105140.9888332</v>
      </c>
      <c r="S16">
        <v>1526.453</v>
      </c>
      <c r="T16" s="18">
        <v>1691.1179999999999</v>
      </c>
      <c r="U16" s="58">
        <f>((S16-T$2)/T$1)/0.7047</f>
        <v>1.3873957997233388</v>
      </c>
      <c r="V16" s="58">
        <f>((T16-T$2)/T$1)/0.7047</f>
        <v>1.5281080775572682</v>
      </c>
      <c r="W16" s="6"/>
      <c r="X16">
        <f t="shared" si="7"/>
        <v>2.8310195257299931E-3</v>
      </c>
      <c r="Y16">
        <f t="shared" si="7"/>
        <v>1.5984784605178649E-2</v>
      </c>
      <c r="AC16" s="60"/>
    </row>
    <row r="17" spans="1:45" x14ac:dyDescent="0.25">
      <c r="J17" s="4"/>
      <c r="O17" s="3" t="s">
        <v>17</v>
      </c>
      <c r="P17" s="65">
        <f>6*C10^2+6*D10^2+6*E10^2+6*F10^2+6*G10^2+6*H10^2</f>
        <v>2233841.5089443349</v>
      </c>
      <c r="R17" s="7"/>
      <c r="U17" s="4"/>
      <c r="W17" s="6"/>
      <c r="X17">
        <f t="shared" si="7"/>
        <v>3.0623930222028622E-2</v>
      </c>
      <c r="Y17">
        <f t="shared" si="7"/>
        <v>3.7906058286358023E-4</v>
      </c>
      <c r="AC17" s="60"/>
    </row>
    <row r="18" spans="1:45" x14ac:dyDescent="0.25">
      <c r="A18" s="83" t="s">
        <v>15</v>
      </c>
      <c r="B18" s="83"/>
      <c r="C18" s="83"/>
      <c r="D18" s="83"/>
      <c r="E18" s="83"/>
      <c r="F18" s="83"/>
      <c r="G18" s="83"/>
      <c r="H18" s="94" t="s">
        <v>16</v>
      </c>
      <c r="I18" s="94"/>
      <c r="J18" s="94"/>
      <c r="K18" s="94"/>
      <c r="L18" s="94"/>
      <c r="M18" s="94"/>
      <c r="N18" s="94"/>
      <c r="O18" s="3" t="s">
        <v>24</v>
      </c>
      <c r="P18" s="65">
        <f>P16+P17</f>
        <v>1147338982.4977775</v>
      </c>
      <c r="S18" s="4"/>
      <c r="T18" s="4" t="s">
        <v>36</v>
      </c>
      <c r="U18" s="6">
        <f>STDEV(U14:U16)</f>
        <v>0.1553828508922554</v>
      </c>
      <c r="V18" s="6">
        <f>STDEV(V14:V16)</f>
        <v>0.11790801753008003</v>
      </c>
      <c r="W18" s="6" t="s">
        <v>40</v>
      </c>
      <c r="X18">
        <f>SUM(X15:X17)</f>
        <v>4.8287660702809751E-2</v>
      </c>
      <c r="Y18">
        <f>SUM(Y15:Y17)</f>
        <v>2.7804601195747319E-2</v>
      </c>
      <c r="AC18" s="60"/>
      <c r="AG18" s="60"/>
    </row>
    <row r="19" spans="1:45" x14ac:dyDescent="0.25">
      <c r="A19" s="63">
        <f>C3-$C$12</f>
        <v>9379.7878652777763</v>
      </c>
      <c r="B19" s="63">
        <f t="shared" ref="B19:F19" si="8">D3-$C$12</f>
        <v>9788.2578652777775</v>
      </c>
      <c r="C19" s="63">
        <f t="shared" si="8"/>
        <v>11543.606165277779</v>
      </c>
      <c r="D19" s="63">
        <f t="shared" si="8"/>
        <v>11548.742865277778</v>
      </c>
      <c r="E19" s="63">
        <f t="shared" si="8"/>
        <v>12623.181165277776</v>
      </c>
      <c r="F19" s="63">
        <f t="shared" si="8"/>
        <v>12452.482865277776</v>
      </c>
      <c r="G19" s="59"/>
      <c r="H19" s="64">
        <f>C3-C$9</f>
        <v>9752.4264000000003</v>
      </c>
      <c r="I19" s="64">
        <f t="shared" ref="I19:M19" si="9">D3-D$9</f>
        <v>10027.6664</v>
      </c>
      <c r="J19" s="64">
        <f t="shared" si="9"/>
        <v>11584.599966666668</v>
      </c>
      <c r="K19" s="64">
        <f t="shared" si="9"/>
        <v>11461.130616666669</v>
      </c>
      <c r="L19" s="64">
        <f t="shared" si="9"/>
        <v>12281.645799999998</v>
      </c>
      <c r="M19" s="64">
        <f t="shared" si="9"/>
        <v>12228.589608333332</v>
      </c>
      <c r="N19" s="18"/>
      <c r="O19" s="3" t="s">
        <v>18</v>
      </c>
      <c r="P19" s="3">
        <v>6</v>
      </c>
      <c r="Q19" s="4"/>
      <c r="R19" s="4"/>
      <c r="S19" s="4"/>
      <c r="T19" s="4"/>
      <c r="U19" s="6"/>
      <c r="V19" s="6"/>
      <c r="W19" s="6" t="s">
        <v>42</v>
      </c>
      <c r="X19">
        <f>X18/(X10-1)</f>
        <v>2.4143830351404875E-2</v>
      </c>
      <c r="Y19">
        <f>Y18/(Y10-1)</f>
        <v>1.390230059787366E-2</v>
      </c>
      <c r="AC19" s="60"/>
      <c r="AG19" s="60"/>
    </row>
    <row r="20" spans="1:45" x14ac:dyDescent="0.25">
      <c r="A20" s="63">
        <f t="shared" ref="A20:A24" si="10">C4-$C$12</f>
        <v>2237.0411652777766</v>
      </c>
      <c r="B20" s="63">
        <f t="shared" ref="B20:B24" si="11">D4-$C$12</f>
        <v>2935.8228652777771</v>
      </c>
      <c r="C20" s="63">
        <f t="shared" ref="C20:C24" si="12">E4-$C$12</f>
        <v>2765.6895652777766</v>
      </c>
      <c r="D20" s="63">
        <f t="shared" ref="D20:D24" si="13">F4-$C$12</f>
        <v>2988.5145652777765</v>
      </c>
      <c r="E20" s="63">
        <f t="shared" ref="E20:E24" si="14">G4-$C$12</f>
        <v>3293.2878652777772</v>
      </c>
      <c r="F20" s="63">
        <f t="shared" ref="F20:F24" si="15">H4-$C$12</f>
        <v>2804.9345652777765</v>
      </c>
      <c r="G20" s="59"/>
      <c r="H20" s="64">
        <f t="shared" ref="H20:H24" si="16">C4-C$9</f>
        <v>2609.6797000000006</v>
      </c>
      <c r="I20" s="64">
        <f t="shared" ref="I20:I24" si="17">D4-D$9</f>
        <v>3175.2314000000006</v>
      </c>
      <c r="J20" s="64">
        <f t="shared" ref="J20:J24" si="18">E4-E$9</f>
        <v>2806.6833666666662</v>
      </c>
      <c r="K20" s="64">
        <f t="shared" ref="K20:K24" si="19">F4-F$9</f>
        <v>2900.9023166666675</v>
      </c>
      <c r="L20" s="64">
        <f t="shared" ref="L20:L24" si="20">G4-G$9</f>
        <v>2951.7525000000005</v>
      </c>
      <c r="M20" s="64">
        <f t="shared" ref="M20:M24" si="21">H4-H$9</f>
        <v>2581.0413083333342</v>
      </c>
      <c r="N20" s="18"/>
      <c r="O20" s="3" t="s">
        <v>19</v>
      </c>
      <c r="P20" s="3">
        <v>36</v>
      </c>
      <c r="S20" s="4" t="s">
        <v>33</v>
      </c>
      <c r="T20" s="28">
        <v>1691.1179999999999</v>
      </c>
      <c r="W20" s="7" t="s">
        <v>41</v>
      </c>
      <c r="X20">
        <f>SQRT(X19)</f>
        <v>0.1553828508922554</v>
      </c>
      <c r="Y20">
        <f>SQRT(Y19)</f>
        <v>0.11790801753008003</v>
      </c>
    </row>
    <row r="21" spans="1:45" x14ac:dyDescent="0.25">
      <c r="A21" s="63">
        <f t="shared" si="10"/>
        <v>-1646.1938347222235</v>
      </c>
      <c r="B21" s="63">
        <f t="shared" si="11"/>
        <v>-1620.9288347222237</v>
      </c>
      <c r="C21" s="63">
        <f t="shared" si="12"/>
        <v>-1534.6338347222236</v>
      </c>
      <c r="D21" s="63">
        <f t="shared" si="13"/>
        <v>-1514.2621347222234</v>
      </c>
      <c r="E21" s="63">
        <f t="shared" si="14"/>
        <v>-1487.9004347222235</v>
      </c>
      <c r="F21" s="63">
        <f t="shared" si="15"/>
        <v>-1506.2154347222236</v>
      </c>
      <c r="G21" s="59"/>
      <c r="H21" s="64">
        <f t="shared" si="16"/>
        <v>-1273.5552999999995</v>
      </c>
      <c r="I21" s="64">
        <f t="shared" si="17"/>
        <v>-1381.5203000000001</v>
      </c>
      <c r="J21" s="64">
        <f t="shared" si="18"/>
        <v>-1493.640033333334</v>
      </c>
      <c r="K21" s="64">
        <f t="shared" si="19"/>
        <v>-1601.8743833333324</v>
      </c>
      <c r="L21" s="64">
        <f t="shared" si="20"/>
        <v>-1829.4358000000002</v>
      </c>
      <c r="M21" s="64">
        <f t="shared" si="21"/>
        <v>-1730.1086916666659</v>
      </c>
      <c r="N21" s="18"/>
      <c r="O21" s="3" t="s">
        <v>20</v>
      </c>
      <c r="P21" s="3">
        <f>P17/(P19-1)</f>
        <v>446768.30178886699</v>
      </c>
      <c r="S21" s="6" t="s">
        <v>33</v>
      </c>
      <c r="T21" s="18">
        <v>3188.0032999999999</v>
      </c>
      <c r="W21" s="7" t="s">
        <v>43</v>
      </c>
      <c r="X21">
        <f>(X20/X11)*100</f>
        <v>9.9451851379690446</v>
      </c>
      <c r="Y21">
        <f>(Y20/Y11)*100</f>
        <v>7.8155243796155061</v>
      </c>
    </row>
    <row r="22" spans="1:45" x14ac:dyDescent="0.25">
      <c r="A22" s="63">
        <f t="shared" si="10"/>
        <v>-3323.6754347222236</v>
      </c>
      <c r="B22" s="63">
        <f t="shared" si="11"/>
        <v>-3548.7621347222239</v>
      </c>
      <c r="C22" s="63">
        <f t="shared" si="12"/>
        <v>-3683.5521347222239</v>
      </c>
      <c r="D22" s="63">
        <f t="shared" si="13"/>
        <v>-3505.8888347222237</v>
      </c>
      <c r="E22" s="63">
        <f t="shared" si="14"/>
        <v>-3137.2121347222237</v>
      </c>
      <c r="F22" s="63">
        <f t="shared" si="15"/>
        <v>-3265.7688347222238</v>
      </c>
      <c r="G22" s="59"/>
      <c r="H22" s="64">
        <f t="shared" si="16"/>
        <v>-2951.0368999999996</v>
      </c>
      <c r="I22" s="64">
        <f t="shared" si="17"/>
        <v>-3309.3536000000004</v>
      </c>
      <c r="J22" s="64">
        <f t="shared" si="18"/>
        <v>-3642.5583333333343</v>
      </c>
      <c r="K22" s="64">
        <f t="shared" si="19"/>
        <v>-3593.5010833333326</v>
      </c>
      <c r="L22" s="64">
        <f t="shared" si="20"/>
        <v>-3478.7475000000004</v>
      </c>
      <c r="M22" s="64">
        <f t="shared" si="21"/>
        <v>-3489.6620916666661</v>
      </c>
      <c r="N22" s="18"/>
      <c r="O22" s="3" t="s">
        <v>21</v>
      </c>
      <c r="P22" s="3">
        <f>P16/(P20-P19)</f>
        <v>38170171.366294436</v>
      </c>
      <c r="R22" s="6"/>
      <c r="S22" s="6" t="s">
        <v>33</v>
      </c>
      <c r="T22" s="18">
        <v>1526.453</v>
      </c>
      <c r="U22" s="1"/>
      <c r="V22" s="7"/>
    </row>
    <row r="23" spans="1:45" x14ac:dyDescent="0.25">
      <c r="A23" s="63">
        <f t="shared" si="10"/>
        <v>-4084.7621347222239</v>
      </c>
      <c r="B23" s="63">
        <f t="shared" si="11"/>
        <v>-4253.4821347222241</v>
      </c>
      <c r="C23" s="63">
        <f t="shared" si="12"/>
        <v>-4476.4004347222235</v>
      </c>
      <c r="D23" s="63">
        <f t="shared" si="13"/>
        <v>-4234.2921347222236</v>
      </c>
      <c r="E23" s="63">
        <f t="shared" si="14"/>
        <v>-4474.4504347222237</v>
      </c>
      <c r="F23" s="63">
        <f t="shared" si="15"/>
        <v>-4333.1671347222236</v>
      </c>
      <c r="G23" s="59"/>
      <c r="H23" s="64">
        <f t="shared" si="16"/>
        <v>-3712.1235999999999</v>
      </c>
      <c r="I23" s="64">
        <f t="shared" si="17"/>
        <v>-4014.0736000000002</v>
      </c>
      <c r="J23" s="64">
        <f t="shared" si="18"/>
        <v>-4435.406633333334</v>
      </c>
      <c r="K23" s="64">
        <f t="shared" si="19"/>
        <v>-4321.9043833333326</v>
      </c>
      <c r="L23" s="64">
        <f t="shared" si="20"/>
        <v>-4815.9858000000004</v>
      </c>
      <c r="M23" s="64">
        <f t="shared" si="21"/>
        <v>-4557.060391666666</v>
      </c>
      <c r="N23" s="18"/>
      <c r="O23" s="3" t="s">
        <v>22</v>
      </c>
      <c r="P23" s="3">
        <f>P21/P22</f>
        <v>1.1704644904564894E-2</v>
      </c>
      <c r="R23" s="5"/>
      <c r="S23" s="20" t="s">
        <v>33</v>
      </c>
      <c r="T23" s="18">
        <v>2836.1329999999998</v>
      </c>
      <c r="U23" s="1"/>
      <c r="V23" s="5"/>
      <c r="W23" s="85" t="s">
        <v>118</v>
      </c>
      <c r="X23" s="85"/>
      <c r="Y23" s="85"/>
      <c r="Z23" s="85"/>
      <c r="AA23" s="85"/>
      <c r="AB23" s="85"/>
      <c r="AE23" s="85" t="s">
        <v>119</v>
      </c>
      <c r="AF23" s="85"/>
      <c r="AG23" s="85"/>
      <c r="AH23" s="85"/>
      <c r="AI23" s="85"/>
      <c r="AJ23" s="85"/>
      <c r="AN23" s="85"/>
      <c r="AO23" s="85"/>
      <c r="AP23" s="85"/>
      <c r="AQ23" s="85"/>
      <c r="AR23" s="85"/>
      <c r="AS23" s="85"/>
    </row>
    <row r="24" spans="1:45" x14ac:dyDescent="0.25">
      <c r="A24" s="63">
        <f t="shared" si="10"/>
        <v>-4798.0288347222231</v>
      </c>
      <c r="B24" s="63">
        <f t="shared" si="11"/>
        <v>-4737.3588347222239</v>
      </c>
      <c r="C24" s="63">
        <f t="shared" si="12"/>
        <v>-4860.6721347222237</v>
      </c>
      <c r="D24" s="63">
        <f t="shared" si="13"/>
        <v>-4757.1408347222241</v>
      </c>
      <c r="E24" s="63">
        <f t="shared" si="14"/>
        <v>-4767.693834722224</v>
      </c>
      <c r="F24" s="63">
        <f t="shared" si="15"/>
        <v>-4808.9064847222235</v>
      </c>
      <c r="G24" s="9"/>
      <c r="H24" s="64">
        <f t="shared" si="16"/>
        <v>-4425.3902999999991</v>
      </c>
      <c r="I24" s="64">
        <f t="shared" si="17"/>
        <v>-4497.9503000000004</v>
      </c>
      <c r="J24" s="64">
        <f t="shared" si="18"/>
        <v>-4819.6783333333342</v>
      </c>
      <c r="K24" s="64">
        <f t="shared" si="19"/>
        <v>-4844.7530833333331</v>
      </c>
      <c r="L24" s="64">
        <f t="shared" si="20"/>
        <v>-5109.2291999999998</v>
      </c>
      <c r="M24" s="64">
        <f t="shared" si="21"/>
        <v>-5032.7997416666658</v>
      </c>
      <c r="O24" s="3" t="s">
        <v>23</v>
      </c>
      <c r="P24" s="3">
        <f>FINV(0.05,P19-1,P20-P19)</f>
        <v>2.5335545475592705</v>
      </c>
      <c r="R24" s="4"/>
      <c r="S24" s="4"/>
      <c r="T24" s="4"/>
      <c r="U24" s="4"/>
      <c r="V24" s="4"/>
      <c r="W24" s="90" t="s">
        <v>98</v>
      </c>
      <c r="X24" s="90"/>
      <c r="Y24" s="90"/>
      <c r="Z24" s="90"/>
      <c r="AA24" s="90"/>
      <c r="AB24" s="90"/>
      <c r="AC24" s="29"/>
      <c r="AE24" s="90" t="s">
        <v>97</v>
      </c>
      <c r="AF24" s="90"/>
      <c r="AG24" s="90"/>
      <c r="AH24" s="90"/>
      <c r="AI24" s="90"/>
      <c r="AJ24" s="90"/>
      <c r="AN24" s="90"/>
      <c r="AO24" s="90"/>
      <c r="AP24" s="90"/>
      <c r="AQ24" s="90"/>
      <c r="AR24" s="90"/>
      <c r="AS24" s="90"/>
    </row>
    <row r="25" spans="1:45" x14ac:dyDescent="0.25">
      <c r="A25" s="7"/>
      <c r="B25" s="8"/>
      <c r="C25" s="8"/>
      <c r="D25" s="8"/>
      <c r="E25" s="8"/>
      <c r="F25" s="8"/>
      <c r="G25" s="8"/>
      <c r="L25" s="4"/>
      <c r="M25" s="4"/>
      <c r="N25" s="4"/>
      <c r="S25" s="1"/>
      <c r="T25" s="1"/>
      <c r="U25" s="1"/>
      <c r="V25" s="1"/>
      <c r="W25" s="29" t="s">
        <v>94</v>
      </c>
      <c r="X25" s="29" t="s">
        <v>91</v>
      </c>
      <c r="Y25" s="29" t="s">
        <v>108</v>
      </c>
      <c r="Z25" s="29" t="s">
        <v>109</v>
      </c>
      <c r="AA25" s="29" t="s">
        <v>8</v>
      </c>
      <c r="AB25" s="29" t="s">
        <v>9</v>
      </c>
      <c r="AE25" s="29" t="s">
        <v>94</v>
      </c>
      <c r="AF25" s="29" t="s">
        <v>91</v>
      </c>
      <c r="AG25" s="29" t="s">
        <v>108</v>
      </c>
      <c r="AH25" s="29" t="s">
        <v>120</v>
      </c>
      <c r="AI25" s="29" t="s">
        <v>8</v>
      </c>
      <c r="AJ25" s="29" t="s">
        <v>9</v>
      </c>
      <c r="AN25" s="29"/>
      <c r="AO25" s="29"/>
      <c r="AP25" s="29"/>
      <c r="AQ25" s="29"/>
      <c r="AR25" s="29"/>
      <c r="AS25" s="29"/>
    </row>
    <row r="26" spans="1:45" x14ac:dyDescent="0.25">
      <c r="A26" s="7"/>
      <c r="L26" s="7"/>
      <c r="M26" s="7"/>
      <c r="N26" s="7"/>
      <c r="Q26" s="8" t="s">
        <v>49</v>
      </c>
      <c r="R26" s="13" t="s">
        <v>50</v>
      </c>
      <c r="S26" t="s">
        <v>56</v>
      </c>
      <c r="T26" s="1" t="s">
        <v>77</v>
      </c>
      <c r="U26" s="1"/>
      <c r="V26" s="1"/>
      <c r="W26" s="36" t="s">
        <v>92</v>
      </c>
      <c r="X26" s="29">
        <v>2461.2583</v>
      </c>
      <c r="Y26" s="29">
        <f>(X26-V$49)/V$48</f>
        <v>1.5406300734674214</v>
      </c>
      <c r="Z26">
        <f>Y26/24</f>
        <v>6.4192919727809231E-2</v>
      </c>
      <c r="AA26" s="30" t="s">
        <v>107</v>
      </c>
      <c r="AB26" s="30" t="s">
        <v>107</v>
      </c>
      <c r="AE26" s="41" t="s">
        <v>121</v>
      </c>
      <c r="AF26" s="41">
        <v>3854.6233000000002</v>
      </c>
      <c r="AG26" s="41">
        <f>(AF26-AO$41)/AO$40</f>
        <v>2.3797033000120442</v>
      </c>
      <c r="AH26" s="40">
        <f>AG26/5.5</f>
        <v>0.43267332727491714</v>
      </c>
      <c r="AI26" s="53" t="s">
        <v>107</v>
      </c>
      <c r="AJ26" s="53" t="s">
        <v>107</v>
      </c>
      <c r="AN26" s="29"/>
      <c r="AO26" s="29"/>
      <c r="AP26" s="29"/>
      <c r="AR26" s="30"/>
      <c r="AS26" s="30"/>
    </row>
    <row r="27" spans="1:45" x14ac:dyDescent="0.25">
      <c r="A27" s="7"/>
      <c r="K27" s="84" t="s">
        <v>84</v>
      </c>
      <c r="L27" s="84"/>
      <c r="M27" s="84"/>
      <c r="N27" s="84"/>
      <c r="O27" s="84"/>
      <c r="Q27" s="25">
        <v>74</v>
      </c>
      <c r="R27" s="13">
        <v>0</v>
      </c>
      <c r="S27">
        <v>0</v>
      </c>
      <c r="T27" s="4"/>
      <c r="U27" s="1"/>
      <c r="V27" s="1"/>
      <c r="W27" s="29" t="s">
        <v>93</v>
      </c>
      <c r="X27" s="29">
        <v>2332.1466999999998</v>
      </c>
      <c r="Y27" s="29">
        <f t="shared" ref="Y27:Y29" si="22">(X27-V$49)/V$48</f>
        <v>1.4628801035770203</v>
      </c>
      <c r="Z27">
        <f t="shared" ref="Z27:Z29" si="23">Y27/24</f>
        <v>6.0953337649042511E-2</v>
      </c>
      <c r="AA27" s="30" t="s">
        <v>107</v>
      </c>
      <c r="AB27" s="30" t="s">
        <v>107</v>
      </c>
      <c r="AE27" s="36" t="s">
        <v>122</v>
      </c>
      <c r="AF27" s="36">
        <v>3913.5866999999998</v>
      </c>
      <c r="AG27" s="36">
        <f t="shared" ref="AG27:AG29" si="24">(AF27-AO$41)/AO$40</f>
        <v>2.4152105865349873</v>
      </c>
      <c r="AH27" s="1">
        <f>AG27/5.5</f>
        <v>0.4391291975518159</v>
      </c>
      <c r="AI27" s="25" t="s">
        <v>107</v>
      </c>
      <c r="AJ27" s="25" t="s">
        <v>107</v>
      </c>
      <c r="AN27" s="41"/>
      <c r="AO27" s="41"/>
      <c r="AP27" s="41"/>
      <c r="AQ27" s="40"/>
      <c r="AR27" s="53"/>
      <c r="AS27" s="53"/>
    </row>
    <row r="28" spans="1:45" ht="15.75" thickBot="1" x14ac:dyDescent="0.3">
      <c r="A28" s="7"/>
      <c r="K28" s="84"/>
      <c r="L28" s="84"/>
      <c r="M28" s="84"/>
      <c r="N28" s="84"/>
      <c r="O28" s="84"/>
      <c r="Q28" s="25">
        <v>75</v>
      </c>
      <c r="R28" s="13">
        <v>0</v>
      </c>
      <c r="S28">
        <v>0</v>
      </c>
      <c r="T28" s="1"/>
      <c r="U28" s="1"/>
      <c r="V28" s="1"/>
      <c r="W28" s="29" t="s">
        <v>113</v>
      </c>
      <c r="X28" s="29">
        <v>1403.1632999999999</v>
      </c>
      <c r="Y28" s="29">
        <f t="shared" si="22"/>
        <v>0.90345375165602804</v>
      </c>
      <c r="Z28">
        <f t="shared" si="23"/>
        <v>3.7643906319001171E-2</v>
      </c>
      <c r="AA28" s="29">
        <f>(Z28*100)/Z27</f>
        <v>61.758564454251022</v>
      </c>
      <c r="AB28">
        <f>100-AA28</f>
        <v>38.241435545748978</v>
      </c>
      <c r="AE28" s="36" t="s">
        <v>123</v>
      </c>
      <c r="AF28" s="36">
        <v>3094.0866999999998</v>
      </c>
      <c r="AG28" s="36">
        <f t="shared" si="24"/>
        <v>1.9217142599060582</v>
      </c>
      <c r="AH28" s="1">
        <f>AG28/5.5</f>
        <v>0.34940259271019242</v>
      </c>
      <c r="AI28" s="36">
        <f>(AH28*100)/AH27</f>
        <v>79.567151229784486</v>
      </c>
      <c r="AJ28" s="1">
        <f>100-AI28</f>
        <v>20.432848770215514</v>
      </c>
      <c r="AN28" s="36"/>
      <c r="AO28" s="36"/>
      <c r="AP28" s="36"/>
      <c r="AQ28" s="1"/>
      <c r="AR28" s="36"/>
      <c r="AS28" s="1"/>
    </row>
    <row r="29" spans="1:45" x14ac:dyDescent="0.25">
      <c r="A29" s="7"/>
      <c r="B29" s="27"/>
      <c r="C29" s="27"/>
      <c r="D29" s="27"/>
      <c r="E29" s="27"/>
      <c r="F29" s="27"/>
      <c r="G29" s="5"/>
      <c r="K29" s="84"/>
      <c r="L29" s="84"/>
      <c r="M29" s="84"/>
      <c r="N29" s="84"/>
      <c r="O29" s="84"/>
      <c r="Q29" s="25">
        <v>76</v>
      </c>
      <c r="R29" s="13">
        <v>1873.76</v>
      </c>
      <c r="S29" s="8">
        <v>2216.1932999999999</v>
      </c>
      <c r="W29" s="29" t="s">
        <v>114</v>
      </c>
      <c r="X29" s="29">
        <v>1583.86</v>
      </c>
      <c r="Y29" s="29">
        <f t="shared" si="22"/>
        <v>1.0122678549921715</v>
      </c>
      <c r="Z29">
        <f t="shared" si="23"/>
        <v>4.2177827291340481E-2</v>
      </c>
      <c r="AA29" s="29">
        <f>(Z29*100)/Z26</f>
        <v>65.70479652613227</v>
      </c>
      <c r="AB29">
        <f>100-AA29</f>
        <v>34.29520347386773</v>
      </c>
      <c r="AE29" s="41" t="s">
        <v>124</v>
      </c>
      <c r="AF29" s="41">
        <v>3033.69</v>
      </c>
      <c r="AG29" s="41">
        <f t="shared" si="24"/>
        <v>1.8853438516198966</v>
      </c>
      <c r="AH29" s="40">
        <f>AG29/5.5</f>
        <v>0.34278979120361758</v>
      </c>
      <c r="AI29" s="41">
        <f>(AH29*100)/AH26</f>
        <v>79.22600483893747</v>
      </c>
      <c r="AJ29" s="40">
        <f>100-AI29</f>
        <v>20.77399516106253</v>
      </c>
      <c r="AN29" s="41"/>
      <c r="AO29" s="41"/>
      <c r="AP29" s="41"/>
      <c r="AQ29" s="40"/>
      <c r="AR29" s="41"/>
      <c r="AS29" s="40"/>
    </row>
    <row r="30" spans="1:45" x14ac:dyDescent="0.25">
      <c r="A30" s="8"/>
      <c r="B30" s="4"/>
      <c r="C30" s="4"/>
      <c r="D30" s="4"/>
      <c r="E30" s="4"/>
      <c r="F30" s="4"/>
      <c r="K30" s="84"/>
      <c r="L30" s="84"/>
      <c r="M30" s="84"/>
      <c r="N30" s="84"/>
      <c r="O30" s="84"/>
      <c r="Q30" s="25">
        <v>77</v>
      </c>
      <c r="R30" s="13">
        <v>825.14329999999995</v>
      </c>
      <c r="S30" s="8">
        <v>690.63670000000002</v>
      </c>
      <c r="U30" s="22"/>
      <c r="V30" s="6"/>
      <c r="W30" s="90" t="s">
        <v>97</v>
      </c>
      <c r="X30" s="90"/>
      <c r="Y30" s="90"/>
      <c r="Z30" s="90"/>
      <c r="AA30" s="90"/>
      <c r="AB30" s="90"/>
      <c r="AC30" s="29"/>
      <c r="AE30" s="90" t="s">
        <v>97</v>
      </c>
      <c r="AF30" s="90"/>
      <c r="AG30" s="90"/>
      <c r="AH30" s="90"/>
      <c r="AI30" s="90"/>
      <c r="AJ30" s="90"/>
    </row>
    <row r="31" spans="1:45" x14ac:dyDescent="0.25">
      <c r="A31" s="8"/>
      <c r="B31" s="4"/>
      <c r="C31" s="4"/>
      <c r="D31" s="4"/>
      <c r="E31" s="4"/>
      <c r="F31" s="4"/>
      <c r="K31" s="84"/>
      <c r="L31" s="84"/>
      <c r="M31" s="84"/>
      <c r="N31" s="84"/>
      <c r="O31" s="84"/>
      <c r="Q31" s="25">
        <v>78</v>
      </c>
      <c r="R31" s="13">
        <v>885.42669999999998</v>
      </c>
      <c r="S31" s="8">
        <v>929.3</v>
      </c>
      <c r="U31" s="6"/>
      <c r="V31" s="6"/>
      <c r="W31" s="29" t="s">
        <v>94</v>
      </c>
      <c r="X31" s="29" t="s">
        <v>91</v>
      </c>
      <c r="Y31" s="29" t="s">
        <v>108</v>
      </c>
      <c r="Z31" s="29" t="s">
        <v>110</v>
      </c>
      <c r="AA31" s="29" t="s">
        <v>8</v>
      </c>
      <c r="AB31" s="29" t="s">
        <v>9</v>
      </c>
      <c r="AE31" s="29" t="s">
        <v>94</v>
      </c>
      <c r="AF31" s="29" t="s">
        <v>91</v>
      </c>
      <c r="AG31" s="29" t="s">
        <v>108</v>
      </c>
      <c r="AH31" s="29" t="s">
        <v>110</v>
      </c>
      <c r="AI31" s="29" t="s">
        <v>8</v>
      </c>
      <c r="AJ31" s="29" t="s">
        <v>9</v>
      </c>
    </row>
    <row r="32" spans="1:45" x14ac:dyDescent="0.25">
      <c r="A32" s="8"/>
      <c r="B32" s="4"/>
      <c r="C32" s="4"/>
      <c r="D32" s="4"/>
      <c r="E32" s="4"/>
      <c r="F32" s="4"/>
      <c r="I32" s="7"/>
      <c r="J32" s="7"/>
      <c r="K32" s="84"/>
      <c r="L32" s="84"/>
      <c r="M32" s="84"/>
      <c r="N32" s="84"/>
      <c r="O32" s="84"/>
      <c r="Q32" s="25">
        <v>79</v>
      </c>
      <c r="R32" s="13">
        <v>1793.5033000000001</v>
      </c>
      <c r="S32" s="8">
        <v>1520.3816999999999</v>
      </c>
      <c r="U32" s="6"/>
      <c r="V32" s="6"/>
      <c r="W32" s="36" t="s">
        <v>95</v>
      </c>
      <c r="X32" s="29">
        <v>4638.5</v>
      </c>
      <c r="Y32" s="29">
        <f>(X32-V$49)/V$48</f>
        <v>2.8517475611224858</v>
      </c>
      <c r="Z32">
        <f>Y32/5.5</f>
        <v>0.51849955656772473</v>
      </c>
      <c r="AA32" s="30" t="s">
        <v>107</v>
      </c>
      <c r="AB32" s="30" t="s">
        <v>107</v>
      </c>
      <c r="AE32" s="41" t="s">
        <v>125</v>
      </c>
      <c r="AF32" s="41">
        <v>4867.5567000000001</v>
      </c>
      <c r="AG32" s="41">
        <f>(AF32-AO$41)/AO$40</f>
        <v>2.9896836685535351</v>
      </c>
      <c r="AH32" s="40">
        <f t="shared" ref="AH32:AH34" si="25">AG32/5.5</f>
        <v>0.54357884882791552</v>
      </c>
      <c r="AI32" s="53" t="s">
        <v>107</v>
      </c>
      <c r="AJ32" s="53" t="s">
        <v>107</v>
      </c>
    </row>
    <row r="33" spans="1:41" x14ac:dyDescent="0.25">
      <c r="A33" s="7"/>
      <c r="B33" s="4"/>
      <c r="C33" s="4"/>
      <c r="D33" s="4"/>
      <c r="E33" s="4"/>
      <c r="F33" s="4"/>
      <c r="I33" s="7"/>
      <c r="J33" s="7"/>
      <c r="K33" s="84"/>
      <c r="L33" s="84"/>
      <c r="M33" s="84"/>
      <c r="N33" s="84"/>
      <c r="O33" s="84"/>
      <c r="Q33" s="8" t="s">
        <v>51</v>
      </c>
      <c r="S33" s="24">
        <v>17804.064999999999</v>
      </c>
      <c r="U33" s="6"/>
      <c r="V33" s="6"/>
      <c r="W33" s="29" t="s">
        <v>96</v>
      </c>
      <c r="X33" s="29">
        <v>3637.2732999999998</v>
      </c>
      <c r="Y33" s="29">
        <f t="shared" ref="Y33:Y35" si="26">(X33-V$49)/V$48</f>
        <v>2.248816873419246</v>
      </c>
      <c r="Z33">
        <f t="shared" ref="Z33:Z35" si="27">Y33/5.5</f>
        <v>0.40887579516713562</v>
      </c>
      <c r="AA33" s="30" t="s">
        <v>107</v>
      </c>
      <c r="AB33" s="30" t="s">
        <v>107</v>
      </c>
      <c r="AE33" s="42" t="s">
        <v>126</v>
      </c>
      <c r="AF33" s="41">
        <v>3837.1532999999999</v>
      </c>
      <c r="AG33" s="41">
        <f t="shared" ref="AG33:AG34" si="28">(AF33-AO$41)/AO$40</f>
        <v>2.3691830061423582</v>
      </c>
      <c r="AH33" s="40">
        <f t="shared" si="25"/>
        <v>0.43076054657133783</v>
      </c>
      <c r="AI33" s="41">
        <f>(AH33*100)/AH32</f>
        <v>79.245273707790389</v>
      </c>
      <c r="AJ33" s="40">
        <f>100-AI33</f>
        <v>20.754726292209611</v>
      </c>
    </row>
    <row r="34" spans="1:41" x14ac:dyDescent="0.25">
      <c r="A34" s="7"/>
      <c r="B34" s="4"/>
      <c r="C34" s="4"/>
      <c r="D34" s="4"/>
      <c r="E34" s="4"/>
      <c r="F34" s="4"/>
      <c r="I34" s="7"/>
      <c r="J34" s="7"/>
      <c r="K34" s="84"/>
      <c r="L34" s="84"/>
      <c r="M34" s="84"/>
      <c r="N34" s="84"/>
      <c r="O34" s="84"/>
      <c r="Q34" s="25" t="s">
        <v>53</v>
      </c>
      <c r="R34" s="24">
        <v>8156.5167000000001</v>
      </c>
      <c r="S34" s="24">
        <v>7362.2883000000002</v>
      </c>
      <c r="U34" s="5"/>
      <c r="V34" s="5"/>
      <c r="W34" s="29" t="s">
        <v>111</v>
      </c>
      <c r="X34" s="29">
        <v>3550.6033000000002</v>
      </c>
      <c r="Y34" s="29">
        <f t="shared" si="26"/>
        <v>2.196624894616404</v>
      </c>
      <c r="Z34">
        <f t="shared" si="27"/>
        <v>0.39938634447570981</v>
      </c>
      <c r="AA34" s="29">
        <f>(Z34*100)/Z32</f>
        <v>77.027326140739575</v>
      </c>
      <c r="AB34">
        <f>100-AA34</f>
        <v>22.972673859260425</v>
      </c>
      <c r="AE34" s="44" t="s">
        <v>127</v>
      </c>
      <c r="AF34" s="36">
        <v>3508.6433000000002</v>
      </c>
      <c r="AG34" s="29">
        <f t="shared" si="28"/>
        <v>2.1713569191858366</v>
      </c>
      <c r="AH34" s="1">
        <f t="shared" si="25"/>
        <v>0.39479216712469756</v>
      </c>
      <c r="AI34" s="36">
        <f>(AH34*100)/AH32</f>
        <v>72.628316568233444</v>
      </c>
      <c r="AJ34" s="1">
        <f>100-AI34</f>
        <v>27.371683431766556</v>
      </c>
    </row>
    <row r="35" spans="1:41" ht="15.75" thickBot="1" x14ac:dyDescent="0.3">
      <c r="A35" s="4"/>
      <c r="B35" s="26"/>
      <c r="C35" s="26"/>
      <c r="D35" s="26"/>
      <c r="E35" s="26"/>
      <c r="F35" s="26"/>
      <c r="I35" s="4"/>
      <c r="J35" s="4"/>
      <c r="K35" s="84"/>
      <c r="L35" s="84"/>
      <c r="M35" s="84"/>
      <c r="N35" s="84"/>
      <c r="O35" s="84"/>
      <c r="Q35" s="25" t="s">
        <v>54</v>
      </c>
      <c r="R35" s="24">
        <v>4413.2367000000004</v>
      </c>
      <c r="S35" s="24">
        <v>3845.3667</v>
      </c>
      <c r="U35" s="4"/>
      <c r="V35" s="4"/>
      <c r="W35" s="29" t="s">
        <v>112</v>
      </c>
      <c r="X35" s="29">
        <v>3223.7082999999998</v>
      </c>
      <c r="Y35" s="29">
        <f t="shared" si="26"/>
        <v>1.9997713477056487</v>
      </c>
      <c r="Z35">
        <f t="shared" si="27"/>
        <v>0.3635947904919361</v>
      </c>
      <c r="AA35" s="29">
        <f>(Z35*100)/Z33</f>
        <v>88.925486612214328</v>
      </c>
      <c r="AB35">
        <f>100-AA35</f>
        <v>11.074513387785672</v>
      </c>
    </row>
    <row r="36" spans="1:41" x14ac:dyDescent="0.25">
      <c r="A36" s="7"/>
      <c r="I36" s="7"/>
      <c r="J36" s="7"/>
      <c r="K36" s="84"/>
      <c r="L36" s="84"/>
      <c r="M36" s="84"/>
      <c r="N36" s="84"/>
      <c r="O36" s="84"/>
      <c r="Q36" s="25" t="s">
        <v>55</v>
      </c>
      <c r="R36" s="24">
        <v>2085.8132999999998</v>
      </c>
      <c r="S36" s="24">
        <v>1657.64</v>
      </c>
      <c r="U36" s="4"/>
      <c r="V36" s="4"/>
      <c r="W36" s="85" t="s">
        <v>97</v>
      </c>
      <c r="X36" s="85"/>
      <c r="Y36" s="85"/>
      <c r="Z36" s="85"/>
      <c r="AA36" s="85"/>
      <c r="AB36" s="85"/>
      <c r="AC36" s="37"/>
      <c r="AE36" s="37"/>
      <c r="AF36" s="37"/>
      <c r="AG36" s="37"/>
      <c r="AH36" s="37"/>
      <c r="AI36" s="37"/>
      <c r="AJ36" s="37"/>
    </row>
    <row r="37" spans="1:41" ht="15" customHeight="1" x14ac:dyDescent="0.25">
      <c r="A37" s="7"/>
      <c r="I37" s="7"/>
      <c r="J37" s="7"/>
      <c r="K37" s="86" t="s">
        <v>87</v>
      </c>
      <c r="L37" s="86"/>
      <c r="M37" s="86"/>
      <c r="N37" s="88" t="s">
        <v>86</v>
      </c>
      <c r="O37" s="88"/>
      <c r="Q37" s="25" t="s">
        <v>52</v>
      </c>
      <c r="R37" s="24">
        <v>1018.415</v>
      </c>
      <c r="S37" s="24">
        <v>789.2867</v>
      </c>
      <c r="U37" s="6"/>
      <c r="V37" s="6" t="s">
        <v>134</v>
      </c>
      <c r="W37" s="14" t="s">
        <v>94</v>
      </c>
      <c r="X37" s="29" t="s">
        <v>91</v>
      </c>
      <c r="Y37" s="29" t="s">
        <v>108</v>
      </c>
      <c r="Z37" s="29" t="s">
        <v>110</v>
      </c>
      <c r="AA37" s="29" t="s">
        <v>8</v>
      </c>
      <c r="AB37" s="29" t="s">
        <v>9</v>
      </c>
      <c r="AE37" s="14"/>
      <c r="AF37" s="29"/>
      <c r="AG37" s="29"/>
      <c r="AH37" s="29"/>
      <c r="AI37" s="29"/>
      <c r="AJ37" s="29"/>
    </row>
    <row r="38" spans="1:41" ht="15.75" thickBot="1" x14ac:dyDescent="0.3">
      <c r="A38" s="7"/>
      <c r="I38" s="7"/>
      <c r="J38" s="7"/>
      <c r="K38" s="86"/>
      <c r="L38" s="86"/>
      <c r="M38" s="86"/>
      <c r="N38" s="88"/>
      <c r="O38" s="88"/>
      <c r="Q38" s="7"/>
      <c r="U38" s="6"/>
      <c r="V38" s="6">
        <f>(0.5*10)/5.5</f>
        <v>0.90909090909090906</v>
      </c>
      <c r="W38" s="38" t="s">
        <v>99</v>
      </c>
      <c r="X38" s="38">
        <v>4265.8999999999996</v>
      </c>
      <c r="Y38" s="39">
        <f>(X38-V$49)/V$48</f>
        <v>2.6273708298205469</v>
      </c>
      <c r="Z38" s="40">
        <f>Y38/5.5</f>
        <v>0.47770378724009943</v>
      </c>
      <c r="AA38" s="52" t="s">
        <v>107</v>
      </c>
      <c r="AB38" s="52" t="s">
        <v>107</v>
      </c>
      <c r="AE38" s="4"/>
      <c r="AF38" s="32"/>
      <c r="AG38" s="33"/>
      <c r="AI38" s="31"/>
      <c r="AJ38" s="31"/>
    </row>
    <row r="39" spans="1:41" x14ac:dyDescent="0.25">
      <c r="A39" s="7"/>
      <c r="B39" s="27"/>
      <c r="C39" s="27"/>
      <c r="D39" s="27"/>
      <c r="E39" s="27"/>
      <c r="F39" s="27"/>
      <c r="G39" s="27"/>
      <c r="H39" s="27"/>
      <c r="I39" s="7"/>
      <c r="J39" s="7"/>
      <c r="K39" s="86"/>
      <c r="L39" s="86"/>
      <c r="M39" s="86"/>
      <c r="N39" s="88"/>
      <c r="O39" s="88"/>
      <c r="P39" s="7"/>
      <c r="Q39" s="7"/>
      <c r="U39" s="6"/>
      <c r="V39" s="6"/>
      <c r="W39" s="38" t="s">
        <v>100</v>
      </c>
      <c r="X39" s="38">
        <v>4279.1760999999997</v>
      </c>
      <c r="Y39" s="39">
        <f t="shared" ref="Y39:Y45" si="29">(X39-V$49)/V$48</f>
        <v>2.6353655907503311</v>
      </c>
      <c r="Z39" s="40">
        <f t="shared" ref="Z39:Z45" si="30">Y39/5.5</f>
        <v>0.47915738013642384</v>
      </c>
      <c r="AA39" s="52" t="s">
        <v>107</v>
      </c>
      <c r="AB39" s="52" t="s">
        <v>107</v>
      </c>
      <c r="AE39" s="34"/>
      <c r="AF39" s="32"/>
      <c r="AG39" s="33"/>
      <c r="AI39" s="31"/>
      <c r="AJ39" s="31"/>
    </row>
    <row r="40" spans="1:41" x14ac:dyDescent="0.25">
      <c r="B40" s="4"/>
      <c r="C40" s="4"/>
      <c r="D40" s="4"/>
      <c r="E40" s="4"/>
      <c r="F40" s="4"/>
      <c r="G40" s="4"/>
      <c r="H40" s="4"/>
      <c r="K40" s="86"/>
      <c r="L40" s="86"/>
      <c r="M40" s="86"/>
      <c r="N40" s="88"/>
      <c r="O40" s="88"/>
      <c r="P40" s="5"/>
      <c r="Q40" s="5"/>
      <c r="U40" s="5"/>
      <c r="V40" s="5"/>
      <c r="W40" s="38" t="s">
        <v>101</v>
      </c>
      <c r="X40" s="38">
        <v>2184.9250000000002</v>
      </c>
      <c r="Y40" s="39">
        <f t="shared" si="29"/>
        <v>1.3742243767313023</v>
      </c>
      <c r="Z40" s="40">
        <f t="shared" si="30"/>
        <v>0.2498589775875095</v>
      </c>
      <c r="AA40" s="39">
        <f>(Z40*100)/Z38</f>
        <v>52.304165104290348</v>
      </c>
      <c r="AB40" s="39">
        <f>100-AA40</f>
        <v>47.695834895709652</v>
      </c>
      <c r="AC40">
        <f>AVERAGE(AB40:AB41)</f>
        <v>43.699665782248069</v>
      </c>
      <c r="AE40" s="34"/>
      <c r="AF40" s="91" t="s">
        <v>128</v>
      </c>
      <c r="AG40" s="91"/>
      <c r="AH40" s="92" t="s">
        <v>131</v>
      </c>
      <c r="AI40" s="92"/>
      <c r="AJ40" s="33"/>
      <c r="AK40" s="71" t="s">
        <v>173</v>
      </c>
      <c r="AL40" s="82" t="s">
        <v>172</v>
      </c>
      <c r="AM40" s="82"/>
      <c r="AN40" s="74" t="s">
        <v>82</v>
      </c>
      <c r="AO40" s="74">
        <v>1660.6</v>
      </c>
    </row>
    <row r="41" spans="1:41" x14ac:dyDescent="0.25">
      <c r="B41" s="4"/>
      <c r="C41" s="4"/>
      <c r="D41" s="4"/>
      <c r="E41" s="4"/>
      <c r="F41" s="4"/>
      <c r="G41" s="4"/>
      <c r="H41" s="4"/>
      <c r="K41" s="86"/>
      <c r="L41" s="86"/>
      <c r="M41" s="86"/>
      <c r="N41" s="88"/>
      <c r="O41" s="88"/>
      <c r="P41" s="4"/>
      <c r="Q41" s="4"/>
      <c r="R41" s="4"/>
      <c r="S41" s="4"/>
      <c r="T41" s="4"/>
      <c r="U41" s="4"/>
      <c r="V41" s="4"/>
      <c r="W41" s="38" t="s">
        <v>102</v>
      </c>
      <c r="X41" s="38">
        <v>2541.6367</v>
      </c>
      <c r="Y41" s="39">
        <f t="shared" si="29"/>
        <v>1.5890333012164279</v>
      </c>
      <c r="Z41" s="40">
        <f t="shared" si="30"/>
        <v>0.28891514567571419</v>
      </c>
      <c r="AA41" s="39">
        <f>(Z41*100)/Z39</f>
        <v>60.296503331213515</v>
      </c>
      <c r="AB41" s="39">
        <f t="shared" ref="AB41:AB45" si="31">100-AA41</f>
        <v>39.703496668786485</v>
      </c>
      <c r="AE41" s="34"/>
      <c r="AF41" s="45" t="s">
        <v>129</v>
      </c>
      <c r="AG41" s="46" t="s">
        <v>130</v>
      </c>
      <c r="AH41" s="49" t="s">
        <v>129</v>
      </c>
      <c r="AI41" s="50" t="s">
        <v>130</v>
      </c>
      <c r="AJ41" s="33"/>
      <c r="AK41" s="4"/>
      <c r="AL41" s="82" t="s">
        <v>157</v>
      </c>
      <c r="AM41" s="82"/>
      <c r="AN41" s="75" t="s">
        <v>83</v>
      </c>
      <c r="AO41" s="75">
        <v>-97.111999999999995</v>
      </c>
    </row>
    <row r="42" spans="1:41" ht="15" customHeight="1" x14ac:dyDescent="0.25">
      <c r="B42" s="4"/>
      <c r="C42" s="4"/>
      <c r="D42" s="4"/>
      <c r="E42" s="4"/>
      <c r="F42" s="4"/>
      <c r="G42" s="4"/>
      <c r="H42" s="4"/>
      <c r="K42" s="86" t="s">
        <v>88</v>
      </c>
      <c r="L42" s="86"/>
      <c r="M42" s="86"/>
      <c r="N42" s="88" t="s">
        <v>85</v>
      </c>
      <c r="O42" s="88"/>
      <c r="P42" s="4"/>
      <c r="Q42" s="4"/>
      <c r="R42" s="6"/>
      <c r="S42" s="4"/>
      <c r="T42" s="4"/>
      <c r="U42" s="4"/>
      <c r="V42" s="4"/>
      <c r="W42" s="34" t="s">
        <v>103</v>
      </c>
      <c r="X42" s="34">
        <v>2357.0100000000002</v>
      </c>
      <c r="Y42" s="77">
        <f t="shared" si="29"/>
        <v>1.4778525834035894</v>
      </c>
      <c r="Z42">
        <f t="shared" si="30"/>
        <v>0.26870046970974354</v>
      </c>
      <c r="AA42" s="33">
        <f>(Z42*100)/Z39</f>
        <v>56.0777065842626</v>
      </c>
      <c r="AB42" s="33">
        <f t="shared" si="31"/>
        <v>43.9222934157374</v>
      </c>
      <c r="AE42" s="34"/>
      <c r="AF42" s="47">
        <v>0.47770378724009943</v>
      </c>
      <c r="AG42" s="48">
        <v>0.2498589775875095</v>
      </c>
      <c r="AH42" s="43">
        <v>0.43267332727491714</v>
      </c>
      <c r="AI42" s="51">
        <v>0.34278979120361758</v>
      </c>
      <c r="AJ42" s="33"/>
    </row>
    <row r="43" spans="1:41" ht="15.75" thickBot="1" x14ac:dyDescent="0.3">
      <c r="B43" s="26"/>
      <c r="C43" s="26"/>
      <c r="D43" s="26"/>
      <c r="E43" s="26"/>
      <c r="F43" s="26"/>
      <c r="G43" s="26"/>
      <c r="H43" s="26"/>
      <c r="K43" s="86"/>
      <c r="L43" s="86"/>
      <c r="M43" s="86"/>
      <c r="N43" s="88"/>
      <c r="O43" s="88"/>
      <c r="P43" s="4"/>
      <c r="Q43" s="4"/>
      <c r="R43" s="6"/>
      <c r="S43" s="4"/>
      <c r="T43" s="4"/>
      <c r="U43" s="4"/>
      <c r="V43" s="4"/>
      <c r="W43" s="34" t="s">
        <v>104</v>
      </c>
      <c r="X43" s="34">
        <v>1828.2132999999999</v>
      </c>
      <c r="Y43" s="77">
        <f t="shared" si="29"/>
        <v>1.1594154522461761</v>
      </c>
      <c r="Z43">
        <f t="shared" si="30"/>
        <v>0.21080280949930474</v>
      </c>
      <c r="AA43" s="33">
        <f>(Z43*100)/Z38</f>
        <v>44.128352156721093</v>
      </c>
      <c r="AB43" s="33">
        <f t="shared" si="31"/>
        <v>55.871647843278907</v>
      </c>
      <c r="AE43" s="34"/>
      <c r="AF43" s="47">
        <v>0.47915738013642384</v>
      </c>
      <c r="AG43" s="48">
        <v>0.28891514567571419</v>
      </c>
      <c r="AH43" s="43">
        <v>0.54357884882791552</v>
      </c>
      <c r="AI43" s="51">
        <v>0.43076054657133783</v>
      </c>
      <c r="AJ43" s="33"/>
    </row>
    <row r="44" spans="1:41" x14ac:dyDescent="0.25">
      <c r="B44" s="8"/>
      <c r="C44" s="8"/>
      <c r="D44" s="8"/>
      <c r="E44" s="8"/>
      <c r="F44" s="8"/>
      <c r="G44" s="8"/>
      <c r="H44" s="7"/>
      <c r="K44" s="87" t="s">
        <v>89</v>
      </c>
      <c r="L44" s="87"/>
      <c r="M44" s="87"/>
      <c r="N44" s="89" t="s">
        <v>90</v>
      </c>
      <c r="O44" s="89"/>
      <c r="P44" s="4"/>
      <c r="Q44" s="4"/>
      <c r="R44" s="5"/>
      <c r="S44" s="4"/>
      <c r="T44" s="4"/>
      <c r="U44" s="4"/>
      <c r="V44" s="4"/>
      <c r="W44" s="34" t="s">
        <v>105</v>
      </c>
      <c r="X44" s="34">
        <v>3026.0266999999999</v>
      </c>
      <c r="Y44" s="77">
        <f t="shared" si="29"/>
        <v>1.8807290738287368</v>
      </c>
      <c r="Z44">
        <f t="shared" si="30"/>
        <v>0.34195074069613396</v>
      </c>
      <c r="AA44" s="33">
        <f>(Z44*100)/Z39</f>
        <v>71.365015936679313</v>
      </c>
      <c r="AB44" s="33">
        <f t="shared" si="31"/>
        <v>28.634984063320687</v>
      </c>
      <c r="AE44" s="34" t="s">
        <v>29</v>
      </c>
      <c r="AF44" s="34">
        <f>AVERAGE(AF42:AF43)</f>
        <v>0.47843058368826163</v>
      </c>
      <c r="AG44" s="33">
        <f>AVERAGE(AG42:AG43)</f>
        <v>0.26938706163161186</v>
      </c>
      <c r="AH44">
        <f>AVERAGE(AH42:AH43)</f>
        <v>0.48812608805141633</v>
      </c>
      <c r="AI44" s="33">
        <f>AVERAGE(AI42:AI43)</f>
        <v>0.3867751688874777</v>
      </c>
      <c r="AJ44" s="33"/>
    </row>
    <row r="45" spans="1:41" x14ac:dyDescent="0.25">
      <c r="B45" s="7"/>
      <c r="C45" s="7"/>
      <c r="D45" s="7"/>
      <c r="E45" s="7"/>
      <c r="F45" s="7"/>
      <c r="G45" s="7"/>
      <c r="H45" s="7"/>
      <c r="K45" s="87"/>
      <c r="L45" s="87"/>
      <c r="M45" s="87"/>
      <c r="N45" s="89"/>
      <c r="O45" s="89"/>
      <c r="R45" s="4"/>
      <c r="S45" s="4"/>
      <c r="T45" s="4"/>
      <c r="U45" s="4"/>
      <c r="V45" s="4"/>
      <c r="W45" s="34" t="s">
        <v>106</v>
      </c>
      <c r="X45" s="33">
        <v>2597.17</v>
      </c>
      <c r="Y45" s="77">
        <f t="shared" si="29"/>
        <v>1.6224750090328799</v>
      </c>
      <c r="Z45">
        <f t="shared" si="30"/>
        <v>0.29499545618779632</v>
      </c>
      <c r="AA45" s="33">
        <f>(Z45*100)/Z38</f>
        <v>61.752798296222885</v>
      </c>
      <c r="AB45" s="33">
        <f t="shared" si="31"/>
        <v>38.247201703777115</v>
      </c>
      <c r="AE45" s="34" t="s">
        <v>36</v>
      </c>
      <c r="AF45" s="33">
        <f>STDEV(AF42:AF43)</f>
        <v>1.0278453940755824E-3</v>
      </c>
      <c r="AG45" s="33">
        <f>STDEV(AG42:AG43)</f>
        <v>2.7616881302331177E-2</v>
      </c>
      <c r="AH45">
        <f>STDEV(AH42:AH43)</f>
        <v>7.8422046361155809E-2</v>
      </c>
      <c r="AI45" s="33">
        <f>STDEV(AI42:AI43)</f>
        <v>6.2204717666617955E-2</v>
      </c>
      <c r="AJ45" s="33"/>
    </row>
    <row r="46" spans="1:41" x14ac:dyDescent="0.25">
      <c r="B46" s="7"/>
      <c r="C46" s="7"/>
      <c r="D46" s="7"/>
      <c r="E46" s="7"/>
      <c r="F46" s="7"/>
      <c r="G46" s="7"/>
      <c r="H46" s="7"/>
      <c r="K46" s="87"/>
      <c r="L46" s="87"/>
      <c r="M46" s="87"/>
      <c r="N46" s="89"/>
      <c r="O46" s="89"/>
      <c r="R46" s="4"/>
      <c r="S46" s="4"/>
      <c r="T46" s="4"/>
      <c r="U46" s="4"/>
      <c r="V46" s="4"/>
      <c r="W46" s="34"/>
      <c r="X46" s="33"/>
      <c r="Y46" s="33"/>
      <c r="Z46" s="33"/>
      <c r="AA46" s="33"/>
      <c r="AB46" s="33"/>
      <c r="AC46" s="33"/>
      <c r="AE46" s="1" t="s">
        <v>133</v>
      </c>
      <c r="AF46" s="1">
        <f>(12.71*AF45)/SQRT(2)</f>
        <v>9.2375828561416067E-3</v>
      </c>
      <c r="AG46" s="1">
        <f>(12.71*AG45)/SQRT(2)</f>
        <v>0.24820194820054081</v>
      </c>
      <c r="AH46" s="1">
        <f>(12.71*AH45)/SQRT(2)</f>
        <v>0.70480458946930336</v>
      </c>
      <c r="AI46" s="1">
        <f>(12.71*AI45)/SQRT(2)</f>
        <v>0.55905415036186301</v>
      </c>
    </row>
    <row r="47" spans="1:41" x14ac:dyDescent="0.25">
      <c r="B47" s="7"/>
      <c r="C47" s="7"/>
      <c r="D47" s="7"/>
      <c r="E47" s="7"/>
      <c r="F47" s="7"/>
      <c r="G47" s="7"/>
      <c r="H47" s="7"/>
      <c r="I47" s="6"/>
      <c r="J47" s="6"/>
      <c r="K47" s="6"/>
      <c r="L47" s="6"/>
      <c r="M47" s="6"/>
      <c r="N47" s="6"/>
      <c r="O47" s="6"/>
      <c r="P47" s="6"/>
      <c r="R47" s="4"/>
      <c r="S47" s="4"/>
      <c r="T47" s="4"/>
      <c r="U47" s="4"/>
      <c r="V47" s="4"/>
      <c r="W47" s="4"/>
      <c r="AE47" s="38" t="s">
        <v>149</v>
      </c>
      <c r="AF47" s="40">
        <f>AF45/SQRT(2)</f>
        <v>7.2679644816220346E-4</v>
      </c>
      <c r="AG47" s="40">
        <f t="shared" ref="AG47:AI47" si="32">AG45/SQRT(2)</f>
        <v>1.9528084044102344E-2</v>
      </c>
      <c r="AH47" s="40">
        <f t="shared" si="32"/>
        <v>5.5452760776499084E-2</v>
      </c>
      <c r="AI47" s="40">
        <f t="shared" si="32"/>
        <v>4.398537768386019E-2</v>
      </c>
    </row>
    <row r="48" spans="1:41" x14ac:dyDescent="0.25">
      <c r="B48" s="8"/>
      <c r="C48" s="8"/>
      <c r="D48" s="8"/>
      <c r="E48" s="8"/>
      <c r="F48" s="8"/>
      <c r="G48" s="8"/>
      <c r="H48" s="6"/>
      <c r="I48" s="6"/>
      <c r="J48" s="6"/>
      <c r="K48" s="6"/>
      <c r="L48" s="6"/>
      <c r="M48" s="6"/>
      <c r="N48" s="6"/>
      <c r="O48" s="6"/>
      <c r="P48" s="6"/>
      <c r="Q48" t="s">
        <v>173</v>
      </c>
      <c r="S48" s="4" t="s">
        <v>172</v>
      </c>
      <c r="U48" s="74" t="s">
        <v>82</v>
      </c>
      <c r="V48" s="74">
        <v>1660.6</v>
      </c>
      <c r="W48" s="4"/>
      <c r="AF48" t="s">
        <v>147</v>
      </c>
      <c r="AG48">
        <f>100 - (AG42*100)/AF42</f>
        <v>47.695834895709652</v>
      </c>
      <c r="AH48" t="s">
        <v>147</v>
      </c>
      <c r="AI48">
        <f>100 - (AI42*100)/AH42</f>
        <v>20.77399516106253</v>
      </c>
    </row>
    <row r="49" spans="2:41" x14ac:dyDescent="0.25">
      <c r="B49" s="7"/>
      <c r="C49" s="7"/>
      <c r="D49" s="7"/>
      <c r="E49" s="7"/>
      <c r="F49" s="7"/>
      <c r="G49" s="7"/>
      <c r="H49" s="6"/>
      <c r="I49" s="6"/>
      <c r="K49" t="s">
        <v>57</v>
      </c>
      <c r="Q49" s="4"/>
      <c r="R49" s="4"/>
      <c r="S49" s="4" t="s">
        <v>157</v>
      </c>
      <c r="T49" s="4"/>
      <c r="U49" s="75" t="s">
        <v>83</v>
      </c>
      <c r="V49" s="75">
        <v>-97.111999999999995</v>
      </c>
      <c r="W49" s="4"/>
      <c r="AF49" t="s">
        <v>147</v>
      </c>
      <c r="AG49">
        <f>100 - (AG43*100)/AF43</f>
        <v>39.703496668786485</v>
      </c>
      <c r="AH49" t="s">
        <v>147</v>
      </c>
      <c r="AI49">
        <f>100 - (AI43*100)/AH43</f>
        <v>20.754726292209611</v>
      </c>
    </row>
    <row r="50" spans="2:41" x14ac:dyDescent="0.25">
      <c r="B50" s="14"/>
      <c r="C50" s="14"/>
      <c r="D50" s="14"/>
      <c r="E50" s="14"/>
      <c r="F50" s="7"/>
      <c r="G50" s="7"/>
      <c r="H50" s="6"/>
      <c r="I50" s="6"/>
      <c r="R50" s="4"/>
      <c r="S50" s="4"/>
      <c r="T50" s="4"/>
      <c r="U50" s="4"/>
      <c r="V50" s="4"/>
      <c r="W50" s="4"/>
      <c r="AF50" s="40" t="s">
        <v>148</v>
      </c>
      <c r="AG50" s="40">
        <f>AVERAGE(AG48:AG49)</f>
        <v>43.699665782248069</v>
      </c>
      <c r="AH50" s="40" t="s">
        <v>148</v>
      </c>
      <c r="AI50" s="40">
        <f>AVERAGE(AI48:AI49)</f>
        <v>20.76436072663607</v>
      </c>
    </row>
    <row r="51" spans="2:41" ht="15.75" thickBot="1" x14ac:dyDescent="0.3">
      <c r="B51" s="14"/>
      <c r="C51" s="14"/>
      <c r="D51" s="14"/>
      <c r="E51" s="14"/>
      <c r="F51" s="7"/>
      <c r="G51" s="7"/>
      <c r="H51" s="6"/>
      <c r="I51" s="6"/>
      <c r="J51" s="9"/>
      <c r="K51" t="s">
        <v>58</v>
      </c>
      <c r="R51" s="6"/>
      <c r="S51" s="6"/>
      <c r="T51" s="6"/>
      <c r="U51" s="6"/>
      <c r="V51" s="6"/>
      <c r="W51" s="6"/>
      <c r="Z51" t="s">
        <v>145</v>
      </c>
    </row>
    <row r="52" spans="2:41" ht="15.75" thickBot="1" x14ac:dyDescent="0.3">
      <c r="B52" s="14"/>
      <c r="C52" s="14"/>
      <c r="D52" s="14"/>
      <c r="E52" s="14"/>
      <c r="F52" s="7"/>
      <c r="G52" s="6"/>
      <c r="H52" s="6"/>
      <c r="I52" s="6"/>
      <c r="J52" s="9"/>
      <c r="K52" s="27" t="s">
        <v>59</v>
      </c>
      <c r="L52" s="27" t="s">
        <v>60</v>
      </c>
      <c r="M52" s="27" t="s">
        <v>61</v>
      </c>
      <c r="N52" s="27" t="s">
        <v>62</v>
      </c>
      <c r="O52" s="27" t="s">
        <v>63</v>
      </c>
      <c r="Z52" s="81" t="s">
        <v>183</v>
      </c>
      <c r="AA52" s="81"/>
      <c r="AB52" s="81"/>
      <c r="AL52" s="90"/>
      <c r="AM52" s="90"/>
      <c r="AN52" s="90"/>
      <c r="AO52" s="90"/>
    </row>
    <row r="53" spans="2:41" x14ac:dyDescent="0.25">
      <c r="B53" s="14"/>
      <c r="C53" s="14"/>
      <c r="D53" s="14"/>
      <c r="E53" s="14"/>
      <c r="F53" s="7"/>
      <c r="G53" s="6"/>
      <c r="H53" s="6"/>
      <c r="I53" s="6"/>
      <c r="J53" s="7"/>
      <c r="K53" s="4" t="s">
        <v>64</v>
      </c>
      <c r="L53" s="4">
        <v>6</v>
      </c>
      <c r="M53" s="4">
        <v>29873.661599999999</v>
      </c>
      <c r="N53" s="4">
        <v>4978.9435999999996</v>
      </c>
      <c r="O53" s="4">
        <v>29122950.328067966</v>
      </c>
      <c r="Z53" s="27"/>
      <c r="AA53" s="27" t="s">
        <v>135</v>
      </c>
      <c r="AB53" s="27" t="s">
        <v>136</v>
      </c>
      <c r="AF53" t="s">
        <v>145</v>
      </c>
      <c r="AL53" s="27"/>
      <c r="AM53" s="27"/>
      <c r="AN53" s="27"/>
    </row>
    <row r="54" spans="2:41" ht="15.75" thickBot="1" x14ac:dyDescent="0.3">
      <c r="B54" s="14"/>
      <c r="C54" s="14"/>
      <c r="D54" s="14"/>
      <c r="E54" s="14"/>
      <c r="F54" s="7"/>
      <c r="G54" s="6"/>
      <c r="H54" s="6"/>
      <c r="I54" s="6"/>
      <c r="J54" s="7"/>
      <c r="K54" s="4" t="s">
        <v>65</v>
      </c>
      <c r="L54" s="4">
        <v>6</v>
      </c>
      <c r="M54" s="4">
        <v>30673.0416</v>
      </c>
      <c r="N54" s="4">
        <v>5112.1736000000001</v>
      </c>
      <c r="O54" s="4">
        <v>31968190.245973401</v>
      </c>
      <c r="Z54" s="4" t="s">
        <v>137</v>
      </c>
      <c r="AA54" s="4">
        <v>0.47843058368826163</v>
      </c>
      <c r="AB54" s="4">
        <v>0.26938706163161186</v>
      </c>
      <c r="AF54" s="81" t="s">
        <v>182</v>
      </c>
      <c r="AG54" s="81"/>
      <c r="AH54" s="81"/>
      <c r="AL54" s="4"/>
      <c r="AM54" s="4"/>
      <c r="AN54" s="4"/>
    </row>
    <row r="55" spans="2:41" x14ac:dyDescent="0.25">
      <c r="B55" s="14"/>
      <c r="C55" s="14"/>
      <c r="D55" s="14"/>
      <c r="E55" s="14"/>
      <c r="F55" s="7"/>
      <c r="G55" s="6"/>
      <c r="H55" s="6"/>
      <c r="I55" s="6"/>
      <c r="J55" s="7"/>
      <c r="K55" s="4" t="s">
        <v>78</v>
      </c>
      <c r="L55" s="4">
        <v>6</v>
      </c>
      <c r="M55" s="4">
        <v>31863.530000000002</v>
      </c>
      <c r="N55" s="4">
        <v>5310.588333333334</v>
      </c>
      <c r="O55" s="4">
        <v>40096350.181829795</v>
      </c>
      <c r="Z55" s="4" t="s">
        <v>63</v>
      </c>
      <c r="AA55" s="4">
        <v>1.0564661541223893E-6</v>
      </c>
      <c r="AB55" s="4">
        <v>7.6269213286704943E-4</v>
      </c>
      <c r="AF55" s="27"/>
      <c r="AG55" s="27" t="s">
        <v>135</v>
      </c>
      <c r="AH55" s="27" t="s">
        <v>136</v>
      </c>
      <c r="AL55" s="4"/>
      <c r="AM55" s="4"/>
      <c r="AN55" s="4"/>
    </row>
    <row r="56" spans="2:41" x14ac:dyDescent="0.25">
      <c r="B56" s="14"/>
      <c r="C56" s="14"/>
      <c r="D56" s="14"/>
      <c r="E56" s="14"/>
      <c r="F56" s="7"/>
      <c r="G56" s="6"/>
      <c r="H56" s="6"/>
      <c r="I56" s="6"/>
      <c r="J56" s="5"/>
      <c r="K56" s="4" t="s">
        <v>79</v>
      </c>
      <c r="L56" s="4">
        <v>6</v>
      </c>
      <c r="M56" s="4">
        <v>32635.166299999997</v>
      </c>
      <c r="N56" s="4">
        <v>5439.1943833333326</v>
      </c>
      <c r="O56" s="4">
        <v>39480498.155235454</v>
      </c>
      <c r="Z56" s="4" t="s">
        <v>138</v>
      </c>
      <c r="AA56" s="4">
        <v>2</v>
      </c>
      <c r="AB56" s="4">
        <v>2</v>
      </c>
      <c r="AF56" s="4" t="s">
        <v>137</v>
      </c>
      <c r="AG56" s="4">
        <v>0.48812608805141633</v>
      </c>
      <c r="AH56" s="4">
        <v>0.3867751688874777</v>
      </c>
      <c r="AL56" s="4"/>
      <c r="AM56" s="4"/>
      <c r="AN56" s="4"/>
    </row>
    <row r="57" spans="2:41" x14ac:dyDescent="0.25">
      <c r="B57" s="6"/>
      <c r="C57" s="7"/>
      <c r="D57" s="7"/>
      <c r="E57" s="7"/>
      <c r="F57" s="6"/>
      <c r="G57" s="6"/>
      <c r="H57" s="6"/>
      <c r="I57" s="6"/>
      <c r="J57" s="4"/>
      <c r="K57" s="4" t="s">
        <v>80</v>
      </c>
      <c r="L57" s="4">
        <v>6</v>
      </c>
      <c r="M57" s="4">
        <v>34158.705000000002</v>
      </c>
      <c r="N57" s="4">
        <v>5693.1175000000003</v>
      </c>
      <c r="O57" s="4">
        <v>44859625.627385207</v>
      </c>
      <c r="Z57" s="4" t="s">
        <v>146</v>
      </c>
      <c r="AA57" s="4">
        <v>1</v>
      </c>
      <c r="AB57" s="4"/>
      <c r="AF57" s="4" t="s">
        <v>63</v>
      </c>
      <c r="AG57" s="4">
        <v>6.1500173554712712E-3</v>
      </c>
      <c r="AH57" s="4">
        <v>3.8694268999836523E-3</v>
      </c>
      <c r="AL57" s="4"/>
      <c r="AM57" s="4"/>
      <c r="AN57" s="4"/>
    </row>
    <row r="58" spans="2:41" ht="15.75" thickBot="1" x14ac:dyDescent="0.3">
      <c r="B58" s="6"/>
      <c r="C58" s="6"/>
      <c r="D58" s="6"/>
      <c r="E58" s="6"/>
      <c r="F58" s="6"/>
      <c r="G58" s="6"/>
      <c r="H58" s="6"/>
      <c r="I58" s="6"/>
      <c r="J58" s="4"/>
      <c r="K58" s="26" t="s">
        <v>81</v>
      </c>
      <c r="L58" s="26">
        <v>6</v>
      </c>
      <c r="M58" s="26">
        <v>33452.852349999994</v>
      </c>
      <c r="N58" s="26">
        <v>5575.4753916666659</v>
      </c>
      <c r="O58" s="26">
        <v>43493413.659274839</v>
      </c>
      <c r="Z58" s="4" t="s">
        <v>139</v>
      </c>
      <c r="AA58" s="4">
        <v>0</v>
      </c>
      <c r="AB58" s="4"/>
      <c r="AF58" s="4" t="s">
        <v>138</v>
      </c>
      <c r="AG58" s="4">
        <v>2</v>
      </c>
      <c r="AH58" s="4">
        <v>2</v>
      </c>
      <c r="AL58" s="4"/>
      <c r="AM58" s="4"/>
      <c r="AN58" s="4"/>
    </row>
    <row r="59" spans="2:41" x14ac:dyDescent="0.25">
      <c r="B59" s="6"/>
      <c r="C59" s="6"/>
      <c r="D59" s="6"/>
      <c r="E59" s="6"/>
      <c r="F59" s="6"/>
      <c r="G59" s="6"/>
      <c r="H59" s="6"/>
      <c r="I59" s="6"/>
      <c r="J59" s="4"/>
      <c r="Z59" s="4" t="s">
        <v>69</v>
      </c>
      <c r="AA59" s="4">
        <v>1</v>
      </c>
      <c r="AB59" s="4"/>
      <c r="AF59" s="4" t="s">
        <v>146</v>
      </c>
      <c r="AG59" s="4">
        <v>1</v>
      </c>
      <c r="AH59" s="4"/>
      <c r="AL59" s="4"/>
      <c r="AM59" s="4"/>
      <c r="AN59" s="4"/>
    </row>
    <row r="60" spans="2:41" x14ac:dyDescent="0.25">
      <c r="B60" s="6"/>
      <c r="C60" s="6"/>
      <c r="D60" s="6"/>
      <c r="E60" s="6"/>
      <c r="F60" s="6"/>
      <c r="G60" s="6"/>
      <c r="H60" s="6"/>
      <c r="I60" s="6"/>
      <c r="J60" s="7"/>
      <c r="Z60" s="4" t="s">
        <v>140</v>
      </c>
      <c r="AA60" s="4">
        <v>11.118574777920523</v>
      </c>
      <c r="AB60" s="4"/>
      <c r="AF60" s="4" t="s">
        <v>139</v>
      </c>
      <c r="AG60" s="4">
        <v>0</v>
      </c>
      <c r="AH60" s="4"/>
      <c r="AL60" s="4"/>
      <c r="AM60" s="4"/>
      <c r="AN60" s="4"/>
    </row>
    <row r="61" spans="2:41" ht="15.75" thickBot="1" x14ac:dyDescent="0.3">
      <c r="B61" s="6"/>
      <c r="C61" s="6"/>
      <c r="D61" s="6"/>
      <c r="E61" s="6"/>
      <c r="F61" s="6"/>
      <c r="G61" s="6"/>
      <c r="H61" s="6"/>
      <c r="I61" s="6"/>
      <c r="J61" s="7"/>
      <c r="K61" t="s">
        <v>66</v>
      </c>
      <c r="Z61" s="4" t="s">
        <v>141</v>
      </c>
      <c r="AA61" s="4">
        <v>2.8551837895422066E-2</v>
      </c>
      <c r="AB61" s="4"/>
      <c r="AF61" s="4" t="s">
        <v>69</v>
      </c>
      <c r="AG61" s="4">
        <v>1</v>
      </c>
      <c r="AH61" s="4"/>
      <c r="AL61" s="4"/>
      <c r="AM61" s="4"/>
      <c r="AN61" s="4"/>
    </row>
    <row r="62" spans="2:41" x14ac:dyDescent="0.25">
      <c r="B62" s="6"/>
      <c r="C62" s="6"/>
      <c r="D62" s="6"/>
      <c r="E62" s="6"/>
      <c r="F62" s="6"/>
      <c r="G62" s="6"/>
      <c r="H62" s="6"/>
      <c r="I62" s="6"/>
      <c r="J62" s="7"/>
      <c r="K62" s="27" t="s">
        <v>67</v>
      </c>
      <c r="L62" s="27" t="s">
        <v>68</v>
      </c>
      <c r="M62" s="27" t="s">
        <v>69</v>
      </c>
      <c r="N62" s="27" t="s">
        <v>70</v>
      </c>
      <c r="O62" s="27" t="s">
        <v>71</v>
      </c>
      <c r="P62" s="27" t="s">
        <v>72</v>
      </c>
      <c r="Q62" s="27" t="s">
        <v>73</v>
      </c>
      <c r="Z62" s="4" t="s">
        <v>142</v>
      </c>
      <c r="AA62" s="4">
        <v>6.3137515146750438</v>
      </c>
      <c r="AB62" s="4"/>
      <c r="AF62" s="4" t="s">
        <v>140</v>
      </c>
      <c r="AG62" s="4">
        <v>8.8381907489421696</v>
      </c>
      <c r="AH62" s="4"/>
      <c r="AL62" s="4"/>
      <c r="AM62" s="4"/>
      <c r="AN62" s="4"/>
    </row>
    <row r="63" spans="2:41" x14ac:dyDescent="0.25">
      <c r="B63" s="6"/>
      <c r="C63" s="6"/>
      <c r="D63" s="6"/>
      <c r="E63" s="6"/>
      <c r="F63" s="6"/>
      <c r="G63" s="6"/>
      <c r="H63" s="6"/>
      <c r="I63" s="6"/>
      <c r="J63" s="5"/>
      <c r="K63" s="4" t="s">
        <v>74</v>
      </c>
      <c r="L63" s="4">
        <v>2233841.508944273</v>
      </c>
      <c r="M63" s="4">
        <v>5</v>
      </c>
      <c r="N63" s="4">
        <v>446768.30178885459</v>
      </c>
      <c r="O63" s="4">
        <v>1.1704644904564569E-2</v>
      </c>
      <c r="P63" s="4">
        <v>0.99995151432382201</v>
      </c>
      <c r="Q63" s="4">
        <v>2.5335545475592705</v>
      </c>
      <c r="Z63" s="4" t="s">
        <v>143</v>
      </c>
      <c r="AA63" s="4">
        <v>5.7103675790844133E-2</v>
      </c>
      <c r="AB63" s="4"/>
      <c r="AF63" s="4" t="s">
        <v>141</v>
      </c>
      <c r="AG63" s="4">
        <v>3.586275902243858E-2</v>
      </c>
      <c r="AH63" s="4"/>
      <c r="AL63" s="4"/>
      <c r="AM63" s="4"/>
      <c r="AN63" s="4"/>
    </row>
    <row r="64" spans="2:41" ht="15.75" thickBot="1" x14ac:dyDescent="0.3">
      <c r="B64" s="6"/>
      <c r="C64" s="6"/>
      <c r="D64" s="6"/>
      <c r="E64" s="6"/>
      <c r="F64" s="6"/>
      <c r="G64" s="6"/>
      <c r="H64" s="6"/>
      <c r="I64" s="6"/>
      <c r="J64" s="4"/>
      <c r="K64" s="4" t="s">
        <v>75</v>
      </c>
      <c r="L64" s="4">
        <v>1145105140.9888332</v>
      </c>
      <c r="M64" s="4">
        <v>30</v>
      </c>
      <c r="N64" s="4">
        <v>38170171.366294436</v>
      </c>
      <c r="O64" s="4"/>
      <c r="P64" s="4"/>
      <c r="Q64" s="4"/>
      <c r="Z64" s="26" t="s">
        <v>144</v>
      </c>
      <c r="AA64" s="26">
        <v>12.706204736174707</v>
      </c>
      <c r="AB64" s="26"/>
      <c r="AF64" s="4" t="s">
        <v>142</v>
      </c>
      <c r="AG64" s="4">
        <v>6.3137515146750438</v>
      </c>
      <c r="AH64" s="4"/>
      <c r="AL64" s="26"/>
      <c r="AM64" s="26"/>
      <c r="AN64" s="26"/>
    </row>
    <row r="65" spans="2:34" x14ac:dyDescent="0.25">
      <c r="B65" s="6"/>
      <c r="C65" s="6"/>
      <c r="D65" s="6"/>
      <c r="E65" s="6"/>
      <c r="F65" s="6"/>
      <c r="G65" s="6"/>
      <c r="H65" s="6"/>
      <c r="I65" s="6"/>
      <c r="J65" s="4"/>
      <c r="K65" s="4"/>
      <c r="L65" s="4"/>
      <c r="M65" s="4"/>
      <c r="N65" s="4"/>
      <c r="O65" s="4"/>
      <c r="P65" s="4"/>
      <c r="Q65" s="4"/>
      <c r="AF65" s="4" t="s">
        <v>143</v>
      </c>
      <c r="AG65" s="4">
        <v>7.172551804487716E-2</v>
      </c>
      <c r="AH65" s="4"/>
    </row>
    <row r="66" spans="2:34" ht="15.75" thickBot="1" x14ac:dyDescent="0.3">
      <c r="B66" s="6"/>
      <c r="C66" s="6"/>
      <c r="D66" s="6"/>
      <c r="E66" s="6"/>
      <c r="F66" s="6"/>
      <c r="G66" s="6"/>
      <c r="H66" s="6"/>
      <c r="I66" s="6"/>
      <c r="J66" s="4"/>
      <c r="K66" s="26" t="s">
        <v>76</v>
      </c>
      <c r="L66" s="26">
        <v>1147338982.4977775</v>
      </c>
      <c r="M66" s="26">
        <v>35</v>
      </c>
      <c r="N66" s="26"/>
      <c r="O66" s="26"/>
      <c r="P66" s="26"/>
      <c r="Q66" s="26"/>
      <c r="AF66" s="26" t="s">
        <v>144</v>
      </c>
      <c r="AG66" s="26">
        <v>12.706204736174707</v>
      </c>
      <c r="AH66" s="26"/>
    </row>
    <row r="67" spans="2:34" x14ac:dyDescent="0.25">
      <c r="J67" s="4"/>
      <c r="K67" s="4"/>
      <c r="L67" s="4"/>
      <c r="M67" s="4"/>
      <c r="N67" s="4"/>
    </row>
    <row r="68" spans="2:34" x14ac:dyDescent="0.25">
      <c r="J68" s="7"/>
      <c r="K68" s="7"/>
      <c r="L68" s="7"/>
      <c r="M68" s="7"/>
      <c r="N68" s="7"/>
    </row>
    <row r="70" spans="2:34" ht="15.75" thickBot="1" x14ac:dyDescent="0.3"/>
    <row r="71" spans="2:34" x14ac:dyDescent="0.25">
      <c r="Z71" s="27"/>
      <c r="AA71" s="27"/>
      <c r="AB71" s="27"/>
    </row>
    <row r="72" spans="2:34" x14ac:dyDescent="0.25">
      <c r="Z72" s="4"/>
      <c r="AA72" s="4"/>
      <c r="AB72" s="4"/>
    </row>
    <row r="73" spans="2:34" x14ac:dyDescent="0.25">
      <c r="Z73" s="4"/>
      <c r="AA73" s="4"/>
      <c r="AB73" s="4"/>
    </row>
    <row r="74" spans="2:34" x14ac:dyDescent="0.25">
      <c r="Z74" s="4"/>
      <c r="AA74" s="4"/>
      <c r="AB74" s="4"/>
    </row>
    <row r="75" spans="2:34" x14ac:dyDescent="0.25">
      <c r="Z75" s="4"/>
      <c r="AA75" s="4"/>
      <c r="AB75" s="4"/>
    </row>
    <row r="76" spans="2:34" x14ac:dyDescent="0.25">
      <c r="Z76" s="4"/>
      <c r="AA76" s="4"/>
      <c r="AB76" s="4"/>
    </row>
    <row r="77" spans="2:34" x14ac:dyDescent="0.25">
      <c r="Z77" s="4"/>
      <c r="AA77" s="4"/>
      <c r="AB77" s="4"/>
    </row>
    <row r="78" spans="2:34" x14ac:dyDescent="0.25">
      <c r="Z78" s="4"/>
      <c r="AA78" s="4"/>
      <c r="AB78" s="4"/>
    </row>
    <row r="79" spans="2:34" x14ac:dyDescent="0.25">
      <c r="Z79" s="4"/>
      <c r="AA79" s="4"/>
      <c r="AB79" s="4"/>
    </row>
    <row r="80" spans="2:34" x14ac:dyDescent="0.25">
      <c r="Z80" s="4"/>
      <c r="AA80" s="4"/>
      <c r="AB80" s="4"/>
    </row>
    <row r="81" spans="26:28" x14ac:dyDescent="0.25">
      <c r="Z81" s="4"/>
      <c r="AA81" s="4"/>
      <c r="AB81" s="4"/>
    </row>
    <row r="82" spans="26:28" ht="15.75" thickBot="1" x14ac:dyDescent="0.3">
      <c r="Z82" s="26"/>
      <c r="AA82" s="26"/>
      <c r="AB82" s="26"/>
    </row>
  </sheetData>
  <mergeCells count="38">
    <mergeCell ref="AM2:AN2"/>
    <mergeCell ref="AM3:AN3"/>
    <mergeCell ref="AN23:AS23"/>
    <mergeCell ref="AN24:AS24"/>
    <mergeCell ref="M12:O12"/>
    <mergeCell ref="M3:Q3"/>
    <mergeCell ref="M4:O4"/>
    <mergeCell ref="M10:O10"/>
    <mergeCell ref="M11:O11"/>
    <mergeCell ref="M5:O5"/>
    <mergeCell ref="M6:O6"/>
    <mergeCell ref="M7:O7"/>
    <mergeCell ref="M8:O8"/>
    <mergeCell ref="M9:O9"/>
    <mergeCell ref="J14:J15"/>
    <mergeCell ref="W23:AB23"/>
    <mergeCell ref="W24:AB24"/>
    <mergeCell ref="W30:AB30"/>
    <mergeCell ref="AE23:AJ23"/>
    <mergeCell ref="AE24:AJ24"/>
    <mergeCell ref="AE30:AJ30"/>
    <mergeCell ref="H18:N18"/>
    <mergeCell ref="AF54:AH54"/>
    <mergeCell ref="AL41:AM41"/>
    <mergeCell ref="A18:G18"/>
    <mergeCell ref="K27:O36"/>
    <mergeCell ref="W36:AB36"/>
    <mergeCell ref="Z52:AB52"/>
    <mergeCell ref="K42:M43"/>
    <mergeCell ref="K44:M46"/>
    <mergeCell ref="N42:O43"/>
    <mergeCell ref="N44:O46"/>
    <mergeCell ref="AL52:AO52"/>
    <mergeCell ref="AL40:AM40"/>
    <mergeCell ref="AF40:AG40"/>
    <mergeCell ref="AH40:AI40"/>
    <mergeCell ref="K37:M41"/>
    <mergeCell ref="N37:O4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1"/>
  <sheetViews>
    <sheetView topLeftCell="A7" workbookViewId="0">
      <selection activeCell="F26" sqref="F26"/>
    </sheetView>
  </sheetViews>
  <sheetFormatPr baseColWidth="10" defaultRowHeight="15" x14ac:dyDescent="0.25"/>
  <cols>
    <col min="3" max="3" width="17.7109375" customWidth="1"/>
    <col min="4" max="4" width="22.42578125" customWidth="1"/>
    <col min="5" max="5" width="22.140625" customWidth="1"/>
    <col min="6" max="6" width="26.42578125" customWidth="1"/>
  </cols>
  <sheetData>
    <row r="2" spans="2:6" x14ac:dyDescent="0.25">
      <c r="B2" s="34"/>
      <c r="C2" s="91" t="s">
        <v>128</v>
      </c>
      <c r="D2" s="91"/>
      <c r="E2" s="92" t="s">
        <v>131</v>
      </c>
      <c r="F2" s="92"/>
    </row>
    <row r="3" spans="2:6" x14ac:dyDescent="0.25">
      <c r="B3" s="34"/>
      <c r="C3" s="78" t="s">
        <v>129</v>
      </c>
      <c r="D3" s="46" t="s">
        <v>130</v>
      </c>
      <c r="E3" s="79" t="s">
        <v>129</v>
      </c>
      <c r="F3" s="50" t="s">
        <v>130</v>
      </c>
    </row>
    <row r="4" spans="2:6" x14ac:dyDescent="0.25">
      <c r="B4" s="34"/>
      <c r="C4" s="47">
        <v>0.67788248508599325</v>
      </c>
      <c r="D4" s="48">
        <v>0.35456077421244397</v>
      </c>
      <c r="E4" s="43">
        <v>0.61398230065973802</v>
      </c>
      <c r="F4" s="51">
        <v>0.48643364723090299</v>
      </c>
    </row>
    <row r="5" spans="2:6" x14ac:dyDescent="0.25">
      <c r="B5" s="34"/>
      <c r="C5" s="47">
        <v>0.67994519673112508</v>
      </c>
      <c r="D5" s="48">
        <v>0.40998317819740898</v>
      </c>
      <c r="E5" s="43">
        <v>0.77136206730227797</v>
      </c>
      <c r="F5" s="51">
        <v>0.61126798151176098</v>
      </c>
    </row>
    <row r="6" spans="2:6" x14ac:dyDescent="0.25">
      <c r="B6" s="34" t="s">
        <v>29</v>
      </c>
      <c r="C6" s="34">
        <f>AVERAGE(C4:C5)</f>
        <v>0.67891384090855911</v>
      </c>
      <c r="D6" s="33">
        <f>AVERAGE(D4:D5)</f>
        <v>0.38227197620492648</v>
      </c>
      <c r="E6">
        <f>AVERAGE(E4:E5)</f>
        <v>0.69267218398100794</v>
      </c>
      <c r="F6" s="33">
        <f>AVERAGE(F4:F5)</f>
        <v>0.54885081437133199</v>
      </c>
    </row>
    <row r="7" spans="2:6" x14ac:dyDescent="0.25">
      <c r="B7" s="34" t="s">
        <v>36</v>
      </c>
      <c r="C7" s="33">
        <f>STDEV(C4:C5)</f>
        <v>1.4585573919051774E-3</v>
      </c>
      <c r="D7" s="33">
        <f>STDEV(D4:D5)</f>
        <v>3.9189557687429093E-2</v>
      </c>
      <c r="E7">
        <f>STDEV(E4:E5)</f>
        <v>0.11128430021449705</v>
      </c>
      <c r="F7" s="33">
        <f>STDEV(F4:F5)</f>
        <v>8.8271204294903302E-2</v>
      </c>
    </row>
    <row r="8" spans="2:6" x14ac:dyDescent="0.25">
      <c r="B8" s="1"/>
      <c r="C8" s="74" t="s">
        <v>147</v>
      </c>
      <c r="D8" s="74">
        <f>100 - (D4*100)/C5</f>
        <v>47.854507110717911</v>
      </c>
      <c r="E8" s="74" t="s">
        <v>147</v>
      </c>
      <c r="F8" s="74">
        <f>100 - (F4*100)/E4</f>
        <v>20.773995161062629</v>
      </c>
    </row>
    <row r="9" spans="2:6" x14ac:dyDescent="0.25">
      <c r="B9" s="38"/>
      <c r="C9" t="s">
        <v>147</v>
      </c>
      <c r="D9">
        <f>100 - (D5*100)/C5</f>
        <v>39.703496668786507</v>
      </c>
      <c r="E9" t="s">
        <v>147</v>
      </c>
      <c r="F9">
        <f>100 - (F5*100)/E5</f>
        <v>20.754726292209554</v>
      </c>
    </row>
    <row r="10" spans="2:6" x14ac:dyDescent="0.25">
      <c r="C10" s="40" t="s">
        <v>148</v>
      </c>
      <c r="D10" s="40">
        <f>AVERAGE(D8:D9)</f>
        <v>43.779001889752209</v>
      </c>
      <c r="E10" s="40" t="s">
        <v>148</v>
      </c>
      <c r="F10" s="40">
        <f>AVERAGE(F8:F9)</f>
        <v>20.764360726636092</v>
      </c>
    </row>
    <row r="11" spans="2:6" x14ac:dyDescent="0.25">
      <c r="C11" t="s">
        <v>29</v>
      </c>
      <c r="D11">
        <f>AVERAGE(D8:D9)</f>
        <v>43.779001889752209</v>
      </c>
      <c r="E11" t="s">
        <v>29</v>
      </c>
      <c r="F11">
        <f>AVERAGE(F8:F9)</f>
        <v>20.764360726636092</v>
      </c>
    </row>
    <row r="12" spans="2:6" x14ac:dyDescent="0.25">
      <c r="C12" t="s">
        <v>41</v>
      </c>
      <c r="D12">
        <f>STDEV(D8:D9)</f>
        <v>5.7636347570120536</v>
      </c>
      <c r="E12" t="s">
        <v>41</v>
      </c>
      <c r="F12">
        <f>STDEV(F8:F9)</f>
        <v>1.362514783180366E-2</v>
      </c>
    </row>
    <row r="13" spans="2:6" x14ac:dyDescent="0.25">
      <c r="C13" t="s">
        <v>171</v>
      </c>
      <c r="D13">
        <f>(D12/D11)*100</f>
        <v>13.165295023231687</v>
      </c>
      <c r="F13">
        <f>(F12/F11)*100</f>
        <v>6.561794996330228E-2</v>
      </c>
    </row>
    <row r="15" spans="2:6" x14ac:dyDescent="0.25">
      <c r="B15" t="s">
        <v>171</v>
      </c>
      <c r="C15">
        <f>(C7/C6)*100</f>
        <v>0.21483689151973354</v>
      </c>
      <c r="D15">
        <f>(D7/D6)*100</f>
        <v>10.25174748002468</v>
      </c>
      <c r="E15">
        <f>(E7/E6)*100</f>
        <v>16.065940395485594</v>
      </c>
      <c r="F15">
        <f>(F7/F6)*100</f>
        <v>16.08291396925619</v>
      </c>
    </row>
    <row r="16" spans="2:6" x14ac:dyDescent="0.25">
      <c r="B16" t="s">
        <v>185</v>
      </c>
      <c r="C16">
        <f>(C6*C15)/100</f>
        <v>1.4585573919051774E-3</v>
      </c>
      <c r="D16">
        <f>(D6*D15)/100</f>
        <v>3.9189557687429093E-2</v>
      </c>
      <c r="E16">
        <f>(E6*E15)/100</f>
        <v>0.11128430021449703</v>
      </c>
      <c r="F16">
        <f>(F6*F15)/100</f>
        <v>8.8271204294903302E-2</v>
      </c>
    </row>
    <row r="17" spans="2:7" x14ac:dyDescent="0.25">
      <c r="B17" s="85" t="s">
        <v>186</v>
      </c>
      <c r="C17" s="85"/>
      <c r="D17" s="85"/>
      <c r="E17" s="85"/>
      <c r="F17" s="85"/>
    </row>
    <row r="18" spans="2:7" x14ac:dyDescent="0.25">
      <c r="B18" t="s">
        <v>171</v>
      </c>
      <c r="C18">
        <f>(D12/D11)*100</f>
        <v>13.165295023231687</v>
      </c>
      <c r="D18" s="6"/>
      <c r="E18" s="6">
        <f>(F12/F11)*100</f>
        <v>6.561794996330228E-2</v>
      </c>
    </row>
    <row r="19" spans="2:7" x14ac:dyDescent="0.25">
      <c r="B19" t="s">
        <v>185</v>
      </c>
      <c r="C19">
        <f>(D11*C18)/100</f>
        <v>5.7636347570120536</v>
      </c>
      <c r="D19" s="6"/>
      <c r="E19" s="6">
        <f>(F11*E18)/100</f>
        <v>1.3625147831803661E-2</v>
      </c>
    </row>
    <row r="20" spans="2:7" x14ac:dyDescent="0.25">
      <c r="D20" s="6"/>
      <c r="E20" s="6"/>
    </row>
    <row r="21" spans="2:7" x14ac:dyDescent="0.25">
      <c r="C21" s="6"/>
      <c r="D21" s="6"/>
      <c r="E21" s="6"/>
      <c r="F21" s="58"/>
      <c r="G21" s="58"/>
    </row>
    <row r="22" spans="2:7" x14ac:dyDescent="0.25">
      <c r="C22" s="6"/>
      <c r="D22" s="6"/>
      <c r="E22" s="6"/>
      <c r="F22" s="58"/>
    </row>
    <row r="23" spans="2:7" x14ac:dyDescent="0.25">
      <c r="C23" s="6"/>
      <c r="D23" s="6"/>
      <c r="E23" s="6"/>
      <c r="F23" s="58"/>
    </row>
    <row r="24" spans="2:7" x14ac:dyDescent="0.25">
      <c r="C24" s="58"/>
      <c r="D24" s="58"/>
      <c r="E24" s="6"/>
    </row>
    <row r="25" spans="2:7" x14ac:dyDescent="0.25">
      <c r="C25" s="58"/>
      <c r="D25" s="58"/>
      <c r="E25" s="7"/>
    </row>
    <row r="26" spans="2:7" x14ac:dyDescent="0.25">
      <c r="C26" s="58"/>
      <c r="D26" s="58"/>
      <c r="E26" s="6"/>
    </row>
    <row r="27" spans="2:7" x14ac:dyDescent="0.25">
      <c r="C27" s="4"/>
      <c r="E27" s="6"/>
    </row>
    <row r="28" spans="2:7" x14ac:dyDescent="0.25">
      <c r="C28" s="6"/>
      <c r="D28" s="6"/>
      <c r="E28" s="6"/>
    </row>
    <row r="29" spans="2:7" x14ac:dyDescent="0.25">
      <c r="C29" s="6"/>
      <c r="D29" s="6"/>
      <c r="E29" s="6"/>
    </row>
    <row r="30" spans="2:7" x14ac:dyDescent="0.25">
      <c r="E30" s="7"/>
    </row>
    <row r="31" spans="2:7" x14ac:dyDescent="0.25">
      <c r="E31" s="7"/>
    </row>
  </sheetData>
  <mergeCells count="3">
    <mergeCell ref="C2:D2"/>
    <mergeCell ref="E2:F2"/>
    <mergeCell ref="B17:F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6"/>
  <sheetViews>
    <sheetView workbookViewId="0">
      <selection activeCell="J17" sqref="J17"/>
    </sheetView>
  </sheetViews>
  <sheetFormatPr baseColWidth="10" defaultRowHeight="15" x14ac:dyDescent="0.25"/>
  <cols>
    <col min="9" max="9" width="11.85546875" bestFit="1" customWidth="1"/>
    <col min="10" max="10" width="12" bestFit="1" customWidth="1"/>
    <col min="15" max="15" width="15.28515625" customWidth="1"/>
    <col min="16" max="16" width="15.140625" customWidth="1"/>
    <col min="17" max="17" width="17.42578125" customWidth="1"/>
    <col min="19" max="19" width="15" customWidth="1"/>
  </cols>
  <sheetData>
    <row r="1" spans="2:14" x14ac:dyDescent="0.25">
      <c r="K1" t="s">
        <v>156</v>
      </c>
      <c r="L1" t="s">
        <v>157</v>
      </c>
    </row>
    <row r="2" spans="2:14" x14ac:dyDescent="0.25">
      <c r="B2" s="15" t="s">
        <v>10</v>
      </c>
      <c r="C2" s="15" t="s">
        <v>30</v>
      </c>
      <c r="D2" s="15" t="s">
        <v>31</v>
      </c>
      <c r="E2" s="15" t="s">
        <v>32</v>
      </c>
      <c r="F2" s="15" t="s">
        <v>44</v>
      </c>
      <c r="G2" s="23" t="s">
        <v>45</v>
      </c>
      <c r="H2" s="15" t="s">
        <v>48</v>
      </c>
      <c r="I2" s="15" t="s">
        <v>29</v>
      </c>
      <c r="K2" s="6" t="s">
        <v>82</v>
      </c>
      <c r="L2">
        <v>1660.6</v>
      </c>
    </row>
    <row r="3" spans="2:14" x14ac:dyDescent="0.25">
      <c r="B3" s="54">
        <v>10</v>
      </c>
      <c r="C3" s="56">
        <v>14731.37</v>
      </c>
      <c r="D3" s="56">
        <v>15139.84</v>
      </c>
      <c r="E3" s="56">
        <v>16895.188300000002</v>
      </c>
      <c r="F3" s="56">
        <v>16900.325000000001</v>
      </c>
      <c r="G3" s="56">
        <v>17974.763299999999</v>
      </c>
      <c r="H3" s="56">
        <v>17804.064999999999</v>
      </c>
      <c r="I3" s="60">
        <f>AVERAGE(C3:H3)</f>
        <v>16574.258600000001</v>
      </c>
      <c r="K3" s="6" t="s">
        <v>83</v>
      </c>
      <c r="L3">
        <v>-97.111999999999995</v>
      </c>
    </row>
    <row r="4" spans="2:14" x14ac:dyDescent="0.25">
      <c r="B4" s="55">
        <v>5</v>
      </c>
      <c r="C4" s="56">
        <v>7588.6233000000002</v>
      </c>
      <c r="D4" s="56">
        <v>8287.4050000000007</v>
      </c>
      <c r="E4" s="56">
        <v>8117.2717000000002</v>
      </c>
      <c r="F4" s="56">
        <v>8340.0967000000001</v>
      </c>
      <c r="G4" s="56">
        <v>8644.8700000000008</v>
      </c>
      <c r="H4" s="56">
        <v>8156.5167000000001</v>
      </c>
      <c r="I4" s="60">
        <f t="shared" ref="I4:I8" si="0">AVERAGE(C4:H4)</f>
        <v>8189.1305666666676</v>
      </c>
    </row>
    <row r="5" spans="2:14" x14ac:dyDescent="0.25">
      <c r="B5" s="55">
        <v>2.5</v>
      </c>
      <c r="C5" s="56">
        <v>3705.3883000000001</v>
      </c>
      <c r="D5" s="56">
        <v>3730.6532999999999</v>
      </c>
      <c r="E5" s="56">
        <v>3816.9483</v>
      </c>
      <c r="F5" s="56">
        <v>3837.32</v>
      </c>
      <c r="G5" s="56">
        <v>3863.6817000000001</v>
      </c>
      <c r="H5" s="56">
        <v>3845.3667</v>
      </c>
      <c r="I5" s="60">
        <f t="shared" si="0"/>
        <v>3799.8930500000001</v>
      </c>
    </row>
    <row r="6" spans="2:14" x14ac:dyDescent="0.25">
      <c r="B6" s="17">
        <v>1.25</v>
      </c>
      <c r="C6" s="56">
        <v>2027.9067</v>
      </c>
      <c r="D6" s="56">
        <v>1802.82</v>
      </c>
      <c r="E6" s="56">
        <v>1668.03</v>
      </c>
      <c r="F6" s="56">
        <v>1845.6932999999999</v>
      </c>
      <c r="G6" s="56">
        <v>2214.37</v>
      </c>
      <c r="H6" s="56">
        <v>2085.8132999999998</v>
      </c>
      <c r="I6" s="60">
        <f t="shared" si="0"/>
        <v>1940.7722166666665</v>
      </c>
    </row>
    <row r="7" spans="2:14" x14ac:dyDescent="0.25">
      <c r="B7" s="17">
        <v>0.625</v>
      </c>
      <c r="C7" s="56">
        <v>1266.82</v>
      </c>
      <c r="D7" s="56">
        <v>1098.0999999999999</v>
      </c>
      <c r="E7" s="56">
        <v>875.18169999999998</v>
      </c>
      <c r="F7" s="56">
        <v>1117.29</v>
      </c>
      <c r="G7" s="56">
        <v>877.13170000000002</v>
      </c>
      <c r="H7" s="56">
        <v>1018.415</v>
      </c>
      <c r="I7" s="60">
        <f t="shared" si="0"/>
        <v>1042.1564000000001</v>
      </c>
    </row>
    <row r="8" spans="2:14" x14ac:dyDescent="0.25">
      <c r="B8" s="17">
        <v>0.3125</v>
      </c>
      <c r="C8" s="61">
        <v>553.55330000000004</v>
      </c>
      <c r="D8" s="61">
        <v>614.22329999999999</v>
      </c>
      <c r="E8" s="61">
        <v>490.91</v>
      </c>
      <c r="F8" s="61">
        <v>594.44129999999996</v>
      </c>
      <c r="G8" s="61">
        <f>AVERAGE(C8:D8)</f>
        <v>583.88830000000007</v>
      </c>
      <c r="H8" s="61">
        <f>AVERAGE(E8:F8)</f>
        <v>542.67565000000002</v>
      </c>
      <c r="I8" s="60">
        <f t="shared" si="0"/>
        <v>563.2819750000001</v>
      </c>
    </row>
    <row r="9" spans="2:14" x14ac:dyDescent="0.25">
      <c r="B9" s="17"/>
      <c r="C9" s="66"/>
      <c r="D9" s="66"/>
      <c r="E9" s="66"/>
      <c r="F9" s="66"/>
      <c r="G9" s="66"/>
      <c r="H9" s="66"/>
      <c r="I9" s="60"/>
      <c r="K9" t="s">
        <v>152</v>
      </c>
      <c r="L9" t="s">
        <v>153</v>
      </c>
    </row>
    <row r="10" spans="2:14" x14ac:dyDescent="0.25">
      <c r="K10">
        <f>3.3*(J15/L2)</f>
        <v>0.10391911814647339</v>
      </c>
      <c r="L10">
        <f>10*(J15/L2)</f>
        <v>0.31490641862567698</v>
      </c>
    </row>
    <row r="11" spans="2:14" x14ac:dyDescent="0.25">
      <c r="D11" s="60" t="s">
        <v>158</v>
      </c>
      <c r="F11" s="70">
        <v>0.95711675851430689</v>
      </c>
    </row>
    <row r="12" spans="2:14" x14ac:dyDescent="0.25">
      <c r="D12" s="60"/>
      <c r="H12" s="69"/>
      <c r="J12" s="99" t="s">
        <v>158</v>
      </c>
      <c r="K12" s="99"/>
      <c r="L12" s="68">
        <f>Q8</f>
        <v>0</v>
      </c>
    </row>
    <row r="13" spans="2:14" x14ac:dyDescent="0.25">
      <c r="B13" t="s">
        <v>163</v>
      </c>
      <c r="C13">
        <v>3</v>
      </c>
      <c r="D13" s="60" t="s">
        <v>162</v>
      </c>
      <c r="E13" t="s">
        <v>159</v>
      </c>
      <c r="F13" t="s">
        <v>160</v>
      </c>
      <c r="H13" s="60"/>
    </row>
    <row r="14" spans="2:14" x14ac:dyDescent="0.25">
      <c r="B14" t="s">
        <v>29</v>
      </c>
      <c r="C14">
        <f>AVERAGE(E14:E16)</f>
        <v>879.95666666666659</v>
      </c>
      <c r="D14" s="60">
        <f>AVERAGE(E14:E16)</f>
        <v>879.95666666666659</v>
      </c>
      <c r="E14">
        <v>825.14329999999995</v>
      </c>
      <c r="F14">
        <v>0.55537474406840903</v>
      </c>
      <c r="H14" s="60"/>
      <c r="J14" t="s">
        <v>161</v>
      </c>
      <c r="K14" t="s">
        <v>159</v>
      </c>
      <c r="L14" t="s">
        <v>160</v>
      </c>
      <c r="M14" t="s">
        <v>180</v>
      </c>
      <c r="N14" t="s">
        <v>181</v>
      </c>
    </row>
    <row r="15" spans="2:14" x14ac:dyDescent="0.25">
      <c r="B15" t="s">
        <v>154</v>
      </c>
      <c r="C15" s="60">
        <f>E14-D14</f>
        <v>-54.813366666666639</v>
      </c>
      <c r="D15" s="60">
        <f>AVERAGE(E14:E16)</f>
        <v>879.95666666666659</v>
      </c>
      <c r="E15">
        <v>885.42669999999998</v>
      </c>
      <c r="F15">
        <v>0.59167692400337224</v>
      </c>
      <c r="H15" s="60"/>
      <c r="J15">
        <f>STDEV(K15:K17)</f>
        <v>52.29335987697992</v>
      </c>
      <c r="K15">
        <v>825.14329999999995</v>
      </c>
      <c r="L15">
        <f>(K15-L$3)/L$2</f>
        <v>0.55537474406840903</v>
      </c>
      <c r="M15">
        <f>L15/0.7047</f>
        <v>0.78810095653243795</v>
      </c>
      <c r="N15">
        <f>L$2*M15+L$3</f>
        <v>1211.6084484177663</v>
      </c>
    </row>
    <row r="16" spans="2:14" x14ac:dyDescent="0.25">
      <c r="C16" s="60">
        <f>E15-D15</f>
        <v>5.4700333333333901</v>
      </c>
      <c r="D16" s="60">
        <f>AVERAGE(E14:E16)</f>
        <v>879.95666666666659</v>
      </c>
      <c r="E16">
        <v>929.3</v>
      </c>
      <c r="F16">
        <v>0.61809707334698305</v>
      </c>
      <c r="H16" s="60"/>
      <c r="K16">
        <v>885.42669999999998</v>
      </c>
      <c r="L16">
        <f>(K16-L$3)/L$2</f>
        <v>0.59167692400337224</v>
      </c>
      <c r="M16">
        <f t="shared" ref="M16:M17" si="1">L16/0.7047</f>
        <v>0.83961533135145772</v>
      </c>
      <c r="N16">
        <f>L$2*M16+L$3</f>
        <v>1297.1532192422305</v>
      </c>
    </row>
    <row r="17" spans="2:14" x14ac:dyDescent="0.25">
      <c r="C17" s="60">
        <f>E16-D16</f>
        <v>49.343333333333362</v>
      </c>
      <c r="H17" s="60"/>
      <c r="K17">
        <v>929.3</v>
      </c>
      <c r="L17">
        <f>(K17-L$3)/L$2</f>
        <v>0.61809707334698305</v>
      </c>
      <c r="M17">
        <f t="shared" si="1"/>
        <v>0.87710667425426858</v>
      </c>
      <c r="N17">
        <f>L$2*M17+L$3</f>
        <v>1359.4113432666381</v>
      </c>
    </row>
    <row r="18" spans="2:14" x14ac:dyDescent="0.25">
      <c r="B18" t="s">
        <v>155</v>
      </c>
      <c r="C18" s="60">
        <f>C15*C15</f>
        <v>3004.5051653344412</v>
      </c>
      <c r="H18" s="60"/>
    </row>
    <row r="19" spans="2:14" x14ac:dyDescent="0.25">
      <c r="C19" s="60">
        <f t="shared" ref="C19:C20" si="2">C16*C16</f>
        <v>29.921264667778399</v>
      </c>
      <c r="H19" s="60"/>
    </row>
    <row r="20" spans="2:14" x14ac:dyDescent="0.25">
      <c r="C20" s="60">
        <f t="shared" si="2"/>
        <v>2434.7645444444474</v>
      </c>
      <c r="H20" s="60"/>
    </row>
    <row r="21" spans="2:14" x14ac:dyDescent="0.25">
      <c r="B21" t="s">
        <v>40</v>
      </c>
      <c r="C21" s="60">
        <f>SUM(C18:C20)</f>
        <v>5469.1909744466666</v>
      </c>
      <c r="H21" s="60"/>
    </row>
    <row r="22" spans="2:14" x14ac:dyDescent="0.25">
      <c r="B22" t="s">
        <v>42</v>
      </c>
      <c r="C22" s="60">
        <f>C21/2</f>
        <v>2734.5954872233333</v>
      </c>
    </row>
    <row r="23" spans="2:14" x14ac:dyDescent="0.25">
      <c r="B23" t="s">
        <v>151</v>
      </c>
      <c r="C23">
        <f>SQRT(C22)</f>
        <v>52.29335987697992</v>
      </c>
    </row>
    <row r="24" spans="2:14" x14ac:dyDescent="0.25">
      <c r="B24" t="s">
        <v>152</v>
      </c>
      <c r="C24">
        <f>3.3*(C23/L2)</f>
        <v>0.10391911814647339</v>
      </c>
    </row>
    <row r="25" spans="2:14" x14ac:dyDescent="0.25">
      <c r="B25" t="s">
        <v>153</v>
      </c>
      <c r="C25">
        <f>10*(C23/L2)</f>
        <v>0.31490641862567698</v>
      </c>
    </row>
    <row r="26" spans="2:14" x14ac:dyDescent="0.25">
      <c r="D26" s="60"/>
    </row>
  </sheetData>
  <mergeCells count="1">
    <mergeCell ref="J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Verificación</vt:lpstr>
      <vt:lpstr>UV</vt:lpstr>
      <vt:lpstr>LOD Y LOQ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PrimerUsuario</dc:creator>
  <cp:lastModifiedBy>PrimerUsuario</cp:lastModifiedBy>
  <dcterms:created xsi:type="dcterms:W3CDTF">2024-12-03T03:51:44Z</dcterms:created>
  <dcterms:modified xsi:type="dcterms:W3CDTF">2025-11-24T18:25:56Z</dcterms:modified>
</cp:coreProperties>
</file>