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PREDATOR TRITON\OneDrive\Escritorio\"/>
    </mc:Choice>
  </mc:AlternateContent>
  <xr:revisionPtr revIDLastSave="0" documentId="8_{47CDC8F2-9B55-45F3-BE1F-8849B9AC7E06}" xr6:coauthVersionLast="47" xr6:coauthVersionMax="47" xr10:uidLastSave="{00000000-0000-0000-0000-000000000000}"/>
  <bookViews>
    <workbookView xWindow="-108" yWindow="-108" windowWidth="23256" windowHeight="12456" tabRatio="776" xr2:uid="{DF7EC3B3-73CD-45EE-B5BB-2CE5ED20BB56}"/>
  </bookViews>
  <sheets>
    <sheet name="GENERAL" sheetId="29" r:id="rId1"/>
    <sheet name="1" sheetId="2" r:id="rId2"/>
    <sheet name="2" sheetId="10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16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25" r:id="rId18"/>
    <sheet name="18" sheetId="26" r:id="rId19"/>
    <sheet name="19" sheetId="27" r:id="rId20"/>
    <sheet name="20" sheetId="28" r:id="rId21"/>
    <sheet name="COSTOS" sheetId="30" state="hidden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4" i="29" l="1"/>
  <c r="L24" i="29"/>
  <c r="L25" i="29"/>
  <c r="M4" i="29"/>
  <c r="M5" i="29"/>
  <c r="M6" i="29"/>
  <c r="M7" i="29"/>
  <c r="M8" i="29"/>
  <c r="M9" i="29"/>
  <c r="M10" i="29"/>
  <c r="M11" i="29"/>
  <c r="M12" i="29"/>
  <c r="M13" i="29"/>
  <c r="M14" i="29"/>
  <c r="M15" i="29"/>
  <c r="M16" i="29"/>
  <c r="M17" i="29"/>
  <c r="M18" i="29"/>
  <c r="M19" i="29"/>
  <c r="M20" i="29"/>
  <c r="M21" i="29"/>
  <c r="M22" i="29"/>
  <c r="M3" i="29"/>
  <c r="L22" i="29"/>
  <c r="L21" i="29"/>
  <c r="L20" i="29"/>
  <c r="L19" i="29"/>
  <c r="L18" i="29"/>
  <c r="L17" i="29"/>
  <c r="L16" i="29"/>
  <c r="L15" i="29"/>
  <c r="L14" i="29"/>
  <c r="L13" i="29"/>
  <c r="L12" i="29"/>
  <c r="L11" i="29"/>
  <c r="L10" i="29"/>
  <c r="L9" i="29"/>
  <c r="L8" i="29"/>
  <c r="L7" i="29"/>
  <c r="L6" i="29"/>
  <c r="L5" i="29"/>
  <c r="L4" i="29"/>
  <c r="L3" i="29"/>
  <c r="E26" i="2"/>
  <c r="H14" i="29"/>
  <c r="H15" i="29"/>
  <c r="F6" i="29"/>
  <c r="H6" i="29" s="1"/>
  <c r="F7" i="29"/>
  <c r="F8" i="29"/>
  <c r="H8" i="29" s="1"/>
  <c r="F9" i="29"/>
  <c r="H9" i="29" s="1"/>
  <c r="F10" i="29"/>
  <c r="F11" i="29"/>
  <c r="H11" i="29" s="1"/>
  <c r="F12" i="29"/>
  <c r="F13" i="29"/>
  <c r="F14" i="29"/>
  <c r="F15" i="29"/>
  <c r="F16" i="29"/>
  <c r="H16" i="29" s="1"/>
  <c r="F17" i="29"/>
  <c r="H17" i="29" s="1"/>
  <c r="F18" i="29"/>
  <c r="H18" i="29" s="1"/>
  <c r="F19" i="29"/>
  <c r="F20" i="29"/>
  <c r="F21" i="29"/>
  <c r="F22" i="29"/>
  <c r="F4" i="29"/>
  <c r="F5" i="29"/>
  <c r="H5" i="29" s="1"/>
  <c r="I20" i="29" l="1"/>
  <c r="I19" i="29"/>
  <c r="H13" i="29"/>
  <c r="H12" i="29"/>
  <c r="I11" i="29"/>
  <c r="H7" i="29"/>
  <c r="H22" i="29"/>
  <c r="I6" i="29"/>
  <c r="H10" i="29"/>
  <c r="H21" i="29"/>
  <c r="H20" i="29"/>
  <c r="H19" i="29"/>
  <c r="H4" i="29"/>
  <c r="J4" i="29"/>
  <c r="I4" i="29" s="1"/>
  <c r="J22" i="29"/>
  <c r="I22" i="29" s="1"/>
  <c r="E22" i="29"/>
  <c r="D22" i="29"/>
  <c r="C22" i="29"/>
  <c r="J21" i="29"/>
  <c r="I21" i="29" s="1"/>
  <c r="E21" i="29"/>
  <c r="D21" i="29"/>
  <c r="C21" i="29"/>
  <c r="J20" i="29"/>
  <c r="E20" i="29"/>
  <c r="D20" i="29"/>
  <c r="C20" i="29"/>
  <c r="J19" i="29"/>
  <c r="E19" i="29"/>
  <c r="D19" i="29"/>
  <c r="C19" i="29"/>
  <c r="J18" i="29"/>
  <c r="I18" i="29" s="1"/>
  <c r="E18" i="29"/>
  <c r="D18" i="29"/>
  <c r="C18" i="29"/>
  <c r="J17" i="29"/>
  <c r="E17" i="29"/>
  <c r="D17" i="29"/>
  <c r="C17" i="29"/>
  <c r="J16" i="29"/>
  <c r="I16" i="29" s="1"/>
  <c r="E16" i="29"/>
  <c r="D16" i="29"/>
  <c r="C16" i="29"/>
  <c r="J15" i="29"/>
  <c r="I15" i="29" s="1"/>
  <c r="E15" i="29"/>
  <c r="D15" i="29"/>
  <c r="C15" i="29"/>
  <c r="J14" i="29"/>
  <c r="E14" i="29"/>
  <c r="D14" i="29"/>
  <c r="C14" i="29"/>
  <c r="J13" i="29"/>
  <c r="I13" i="29" s="1"/>
  <c r="E13" i="29"/>
  <c r="D13" i="29"/>
  <c r="C13" i="29"/>
  <c r="J12" i="29"/>
  <c r="I12" i="29" s="1"/>
  <c r="E12" i="29"/>
  <c r="D12" i="29"/>
  <c r="C12" i="29"/>
  <c r="J11" i="29"/>
  <c r="K11" i="29" s="1"/>
  <c r="E11" i="29"/>
  <c r="D11" i="29"/>
  <c r="C11" i="29"/>
  <c r="J10" i="29"/>
  <c r="I10" i="29" s="1"/>
  <c r="E10" i="29"/>
  <c r="D10" i="29"/>
  <c r="C10" i="29"/>
  <c r="J9" i="29"/>
  <c r="I9" i="29" s="1"/>
  <c r="E9" i="29"/>
  <c r="D9" i="29"/>
  <c r="C9" i="29"/>
  <c r="J8" i="29"/>
  <c r="I8" i="29" s="1"/>
  <c r="E8" i="29"/>
  <c r="D8" i="29"/>
  <c r="C8" i="29"/>
  <c r="J7" i="29"/>
  <c r="I7" i="29" s="1"/>
  <c r="E7" i="29"/>
  <c r="D7" i="29"/>
  <c r="C7" i="29"/>
  <c r="J6" i="29"/>
  <c r="E6" i="29"/>
  <c r="D6" i="29"/>
  <c r="C6" i="29"/>
  <c r="J5" i="29"/>
  <c r="K5" i="29" s="1"/>
  <c r="E5" i="29"/>
  <c r="D5" i="29"/>
  <c r="C5" i="29"/>
  <c r="E4" i="29"/>
  <c r="D4" i="29"/>
  <c r="C4" i="29"/>
  <c r="C3" i="29"/>
  <c r="J3" i="29"/>
  <c r="F3" i="29"/>
  <c r="H3" i="29" s="1"/>
  <c r="I5" i="29" l="1"/>
  <c r="K17" i="29"/>
  <c r="I17" i="29"/>
  <c r="K14" i="29"/>
  <c r="I14" i="29"/>
  <c r="K13" i="29"/>
  <c r="K10" i="29"/>
  <c r="K9" i="29"/>
  <c r="K21" i="29"/>
  <c r="K8" i="29"/>
  <c r="K20" i="29"/>
  <c r="I3" i="29"/>
  <c r="K19" i="29"/>
  <c r="K16" i="29"/>
  <c r="K15" i="29"/>
  <c r="K7" i="29"/>
  <c r="K22" i="29"/>
  <c r="K4" i="29"/>
  <c r="K3" i="29"/>
  <c r="K18" i="29"/>
  <c r="K12" i="29"/>
  <c r="K6" i="29"/>
  <c r="I39" i="24"/>
  <c r="I43" i="13"/>
  <c r="I45" i="13"/>
  <c r="D41" i="13"/>
  <c r="G32" i="2"/>
  <c r="I35" i="28"/>
  <c r="D35" i="28"/>
  <c r="G32" i="28"/>
  <c r="C26" i="28"/>
  <c r="G23" i="28"/>
  <c r="D21" i="28"/>
  <c r="I16" i="28"/>
  <c r="I35" i="27"/>
  <c r="G32" i="27"/>
  <c r="C26" i="27"/>
  <c r="D35" i="27" s="1"/>
  <c r="G23" i="27"/>
  <c r="D21" i="27"/>
  <c r="D23" i="27" s="1"/>
  <c r="I16" i="27"/>
  <c r="I35" i="26"/>
  <c r="G32" i="26"/>
  <c r="C26" i="26"/>
  <c r="D35" i="26" s="1"/>
  <c r="G23" i="26"/>
  <c r="D21" i="26"/>
  <c r="I16" i="26"/>
  <c r="I35" i="25"/>
  <c r="G32" i="25"/>
  <c r="C26" i="25"/>
  <c r="G23" i="25"/>
  <c r="D21" i="25"/>
  <c r="D23" i="25" s="1"/>
  <c r="I16" i="25"/>
  <c r="I35" i="24"/>
  <c r="G32" i="24"/>
  <c r="C26" i="24"/>
  <c r="D35" i="24" s="1"/>
  <c r="G23" i="24"/>
  <c r="D21" i="24"/>
  <c r="I16" i="24"/>
  <c r="I35" i="23"/>
  <c r="G32" i="23"/>
  <c r="C26" i="23"/>
  <c r="G23" i="23"/>
  <c r="D21" i="23"/>
  <c r="I16" i="23"/>
  <c r="I35" i="22"/>
  <c r="G32" i="22"/>
  <c r="C26" i="22"/>
  <c r="D35" i="22" s="1"/>
  <c r="G23" i="22"/>
  <c r="D21" i="22"/>
  <c r="I16" i="22"/>
  <c r="I35" i="21"/>
  <c r="G32" i="21"/>
  <c r="C26" i="21"/>
  <c r="D35" i="21" s="1"/>
  <c r="G23" i="21"/>
  <c r="D21" i="21"/>
  <c r="D23" i="21" s="1"/>
  <c r="I16" i="21"/>
  <c r="I35" i="20"/>
  <c r="D35" i="20"/>
  <c r="G32" i="20"/>
  <c r="C26" i="20"/>
  <c r="G23" i="20"/>
  <c r="D21" i="20"/>
  <c r="I16" i="20"/>
  <c r="I35" i="19"/>
  <c r="G32" i="19"/>
  <c r="C26" i="19"/>
  <c r="G23" i="19"/>
  <c r="D21" i="19"/>
  <c r="D23" i="19" s="1"/>
  <c r="I16" i="19"/>
  <c r="I35" i="18"/>
  <c r="G32" i="18"/>
  <c r="C26" i="18"/>
  <c r="G23" i="18"/>
  <c r="D21" i="18"/>
  <c r="I16" i="18"/>
  <c r="I35" i="17"/>
  <c r="G32" i="17"/>
  <c r="C26" i="17"/>
  <c r="D35" i="17" s="1"/>
  <c r="G23" i="17"/>
  <c r="D21" i="17"/>
  <c r="I16" i="17"/>
  <c r="I35" i="16"/>
  <c r="G32" i="16"/>
  <c r="C26" i="16"/>
  <c r="D35" i="16" s="1"/>
  <c r="G23" i="16"/>
  <c r="D21" i="16"/>
  <c r="I16" i="16"/>
  <c r="I35" i="15"/>
  <c r="G32" i="15"/>
  <c r="C26" i="15"/>
  <c r="D35" i="15" s="1"/>
  <c r="G23" i="15"/>
  <c r="D21" i="15"/>
  <c r="I16" i="15"/>
  <c r="I35" i="14"/>
  <c r="G32" i="14"/>
  <c r="C26" i="14"/>
  <c r="D35" i="14" s="1"/>
  <c r="G23" i="14"/>
  <c r="D21" i="14"/>
  <c r="I16" i="14"/>
  <c r="I35" i="13"/>
  <c r="G32" i="13"/>
  <c r="C26" i="13"/>
  <c r="D35" i="13" s="1"/>
  <c r="G23" i="13"/>
  <c r="D21" i="13"/>
  <c r="I16" i="13"/>
  <c r="I35" i="12"/>
  <c r="G32" i="12"/>
  <c r="C26" i="12"/>
  <c r="D35" i="12" s="1"/>
  <c r="G23" i="12"/>
  <c r="D21" i="12"/>
  <c r="I16" i="12"/>
  <c r="I35" i="11"/>
  <c r="G32" i="11"/>
  <c r="C26" i="11"/>
  <c r="D35" i="11" s="1"/>
  <c r="G23" i="11"/>
  <c r="D21" i="11"/>
  <c r="I16" i="11"/>
  <c r="I35" i="10"/>
  <c r="G32" i="10"/>
  <c r="C26" i="10"/>
  <c r="D35" i="10" s="1"/>
  <c r="G23" i="10"/>
  <c r="D21" i="10"/>
  <c r="I16" i="10"/>
  <c r="D37" i="27" l="1"/>
  <c r="I37" i="27" s="1"/>
  <c r="D37" i="25"/>
  <c r="I39" i="23"/>
  <c r="B53" i="23" s="1"/>
  <c r="F53" i="23" s="1"/>
  <c r="D23" i="23"/>
  <c r="D37" i="23" s="1"/>
  <c r="D37" i="19"/>
  <c r="I39" i="10"/>
  <c r="B53" i="10" s="1"/>
  <c r="B54" i="10" s="1"/>
  <c r="B52" i="23"/>
  <c r="F52" i="23" s="1"/>
  <c r="D53" i="23"/>
  <c r="I39" i="22"/>
  <c r="B53" i="22" s="1"/>
  <c r="D23" i="22"/>
  <c r="D37" i="22" s="1"/>
  <c r="I39" i="21"/>
  <c r="B53" i="21" s="1"/>
  <c r="F53" i="21" s="1"/>
  <c r="D41" i="21"/>
  <c r="D35" i="23"/>
  <c r="D35" i="19"/>
  <c r="I37" i="19" s="1"/>
  <c r="D39" i="19" s="1"/>
  <c r="D37" i="21"/>
  <c r="D23" i="20"/>
  <c r="D37" i="20" s="1"/>
  <c r="I39" i="20"/>
  <c r="B53" i="20" s="1"/>
  <c r="D53" i="20" s="1"/>
  <c r="I39" i="27"/>
  <c r="B53" i="27" s="1"/>
  <c r="F53" i="27" s="1"/>
  <c r="D35" i="25"/>
  <c r="D23" i="26"/>
  <c r="D37" i="26" s="1"/>
  <c r="I39" i="26"/>
  <c r="B53" i="26" s="1"/>
  <c r="D53" i="26" s="1"/>
  <c r="I39" i="28"/>
  <c r="B53" i="28" s="1"/>
  <c r="D53" i="28" s="1"/>
  <c r="D23" i="28"/>
  <c r="D37" i="28" s="1"/>
  <c r="B53" i="24"/>
  <c r="D53" i="24" s="1"/>
  <c r="I39" i="19"/>
  <c r="B53" i="19" s="1"/>
  <c r="D53" i="19" s="1"/>
  <c r="I39" i="25"/>
  <c r="B53" i="25" s="1"/>
  <c r="F53" i="25" s="1"/>
  <c r="D23" i="24"/>
  <c r="D37" i="24" s="1"/>
  <c r="D35" i="18"/>
  <c r="D23" i="18"/>
  <c r="D37" i="18" s="1"/>
  <c r="I39" i="18"/>
  <c r="B53" i="18" s="1"/>
  <c r="I39" i="17"/>
  <c r="B53" i="17" s="1"/>
  <c r="D23" i="17"/>
  <c r="D37" i="17" s="1"/>
  <c r="I39" i="16"/>
  <c r="B53" i="16" s="1"/>
  <c r="F53" i="16" s="1"/>
  <c r="D23" i="16"/>
  <c r="D37" i="16" s="1"/>
  <c r="D23" i="15"/>
  <c r="D37" i="15" s="1"/>
  <c r="I39" i="15"/>
  <c r="B53" i="15" s="1"/>
  <c r="I39" i="14"/>
  <c r="B53" i="14" s="1"/>
  <c r="F53" i="14" s="1"/>
  <c r="D23" i="14"/>
  <c r="D37" i="14" s="1"/>
  <c r="I39" i="13"/>
  <c r="B53" i="13" s="1"/>
  <c r="F53" i="13" s="1"/>
  <c r="D23" i="13"/>
  <c r="D37" i="13" s="1"/>
  <c r="I39" i="12"/>
  <c r="B53" i="12" s="1"/>
  <c r="D23" i="12"/>
  <c r="D37" i="12" s="1"/>
  <c r="I39" i="11"/>
  <c r="B53" i="11" s="1"/>
  <c r="D23" i="11"/>
  <c r="D37" i="11" s="1"/>
  <c r="D23" i="10"/>
  <c r="D37" i="10" s="1"/>
  <c r="G23" i="2"/>
  <c r="D41" i="28" l="1"/>
  <c r="D45" i="28" s="1"/>
  <c r="D43" i="27"/>
  <c r="D41" i="26"/>
  <c r="I41" i="26" s="1"/>
  <c r="I37" i="25"/>
  <c r="D39" i="25" s="1"/>
  <c r="D53" i="25"/>
  <c r="H53" i="25" s="1"/>
  <c r="D43" i="25"/>
  <c r="D41" i="25"/>
  <c r="E26" i="25" s="1"/>
  <c r="D41" i="24"/>
  <c r="I41" i="24" s="1"/>
  <c r="H53" i="23"/>
  <c r="B54" i="23"/>
  <c r="F54" i="23" s="1"/>
  <c r="D41" i="23"/>
  <c r="D45" i="23" s="1"/>
  <c r="I37" i="23"/>
  <c r="D39" i="23" s="1"/>
  <c r="D41" i="20"/>
  <c r="E26" i="20" s="1"/>
  <c r="D43" i="19"/>
  <c r="D41" i="18"/>
  <c r="D45" i="18" s="1"/>
  <c r="D41" i="17"/>
  <c r="D45" i="17" s="1"/>
  <c r="D41" i="16"/>
  <c r="D41" i="15"/>
  <c r="E26" i="15" s="1"/>
  <c r="D41" i="14"/>
  <c r="E26" i="14" s="1"/>
  <c r="E26" i="13"/>
  <c r="F53" i="10"/>
  <c r="D53" i="10"/>
  <c r="H53" i="10" s="1"/>
  <c r="B52" i="10"/>
  <c r="B55" i="10"/>
  <c r="D54" i="10"/>
  <c r="D41" i="10"/>
  <c r="E26" i="10" s="1"/>
  <c r="H53" i="19"/>
  <c r="I37" i="24"/>
  <c r="D43" i="24" s="1"/>
  <c r="I37" i="28"/>
  <c r="D43" i="28" s="1"/>
  <c r="I37" i="26"/>
  <c r="D43" i="26" s="1"/>
  <c r="E26" i="28"/>
  <c r="B54" i="25"/>
  <c r="B52" i="25"/>
  <c r="D39" i="27"/>
  <c r="I41" i="20"/>
  <c r="D45" i="20"/>
  <c r="B54" i="20"/>
  <c r="B52" i="20"/>
  <c r="F53" i="20"/>
  <c r="E26" i="23"/>
  <c r="D41" i="22"/>
  <c r="I37" i="22"/>
  <c r="D43" i="22" s="1"/>
  <c r="D39" i="22"/>
  <c r="D45" i="21"/>
  <c r="I41" i="21"/>
  <c r="E26" i="21"/>
  <c r="B54" i="19"/>
  <c r="B52" i="19"/>
  <c r="H53" i="20"/>
  <c r="I37" i="21"/>
  <c r="D43" i="21" s="1"/>
  <c r="B52" i="21"/>
  <c r="B54" i="21"/>
  <c r="D53" i="21"/>
  <c r="H53" i="21" s="1"/>
  <c r="B54" i="22"/>
  <c r="B52" i="22"/>
  <c r="F53" i="22"/>
  <c r="B51" i="23"/>
  <c r="D52" i="23"/>
  <c r="H52" i="23" s="1"/>
  <c r="F53" i="24"/>
  <c r="H53" i="24" s="1"/>
  <c r="B52" i="24"/>
  <c r="B54" i="24"/>
  <c r="F53" i="28"/>
  <c r="H53" i="28" s="1"/>
  <c r="B54" i="28"/>
  <c r="B52" i="28"/>
  <c r="B52" i="26"/>
  <c r="B54" i="26"/>
  <c r="F53" i="26"/>
  <c r="H53" i="26" s="1"/>
  <c r="B52" i="27"/>
  <c r="B54" i="27"/>
  <c r="D53" i="27"/>
  <c r="H53" i="27" s="1"/>
  <c r="D54" i="23"/>
  <c r="H54" i="23" s="1"/>
  <c r="F53" i="19"/>
  <c r="D41" i="27"/>
  <c r="I37" i="20"/>
  <c r="D43" i="20" s="1"/>
  <c r="D53" i="22"/>
  <c r="D41" i="19"/>
  <c r="F53" i="18"/>
  <c r="B52" i="18"/>
  <c r="B54" i="18"/>
  <c r="I37" i="18"/>
  <c r="D43" i="18" s="1"/>
  <c r="D53" i="18"/>
  <c r="I37" i="17"/>
  <c r="D43" i="17" s="1"/>
  <c r="B52" i="17"/>
  <c r="B54" i="17"/>
  <c r="D53" i="17"/>
  <c r="F53" i="17"/>
  <c r="I41" i="16"/>
  <c r="E26" i="16"/>
  <c r="D45" i="16"/>
  <c r="B52" i="16"/>
  <c r="D53" i="16"/>
  <c r="H53" i="16" s="1"/>
  <c r="B54" i="16"/>
  <c r="I37" i="16"/>
  <c r="D43" i="16" s="1"/>
  <c r="I43" i="16" s="1"/>
  <c r="I45" i="16" s="1"/>
  <c r="I37" i="15"/>
  <c r="D43" i="15" s="1"/>
  <c r="B54" i="15"/>
  <c r="D53" i="15"/>
  <c r="B52" i="15"/>
  <c r="F53" i="15"/>
  <c r="I41" i="14"/>
  <c r="B54" i="14"/>
  <c r="B52" i="14"/>
  <c r="D53" i="14"/>
  <c r="H53" i="14" s="1"/>
  <c r="I37" i="14"/>
  <c r="D43" i="14" s="1"/>
  <c r="I37" i="13"/>
  <c r="D43" i="13" s="1"/>
  <c r="B52" i="13"/>
  <c r="D53" i="13"/>
  <c r="H53" i="13" s="1"/>
  <c r="B54" i="13"/>
  <c r="B52" i="12"/>
  <c r="D53" i="12"/>
  <c r="B54" i="12"/>
  <c r="I37" i="12"/>
  <c r="D43" i="12" s="1"/>
  <c r="F53" i="12"/>
  <c r="D41" i="12"/>
  <c r="B54" i="11"/>
  <c r="B52" i="11"/>
  <c r="D53" i="11"/>
  <c r="H53" i="11" s="1"/>
  <c r="I37" i="11"/>
  <c r="D43" i="11" s="1"/>
  <c r="F53" i="11"/>
  <c r="D41" i="11"/>
  <c r="I37" i="10"/>
  <c r="D43" i="10" s="1"/>
  <c r="F55" i="10"/>
  <c r="F54" i="10"/>
  <c r="D45" i="10"/>
  <c r="C26" i="2"/>
  <c r="D35" i="2" s="1"/>
  <c r="I41" i="28" l="1"/>
  <c r="I43" i="28"/>
  <c r="I45" i="28" s="1"/>
  <c r="D39" i="28"/>
  <c r="E26" i="26"/>
  <c r="D45" i="26"/>
  <c r="I41" i="25"/>
  <c r="I43" i="25" s="1"/>
  <c r="I45" i="25" s="1"/>
  <c r="D45" i="25"/>
  <c r="D45" i="24"/>
  <c r="I43" i="24"/>
  <c r="I45" i="24" s="1"/>
  <c r="E26" i="24"/>
  <c r="B55" i="23"/>
  <c r="I41" i="23"/>
  <c r="D43" i="23"/>
  <c r="I43" i="23" s="1"/>
  <c r="I45" i="23" s="1"/>
  <c r="H53" i="22"/>
  <c r="E26" i="18"/>
  <c r="H53" i="18"/>
  <c r="I41" i="18"/>
  <c r="I43" i="18" s="1"/>
  <c r="I45" i="18" s="1"/>
  <c r="I41" i="17"/>
  <c r="I43" i="17" s="1"/>
  <c r="I45" i="17" s="1"/>
  <c r="E26" i="17"/>
  <c r="D39" i="16"/>
  <c r="I41" i="15"/>
  <c r="I43" i="15" s="1"/>
  <c r="I45" i="15" s="1"/>
  <c r="D45" i="15"/>
  <c r="D45" i="14"/>
  <c r="I43" i="14"/>
  <c r="I45" i="14" s="1"/>
  <c r="D45" i="13"/>
  <c r="I41" i="13"/>
  <c r="H53" i="12"/>
  <c r="D39" i="12"/>
  <c r="D39" i="11"/>
  <c r="B51" i="10"/>
  <c r="D52" i="10"/>
  <c r="F52" i="10"/>
  <c r="H52" i="10" s="1"/>
  <c r="B56" i="10"/>
  <c r="D55" i="10"/>
  <c r="H55" i="10" s="1"/>
  <c r="H54" i="10"/>
  <c r="I41" i="10"/>
  <c r="I43" i="10" s="1"/>
  <c r="I45" i="10" s="1"/>
  <c r="D45" i="19"/>
  <c r="I41" i="19"/>
  <c r="I43" i="19" s="1"/>
  <c r="I45" i="19" s="1"/>
  <c r="E26" i="19"/>
  <c r="B51" i="24"/>
  <c r="F52" i="24"/>
  <c r="D52" i="24"/>
  <c r="I43" i="20"/>
  <c r="I45" i="20" s="1"/>
  <c r="B51" i="28"/>
  <c r="D52" i="28"/>
  <c r="F52" i="28"/>
  <c r="B55" i="21"/>
  <c r="D54" i="21"/>
  <c r="F54" i="21"/>
  <c r="B55" i="19"/>
  <c r="D54" i="19"/>
  <c r="F54" i="19"/>
  <c r="F54" i="26"/>
  <c r="B55" i="26"/>
  <c r="D54" i="26"/>
  <c r="I41" i="22"/>
  <c r="I43" i="22" s="1"/>
  <c r="I45" i="22" s="1"/>
  <c r="D45" i="22"/>
  <c r="E26" i="22"/>
  <c r="B51" i="26"/>
  <c r="F52" i="26"/>
  <c r="D52" i="26"/>
  <c r="D39" i="20"/>
  <c r="B55" i="27"/>
  <c r="D54" i="27"/>
  <c r="F54" i="27"/>
  <c r="B55" i="28"/>
  <c r="F54" i="28"/>
  <c r="D54" i="28"/>
  <c r="H54" i="28" s="1"/>
  <c r="B50" i="23"/>
  <c r="D51" i="23"/>
  <c r="F51" i="23"/>
  <c r="B51" i="21"/>
  <c r="D52" i="21"/>
  <c r="F52" i="21"/>
  <c r="B51" i="20"/>
  <c r="F52" i="20"/>
  <c r="D52" i="20"/>
  <c r="B51" i="25"/>
  <c r="D52" i="25"/>
  <c r="F52" i="25"/>
  <c r="F54" i="22"/>
  <c r="B55" i="22"/>
  <c r="D54" i="22"/>
  <c r="B56" i="23"/>
  <c r="D55" i="23"/>
  <c r="F55" i="23"/>
  <c r="B51" i="19"/>
  <c r="D52" i="19"/>
  <c r="F52" i="19"/>
  <c r="D45" i="27"/>
  <c r="I41" i="27"/>
  <c r="I43" i="27" s="1"/>
  <c r="I45" i="27" s="1"/>
  <c r="E26" i="27"/>
  <c r="B51" i="27"/>
  <c r="D52" i="27"/>
  <c r="F52" i="27"/>
  <c r="I43" i="21"/>
  <c r="I45" i="21" s="1"/>
  <c r="B55" i="20"/>
  <c r="D54" i="20"/>
  <c r="F54" i="20"/>
  <c r="B55" i="25"/>
  <c r="D54" i="25"/>
  <c r="F54" i="25"/>
  <c r="I43" i="26"/>
  <c r="I45" i="26" s="1"/>
  <c r="B55" i="24"/>
  <c r="F54" i="24"/>
  <c r="D54" i="24"/>
  <c r="H54" i="24" s="1"/>
  <c r="F52" i="22"/>
  <c r="B51" i="22"/>
  <c r="D52" i="22"/>
  <c r="D39" i="21"/>
  <c r="D39" i="26"/>
  <c r="D39" i="24"/>
  <c r="F54" i="18"/>
  <c r="B55" i="18"/>
  <c r="D54" i="18"/>
  <c r="F52" i="18"/>
  <c r="B51" i="18"/>
  <c r="D52" i="18"/>
  <c r="D39" i="18"/>
  <c r="H53" i="17"/>
  <c r="B55" i="17"/>
  <c r="F54" i="17"/>
  <c r="D54" i="17"/>
  <c r="B51" i="17"/>
  <c r="F52" i="17"/>
  <c r="D52" i="17"/>
  <c r="D39" i="17"/>
  <c r="B55" i="16"/>
  <c r="F54" i="16"/>
  <c r="D54" i="16"/>
  <c r="B51" i="16"/>
  <c r="F52" i="16"/>
  <c r="D52" i="16"/>
  <c r="D39" i="15"/>
  <c r="B51" i="15"/>
  <c r="F52" i="15"/>
  <c r="D52" i="15"/>
  <c r="H53" i="15"/>
  <c r="B55" i="15"/>
  <c r="D54" i="15"/>
  <c r="F54" i="15"/>
  <c r="D54" i="14"/>
  <c r="B55" i="14"/>
  <c r="F54" i="14"/>
  <c r="D39" i="14"/>
  <c r="B51" i="14"/>
  <c r="F52" i="14"/>
  <c r="D52" i="14"/>
  <c r="H52" i="14" s="1"/>
  <c r="B55" i="13"/>
  <c r="F54" i="13"/>
  <c r="D54" i="13"/>
  <c r="D39" i="13"/>
  <c r="F52" i="13"/>
  <c r="B51" i="13"/>
  <c r="D52" i="13"/>
  <c r="B55" i="12"/>
  <c r="F54" i="12"/>
  <c r="D54" i="12"/>
  <c r="I41" i="12"/>
  <c r="I43" i="12" s="1"/>
  <c r="I45" i="12" s="1"/>
  <c r="D45" i="12"/>
  <c r="E26" i="12"/>
  <c r="F52" i="12"/>
  <c r="B51" i="12"/>
  <c r="D52" i="12"/>
  <c r="B51" i="11"/>
  <c r="D52" i="11"/>
  <c r="F52" i="11"/>
  <c r="I41" i="11"/>
  <c r="D45" i="11"/>
  <c r="E26" i="11"/>
  <c r="B55" i="11"/>
  <c r="F54" i="11"/>
  <c r="D54" i="11"/>
  <c r="H54" i="11" s="1"/>
  <c r="I43" i="11"/>
  <c r="I45" i="11" s="1"/>
  <c r="D39" i="10"/>
  <c r="I35" i="2"/>
  <c r="H54" i="27" l="1"/>
  <c r="H52" i="27"/>
  <c r="H52" i="24"/>
  <c r="H51" i="23"/>
  <c r="H54" i="21"/>
  <c r="H52" i="19"/>
  <c r="H54" i="18"/>
  <c r="H52" i="18"/>
  <c r="H52" i="17"/>
  <c r="H54" i="17"/>
  <c r="H52" i="16"/>
  <c r="H52" i="15"/>
  <c r="H52" i="13"/>
  <c r="H54" i="12"/>
  <c r="H52" i="12"/>
  <c r="H52" i="11"/>
  <c r="B50" i="10"/>
  <c r="D51" i="10"/>
  <c r="F51" i="10"/>
  <c r="B57" i="10"/>
  <c r="F56" i="10"/>
  <c r="D56" i="10"/>
  <c r="H56" i="10" s="1"/>
  <c r="B56" i="25"/>
  <c r="D55" i="25"/>
  <c r="F55" i="25"/>
  <c r="B50" i="22"/>
  <c r="F51" i="22"/>
  <c r="D51" i="22"/>
  <c r="H51" i="22" s="1"/>
  <c r="B57" i="23"/>
  <c r="D56" i="23"/>
  <c r="F56" i="23"/>
  <c r="B50" i="25"/>
  <c r="D51" i="25"/>
  <c r="F51" i="25"/>
  <c r="B50" i="21"/>
  <c r="D51" i="21"/>
  <c r="F51" i="21"/>
  <c r="B56" i="28"/>
  <c r="D55" i="28"/>
  <c r="F55" i="28"/>
  <c r="B56" i="26"/>
  <c r="F55" i="26"/>
  <c r="D55" i="26"/>
  <c r="H54" i="25"/>
  <c r="H54" i="22"/>
  <c r="H52" i="20"/>
  <c r="F51" i="26"/>
  <c r="B50" i="26"/>
  <c r="D51" i="26"/>
  <c r="B56" i="21"/>
  <c r="D55" i="21"/>
  <c r="F55" i="21"/>
  <c r="F55" i="22"/>
  <c r="B56" i="22"/>
  <c r="D55" i="22"/>
  <c r="H55" i="22" s="1"/>
  <c r="F51" i="24"/>
  <c r="B50" i="24"/>
  <c r="D51" i="24"/>
  <c r="B50" i="27"/>
  <c r="D51" i="27"/>
  <c r="F51" i="27"/>
  <c r="B50" i="19"/>
  <c r="D51" i="19"/>
  <c r="F51" i="19"/>
  <c r="F51" i="20"/>
  <c r="B50" i="20"/>
  <c r="D51" i="20"/>
  <c r="B49" i="23"/>
  <c r="D50" i="23"/>
  <c r="F50" i="23"/>
  <c r="B56" i="27"/>
  <c r="D55" i="27"/>
  <c r="F55" i="27"/>
  <c r="H54" i="19"/>
  <c r="H52" i="28"/>
  <c r="B56" i="24"/>
  <c r="F55" i="24"/>
  <c r="D55" i="24"/>
  <c r="H54" i="20"/>
  <c r="B56" i="19"/>
  <c r="D55" i="19"/>
  <c r="F55" i="19"/>
  <c r="F51" i="28"/>
  <c r="B50" i="28"/>
  <c r="D51" i="28"/>
  <c r="H52" i="22"/>
  <c r="B56" i="20"/>
  <c r="F55" i="20"/>
  <c r="D55" i="20"/>
  <c r="H55" i="23"/>
  <c r="H52" i="25"/>
  <c r="H52" i="21"/>
  <c r="H52" i="26"/>
  <c r="H54" i="26"/>
  <c r="F51" i="18"/>
  <c r="B50" i="18"/>
  <c r="D51" i="18"/>
  <c r="B56" i="18"/>
  <c r="F55" i="18"/>
  <c r="D55" i="18"/>
  <c r="B56" i="17"/>
  <c r="F55" i="17"/>
  <c r="D55" i="17"/>
  <c r="B50" i="17"/>
  <c r="D51" i="17"/>
  <c r="F51" i="17"/>
  <c r="B56" i="16"/>
  <c r="F55" i="16"/>
  <c r="D55" i="16"/>
  <c r="H55" i="16" s="1"/>
  <c r="F51" i="16"/>
  <c r="B50" i="16"/>
  <c r="D51" i="16"/>
  <c r="H54" i="16"/>
  <c r="B56" i="15"/>
  <c r="D55" i="15"/>
  <c r="F55" i="15"/>
  <c r="B50" i="15"/>
  <c r="D51" i="15"/>
  <c r="F51" i="15"/>
  <c r="H54" i="15"/>
  <c r="B56" i="14"/>
  <c r="D55" i="14"/>
  <c r="F55" i="14"/>
  <c r="H54" i="14"/>
  <c r="F51" i="14"/>
  <c r="B50" i="14"/>
  <c r="D51" i="14"/>
  <c r="B56" i="13"/>
  <c r="F55" i="13"/>
  <c r="D55" i="13"/>
  <c r="F51" i="13"/>
  <c r="B50" i="13"/>
  <c r="D51" i="13"/>
  <c r="H54" i="13"/>
  <c r="F51" i="12"/>
  <c r="B50" i="12"/>
  <c r="D51" i="12"/>
  <c r="B56" i="12"/>
  <c r="F55" i="12"/>
  <c r="D55" i="12"/>
  <c r="B56" i="11"/>
  <c r="D55" i="11"/>
  <c r="F55" i="11"/>
  <c r="F51" i="11"/>
  <c r="B50" i="11"/>
  <c r="D51" i="11"/>
  <c r="I16" i="2"/>
  <c r="D21" i="2"/>
  <c r="H51" i="28" l="1"/>
  <c r="H51" i="26"/>
  <c r="H55" i="26"/>
  <c r="H55" i="24"/>
  <c r="H51" i="20"/>
  <c r="H55" i="20"/>
  <c r="H51" i="18"/>
  <c r="H55" i="18"/>
  <c r="H55" i="17"/>
  <c r="H51" i="16"/>
  <c r="H51" i="14"/>
  <c r="H51" i="13"/>
  <c r="H55" i="13"/>
  <c r="H51" i="12"/>
  <c r="H51" i="11"/>
  <c r="H51" i="10"/>
  <c r="B49" i="10"/>
  <c r="F50" i="10"/>
  <c r="D50" i="10"/>
  <c r="F57" i="10"/>
  <c r="D57" i="10"/>
  <c r="B49" i="19"/>
  <c r="D50" i="19"/>
  <c r="F50" i="19"/>
  <c r="B57" i="21"/>
  <c r="D56" i="21"/>
  <c r="F56" i="21"/>
  <c r="B57" i="28"/>
  <c r="F56" i="28"/>
  <c r="D56" i="28"/>
  <c r="B49" i="22"/>
  <c r="F50" i="22"/>
  <c r="D50" i="22"/>
  <c r="F50" i="28"/>
  <c r="B49" i="28"/>
  <c r="D50" i="28"/>
  <c r="H55" i="27"/>
  <c r="H51" i="27"/>
  <c r="B57" i="22"/>
  <c r="F56" i="22"/>
  <c r="D56" i="22"/>
  <c r="F50" i="26"/>
  <c r="B49" i="26"/>
  <c r="D50" i="26"/>
  <c r="H56" i="23"/>
  <c r="H55" i="25"/>
  <c r="B57" i="27"/>
  <c r="D56" i="27"/>
  <c r="F56" i="27"/>
  <c r="B49" i="21"/>
  <c r="D50" i="21"/>
  <c r="F50" i="21"/>
  <c r="D57" i="23"/>
  <c r="F57" i="23"/>
  <c r="F56" i="24"/>
  <c r="B57" i="24"/>
  <c r="D56" i="24"/>
  <c r="H51" i="24"/>
  <c r="F56" i="20"/>
  <c r="B57" i="20"/>
  <c r="D56" i="20"/>
  <c r="H55" i="19"/>
  <c r="H50" i="23"/>
  <c r="H51" i="19"/>
  <c r="F50" i="24"/>
  <c r="B49" i="24"/>
  <c r="D50" i="24"/>
  <c r="H55" i="21"/>
  <c r="H55" i="28"/>
  <c r="H51" i="25"/>
  <c r="B57" i="19"/>
  <c r="F56" i="19"/>
  <c r="D56" i="19"/>
  <c r="D49" i="23"/>
  <c r="F49" i="23"/>
  <c r="B49" i="25"/>
  <c r="D50" i="25"/>
  <c r="F50" i="25"/>
  <c r="F50" i="20"/>
  <c r="B49" i="20"/>
  <c r="D50" i="20"/>
  <c r="H51" i="21"/>
  <c r="B49" i="27"/>
  <c r="D50" i="27"/>
  <c r="F50" i="27"/>
  <c r="B57" i="26"/>
  <c r="F56" i="26"/>
  <c r="D56" i="26"/>
  <c r="B57" i="25"/>
  <c r="D56" i="25"/>
  <c r="F56" i="25"/>
  <c r="F56" i="18"/>
  <c r="B57" i="18"/>
  <c r="D56" i="18"/>
  <c r="F50" i="18"/>
  <c r="B49" i="18"/>
  <c r="D50" i="18"/>
  <c r="B49" i="17"/>
  <c r="D50" i="17"/>
  <c r="F50" i="17"/>
  <c r="D56" i="17"/>
  <c r="B57" i="17"/>
  <c r="F56" i="17"/>
  <c r="H51" i="17"/>
  <c r="B49" i="16"/>
  <c r="D50" i="16"/>
  <c r="F50" i="16"/>
  <c r="B57" i="16"/>
  <c r="D56" i="16"/>
  <c r="F56" i="16"/>
  <c r="H55" i="15"/>
  <c r="B57" i="15"/>
  <c r="D56" i="15"/>
  <c r="F56" i="15"/>
  <c r="H51" i="15"/>
  <c r="B49" i="15"/>
  <c r="D50" i="15"/>
  <c r="F50" i="15"/>
  <c r="H55" i="14"/>
  <c r="B57" i="14"/>
  <c r="D56" i="14"/>
  <c r="F56" i="14"/>
  <c r="B49" i="14"/>
  <c r="D50" i="14"/>
  <c r="F50" i="14"/>
  <c r="D56" i="13"/>
  <c r="B57" i="13"/>
  <c r="F56" i="13"/>
  <c r="B49" i="13"/>
  <c r="D50" i="13"/>
  <c r="F50" i="13"/>
  <c r="D56" i="12"/>
  <c r="B57" i="12"/>
  <c r="F56" i="12"/>
  <c r="B49" i="12"/>
  <c r="D50" i="12"/>
  <c r="F50" i="12"/>
  <c r="H55" i="12"/>
  <c r="H55" i="11"/>
  <c r="B57" i="11"/>
  <c r="D56" i="11"/>
  <c r="F56" i="11"/>
  <c r="B49" i="11"/>
  <c r="D50" i="11"/>
  <c r="F50" i="11"/>
  <c r="D23" i="2"/>
  <c r="D37" i="2" s="1"/>
  <c r="I37" i="2" s="1"/>
  <c r="D3" i="29" s="1"/>
  <c r="I39" i="2"/>
  <c r="B53" i="2" s="1"/>
  <c r="F53" i="2" s="1"/>
  <c r="H50" i="28" l="1"/>
  <c r="H56" i="28"/>
  <c r="H56" i="27"/>
  <c r="H50" i="27"/>
  <c r="H50" i="26"/>
  <c r="H56" i="25"/>
  <c r="H56" i="24"/>
  <c r="H56" i="22"/>
  <c r="H50" i="22"/>
  <c r="H50" i="21"/>
  <c r="H50" i="20"/>
  <c r="H56" i="18"/>
  <c r="H50" i="16"/>
  <c r="H56" i="15"/>
  <c r="H50" i="14"/>
  <c r="H56" i="14"/>
  <c r="H50" i="12"/>
  <c r="H56" i="11"/>
  <c r="H50" i="10"/>
  <c r="H57" i="10"/>
  <c r="F49" i="10"/>
  <c r="D49" i="10"/>
  <c r="F57" i="26"/>
  <c r="D57" i="26"/>
  <c r="F49" i="20"/>
  <c r="D49" i="20"/>
  <c r="H49" i="23"/>
  <c r="F57" i="24"/>
  <c r="D57" i="24"/>
  <c r="D49" i="21"/>
  <c r="F49" i="21"/>
  <c r="H56" i="21"/>
  <c r="H56" i="19"/>
  <c r="H50" i="24"/>
  <c r="H56" i="20"/>
  <c r="F49" i="26"/>
  <c r="D49" i="26"/>
  <c r="F49" i="22"/>
  <c r="D49" i="22"/>
  <c r="F57" i="21"/>
  <c r="D57" i="21"/>
  <c r="F57" i="22"/>
  <c r="D57" i="22"/>
  <c r="F49" i="24"/>
  <c r="D49" i="24"/>
  <c r="F57" i="20"/>
  <c r="D57" i="20"/>
  <c r="H57" i="20" s="1"/>
  <c r="D57" i="25"/>
  <c r="F57" i="25"/>
  <c r="D49" i="27"/>
  <c r="F49" i="27"/>
  <c r="H50" i="25"/>
  <c r="D57" i="19"/>
  <c r="F57" i="19"/>
  <c r="H57" i="23"/>
  <c r="F57" i="27"/>
  <c r="D57" i="27"/>
  <c r="H57" i="27" s="1"/>
  <c r="D49" i="28"/>
  <c r="F49" i="28"/>
  <c r="H50" i="19"/>
  <c r="H56" i="26"/>
  <c r="D49" i="25"/>
  <c r="F49" i="25"/>
  <c r="F57" i="28"/>
  <c r="D57" i="28"/>
  <c r="D49" i="19"/>
  <c r="F49" i="19"/>
  <c r="F57" i="18"/>
  <c r="D57" i="18"/>
  <c r="H50" i="18"/>
  <c r="F49" i="18"/>
  <c r="D49" i="18"/>
  <c r="H49" i="18" s="1"/>
  <c r="H50" i="17"/>
  <c r="F49" i="17"/>
  <c r="D49" i="17"/>
  <c r="D57" i="17"/>
  <c r="F57" i="17"/>
  <c r="H56" i="17"/>
  <c r="F49" i="16"/>
  <c r="D49" i="16"/>
  <c r="H56" i="16"/>
  <c r="F57" i="16"/>
  <c r="D57" i="16"/>
  <c r="F57" i="15"/>
  <c r="D57" i="15"/>
  <c r="H50" i="15"/>
  <c r="F49" i="15"/>
  <c r="D49" i="15"/>
  <c r="F57" i="14"/>
  <c r="D57" i="14"/>
  <c r="D49" i="14"/>
  <c r="F49" i="14"/>
  <c r="F49" i="13"/>
  <c r="D49" i="13"/>
  <c r="F57" i="13"/>
  <c r="D57" i="13"/>
  <c r="H57" i="13" s="1"/>
  <c r="H56" i="13"/>
  <c r="H50" i="13"/>
  <c r="F49" i="12"/>
  <c r="D49" i="12"/>
  <c r="F57" i="12"/>
  <c r="D57" i="12"/>
  <c r="H56" i="12"/>
  <c r="F57" i="11"/>
  <c r="D57" i="11"/>
  <c r="H50" i="11"/>
  <c r="F49" i="11"/>
  <c r="D49" i="11"/>
  <c r="D41" i="2"/>
  <c r="D43" i="2"/>
  <c r="D53" i="2"/>
  <c r="H53" i="2" s="1"/>
  <c r="B54" i="2"/>
  <c r="B52" i="2"/>
  <c r="H57" i="28" l="1"/>
  <c r="H49" i="26"/>
  <c r="H49" i="24"/>
  <c r="H57" i="24"/>
  <c r="H49" i="22"/>
  <c r="H57" i="22"/>
  <c r="H57" i="21"/>
  <c r="H49" i="20"/>
  <c r="H57" i="19"/>
  <c r="H57" i="18"/>
  <c r="H49" i="17"/>
  <c r="H57" i="15"/>
  <c r="H57" i="16"/>
  <c r="H57" i="14"/>
  <c r="H49" i="14"/>
  <c r="H49" i="13"/>
  <c r="H57" i="12"/>
  <c r="H49" i="12"/>
  <c r="H49" i="11"/>
  <c r="H49" i="10"/>
  <c r="H49" i="28"/>
  <c r="H49" i="25"/>
  <c r="H49" i="27"/>
  <c r="H49" i="19"/>
  <c r="H57" i="25"/>
  <c r="H49" i="21"/>
  <c r="H57" i="26"/>
  <c r="H57" i="17"/>
  <c r="H49" i="16"/>
  <c r="H49" i="15"/>
  <c r="H57" i="11"/>
  <c r="D39" i="2"/>
  <c r="E3" i="29" s="1"/>
  <c r="I41" i="2"/>
  <c r="I43" i="2" s="1"/>
  <c r="I45" i="2" s="1"/>
  <c r="B51" i="2"/>
  <c r="D52" i="2"/>
  <c r="F52" i="2"/>
  <c r="D45" i="2"/>
  <c r="B55" i="2"/>
  <c r="D54" i="2"/>
  <c r="F54" i="2"/>
  <c r="B56" i="2" l="1"/>
  <c r="F55" i="2"/>
  <c r="D55" i="2"/>
  <c r="H52" i="2"/>
  <c r="H54" i="2"/>
  <c r="B50" i="2"/>
  <c r="D51" i="2"/>
  <c r="F51" i="2"/>
  <c r="H55" i="2" l="1"/>
  <c r="B49" i="2"/>
  <c r="F50" i="2"/>
  <c r="D50" i="2"/>
  <c r="H51" i="2"/>
  <c r="B57" i="2"/>
  <c r="F56" i="2"/>
  <c r="D56" i="2"/>
  <c r="H50" i="2" l="1"/>
  <c r="F57" i="2"/>
  <c r="D57" i="2"/>
  <c r="H56" i="2"/>
  <c r="F49" i="2"/>
  <c r="D49" i="2"/>
  <c r="H49" i="2" l="1"/>
  <c r="H5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F2EBAF4C-4074-4EAD-88E6-64B6F9A55D3C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C27779B1-B7D5-4455-8ADE-551BB9D0789F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08DB43EA-F2D0-4C13-9A3F-50568C19B9DC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9500B884-ABED-4A57-8BBE-9086C50C6148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269AB7A1-C46B-43F9-AACF-92555B13D030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446BCEFF-E850-4509-A919-C43D1620316C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F04CB0C5-DD27-4BE3-A869-8D40037E101F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631D8E9C-1692-446E-925E-09601358757C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DB731EDA-B0B0-43C6-8989-F27AE91F2E74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314BD7A5-2017-4FB2-8729-04002D26C7E4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240F8921-F36E-441F-9537-9BB60F02D9A7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0EA931F4-94BE-48ED-9200-3203D31C70E9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B7D5B253-84A3-4D75-B47B-74EE0090C22E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5440B1B3-3C6D-4746-B1FE-A6BE74247DF2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5E4BA2E9-21B9-4CB5-8614-20938871F393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311E34A0-2B7D-43D9-BAA9-33AA39874D58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627F7061-A437-4339-B9C6-D7F58788937E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DA8F9E13-6422-4877-A315-8E768F35CF35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9767BB80-0154-4AB1-87C3-110F60B96441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F8E0E973-B1A6-45EB-8136-ADB04A4382DA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0DE5FD73-F271-4D71-B74E-BEFA4432AB9F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47D26832-21B0-4614-AA9C-45A653910DB6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5E97671D-2284-4271-AD5A-A0B3032C635E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0F25049F-297C-499F-A906-3D4C4A5DD793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BFF37CCD-9408-41D7-ABFB-932C38A0992C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BF9F76AB-B677-40AC-B4C8-5B05B7E9E02D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BCB2DE3C-3775-444C-9D7A-670B14234DAC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EACE36AA-0B75-49A5-B0BA-3D64A33647A5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76557CA2-A732-460C-BB04-BB4D2B047B62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FDA4C786-BBC5-43B5-BE7A-7F41862FDD9F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C45D9521-A686-4F86-BADA-D521B50550DE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FFC3617F-76FA-40F6-8882-C5E8E4847883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AC582199-D2DA-4A98-87FC-498D54678E64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030F6A2F-E1DB-42AB-A1F0-9674DBF32122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01FBF200-8411-44D5-8F06-C9F39F69272F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7C986866-7255-40B1-A8B8-440D8D006C16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7EF760B7-B1CD-4FE3-A99F-23B50740268C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566CEAA4-21D7-43E2-A42B-900EEB32CB74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93AAC526-AD15-4CE9-8C9A-A858CA39C412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83B503D0-85F1-4447-BF3D-79D6FD687657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D18DA26E-3002-417E-8DF3-349C050D7BE1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C0375048-CAD0-42E1-AD23-0CD04466223C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72DB2A6C-660F-47B3-9EB0-C74C696B5017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22134066-7142-470F-861D-BDE49CDA00DD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6002E1B0-ADC8-4FA9-BB81-258489F3CC97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34D6D188-7909-413F-8BAA-ABAA2571EF71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9EB7D776-AB59-434B-B608-D6265AB233BC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5EA40273-6B80-4979-AD7D-D472727DB8C5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F5D967C6-3875-470D-9585-1ED058F2C24B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96D9A6B5-75A1-4143-A497-1BF4C0B745F8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0AE22935-1953-45D3-91C6-8C6953EE48EC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EFB77C55-72F4-448C-914D-EFE4C4677D60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88F16788-548C-4BE4-88B7-4861CA36EE7F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3CE265F2-7E66-44DF-A14C-E6EB946F78EF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4BCD837D-5676-45FF-8483-464FC23E5EB9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B793F739-5902-43E3-B7C5-77CC26BC7648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C10AFA74-5078-48E6-9C31-EDDBF2D9C42D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6B43A237-D74B-49DC-9B10-77EACF8351F0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142DC55C-6CB9-4667-898A-B1DAE46DACE9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2C2BB447-ED16-4C4F-AE2B-65E0436D62CE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E27412FD-B709-49DE-96A1-2AA6D556F328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E7770A48-C0EC-4CF3-8C01-4FD83E70731C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AD46D125-8715-4420-BD7A-09283ED76DB2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86D2C67A-4232-48DA-92FD-2D755A247E7A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AE697AA3-30F3-4D48-8F33-97D607EFDACD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759138AE-4477-4168-874B-DA3A01C33E5F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F874D2AA-3361-48EB-A34C-7C2F592B5FA3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1E1676B4-E280-4D2F-9B52-A6608FE862D9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285706A3-09DD-44E1-9434-2933C1F94EF1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898185CB-1131-4C47-B81F-D9F0BCC5AA71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561BE307-38B8-4017-BE5A-A093399602A0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12E8531B-994B-42EC-B3EE-54F5CF5C68F4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1BA98B0C-F27C-46B2-ABB1-067E125FC0CC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FD6623D7-8AD4-4F41-BF4A-064A750354E7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C959FD48-C35B-488C-A12F-3B63C4D66D16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FD256B66-0AEB-4530-B24B-259C182A025C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F6AD3701-897B-44C1-A2AF-CEB17FFEDE27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0A54EEBC-A1DB-4D3A-B4C3-E5890BF08FD0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5D644C64-6CE3-4403-A7D0-5B08AAF1DD1F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CC6F223F-F7EB-467C-AB0C-BC7B0127B0D9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6FADFDBF-D53C-4E81-B484-D13BB5404EC8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E5896ABB-7A24-49F0-B196-179F133DBB8C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E5419729-CC52-4F6E-B060-190E7C153E3E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4C779ACB-3EE8-497C-A217-D78006205F4E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6316405E-8BB7-442C-8A74-FFFDCFC3AAC7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7D19116F-4748-43A6-9556-1F2CF815D648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C943CD2A-8B7C-4018-9959-3B4D5E95FCF0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1B54EB77-6119-4F59-A842-37205E72CFC4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785ACBFD-C48A-4C9F-A314-856FDD33B9DB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29979D12-5AB1-4956-9EF1-7244F98D0401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676E939B-7B2B-4F18-A155-FAEFAC58CCAC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7C8B19F6-4295-48B6-B2C7-B1AC15BAF565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DF4A5B00-9ECF-47B9-9BF7-99FAE7EA683F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92D5395E-107E-4542-9CDE-88BC1E68E3D2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AAAB837F-FC9D-4102-AF70-4EFDA826C9F3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53C6B85A-83E3-40B6-90E2-F20E3FC9B8A0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1B1BBAEF-F218-4C78-AC5A-284FA9A2F0DC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92E7C563-FBCF-49F9-9D70-0E755294B5EA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D7C9B8A2-842F-4E16-B71B-F84B45A5D553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C94F1622-A098-479F-BDBE-2A4369678C45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1D5666C5-AD44-4B1D-B0A6-DCAAAE5D138A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F0DF5193-515A-4A48-9EA1-A03EDAAADEA3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A0581FF1-26F7-4838-BFE8-7F024AAA1AC1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1113EEB5-979F-4476-ACC1-0D646F0232EF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25C34B30-DDB3-43B7-B742-6B04D740E709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2FDC4A02-2D00-4898-8BE7-6D37167643CD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C9E2912B-33B3-4C96-B8F7-97CFF3296CE4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06211135-FA7E-4A0A-82A9-F3EC765F2A25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0454D1D0-7A41-4EA8-A76A-EB0D78578B11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A0CACA6B-8C55-4B60-9D51-927F5BEC056A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8163D092-3B91-43C8-B767-7B1916F9ADBF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45455C5A-25A6-4F6B-8D5A-1F087A94C34E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92EF9434-EF40-4244-93AE-BE8D7C9B087C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3DBF8D30-EB7C-4EA0-B7DC-06BA8F2A520E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FE13ABC2-F2AD-4359-AF25-1AC548817570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573569F3-CBD9-4F2F-BCCE-5F57C39B2B3C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09ABE7D9-408B-4996-A569-F40E96467577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949EDDEE-3FB9-4A24-AC6F-A3E61AA38551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F358AD57-8A91-45EA-BCB1-746F9C362BB3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B98192F1-13FE-4AB4-AA94-0FEBDFF655BC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D45F090D-8902-473D-87A1-A26A16FB8A29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073ED44E-4227-43DF-902B-B2BBB2A66867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8699A55B-92CB-4491-8C23-B3E5EDAE9330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62385636-5B4F-4DD7-A343-1D06FB61ADA6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B5BAE568-66BD-4C4A-80D4-F224FBFEB27F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F6BA31DA-C880-46E0-AB4D-D4D0B81BA464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CDCADCEF-ADB4-4C10-8243-9111BABFCDAD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6C05C131-F6AC-4254-A076-0F8AD5432D0B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E7DCFECB-98B9-48E5-8E5F-58EB00789315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E579CEC7-1D4F-4C45-8F69-121C0FDD2E1A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76FE433F-6E53-409F-8DD4-38778FC3DA76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BAAC8F96-98E7-4DAD-BA07-FFBCEDD7D1B1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E6FCA12C-1CB7-40D9-B2D1-850CBB7CE6A9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5302A4C8-56D2-431E-AB1A-46CA271F7984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1D86294C-3678-453F-A1CF-2DD4BF90947C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C0AE963B-B768-400F-9D5F-7E087CEC1C52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6ABDA2AA-C456-497B-8D05-562B211B49F8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F155C602-D353-440C-AD5E-B4C9D35246B7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68B8B7C8-CCE9-425E-AA1F-1DB68FB5E370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0E36579A-23E2-439F-BD1A-6A0E0186F906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83E3610A-016A-406B-B19D-260575DC4F52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BFE9F75D-4E6F-4ECE-B377-31B438AE5736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A273D067-0293-4069-8A56-6DD65DB9FBB5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A040D1F3-BFFD-4C4B-AEF8-EE35F6DF1D1A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1BBEB3CA-73B8-4BB9-A033-E8C64EB43207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7AC60884-A413-4B5F-BBE6-B5449F93D7D4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DADE92B6-613D-42FA-A5BF-1F3B0C835814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EAD24401-73BC-49CA-884C-D8ACBA1C9CE8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C3E634C7-264C-499A-AA3A-56F3CABE75E6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A9375DEF-6354-42E7-BD37-995FE00300A4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55457DB2-5CA1-4FC5-BE9F-7D37522C9633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4A16B1CE-DEBA-4497-86C7-064C686502DF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FB0A2F31-FC44-4FDF-8616-EF8E23D3A9B2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2F673520-EAB4-4C26-9096-DC0E2C9A5C74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3BE94986-FB4E-4E48-A6C7-BDFA552A04CD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6BEF9EDD-DE72-41EE-B772-5E72D568C636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6DF58D7D-83D8-4254-845E-E16D7519F6CB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F49FF2E7-E354-4DDE-ABEA-D8DAA2EDF891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5BFEDFE2-C59E-466E-BDD4-332D6E042CAD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B6AF9087-278B-4E45-8BF0-C013E730572B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D8151FC9-F88C-4ECC-B67A-0988187AB5B7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5DF43469-6010-49E3-84D7-4C3816A2BB68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E2122006-029E-4B44-8BF7-8AC567FADB8D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BC0FE09B-A56B-46EB-8FF2-61FB02E57AB3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1E7B1EFE-D570-41E2-859D-9E308CC6EE1F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57280D27-CEA2-40DD-A0F0-300A8F103DA5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8F4DBC31-6F63-4596-8627-3FA1AAD020DD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CDA76C88-FF30-47B0-A49F-9691119DBCC3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CC226BB2-B6B3-4B5A-9CEE-1075BBC14453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C2722FF7-5E7E-44A0-B1AD-0B19D6E161D2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6EE3F293-B107-43D2-8E31-A2E3B0C1EC28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F5E32FFB-FF86-4FD3-80BB-64C2C1BE17C1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8024A057-1BD6-4D82-AA71-C1565FEF2E08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D3C2F055-E598-4280-BDAA-4A2B268EB9F8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EF51EF5B-09CE-4627-8013-0A968A79D83C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26DF3173-DAAC-4C33-B66F-7D1FA5A7D584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225A0120-9B91-408C-A120-F9B0C4A26C59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01B2EB85-A7F7-433E-B7FD-DE52C880589C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C032C336-4D51-49BC-A020-E248FDFABE59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8318A2E9-7275-4471-B4F7-1C829F45B39F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58855C0E-FE51-4DF0-9FBD-A957AC7303F9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EFE13416-D332-46BD-9C10-F693044D61CD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6FC970BE-D8FE-4E35-97F5-F32C624202EA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CDC73C55-693C-40B0-A6BD-89FB7EE0B91E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018B7635-5563-4813-BA00-F5AEAA1043AF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C7B3C219-BDCB-4E9A-BD79-A9CB446CF165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0E2DC0A1-66D5-4070-8756-7C85D0B85745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B74E954B-6EFB-4EB7-9CE2-2E57D1253DAD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6F86D773-00C8-42AB-AC7F-A6DA0A042CF8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E80609DB-EF29-4E8D-BE69-6A90534F288C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938ABA82-222A-4F64-872D-6654385FA606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9FFEBAEE-15DC-4414-B3C0-9DC0BBF271D9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D249E091-1C14-417C-BE09-9DAA45682B4C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703DA55D-5300-412F-9A37-802E3FAB3F41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BE65FC0A-9B8F-45E7-88C7-1E46F492781A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BB6105DC-7D39-465D-A9E6-33A9F955271E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FAF6202E-4BD6-4D86-A841-8EF2236154BB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56B26604-6D42-4E2D-804A-2218B945CBB9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2EB71D8B-4F2C-4E1D-9672-ADD13D7BFE04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D9202606-8AF8-4BD1-AE04-4397DB3D7CD5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5F761B6A-5636-4CEB-B6AA-2405F3D16DF3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5650800C-AD9D-47CA-AADC-89BAAF6877F7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470FE715-16F1-47AA-AE53-BAC9F64AB75E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33C4DD46-0512-4E5C-9E8F-1735A69C45CF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7FC9E2CE-E5F6-4A9F-A20F-A106BF72177C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1B0E2E6E-D095-4398-88EC-A7FAB7A88B43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2E028B39-ED19-4D88-9710-676A5B1D481B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17A3F261-9E5C-4A82-83F3-D1B36073BFA6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07C5F797-4BE2-4F74-B448-261A1F444D9A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1CB00DF8-F658-4A54-96DC-AA14F7F765D9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43662A67-FB2A-40D0-9E9C-8C9A8ECFBAF5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3306B20D-2822-4DE8-9ECE-E89AE5E93FD4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53623EDC-8F42-41B5-A37E-D0DE0905F98D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C0C596A5-59D1-47C7-BE47-31E42E25ECF3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93CE2A82-AFB4-4C74-83C7-3A984422CEC8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550D44EA-FB8B-4C8B-ACF7-13252D389B02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F10532E6-8D66-46CD-8FB8-0F5F7EBFEF2B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232351E5-A168-4CC9-8847-F34C0753A429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EBDC39F0-105F-4C6D-8A5A-526B451B9611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F59C5824-5695-4218-BDBB-79588D5CFD1A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3A043AE9-19E5-4AA7-8ED5-D5F8C7777936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C5BC0822-D81B-482C-A228-D2D42F2B6472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A8024C91-E824-4D71-A12E-05D6B9D0C498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EA2440F5-4A47-4DE8-83B7-963819A26B5C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93D7571D-5AB7-4D69-A13A-17AF2CDD442B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63F06A90-641D-453A-9E1A-C56F1D7C545A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DA293CBB-763B-48A2-B711-0993BC4D7821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6D29706E-BB14-41E8-B3E5-254EDEE87536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</author>
  </authors>
  <commentList>
    <comment ref="B8" authorId="0" shapeId="0" xr:uid="{37E79020-7A5C-4B0D-AB0B-5C3A17901F9A}">
      <text>
        <r>
          <rPr>
            <sz val="9"/>
            <color indexed="81"/>
            <rFont val="Tahoma"/>
            <family val="2"/>
          </rPr>
          <t xml:space="preserve">Demanda del inusmo o repuesto por mes.
</t>
        </r>
      </text>
    </comment>
    <comment ref="G8" authorId="0" shapeId="0" xr:uid="{292FB9A1-973B-40C0-A249-5A16105C62F6}">
      <text>
        <r>
          <rPr>
            <sz val="9"/>
            <color indexed="81"/>
            <rFont val="Tahoma"/>
            <family val="2"/>
          </rPr>
          <t>Tiempo en días requerido por parte del departamento de compras y por parte del proveedor para realizar el pedido.</t>
        </r>
      </text>
    </comment>
    <comment ref="B26" authorId="0" shapeId="0" xr:uid="{45B1242C-E845-45E7-B9E9-9ECC3B42E3F0}">
      <text>
        <r>
          <rPr>
            <sz val="9"/>
            <color indexed="81"/>
            <rFont val="Tahoma"/>
            <family val="2"/>
          </rPr>
          <t xml:space="preserve">Valor estadistico dependiente de la criticidad del repuesto, permite obtener el nivel de servicio.
</t>
        </r>
      </text>
    </comment>
    <comment ref="D26" authorId="0" shapeId="0" xr:uid="{26B85BC2-3007-4551-AC8C-C46FAD03AEAE}">
      <text>
        <r>
          <rPr>
            <sz val="9"/>
            <color indexed="81"/>
            <rFont val="Tahoma"/>
            <family val="2"/>
          </rPr>
          <t xml:space="preserve">Permite garantizar disponibilidad de inventario en el X% de los casos deseados.
</t>
        </r>
      </text>
    </comment>
    <comment ref="F26" authorId="0" shapeId="0" xr:uid="{96A43341-A38B-4AB7-B3CA-5BDC028E9EAF}">
      <text>
        <r>
          <rPr>
            <sz val="9"/>
            <color indexed="81"/>
            <rFont val="Tahoma"/>
            <family val="2"/>
          </rPr>
          <t xml:space="preserve">Porcentaje definido respecto al costo del item.
</t>
        </r>
      </text>
    </comment>
    <comment ref="B30" authorId="0" shapeId="0" xr:uid="{7B9ED41A-F8E0-4B1B-9DFD-B7AEECC49A28}">
      <text>
        <r>
          <rPr>
            <sz val="9"/>
            <color indexed="81"/>
            <rFont val="Tahoma"/>
            <family val="2"/>
          </rPr>
          <t xml:space="preserve">Costo referente a fletes,documentación y demás valores relacionados al envío del pedido
</t>
        </r>
      </text>
    </comment>
    <comment ref="B37" authorId="0" shapeId="0" xr:uid="{3E7C4188-5D43-41D0-ACC8-DBD21C23BDB2}">
      <text>
        <r>
          <rPr>
            <sz val="9"/>
            <color indexed="81"/>
            <rFont val="Tahoma"/>
            <family val="2"/>
          </rPr>
          <t xml:space="preserve">Cantidad minima de elementos que deberían estar disponibles para satisfacer la demanda promedio
</t>
        </r>
      </text>
    </comment>
    <comment ref="F37" authorId="0" shapeId="0" xr:uid="{3389F06C-CFEE-4C11-BE67-8EB795E3C4F7}">
      <text>
        <r>
          <rPr>
            <sz val="9"/>
            <color indexed="81"/>
            <rFont val="Tahoma"/>
            <family val="2"/>
          </rPr>
          <t xml:space="preserve">Cantidad minima disponible requerida para garantizar el nivel de servicio previamente seleccionado 
</t>
        </r>
      </text>
    </comment>
    <comment ref="B39" authorId="0" shapeId="0" xr:uid="{1D57D077-44FA-41EF-A720-298967A5995B}">
      <text>
        <r>
          <rPr>
            <sz val="9"/>
            <color indexed="81"/>
            <rFont val="Tahoma"/>
            <family val="2"/>
          </rPr>
          <t xml:space="preserve">Referencia de stock disponible, cuando el stock llegue al punto de pedido se debe realizar una nueva orden de compra
</t>
        </r>
      </text>
    </comment>
    <comment ref="F39" authorId="0" shapeId="0" xr:uid="{37E201F6-D4EF-497D-8FCE-36D53FBE4FDA}">
      <text>
        <r>
          <rPr>
            <sz val="9"/>
            <color indexed="81"/>
            <rFont val="Tahoma"/>
            <family val="2"/>
          </rPr>
          <t xml:space="preserve">Cantidad economica optima de pedido que minimiza el costo de pedido y el costo de almacenamiento anual
</t>
        </r>
      </text>
    </comment>
    <comment ref="F43" authorId="0" shapeId="0" xr:uid="{ECFE2A2F-0893-4F75-8741-E67D81C0D036}">
      <text>
        <r>
          <rPr>
            <sz val="9"/>
            <color indexed="81"/>
            <rFont val="Tahoma"/>
            <family val="2"/>
          </rPr>
          <t>Costo total de pedir y almacenar las unidades del elemento en un año de operación</t>
        </r>
      </text>
    </comment>
    <comment ref="B45" authorId="0" shapeId="0" xr:uid="{DD0E162A-C09A-4D8F-8B7D-324EDDAA7B64}">
      <text>
        <r>
          <rPr>
            <sz val="9"/>
            <color indexed="81"/>
            <rFont val="Tahoma"/>
            <family val="2"/>
          </rPr>
          <t xml:space="preserve">Días que transcurren entre cada nueva orden de compra.
</t>
        </r>
      </text>
    </comment>
  </commentList>
</comments>
</file>

<file path=xl/sharedStrings.xml><?xml version="1.0" encoding="utf-8"?>
<sst xmlns="http://schemas.openxmlformats.org/spreadsheetml/2006/main" count="1222" uniqueCount="94">
  <si>
    <t>Paraliza la producción</t>
  </si>
  <si>
    <t>Afecta parcialmente la producción</t>
  </si>
  <si>
    <t>AVIDESA MAC POLLO S.A.</t>
  </si>
  <si>
    <t>PLANTA:</t>
  </si>
  <si>
    <t>GRUPO PLANIFICACIÓN:</t>
  </si>
  <si>
    <t>EQUIPO:</t>
  </si>
  <si>
    <t>CODIGO SAP:</t>
  </si>
  <si>
    <t>REPUESTO:</t>
  </si>
  <si>
    <t>CRITICIDAD DEL COMPONENTE</t>
  </si>
  <si>
    <t>COSTOS ESPECIFICOS DEL COMPONENTE:</t>
  </si>
  <si>
    <t>DEMANDA MENSUAL DEL COMPONENTE</t>
  </si>
  <si>
    <t>PORCENTAJE DE COSTO DE ALMACENAMIENTO</t>
  </si>
  <si>
    <t>RESULTADOS</t>
  </si>
  <si>
    <t>TIEMPO DE REPOSICIÓN</t>
  </si>
  <si>
    <t>No afecta la producción</t>
  </si>
  <si>
    <t>NIVEL DE SERVICIO (%)</t>
  </si>
  <si>
    <t>NIVEL DE CONFIANZA (%)</t>
  </si>
  <si>
    <t>IMPACTO A PRODUCCIÓN</t>
  </si>
  <si>
    <t>GESTIÓN DE INVENTARIOS PARA REPUESTO 2X-2Y-2Z MODELO EOQ (CANTITDAD ECONOMICA DE PEDIDO)</t>
  </si>
  <si>
    <t>FECHA DE ACTUALIZACIÓN</t>
  </si>
  <si>
    <t>FECHA DE CREACIÓN:</t>
  </si>
  <si>
    <t>ENERO:</t>
  </si>
  <si>
    <t>FEBRERO:</t>
  </si>
  <si>
    <t>MARZO:</t>
  </si>
  <si>
    <t>ABRIL:</t>
  </si>
  <si>
    <t>MAYO:</t>
  </si>
  <si>
    <t>JUNIO:</t>
  </si>
  <si>
    <t>JULIO:</t>
  </si>
  <si>
    <t>AGOSTO:</t>
  </si>
  <si>
    <t>SEPTIEMBRE:</t>
  </si>
  <si>
    <t>OCTUBRE:</t>
  </si>
  <si>
    <t>NOVIEMBRE:</t>
  </si>
  <si>
    <t>DICIEMBRE:</t>
  </si>
  <si>
    <t>DEMANDA ANUAL (UNIDADES)</t>
  </si>
  <si>
    <t>DEMANDA PROMEDIO (UNIDADES/MES)</t>
  </si>
  <si>
    <t>TIEMPO ADMINISTRATIVO (DÍAS)</t>
  </si>
  <si>
    <t>TIEMPO DEL PROVEEDOR (DÍAS)</t>
  </si>
  <si>
    <t>TIEMPO DE REPOSICIÓN (DÍAS)</t>
  </si>
  <si>
    <t>FACTOR Z:</t>
  </si>
  <si>
    <t>DESVIACIÓN ABOSULTA PROMEDIO:</t>
  </si>
  <si>
    <t>STOCK MINIMO (UNIDADES):</t>
  </si>
  <si>
    <t>STOCK DE SEGURIDAD (UNIDADES):</t>
  </si>
  <si>
    <t>PUNTO DE PEDIDO (UNIDADES REMANENTES EN STOCK):</t>
  </si>
  <si>
    <t>NÚMERO DE PEDIDOS POR AÑO:</t>
  </si>
  <si>
    <t>CANTIDAD ECONOMICA DE PEDIDO (UNIDADES/ORDEN DE COMPRA):</t>
  </si>
  <si>
    <t>COSTO ANUAL DE PEDIDO (COP):</t>
  </si>
  <si>
    <t>COSTO ANUAL DE ALMACENAMIENTO (COP):</t>
  </si>
  <si>
    <t>COSTO ANUAL TOTAL DE INVENTARIO (COP):</t>
  </si>
  <si>
    <t>TIEMPO ENTRE PEDIDOS (DÍAS):</t>
  </si>
  <si>
    <t>COSTO ANUAL TOTAL DEL COMPONENTE (COP):</t>
  </si>
  <si>
    <t>COSTO UNITARIO DEL COMPONENTE (COP/UNIDAD):</t>
  </si>
  <si>
    <t>COSTO DE REALIZAR UN PEDIDO (COP/PEDIDO):</t>
  </si>
  <si>
    <t>COSTO DE ALMACENAMIENTO DEL COMPONENTE (COP/UNIDAD) :</t>
  </si>
  <si>
    <t>DATOS PARA GRAFICA DE COSTOS EOQ</t>
  </si>
  <si>
    <t>TAMAÑO DEL LOTE (UNIDADES)</t>
  </si>
  <si>
    <t>COSTO ANUAL DE PEDIDO (COP/AÑO)</t>
  </si>
  <si>
    <t>COSTO ANUAL DE ALMACENAMIENTO (COP/AÑO)</t>
  </si>
  <si>
    <t>COSTO ANUAL TOTAL DE INVENTARIO (COP/AÑO)</t>
  </si>
  <si>
    <t>POLIURETANO COMPONENTE A</t>
  </si>
  <si>
    <t>POLIURETANO COMPONENTE B</t>
  </si>
  <si>
    <t>TORNILLO VALVULA ADMISION POS 29.</t>
  </si>
  <si>
    <t>EMPAQUE 2228.307.00.</t>
  </si>
  <si>
    <t>ANILLO REFERENCIA 2228.623.00</t>
  </si>
  <si>
    <t>BUJIAS MOTOR HONDA (PATA CORTA)</t>
  </si>
  <si>
    <t>BUJIAS MOTOR HONDA (PATA LARGA)</t>
  </si>
  <si>
    <t>CANASTILLA CON TAPA PLADESAN</t>
  </si>
  <si>
    <t>PIN LARGO CADENA</t>
  </si>
  <si>
    <t>RUEDA 5 SC</t>
  </si>
  <si>
    <t>FUSIBLE EN TEFLON PARA DESPRESE</t>
  </si>
  <si>
    <t>CONTACTOR   LC 1  D  09  M7  220  V</t>
  </si>
  <si>
    <t>CAMISA DE LA VALVULA PIE 3/4POS21</t>
  </si>
  <si>
    <t>ANILLO INTERIOR BOMBA POS 16</t>
  </si>
  <si>
    <t>057342 BOBINA SOLENOIDE AMG 240V</t>
  </si>
  <si>
    <t>9371124 CABEZA ROTULA GIKFR08PW</t>
  </si>
  <si>
    <t>6210686 SUBCONJUNTO TACO OSCILANTE</t>
  </si>
  <si>
    <t>CADENA CARDANICA 1400 TAB</t>
  </si>
  <si>
    <t>3480516 EJE LONGITUDINAL PINZAS LATER</t>
  </si>
  <si>
    <t>MATERIAL</t>
  </si>
  <si>
    <t>TEXTO BREVE</t>
  </si>
  <si>
    <t>BUJIAS MOTOR HONDA PATA MEDIA</t>
  </si>
  <si>
    <t>PUNTO DE PEDIDO</t>
  </si>
  <si>
    <t>EOQ</t>
  </si>
  <si>
    <t>PEDIDOS POR AÑO</t>
  </si>
  <si>
    <t>PILOTO</t>
  </si>
  <si>
    <t>12 meses</t>
  </si>
  <si>
    <t>AMPLIACIÓN</t>
  </si>
  <si>
    <t>MINIMO</t>
  </si>
  <si>
    <t>SEGURIDAD</t>
  </si>
  <si>
    <t>STOCK</t>
  </si>
  <si>
    <t>ACTUAL</t>
  </si>
  <si>
    <t>COSTO ANUAL INVENTARIO</t>
  </si>
  <si>
    <t>COSTO TOTAL INVENTARIO</t>
  </si>
  <si>
    <t>COSTO ANUAL</t>
  </si>
  <si>
    <t>% 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</si>
</sst>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0.000"/>
    <numFmt numFmtId="165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indexed="8"/>
      <name val="Arial Narrow"/>
      <family val="2"/>
      <charset val="1"/>
    </font>
    <font>
      <sz val="10"/>
      <color indexed="8"/>
      <name val="Arial Narrow"/>
      <family val="2"/>
    </font>
    <font>
      <sz val="10"/>
      <name val="Arial Narrow"/>
      <family val="2"/>
      <charset val="1"/>
    </font>
    <font>
      <sz val="10"/>
      <name val="Arial Narrow"/>
      <family val="2"/>
    </font>
    <font>
      <b/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theme="0" tint="-0.14999847407452621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1" xfId="0" applyFill="1" applyBorder="1"/>
    <xf numFmtId="10" fontId="0" fillId="3" borderId="13" xfId="2" applyNumberFormat="1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" fontId="0" fillId="2" borderId="2" xfId="0" applyNumberFormat="1" applyFill="1" applyBorder="1" applyAlignment="1">
      <alignment horizontal="center" vertical="center"/>
    </xf>
    <xf numFmtId="2" fontId="1" fillId="0" borderId="2" xfId="2" applyNumberFormat="1" applyFont="1" applyBorder="1" applyAlignment="1">
      <alignment horizontal="center" vertical="center"/>
    </xf>
    <xf numFmtId="2" fontId="1" fillId="2" borderId="2" xfId="2" applyNumberFormat="1" applyFont="1" applyFill="1" applyBorder="1" applyAlignment="1">
      <alignment horizontal="center" vertical="center"/>
    </xf>
    <xf numFmtId="164" fontId="0" fillId="0" borderId="13" xfId="0" applyNumberFormat="1" applyBorder="1" applyAlignment="1">
      <alignment horizontal="center"/>
    </xf>
    <xf numFmtId="165" fontId="1" fillId="0" borderId="13" xfId="1" applyNumberFormat="1" applyFont="1" applyBorder="1" applyAlignment="1">
      <alignment horizontal="center"/>
    </xf>
    <xf numFmtId="165" fontId="0" fillId="0" borderId="13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/>
    </xf>
    <xf numFmtId="1" fontId="6" fillId="0" borderId="13" xfId="0" applyNumberFormat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165" fontId="0" fillId="0" borderId="2" xfId="1" applyNumberFormat="1" applyFont="1" applyBorder="1"/>
    <xf numFmtId="165" fontId="0" fillId="0" borderId="2" xfId="1" applyNumberFormat="1" applyFont="1" applyBorder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5" fontId="12" fillId="0" borderId="30" xfId="0" applyNumberFormat="1" applyFont="1" applyBorder="1" applyAlignment="1">
      <alignment vertical="center"/>
    </xf>
    <xf numFmtId="165" fontId="13" fillId="0" borderId="3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9" fontId="2" fillId="0" borderId="33" xfId="2" applyFont="1" applyBorder="1" applyAlignment="1">
      <alignment horizontal="center"/>
    </xf>
    <xf numFmtId="9" fontId="2" fillId="0" borderId="34" xfId="2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2" xfId="0" applyBorder="1" applyAlignment="1">
      <alignment horizontal="left"/>
    </xf>
    <xf numFmtId="44" fontId="0" fillId="3" borderId="2" xfId="1" applyFont="1" applyFill="1" applyBorder="1" applyAlignment="1">
      <alignment horizontal="center"/>
    </xf>
    <xf numFmtId="44" fontId="0" fillId="3" borderId="13" xfId="1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 vertical="center"/>
    </xf>
    <xf numFmtId="44" fontId="0" fillId="2" borderId="13" xfId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0" fillId="3" borderId="13" xfId="0" applyFill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2" borderId="13" xfId="0" applyFill="1" applyBorder="1" applyAlignment="1">
      <alignment horizontal="center" vertical="center"/>
    </xf>
    <xf numFmtId="2" fontId="0" fillId="2" borderId="0" xfId="0" applyNumberFormat="1" applyFill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165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'1'!$B$49:$B$57</c:f>
              <c:numCache>
                <c:formatCode>0.00</c:formatCode>
                <c:ptCount val="9"/>
                <c:pt idx="0">
                  <c:v>8.0818117509785061</c:v>
                </c:pt>
                <c:pt idx="1">
                  <c:v>16.163623501957012</c:v>
                </c:pt>
                <c:pt idx="2">
                  <c:v>32.327247003914025</c:v>
                </c:pt>
                <c:pt idx="3">
                  <c:v>64.654494007828049</c:v>
                </c:pt>
                <c:pt idx="4" formatCode="0">
                  <c:v>129.3089880156561</c:v>
                </c:pt>
                <c:pt idx="5">
                  <c:v>258.6179760313122</c:v>
                </c:pt>
                <c:pt idx="6">
                  <c:v>517.23595206262439</c:v>
                </c:pt>
                <c:pt idx="7">
                  <c:v>1034.4719041252488</c:v>
                </c:pt>
                <c:pt idx="8">
                  <c:v>2068.9438082504976</c:v>
                </c:pt>
              </c:numCache>
            </c:numRef>
          </c:cat>
          <c:val>
            <c:numRef>
              <c:f>'1'!$D$49:$D$57</c:f>
              <c:numCache>
                <c:formatCode>_-"$"\ * #,##0_-;\-"$"\ * #,##0_-;_-"$"\ * "-"??_-;_-@_-</c:formatCode>
                <c:ptCount val="9"/>
                <c:pt idx="0">
                  <c:v>1910462.7125385099</c:v>
                </c:pt>
                <c:pt idx="1">
                  <c:v>955231.35626925493</c:v>
                </c:pt>
                <c:pt idx="2">
                  <c:v>477615.67813462747</c:v>
                </c:pt>
                <c:pt idx="3">
                  <c:v>238807.83906731373</c:v>
                </c:pt>
                <c:pt idx="4">
                  <c:v>119403.91953365687</c:v>
                </c:pt>
                <c:pt idx="5">
                  <c:v>59701.959766828433</c:v>
                </c:pt>
                <c:pt idx="6">
                  <c:v>29850.979883414217</c:v>
                </c:pt>
                <c:pt idx="7">
                  <c:v>14925.489941707108</c:v>
                </c:pt>
                <c:pt idx="8">
                  <c:v>7462.7449708535542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B1A-BEED-C11347EBCAE1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'1'!$F$49:$F$57</c:f>
              <c:numCache>
                <c:formatCode>_-"$"\ * #,##0_-;\-"$"\ * #,##0_-;_-"$"\ * "-"??_-;_-@_-</c:formatCode>
                <c:ptCount val="9"/>
                <c:pt idx="0">
                  <c:v>7462.7449708535532</c:v>
                </c:pt>
                <c:pt idx="1">
                  <c:v>14925.489941707106</c:v>
                </c:pt>
                <c:pt idx="2">
                  <c:v>29850.979883414213</c:v>
                </c:pt>
                <c:pt idx="3">
                  <c:v>59701.959766828426</c:v>
                </c:pt>
                <c:pt idx="4">
                  <c:v>119403.91953365685</c:v>
                </c:pt>
                <c:pt idx="5">
                  <c:v>238807.8390673137</c:v>
                </c:pt>
                <c:pt idx="6">
                  <c:v>477615.67813462741</c:v>
                </c:pt>
                <c:pt idx="7">
                  <c:v>955231.35626925481</c:v>
                </c:pt>
                <c:pt idx="8">
                  <c:v>1910462.7125385096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19-4B1A-BEED-C11347EBCAE1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'1'!$H$49:$H$57</c:f>
              <c:numCache>
                <c:formatCode>_-"$"\ * #,##0_-;\-"$"\ * #,##0_-;_-"$"\ * "-"??_-;_-@_-</c:formatCode>
                <c:ptCount val="9"/>
                <c:pt idx="0">
                  <c:v>1917925.4575093633</c:v>
                </c:pt>
                <c:pt idx="1">
                  <c:v>970156.84621096205</c:v>
                </c:pt>
                <c:pt idx="2">
                  <c:v>507466.65801804169</c:v>
                </c:pt>
                <c:pt idx="3">
                  <c:v>298509.79883414216</c:v>
                </c:pt>
                <c:pt idx="4">
                  <c:v>238807.8390673137</c:v>
                </c:pt>
                <c:pt idx="5">
                  <c:v>298509.79883414216</c:v>
                </c:pt>
                <c:pt idx="6">
                  <c:v>507466.65801804163</c:v>
                </c:pt>
                <c:pt idx="7">
                  <c:v>970156.84621096193</c:v>
                </c:pt>
                <c:pt idx="8">
                  <c:v>1917925.4575093631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19-4B1A-BEED-C11347EBC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'10'!$B$49:$B$57</c:f>
              <c:numCache>
                <c:formatCode>0.00</c:formatCode>
                <c:ptCount val="9"/>
                <c:pt idx="0">
                  <c:v>213.95412402545551</c:v>
                </c:pt>
                <c:pt idx="1">
                  <c:v>427.90824805091103</c:v>
                </c:pt>
                <c:pt idx="2">
                  <c:v>855.81649610182205</c:v>
                </c:pt>
                <c:pt idx="3">
                  <c:v>1711.6329922036441</c:v>
                </c:pt>
                <c:pt idx="4" formatCode="0">
                  <c:v>3423.2659844072882</c:v>
                </c:pt>
                <c:pt idx="5">
                  <c:v>6846.5319688145764</c:v>
                </c:pt>
                <c:pt idx="6">
                  <c:v>13693.063937629153</c:v>
                </c:pt>
                <c:pt idx="7">
                  <c:v>27386.127875258306</c:v>
                </c:pt>
                <c:pt idx="8">
                  <c:v>54772.255750516611</c:v>
                </c:pt>
              </c:numCache>
            </c:numRef>
          </c:cat>
          <c:val>
            <c:numRef>
              <c:f>'10'!$D$49:$D$57</c:f>
              <c:numCache>
                <c:formatCode>_-"$"\ * #,##0_-;\-"$"\ * #,##0_-;_-"$"\ * "-"??_-;_-@_-</c:formatCode>
                <c:ptCount val="9"/>
                <c:pt idx="0">
                  <c:v>701084.87360661267</c:v>
                </c:pt>
                <c:pt idx="1">
                  <c:v>350542.43680330634</c:v>
                </c:pt>
                <c:pt idx="2">
                  <c:v>175271.21840165317</c:v>
                </c:pt>
                <c:pt idx="3">
                  <c:v>87635.609200826584</c:v>
                </c:pt>
                <c:pt idx="4">
                  <c:v>43817.804600413292</c:v>
                </c:pt>
                <c:pt idx="5">
                  <c:v>21908.902300206646</c:v>
                </c:pt>
                <c:pt idx="6">
                  <c:v>10954.451150103323</c:v>
                </c:pt>
                <c:pt idx="7">
                  <c:v>5477.2255750516615</c:v>
                </c:pt>
                <c:pt idx="8">
                  <c:v>2738.6127875258308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4-4E76-92A6-D1F0CA84D3A2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'10'!$F$49:$F$57</c:f>
              <c:numCache>
                <c:formatCode>_-"$"\ * #,##0_-;\-"$"\ * #,##0_-;_-"$"\ * "-"??_-;_-@_-</c:formatCode>
                <c:ptCount val="9"/>
                <c:pt idx="0">
                  <c:v>2738.6127875258308</c:v>
                </c:pt>
                <c:pt idx="1">
                  <c:v>5477.2255750516615</c:v>
                </c:pt>
                <c:pt idx="2">
                  <c:v>10954.451150103323</c:v>
                </c:pt>
                <c:pt idx="3">
                  <c:v>21908.902300206646</c:v>
                </c:pt>
                <c:pt idx="4">
                  <c:v>43817.804600413292</c:v>
                </c:pt>
                <c:pt idx="5">
                  <c:v>87635.609200826584</c:v>
                </c:pt>
                <c:pt idx="6">
                  <c:v>175271.21840165317</c:v>
                </c:pt>
                <c:pt idx="7">
                  <c:v>350542.43680330634</c:v>
                </c:pt>
                <c:pt idx="8">
                  <c:v>701084.87360661267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F4-4E76-92A6-D1F0CA84D3A2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'10'!$H$49:$H$57</c:f>
              <c:numCache>
                <c:formatCode>_-"$"\ * #,##0_-;\-"$"\ * #,##0_-;_-"$"\ * "-"??_-;_-@_-</c:formatCode>
                <c:ptCount val="9"/>
                <c:pt idx="0">
                  <c:v>703823.48639413854</c:v>
                </c:pt>
                <c:pt idx="1">
                  <c:v>356019.66237835801</c:v>
                </c:pt>
                <c:pt idx="2">
                  <c:v>186225.66955175649</c:v>
                </c:pt>
                <c:pt idx="3">
                  <c:v>109544.51150103324</c:v>
                </c:pt>
                <c:pt idx="4">
                  <c:v>87635.609200826584</c:v>
                </c:pt>
                <c:pt idx="5">
                  <c:v>109544.51150103324</c:v>
                </c:pt>
                <c:pt idx="6">
                  <c:v>186225.66955175649</c:v>
                </c:pt>
                <c:pt idx="7">
                  <c:v>356019.66237835801</c:v>
                </c:pt>
                <c:pt idx="8">
                  <c:v>703823.48639413854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F4-4E76-92A6-D1F0CA84D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'11'!$B$49:$B$57</c:f>
              <c:numCache>
                <c:formatCode>0.00</c:formatCode>
                <c:ptCount val="9"/>
                <c:pt idx="0">
                  <c:v>3.765663633775556</c:v>
                </c:pt>
                <c:pt idx="1">
                  <c:v>7.531327267551112</c:v>
                </c:pt>
                <c:pt idx="2">
                  <c:v>15.062654535102224</c:v>
                </c:pt>
                <c:pt idx="3">
                  <c:v>30.125309070204448</c:v>
                </c:pt>
                <c:pt idx="4" formatCode="0">
                  <c:v>60.250618140408896</c:v>
                </c:pt>
                <c:pt idx="5">
                  <c:v>120.50123628081779</c:v>
                </c:pt>
                <c:pt idx="6">
                  <c:v>241.00247256163559</c:v>
                </c:pt>
                <c:pt idx="7">
                  <c:v>482.00494512327117</c:v>
                </c:pt>
                <c:pt idx="8">
                  <c:v>964.00989024654234</c:v>
                </c:pt>
              </c:numCache>
            </c:numRef>
          </c:cat>
          <c:val>
            <c:numRef>
              <c:f>'11'!$D$49:$D$57</c:f>
              <c:numCache>
                <c:formatCode>_-"$"\ * #,##0_-;\-"$"\ * #,##0_-;_-"$"\ * "-"??_-;_-@_-</c:formatCode>
                <c:ptCount val="9"/>
                <c:pt idx="0">
                  <c:v>1407454.439759952</c:v>
                </c:pt>
                <c:pt idx="1">
                  <c:v>703727.21987997601</c:v>
                </c:pt>
                <c:pt idx="2">
                  <c:v>351863.609939988</c:v>
                </c:pt>
                <c:pt idx="3">
                  <c:v>175931.804969994</c:v>
                </c:pt>
                <c:pt idx="4">
                  <c:v>87965.902484997001</c:v>
                </c:pt>
                <c:pt idx="5">
                  <c:v>43982.951242498501</c:v>
                </c:pt>
                <c:pt idx="6">
                  <c:v>21991.47562124925</c:v>
                </c:pt>
                <c:pt idx="7">
                  <c:v>10995.737810624625</c:v>
                </c:pt>
                <c:pt idx="8">
                  <c:v>5497.8689053123126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C-4709-88B7-4373CF0CFAEB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'11'!$F$49:$F$57</c:f>
              <c:numCache>
                <c:formatCode>_-"$"\ * #,##0_-;\-"$"\ * #,##0_-;_-"$"\ * "-"??_-;_-@_-</c:formatCode>
                <c:ptCount val="9"/>
                <c:pt idx="0">
                  <c:v>5497.8689053123117</c:v>
                </c:pt>
                <c:pt idx="1">
                  <c:v>10995.737810624623</c:v>
                </c:pt>
                <c:pt idx="2">
                  <c:v>21991.475621249247</c:v>
                </c:pt>
                <c:pt idx="3">
                  <c:v>43982.951242498493</c:v>
                </c:pt>
                <c:pt idx="4">
                  <c:v>87965.902484996986</c:v>
                </c:pt>
                <c:pt idx="5">
                  <c:v>175931.80496999397</c:v>
                </c:pt>
                <c:pt idx="6">
                  <c:v>351863.60993998795</c:v>
                </c:pt>
                <c:pt idx="7">
                  <c:v>703727.21987997589</c:v>
                </c:pt>
                <c:pt idx="8">
                  <c:v>1407454.4397599518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8C-4709-88B7-4373CF0CFAEB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'11'!$H$49:$H$57</c:f>
              <c:numCache>
                <c:formatCode>_-"$"\ * #,##0_-;\-"$"\ * #,##0_-;_-"$"\ * "-"??_-;_-@_-</c:formatCode>
                <c:ptCount val="9"/>
                <c:pt idx="0">
                  <c:v>1412952.3086652644</c:v>
                </c:pt>
                <c:pt idx="1">
                  <c:v>714722.95769060066</c:v>
                </c:pt>
                <c:pt idx="2">
                  <c:v>373855.08556123724</c:v>
                </c:pt>
                <c:pt idx="3">
                  <c:v>219914.7562124925</c:v>
                </c:pt>
                <c:pt idx="4">
                  <c:v>175931.804969994</c:v>
                </c:pt>
                <c:pt idx="5">
                  <c:v>219914.75621249247</c:v>
                </c:pt>
                <c:pt idx="6">
                  <c:v>373855.08556123718</c:v>
                </c:pt>
                <c:pt idx="7">
                  <c:v>714722.95769060054</c:v>
                </c:pt>
                <c:pt idx="8">
                  <c:v>1412952.3086652642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8C-4709-88B7-4373CF0CF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'12'!$B$49:$B$57</c:f>
              <c:numCache>
                <c:formatCode>0.00</c:formatCode>
                <c:ptCount val="9"/>
                <c:pt idx="0">
                  <c:v>18.649255315567608</c:v>
                </c:pt>
                <c:pt idx="1">
                  <c:v>37.298510631135215</c:v>
                </c:pt>
                <c:pt idx="2">
                  <c:v>74.597021262270431</c:v>
                </c:pt>
                <c:pt idx="3">
                  <c:v>149.19404252454086</c:v>
                </c:pt>
                <c:pt idx="4" formatCode="0">
                  <c:v>298.38808504908172</c:v>
                </c:pt>
                <c:pt idx="5">
                  <c:v>596.77617009816345</c:v>
                </c:pt>
                <c:pt idx="6">
                  <c:v>1193.5523401963269</c:v>
                </c:pt>
                <c:pt idx="7">
                  <c:v>2387.1046803926538</c:v>
                </c:pt>
                <c:pt idx="8">
                  <c:v>4774.2093607853076</c:v>
                </c:pt>
              </c:numCache>
            </c:numRef>
          </c:cat>
          <c:val>
            <c:numRef>
              <c:f>'12'!$D$49:$D$57</c:f>
              <c:numCache>
                <c:formatCode>_-"$"\ * #,##0_-;\-"$"\ * #,##0_-;_-"$"\ * "-"??_-;_-@_-</c:formatCode>
                <c:ptCount val="9"/>
                <c:pt idx="0">
                  <c:v>1447778.9886581446</c:v>
                </c:pt>
                <c:pt idx="1">
                  <c:v>723889.4943290723</c:v>
                </c:pt>
                <c:pt idx="2">
                  <c:v>361944.74716453615</c:v>
                </c:pt>
                <c:pt idx="3">
                  <c:v>180972.37358226808</c:v>
                </c:pt>
                <c:pt idx="4">
                  <c:v>90486.186791134038</c:v>
                </c:pt>
                <c:pt idx="5">
                  <c:v>45243.093395567019</c:v>
                </c:pt>
                <c:pt idx="6">
                  <c:v>22621.546697783509</c:v>
                </c:pt>
                <c:pt idx="7">
                  <c:v>11310.773348891755</c:v>
                </c:pt>
                <c:pt idx="8">
                  <c:v>5655.3866744458774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AE-49D6-88D6-03B18F26BE73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'12'!$F$49:$F$57</c:f>
              <c:numCache>
                <c:formatCode>_-"$"\ * #,##0_-;\-"$"\ * #,##0_-;_-"$"\ * "-"??_-;_-@_-</c:formatCode>
                <c:ptCount val="9"/>
                <c:pt idx="0">
                  <c:v>5655.3866744458774</c:v>
                </c:pt>
                <c:pt idx="1">
                  <c:v>11310.773348891755</c:v>
                </c:pt>
                <c:pt idx="2">
                  <c:v>22621.546697783509</c:v>
                </c:pt>
                <c:pt idx="3">
                  <c:v>45243.093395567019</c:v>
                </c:pt>
                <c:pt idx="4">
                  <c:v>90486.186791134038</c:v>
                </c:pt>
                <c:pt idx="5">
                  <c:v>180972.37358226808</c:v>
                </c:pt>
                <c:pt idx="6">
                  <c:v>361944.74716453615</c:v>
                </c:pt>
                <c:pt idx="7">
                  <c:v>723889.4943290723</c:v>
                </c:pt>
                <c:pt idx="8">
                  <c:v>1447778.9886581446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AE-49D6-88D6-03B18F26BE73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'12'!$H$49:$H$57</c:f>
              <c:numCache>
                <c:formatCode>_-"$"\ * #,##0_-;\-"$"\ * #,##0_-;_-"$"\ * "-"??_-;_-@_-</c:formatCode>
                <c:ptCount val="9"/>
                <c:pt idx="0">
                  <c:v>1453434.3753325904</c:v>
                </c:pt>
                <c:pt idx="1">
                  <c:v>735200.26767796406</c:v>
                </c:pt>
                <c:pt idx="2">
                  <c:v>384566.29386231967</c:v>
                </c:pt>
                <c:pt idx="3">
                  <c:v>226215.46697783511</c:v>
                </c:pt>
                <c:pt idx="4">
                  <c:v>180972.37358226808</c:v>
                </c:pt>
                <c:pt idx="5">
                  <c:v>226215.46697783511</c:v>
                </c:pt>
                <c:pt idx="6">
                  <c:v>384566.29386231967</c:v>
                </c:pt>
                <c:pt idx="7">
                  <c:v>735200.26767796406</c:v>
                </c:pt>
                <c:pt idx="8">
                  <c:v>1453434.3753325904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AE-49D6-88D6-03B18F26B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'13'!$B$49:$B$57</c:f>
              <c:numCache>
                <c:formatCode>0.00</c:formatCode>
                <c:ptCount val="9"/>
                <c:pt idx="0">
                  <c:v>0.99402251078505122</c:v>
                </c:pt>
                <c:pt idx="1">
                  <c:v>1.9880450215701024</c:v>
                </c:pt>
                <c:pt idx="2">
                  <c:v>3.9760900431402049</c:v>
                </c:pt>
                <c:pt idx="3">
                  <c:v>7.9521800862804097</c:v>
                </c:pt>
                <c:pt idx="4" formatCode="0">
                  <c:v>15.904360172560819</c:v>
                </c:pt>
                <c:pt idx="5">
                  <c:v>31.808720345121639</c:v>
                </c:pt>
                <c:pt idx="6">
                  <c:v>63.617440690243278</c:v>
                </c:pt>
                <c:pt idx="7">
                  <c:v>127.23488138048656</c:v>
                </c:pt>
                <c:pt idx="8">
                  <c:v>254.46976276097311</c:v>
                </c:pt>
              </c:numCache>
            </c:numRef>
          </c:cat>
          <c:val>
            <c:numRef>
              <c:f>'13'!$D$49:$D$57</c:f>
              <c:numCache>
                <c:formatCode>_-"$"\ * #,##0_-;\-"$"\ * #,##0_-;_-"$"\ * "-"??_-;_-@_-</c:formatCode>
                <c:ptCount val="9"/>
                <c:pt idx="0">
                  <c:v>1327937.7334800002</c:v>
                </c:pt>
                <c:pt idx="1">
                  <c:v>663968.86674000008</c:v>
                </c:pt>
                <c:pt idx="2">
                  <c:v>331984.43337000004</c:v>
                </c:pt>
                <c:pt idx="3">
                  <c:v>165992.21668500002</c:v>
                </c:pt>
                <c:pt idx="4">
                  <c:v>82996.108342500011</c:v>
                </c:pt>
                <c:pt idx="5">
                  <c:v>41498.054171250005</c:v>
                </c:pt>
                <c:pt idx="6">
                  <c:v>20749.027085625003</c:v>
                </c:pt>
                <c:pt idx="7">
                  <c:v>10374.513542812501</c:v>
                </c:pt>
                <c:pt idx="8">
                  <c:v>5187.2567714062507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5-4A46-97CD-D67E32187F8D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'13'!$F$49:$F$57</c:f>
              <c:numCache>
                <c:formatCode>_-"$"\ * #,##0_-;\-"$"\ * #,##0_-;_-"$"\ * "-"??_-;_-@_-</c:formatCode>
                <c:ptCount val="9"/>
                <c:pt idx="0">
                  <c:v>5187.2567714062516</c:v>
                </c:pt>
                <c:pt idx="1">
                  <c:v>10374.513542812503</c:v>
                </c:pt>
                <c:pt idx="2">
                  <c:v>20749.027085625006</c:v>
                </c:pt>
                <c:pt idx="3">
                  <c:v>41498.054171250013</c:v>
                </c:pt>
                <c:pt idx="4">
                  <c:v>82996.108342500025</c:v>
                </c:pt>
                <c:pt idx="5">
                  <c:v>165992.21668500005</c:v>
                </c:pt>
                <c:pt idx="6">
                  <c:v>331984.4333700001</c:v>
                </c:pt>
                <c:pt idx="7">
                  <c:v>663968.8667400002</c:v>
                </c:pt>
                <c:pt idx="8">
                  <c:v>1327937.7334800004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5-4A46-97CD-D67E32187F8D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'13'!$H$49:$H$57</c:f>
              <c:numCache>
                <c:formatCode>_-"$"\ * #,##0_-;\-"$"\ * #,##0_-;_-"$"\ * "-"??_-;_-@_-</c:formatCode>
                <c:ptCount val="9"/>
                <c:pt idx="0">
                  <c:v>1333124.9902514063</c:v>
                </c:pt>
                <c:pt idx="1">
                  <c:v>674343.38028281264</c:v>
                </c:pt>
                <c:pt idx="2">
                  <c:v>352733.46045562503</c:v>
                </c:pt>
                <c:pt idx="3">
                  <c:v>207490.27085625002</c:v>
                </c:pt>
                <c:pt idx="4">
                  <c:v>165992.21668500005</c:v>
                </c:pt>
                <c:pt idx="5">
                  <c:v>207490.27085625005</c:v>
                </c:pt>
                <c:pt idx="6">
                  <c:v>352733.46045562509</c:v>
                </c:pt>
                <c:pt idx="7">
                  <c:v>674343.38028281275</c:v>
                </c:pt>
                <c:pt idx="8">
                  <c:v>1333124.9902514066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95-4A46-97CD-D67E32187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'14'!$B$49:$B$57</c:f>
              <c:numCache>
                <c:formatCode>0.00</c:formatCode>
                <c:ptCount val="9"/>
                <c:pt idx="0">
                  <c:v>1.3617384913761303</c:v>
                </c:pt>
                <c:pt idx="1">
                  <c:v>2.7234769827522607</c:v>
                </c:pt>
                <c:pt idx="2">
                  <c:v>5.4469539655045214</c:v>
                </c:pt>
                <c:pt idx="3">
                  <c:v>10.893907931009043</c:v>
                </c:pt>
                <c:pt idx="4" formatCode="0">
                  <c:v>21.787815862018086</c:v>
                </c:pt>
                <c:pt idx="5">
                  <c:v>43.575631724036171</c:v>
                </c:pt>
                <c:pt idx="6">
                  <c:v>87.151263448072342</c:v>
                </c:pt>
                <c:pt idx="7">
                  <c:v>174.30252689614468</c:v>
                </c:pt>
                <c:pt idx="8">
                  <c:v>348.60505379228937</c:v>
                </c:pt>
              </c:numCache>
            </c:numRef>
          </c:cat>
          <c:val>
            <c:numRef>
              <c:f>'14'!$D$49:$D$57</c:f>
              <c:numCache>
                <c:formatCode>_-"$"\ * #,##0_-;\-"$"\ * #,##0_-;_-"$"\ * "-"??_-;_-@_-</c:formatCode>
                <c:ptCount val="9"/>
                <c:pt idx="0">
                  <c:v>1086845.9762082207</c:v>
                </c:pt>
                <c:pt idx="1">
                  <c:v>543422.98810411035</c:v>
                </c:pt>
                <c:pt idx="2">
                  <c:v>271711.49405205518</c:v>
                </c:pt>
                <c:pt idx="3">
                  <c:v>135855.74702602759</c:v>
                </c:pt>
                <c:pt idx="4">
                  <c:v>67927.873513013794</c:v>
                </c:pt>
                <c:pt idx="5">
                  <c:v>33963.936756506897</c:v>
                </c:pt>
                <c:pt idx="6">
                  <c:v>16981.968378253448</c:v>
                </c:pt>
                <c:pt idx="7">
                  <c:v>8490.9841891267242</c:v>
                </c:pt>
                <c:pt idx="8">
                  <c:v>4245.4920945633621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1-4E8F-81C3-CEE070A754D8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'14'!$F$49:$F$57</c:f>
              <c:numCache>
                <c:formatCode>_-"$"\ * #,##0_-;\-"$"\ * #,##0_-;_-"$"\ * "-"??_-;_-@_-</c:formatCode>
                <c:ptCount val="9"/>
                <c:pt idx="0">
                  <c:v>4245.4920945633621</c:v>
                </c:pt>
                <c:pt idx="1">
                  <c:v>8490.9841891267242</c:v>
                </c:pt>
                <c:pt idx="2">
                  <c:v>16981.968378253448</c:v>
                </c:pt>
                <c:pt idx="3">
                  <c:v>33963.936756506897</c:v>
                </c:pt>
                <c:pt idx="4">
                  <c:v>67927.873513013794</c:v>
                </c:pt>
                <c:pt idx="5">
                  <c:v>135855.74702602759</c:v>
                </c:pt>
                <c:pt idx="6">
                  <c:v>271711.49405205518</c:v>
                </c:pt>
                <c:pt idx="7">
                  <c:v>543422.98810411035</c:v>
                </c:pt>
                <c:pt idx="8">
                  <c:v>1086845.9762082207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91-4E8F-81C3-CEE070A754D8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'14'!$H$49:$H$57</c:f>
              <c:numCache>
                <c:formatCode>_-"$"\ * #,##0_-;\-"$"\ * #,##0_-;_-"$"\ * "-"??_-;_-@_-</c:formatCode>
                <c:ptCount val="9"/>
                <c:pt idx="0">
                  <c:v>1091091.468302784</c:v>
                </c:pt>
                <c:pt idx="1">
                  <c:v>551913.97229323711</c:v>
                </c:pt>
                <c:pt idx="2">
                  <c:v>288693.46243030863</c:v>
                </c:pt>
                <c:pt idx="3">
                  <c:v>169819.6837825345</c:v>
                </c:pt>
                <c:pt idx="4">
                  <c:v>135855.74702602759</c:v>
                </c:pt>
                <c:pt idx="5">
                  <c:v>169819.6837825345</c:v>
                </c:pt>
                <c:pt idx="6">
                  <c:v>288693.46243030863</c:v>
                </c:pt>
                <c:pt idx="7">
                  <c:v>551913.97229323711</c:v>
                </c:pt>
                <c:pt idx="8">
                  <c:v>1091091.468302784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91-4E8F-81C3-CEE070A75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'15'!$B$49:$B$57</c:f>
              <c:numCache>
                <c:formatCode>0.00</c:formatCode>
                <c:ptCount val="9"/>
                <c:pt idx="0">
                  <c:v>8.4088739524328027</c:v>
                </c:pt>
                <c:pt idx="1">
                  <c:v>16.817747904865605</c:v>
                </c:pt>
                <c:pt idx="2">
                  <c:v>33.635495809731211</c:v>
                </c:pt>
                <c:pt idx="3">
                  <c:v>67.270991619462421</c:v>
                </c:pt>
                <c:pt idx="4" formatCode="0">
                  <c:v>134.54198323892484</c:v>
                </c:pt>
                <c:pt idx="5">
                  <c:v>269.08396647784969</c:v>
                </c:pt>
                <c:pt idx="6">
                  <c:v>538.16793295569937</c:v>
                </c:pt>
                <c:pt idx="7">
                  <c:v>1076.3358659113987</c:v>
                </c:pt>
                <c:pt idx="8">
                  <c:v>2152.6717318227975</c:v>
                </c:pt>
              </c:numCache>
            </c:numRef>
          </c:cat>
          <c:val>
            <c:numRef>
              <c:f>'15'!$D$49:$D$57</c:f>
              <c:numCache>
                <c:formatCode>_-"$"\ * #,##0_-;\-"$"\ * #,##0_-;_-"$"\ * "-"??_-;_-@_-</c:formatCode>
                <c:ptCount val="9"/>
                <c:pt idx="0">
                  <c:v>390064.11780629092</c:v>
                </c:pt>
                <c:pt idx="1">
                  <c:v>195032.05890314546</c:v>
                </c:pt>
                <c:pt idx="2">
                  <c:v>97516.029451572729</c:v>
                </c:pt>
                <c:pt idx="3">
                  <c:v>48758.014725786365</c:v>
                </c:pt>
                <c:pt idx="4">
                  <c:v>24379.007362893182</c:v>
                </c:pt>
                <c:pt idx="5">
                  <c:v>12189.503681446591</c:v>
                </c:pt>
                <c:pt idx="6">
                  <c:v>6094.7518407232956</c:v>
                </c:pt>
                <c:pt idx="7">
                  <c:v>3047.3759203616478</c:v>
                </c:pt>
                <c:pt idx="8">
                  <c:v>1523.6879601808239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C8-475B-868A-F58170B8FE35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'15'!$F$49:$F$57</c:f>
              <c:numCache>
                <c:formatCode>_-"$"\ * #,##0_-;\-"$"\ * #,##0_-;_-"$"\ * "-"??_-;_-@_-</c:formatCode>
                <c:ptCount val="9"/>
                <c:pt idx="0">
                  <c:v>1523.6879601808239</c:v>
                </c:pt>
                <c:pt idx="1">
                  <c:v>3047.3759203616478</c:v>
                </c:pt>
                <c:pt idx="2">
                  <c:v>6094.7518407232956</c:v>
                </c:pt>
                <c:pt idx="3">
                  <c:v>12189.503681446591</c:v>
                </c:pt>
                <c:pt idx="4">
                  <c:v>24379.007362893182</c:v>
                </c:pt>
                <c:pt idx="5">
                  <c:v>48758.014725786365</c:v>
                </c:pt>
                <c:pt idx="6">
                  <c:v>97516.029451572729</c:v>
                </c:pt>
                <c:pt idx="7">
                  <c:v>195032.05890314546</c:v>
                </c:pt>
                <c:pt idx="8">
                  <c:v>390064.11780629092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C8-475B-868A-F58170B8FE35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'15'!$H$49:$H$57</c:f>
              <c:numCache>
                <c:formatCode>_-"$"\ * #,##0_-;\-"$"\ * #,##0_-;_-"$"\ * "-"??_-;_-@_-</c:formatCode>
                <c:ptCount val="9"/>
                <c:pt idx="0">
                  <c:v>391587.80576647172</c:v>
                </c:pt>
                <c:pt idx="1">
                  <c:v>198079.43482350709</c:v>
                </c:pt>
                <c:pt idx="2">
                  <c:v>103610.78129229603</c:v>
                </c:pt>
                <c:pt idx="3">
                  <c:v>60947.518407232958</c:v>
                </c:pt>
                <c:pt idx="4">
                  <c:v>48758.014725786365</c:v>
                </c:pt>
                <c:pt idx="5">
                  <c:v>60947.518407232958</c:v>
                </c:pt>
                <c:pt idx="6">
                  <c:v>103610.78129229603</c:v>
                </c:pt>
                <c:pt idx="7">
                  <c:v>198079.43482350709</c:v>
                </c:pt>
                <c:pt idx="8">
                  <c:v>391587.80576647172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C8-475B-868A-F58170B8F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'16'!$B$49:$B$57</c:f>
              <c:numCache>
                <c:formatCode>0.00</c:formatCode>
                <c:ptCount val="9"/>
                <c:pt idx="0">
                  <c:v>0.89475574055552898</c:v>
                </c:pt>
                <c:pt idx="1">
                  <c:v>1.789511481111058</c:v>
                </c:pt>
                <c:pt idx="2">
                  <c:v>3.5790229622221159</c:v>
                </c:pt>
                <c:pt idx="3">
                  <c:v>7.1580459244442318</c:v>
                </c:pt>
                <c:pt idx="4" formatCode="0">
                  <c:v>14.316091848888464</c:v>
                </c:pt>
                <c:pt idx="5">
                  <c:v>28.632183697776927</c:v>
                </c:pt>
                <c:pt idx="6">
                  <c:v>57.264367395553855</c:v>
                </c:pt>
                <c:pt idx="7">
                  <c:v>114.52873479110771</c:v>
                </c:pt>
                <c:pt idx="8">
                  <c:v>229.05746958221542</c:v>
                </c:pt>
              </c:numCache>
            </c:numRef>
          </c:cat>
          <c:val>
            <c:numRef>
              <c:f>'16'!$D$49:$D$57</c:f>
              <c:numCache>
                <c:formatCode>_-"$"\ * #,##0_-;\-"$"\ * #,##0_-;_-"$"\ * "-"??_-;_-@_-</c:formatCode>
                <c:ptCount val="9"/>
                <c:pt idx="0">
                  <c:v>1229385.7978681875</c:v>
                </c:pt>
                <c:pt idx="1">
                  <c:v>614692.89893409377</c:v>
                </c:pt>
                <c:pt idx="2">
                  <c:v>307346.44946704688</c:v>
                </c:pt>
                <c:pt idx="3">
                  <c:v>153673.22473352344</c:v>
                </c:pt>
                <c:pt idx="4">
                  <c:v>76836.612366761721</c:v>
                </c:pt>
                <c:pt idx="5">
                  <c:v>38418.306183380861</c:v>
                </c:pt>
                <c:pt idx="6">
                  <c:v>19209.15309169043</c:v>
                </c:pt>
                <c:pt idx="7">
                  <c:v>9604.5765458452152</c:v>
                </c:pt>
                <c:pt idx="8">
                  <c:v>4802.2882729226076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F-4B1F-96D1-0E9BA254ED75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'16'!$F$49:$F$57</c:f>
              <c:numCache>
                <c:formatCode>_-"$"\ * #,##0_-;\-"$"\ * #,##0_-;_-"$"\ * "-"??_-;_-@_-</c:formatCode>
                <c:ptCount val="9"/>
                <c:pt idx="0">
                  <c:v>4802.2882729226076</c:v>
                </c:pt>
                <c:pt idx="1">
                  <c:v>9604.5765458452152</c:v>
                </c:pt>
                <c:pt idx="2">
                  <c:v>19209.15309169043</c:v>
                </c:pt>
                <c:pt idx="3">
                  <c:v>38418.306183380861</c:v>
                </c:pt>
                <c:pt idx="4">
                  <c:v>76836.612366761721</c:v>
                </c:pt>
                <c:pt idx="5">
                  <c:v>153673.22473352344</c:v>
                </c:pt>
                <c:pt idx="6">
                  <c:v>307346.44946704688</c:v>
                </c:pt>
                <c:pt idx="7">
                  <c:v>614692.89893409377</c:v>
                </c:pt>
                <c:pt idx="8">
                  <c:v>1229385.7978681875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F-4B1F-96D1-0E9BA254ED75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'16'!$H$49:$H$57</c:f>
              <c:numCache>
                <c:formatCode>_-"$"\ * #,##0_-;\-"$"\ * #,##0_-;_-"$"\ * "-"??_-;_-@_-</c:formatCode>
                <c:ptCount val="9"/>
                <c:pt idx="0">
                  <c:v>1234188.0861411102</c:v>
                </c:pt>
                <c:pt idx="1">
                  <c:v>624297.47547993902</c:v>
                </c:pt>
                <c:pt idx="2">
                  <c:v>326555.60255873733</c:v>
                </c:pt>
                <c:pt idx="3">
                  <c:v>192091.5309169043</c:v>
                </c:pt>
                <c:pt idx="4">
                  <c:v>153673.22473352344</c:v>
                </c:pt>
                <c:pt idx="5">
                  <c:v>192091.5309169043</c:v>
                </c:pt>
                <c:pt idx="6">
                  <c:v>326555.60255873733</c:v>
                </c:pt>
                <c:pt idx="7">
                  <c:v>624297.47547993902</c:v>
                </c:pt>
                <c:pt idx="8">
                  <c:v>1234188.0861411102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F-4B1F-96D1-0E9BA254E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'17'!$B$49:$B$57</c:f>
              <c:numCache>
                <c:formatCode>0.00</c:formatCode>
                <c:ptCount val="9"/>
                <c:pt idx="0">
                  <c:v>0.38921577520392214</c:v>
                </c:pt>
                <c:pt idx="1">
                  <c:v>0.77843155040784429</c:v>
                </c:pt>
                <c:pt idx="2">
                  <c:v>1.5568631008156886</c:v>
                </c:pt>
                <c:pt idx="3">
                  <c:v>3.1137262016313771</c:v>
                </c:pt>
                <c:pt idx="4" formatCode="0">
                  <c:v>6.2274524032627543</c:v>
                </c:pt>
                <c:pt idx="5">
                  <c:v>12.454904806525509</c:v>
                </c:pt>
                <c:pt idx="6">
                  <c:v>24.909809613051017</c:v>
                </c:pt>
                <c:pt idx="7">
                  <c:v>49.819619226102034</c:v>
                </c:pt>
                <c:pt idx="8">
                  <c:v>99.639238452204069</c:v>
                </c:pt>
              </c:numCache>
            </c:numRef>
          </c:cat>
          <c:val>
            <c:numRef>
              <c:f>'17'!$D$49:$D$57</c:f>
              <c:numCache>
                <c:formatCode>_-"$"\ * #,##0_-;\-"$"\ * #,##0_-;_-"$"\ * "-"??_-;_-@_-</c:formatCode>
                <c:ptCount val="9"/>
                <c:pt idx="0">
                  <c:v>359697.65081245662</c:v>
                </c:pt>
                <c:pt idx="1">
                  <c:v>179848.82540622831</c:v>
                </c:pt>
                <c:pt idx="2">
                  <c:v>89924.412703114154</c:v>
                </c:pt>
                <c:pt idx="3">
                  <c:v>44962.206351557077</c:v>
                </c:pt>
                <c:pt idx="4">
                  <c:v>22481.103175778539</c:v>
                </c:pt>
                <c:pt idx="5">
                  <c:v>11240.551587889269</c:v>
                </c:pt>
                <c:pt idx="6">
                  <c:v>5620.2757939446346</c:v>
                </c:pt>
                <c:pt idx="7">
                  <c:v>2810.1378969723173</c:v>
                </c:pt>
                <c:pt idx="8">
                  <c:v>1405.0689484861587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B-4BC0-8540-2E013AFA9850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'17'!$F$49:$F$57</c:f>
              <c:numCache>
                <c:formatCode>_-"$"\ * #,##0_-;\-"$"\ * #,##0_-;_-"$"\ * "-"??_-;_-@_-</c:formatCode>
                <c:ptCount val="9"/>
                <c:pt idx="0">
                  <c:v>1405.0689484861589</c:v>
                </c:pt>
                <c:pt idx="1">
                  <c:v>2810.1378969723178</c:v>
                </c:pt>
                <c:pt idx="2">
                  <c:v>5620.2757939446356</c:v>
                </c:pt>
                <c:pt idx="3">
                  <c:v>11240.551587889271</c:v>
                </c:pt>
                <c:pt idx="4">
                  <c:v>22481.103175778542</c:v>
                </c:pt>
                <c:pt idx="5">
                  <c:v>44962.206351557084</c:v>
                </c:pt>
                <c:pt idx="6">
                  <c:v>89924.412703114169</c:v>
                </c:pt>
                <c:pt idx="7">
                  <c:v>179848.82540622834</c:v>
                </c:pt>
                <c:pt idx="8">
                  <c:v>359697.65081245668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B-4BC0-8540-2E013AFA9850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'17'!$H$49:$H$57</c:f>
              <c:numCache>
                <c:formatCode>_-"$"\ * #,##0_-;\-"$"\ * #,##0_-;_-"$"\ * "-"??_-;_-@_-</c:formatCode>
                <c:ptCount val="9"/>
                <c:pt idx="0">
                  <c:v>361102.7197609428</c:v>
                </c:pt>
                <c:pt idx="1">
                  <c:v>182658.96330320064</c:v>
                </c:pt>
                <c:pt idx="2">
                  <c:v>95544.688497058785</c:v>
                </c:pt>
                <c:pt idx="3">
                  <c:v>56202.757939446346</c:v>
                </c:pt>
                <c:pt idx="4">
                  <c:v>44962.206351557077</c:v>
                </c:pt>
                <c:pt idx="5">
                  <c:v>56202.757939446354</c:v>
                </c:pt>
                <c:pt idx="6">
                  <c:v>95544.6884970588</c:v>
                </c:pt>
                <c:pt idx="7">
                  <c:v>182658.96330320067</c:v>
                </c:pt>
                <c:pt idx="8">
                  <c:v>361102.71976094285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B-4BC0-8540-2E013AFA9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'18'!$B$49:$B$57</c:f>
              <c:numCache>
                <c:formatCode>0.00</c:formatCode>
                <c:ptCount val="9"/>
                <c:pt idx="0">
                  <c:v>0.83515213602735938</c:v>
                </c:pt>
                <c:pt idx="1">
                  <c:v>1.6703042720547188</c:v>
                </c:pt>
                <c:pt idx="2">
                  <c:v>3.3406085441094375</c:v>
                </c:pt>
                <c:pt idx="3">
                  <c:v>6.6812170882188751</c:v>
                </c:pt>
                <c:pt idx="4" formatCode="0">
                  <c:v>13.36243417643775</c:v>
                </c:pt>
                <c:pt idx="5">
                  <c:v>26.7248683528755</c:v>
                </c:pt>
                <c:pt idx="6">
                  <c:v>53.449736705751</c:v>
                </c:pt>
                <c:pt idx="7">
                  <c:v>106.899473411502</c:v>
                </c:pt>
                <c:pt idx="8">
                  <c:v>213.798946823004</c:v>
                </c:pt>
              </c:numCache>
            </c:numRef>
          </c:cat>
          <c:val>
            <c:numRef>
              <c:f>'18'!$D$49:$D$57</c:f>
              <c:numCache>
                <c:formatCode>_-"$"\ * #,##0_-;\-"$"\ * #,##0_-;_-"$"\ * "-"??_-;_-@_-</c:formatCode>
                <c:ptCount val="9"/>
                <c:pt idx="0">
                  <c:v>910013.83725743426</c:v>
                </c:pt>
                <c:pt idx="1">
                  <c:v>455006.91862871713</c:v>
                </c:pt>
                <c:pt idx="2">
                  <c:v>227503.45931435857</c:v>
                </c:pt>
                <c:pt idx="3">
                  <c:v>113751.72965717928</c:v>
                </c:pt>
                <c:pt idx="4">
                  <c:v>56875.864828589642</c:v>
                </c:pt>
                <c:pt idx="5">
                  <c:v>28437.932414294821</c:v>
                </c:pt>
                <c:pt idx="6">
                  <c:v>14218.96620714741</c:v>
                </c:pt>
                <c:pt idx="7">
                  <c:v>7109.4831035737052</c:v>
                </c:pt>
                <c:pt idx="8">
                  <c:v>3554.7415517868526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AE-4A70-A338-17BF5696B658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'18'!$F$49:$F$57</c:f>
              <c:numCache>
                <c:formatCode>_-"$"\ * #,##0_-;\-"$"\ * #,##0_-;_-"$"\ * "-"??_-;_-@_-</c:formatCode>
                <c:ptCount val="9"/>
                <c:pt idx="0">
                  <c:v>3554.7415517868531</c:v>
                </c:pt>
                <c:pt idx="1">
                  <c:v>7109.4831035737061</c:v>
                </c:pt>
                <c:pt idx="2">
                  <c:v>14218.966207147412</c:v>
                </c:pt>
                <c:pt idx="3">
                  <c:v>28437.932414294824</c:v>
                </c:pt>
                <c:pt idx="4">
                  <c:v>56875.864828589649</c:v>
                </c:pt>
                <c:pt idx="5">
                  <c:v>113751.7296571793</c:v>
                </c:pt>
                <c:pt idx="6">
                  <c:v>227503.4593143586</c:v>
                </c:pt>
                <c:pt idx="7">
                  <c:v>455006.91862871719</c:v>
                </c:pt>
                <c:pt idx="8">
                  <c:v>910013.83725743438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AE-4A70-A338-17BF5696B658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'18'!$H$49:$H$57</c:f>
              <c:numCache>
                <c:formatCode>_-"$"\ * #,##0_-;\-"$"\ * #,##0_-;_-"$"\ * "-"??_-;_-@_-</c:formatCode>
                <c:ptCount val="9"/>
                <c:pt idx="0">
                  <c:v>913568.57880922116</c:v>
                </c:pt>
                <c:pt idx="1">
                  <c:v>462116.40173229086</c:v>
                </c:pt>
                <c:pt idx="2">
                  <c:v>241722.42552150597</c:v>
                </c:pt>
                <c:pt idx="3">
                  <c:v>142189.6620714741</c:v>
                </c:pt>
                <c:pt idx="4">
                  <c:v>113751.7296571793</c:v>
                </c:pt>
                <c:pt idx="5">
                  <c:v>142189.66207147413</c:v>
                </c:pt>
                <c:pt idx="6">
                  <c:v>241722.425521506</c:v>
                </c:pt>
                <c:pt idx="7">
                  <c:v>462116.40173229092</c:v>
                </c:pt>
                <c:pt idx="8">
                  <c:v>913568.57880922128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AE-4A70-A338-17BF5696B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'19'!$B$49:$B$57</c:f>
              <c:numCache>
                <c:formatCode>0.00</c:formatCode>
                <c:ptCount val="9"/>
                <c:pt idx="0">
                  <c:v>2.0963104534235284</c:v>
                </c:pt>
                <c:pt idx="1">
                  <c:v>4.1926209068470568</c:v>
                </c:pt>
                <c:pt idx="2">
                  <c:v>8.3852418136941136</c:v>
                </c:pt>
                <c:pt idx="3">
                  <c:v>16.770483627388227</c:v>
                </c:pt>
                <c:pt idx="4" formatCode="0">
                  <c:v>33.540967254776454</c:v>
                </c:pt>
                <c:pt idx="5">
                  <c:v>67.081934509552909</c:v>
                </c:pt>
                <c:pt idx="6">
                  <c:v>134.16386901910582</c:v>
                </c:pt>
                <c:pt idx="7">
                  <c:v>268.32773803821163</c:v>
                </c:pt>
                <c:pt idx="8">
                  <c:v>536.65547607642327</c:v>
                </c:pt>
              </c:numCache>
            </c:numRef>
          </c:cat>
          <c:val>
            <c:numRef>
              <c:f>'19'!$D$49:$D$57</c:f>
              <c:numCache>
                <c:formatCode>_-"$"\ * #,##0_-;\-"$"\ * #,##0_-;_-"$"\ * "-"??_-;_-@_-</c:formatCode>
                <c:ptCount val="9"/>
                <c:pt idx="0">
                  <c:v>2862171.4833321921</c:v>
                </c:pt>
                <c:pt idx="1">
                  <c:v>1431085.741666096</c:v>
                </c:pt>
                <c:pt idx="2">
                  <c:v>715542.87083304801</c:v>
                </c:pt>
                <c:pt idx="3">
                  <c:v>357771.43541652401</c:v>
                </c:pt>
                <c:pt idx="4">
                  <c:v>178885.717708262</c:v>
                </c:pt>
                <c:pt idx="5">
                  <c:v>89442.858854131002</c:v>
                </c:pt>
                <c:pt idx="6">
                  <c:v>44721.429427065501</c:v>
                </c:pt>
                <c:pt idx="7">
                  <c:v>22360.71471353275</c:v>
                </c:pt>
                <c:pt idx="8">
                  <c:v>11180.357356766375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3-4625-A8BF-7B44501511D1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'19'!$F$49:$F$57</c:f>
              <c:numCache>
                <c:formatCode>_-"$"\ * #,##0_-;\-"$"\ * #,##0_-;_-"$"\ * "-"??_-;_-@_-</c:formatCode>
                <c:ptCount val="9"/>
                <c:pt idx="0">
                  <c:v>11180.357356766375</c:v>
                </c:pt>
                <c:pt idx="1">
                  <c:v>22360.71471353275</c:v>
                </c:pt>
                <c:pt idx="2">
                  <c:v>44721.429427065501</c:v>
                </c:pt>
                <c:pt idx="3">
                  <c:v>89442.858854131002</c:v>
                </c:pt>
                <c:pt idx="4">
                  <c:v>178885.717708262</c:v>
                </c:pt>
                <c:pt idx="5">
                  <c:v>357771.43541652401</c:v>
                </c:pt>
                <c:pt idx="6">
                  <c:v>715542.87083304801</c:v>
                </c:pt>
                <c:pt idx="7">
                  <c:v>1431085.741666096</c:v>
                </c:pt>
                <c:pt idx="8">
                  <c:v>2862171.4833321921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D3-4625-A8BF-7B44501511D1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'19'!$H$49:$H$57</c:f>
              <c:numCache>
                <c:formatCode>_-"$"\ * #,##0_-;\-"$"\ * #,##0_-;_-"$"\ * "-"??_-;_-@_-</c:formatCode>
                <c:ptCount val="9"/>
                <c:pt idx="0">
                  <c:v>2873351.8406889583</c:v>
                </c:pt>
                <c:pt idx="1">
                  <c:v>1453446.4563796287</c:v>
                </c:pt>
                <c:pt idx="2">
                  <c:v>760264.30026011355</c:v>
                </c:pt>
                <c:pt idx="3">
                  <c:v>447214.29427065502</c:v>
                </c:pt>
                <c:pt idx="4">
                  <c:v>357771.43541652401</c:v>
                </c:pt>
                <c:pt idx="5">
                  <c:v>447214.29427065502</c:v>
                </c:pt>
                <c:pt idx="6">
                  <c:v>760264.30026011355</c:v>
                </c:pt>
                <c:pt idx="7">
                  <c:v>1453446.4563796287</c:v>
                </c:pt>
                <c:pt idx="8">
                  <c:v>2873351.8406889583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D3-4625-A8BF-7B4450151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'2'!$B$49:$B$57</c:f>
              <c:numCache>
                <c:formatCode>0.00</c:formatCode>
                <c:ptCount val="9"/>
                <c:pt idx="0">
                  <c:v>7.9557293802432367</c:v>
                </c:pt>
                <c:pt idx="1">
                  <c:v>15.911458760486473</c:v>
                </c:pt>
                <c:pt idx="2">
                  <c:v>31.822917520972947</c:v>
                </c:pt>
                <c:pt idx="3">
                  <c:v>63.645835041945894</c:v>
                </c:pt>
                <c:pt idx="4" formatCode="0">
                  <c:v>127.29167008389179</c:v>
                </c:pt>
                <c:pt idx="5">
                  <c:v>254.58334016778358</c:v>
                </c:pt>
                <c:pt idx="6">
                  <c:v>509.16668033556715</c:v>
                </c:pt>
                <c:pt idx="7">
                  <c:v>1018.3333606711343</c:v>
                </c:pt>
                <c:pt idx="8">
                  <c:v>2036.6667213422686</c:v>
                </c:pt>
              </c:numCache>
            </c:numRef>
          </c:cat>
          <c:val>
            <c:numRef>
              <c:f>'2'!$D$49:$D$57</c:f>
              <c:numCache>
                <c:formatCode>_-"$"\ * #,##0_-;\-"$"\ * #,##0_-;_-"$"\ * "-"??_-;_-@_-</c:formatCode>
                <c:ptCount val="9"/>
                <c:pt idx="0">
                  <c:v>1940739.7187670479</c:v>
                </c:pt>
                <c:pt idx="1">
                  <c:v>970369.85938352393</c:v>
                </c:pt>
                <c:pt idx="2">
                  <c:v>485184.92969176196</c:v>
                </c:pt>
                <c:pt idx="3">
                  <c:v>242592.46484588098</c:v>
                </c:pt>
                <c:pt idx="4">
                  <c:v>121296.23242294049</c:v>
                </c:pt>
                <c:pt idx="5">
                  <c:v>60648.116211470246</c:v>
                </c:pt>
                <c:pt idx="6">
                  <c:v>30324.058105735123</c:v>
                </c:pt>
                <c:pt idx="7">
                  <c:v>15162.029052867561</c:v>
                </c:pt>
                <c:pt idx="8">
                  <c:v>7581.0145264337807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6E-4B6B-A3D3-BB74681BE04B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'2'!$F$49:$F$57</c:f>
              <c:numCache>
                <c:formatCode>_-"$"\ * #,##0_-;\-"$"\ * #,##0_-;_-"$"\ * "-"??_-;_-@_-</c:formatCode>
                <c:ptCount val="9"/>
                <c:pt idx="0">
                  <c:v>7581.0145264337807</c:v>
                </c:pt>
                <c:pt idx="1">
                  <c:v>15162.029052867561</c:v>
                </c:pt>
                <c:pt idx="2">
                  <c:v>30324.058105735123</c:v>
                </c:pt>
                <c:pt idx="3">
                  <c:v>60648.116211470246</c:v>
                </c:pt>
                <c:pt idx="4">
                  <c:v>121296.23242294049</c:v>
                </c:pt>
                <c:pt idx="5">
                  <c:v>242592.46484588098</c:v>
                </c:pt>
                <c:pt idx="6">
                  <c:v>485184.92969176196</c:v>
                </c:pt>
                <c:pt idx="7">
                  <c:v>970369.85938352393</c:v>
                </c:pt>
                <c:pt idx="8">
                  <c:v>1940739.7187670479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6E-4B6B-A3D3-BB74681BE04B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'2'!$H$49:$H$57</c:f>
              <c:numCache>
                <c:formatCode>_-"$"\ * #,##0_-;\-"$"\ * #,##0_-;_-"$"\ * "-"??_-;_-@_-</c:formatCode>
                <c:ptCount val="9"/>
                <c:pt idx="0">
                  <c:v>1948320.7332934816</c:v>
                </c:pt>
                <c:pt idx="1">
                  <c:v>985531.88843639148</c:v>
                </c:pt>
                <c:pt idx="2">
                  <c:v>515508.98779749707</c:v>
                </c:pt>
                <c:pt idx="3">
                  <c:v>303240.5810573512</c:v>
                </c:pt>
                <c:pt idx="4">
                  <c:v>242592.46484588098</c:v>
                </c:pt>
                <c:pt idx="5">
                  <c:v>303240.5810573512</c:v>
                </c:pt>
                <c:pt idx="6">
                  <c:v>515508.98779749707</c:v>
                </c:pt>
                <c:pt idx="7">
                  <c:v>985531.88843639148</c:v>
                </c:pt>
                <c:pt idx="8">
                  <c:v>1948320.7332934816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6E-4B6B-A3D3-BB74681BE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'20'!$B$49:$B$57</c:f>
              <c:numCache>
                <c:formatCode>0.00</c:formatCode>
                <c:ptCount val="9"/>
                <c:pt idx="0">
                  <c:v>0.3312333461095337</c:v>
                </c:pt>
                <c:pt idx="1">
                  <c:v>0.6624666922190674</c:v>
                </c:pt>
                <c:pt idx="2">
                  <c:v>1.3249333844381348</c:v>
                </c:pt>
                <c:pt idx="3">
                  <c:v>2.6498667688762696</c:v>
                </c:pt>
                <c:pt idx="4" formatCode="0">
                  <c:v>5.2997335377525392</c:v>
                </c:pt>
                <c:pt idx="5">
                  <c:v>10.599467075505078</c:v>
                </c:pt>
                <c:pt idx="6">
                  <c:v>21.198934151010157</c:v>
                </c:pt>
                <c:pt idx="7">
                  <c:v>42.397868302020314</c:v>
                </c:pt>
                <c:pt idx="8">
                  <c:v>84.795736604040627</c:v>
                </c:pt>
              </c:numCache>
            </c:numRef>
          </c:cat>
          <c:val>
            <c:numRef>
              <c:f>'20'!$D$49:$D$57</c:f>
              <c:numCache>
                <c:formatCode>_-"$"\ * #,##0_-;\-"$"\ * #,##0_-;_-"$"\ * "-"??_-;_-@_-</c:formatCode>
                <c:ptCount val="9"/>
                <c:pt idx="0">
                  <c:v>483043.15335174766</c:v>
                </c:pt>
                <c:pt idx="1">
                  <c:v>241521.57667587383</c:v>
                </c:pt>
                <c:pt idx="2">
                  <c:v>120760.78833793692</c:v>
                </c:pt>
                <c:pt idx="3">
                  <c:v>60380.394168968458</c:v>
                </c:pt>
                <c:pt idx="4">
                  <c:v>30190.197084484229</c:v>
                </c:pt>
                <c:pt idx="5">
                  <c:v>15095.098542242114</c:v>
                </c:pt>
                <c:pt idx="6">
                  <c:v>7547.5492711210572</c:v>
                </c:pt>
                <c:pt idx="7">
                  <c:v>3773.7746355605286</c:v>
                </c:pt>
                <c:pt idx="8">
                  <c:v>1886.8873177802643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8-4877-B759-F5594CF50A57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'20'!$F$49:$F$57</c:f>
              <c:numCache>
                <c:formatCode>_-"$"\ * #,##0_-;\-"$"\ * #,##0_-;_-"$"\ * "-"??_-;_-@_-</c:formatCode>
                <c:ptCount val="9"/>
                <c:pt idx="0">
                  <c:v>1886.8873177802643</c:v>
                </c:pt>
                <c:pt idx="1">
                  <c:v>3773.7746355605286</c:v>
                </c:pt>
                <c:pt idx="2">
                  <c:v>7547.5492711210572</c:v>
                </c:pt>
                <c:pt idx="3">
                  <c:v>15095.098542242114</c:v>
                </c:pt>
                <c:pt idx="4">
                  <c:v>30190.197084484229</c:v>
                </c:pt>
                <c:pt idx="5">
                  <c:v>60380.394168968458</c:v>
                </c:pt>
                <c:pt idx="6">
                  <c:v>120760.78833793692</c:v>
                </c:pt>
                <c:pt idx="7">
                  <c:v>241521.57667587383</c:v>
                </c:pt>
                <c:pt idx="8">
                  <c:v>483043.15335174766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8-4877-B759-F5594CF50A57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'20'!$H$49:$H$57</c:f>
              <c:numCache>
                <c:formatCode>_-"$"\ * #,##0_-;\-"$"\ * #,##0_-;_-"$"\ * "-"??_-;_-@_-</c:formatCode>
                <c:ptCount val="9"/>
                <c:pt idx="0">
                  <c:v>484930.04066952795</c:v>
                </c:pt>
                <c:pt idx="1">
                  <c:v>245295.35131143435</c:v>
                </c:pt>
                <c:pt idx="2">
                  <c:v>128308.33760905797</c:v>
                </c:pt>
                <c:pt idx="3">
                  <c:v>75475.492711210565</c:v>
                </c:pt>
                <c:pt idx="4">
                  <c:v>60380.394168968458</c:v>
                </c:pt>
                <c:pt idx="5">
                  <c:v>75475.492711210565</c:v>
                </c:pt>
                <c:pt idx="6">
                  <c:v>128308.33760905797</c:v>
                </c:pt>
                <c:pt idx="7">
                  <c:v>245295.35131143435</c:v>
                </c:pt>
                <c:pt idx="8">
                  <c:v>484930.04066952795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78-4877-B759-F5594CF50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'3'!$B$49:$B$57</c:f>
              <c:numCache>
                <c:formatCode>0.00</c:formatCode>
                <c:ptCount val="9"/>
                <c:pt idx="0">
                  <c:v>1.0257840114187835</c:v>
                </c:pt>
                <c:pt idx="1">
                  <c:v>2.051568022837567</c:v>
                </c:pt>
                <c:pt idx="2">
                  <c:v>4.103136045675134</c:v>
                </c:pt>
                <c:pt idx="3">
                  <c:v>8.206272091350268</c:v>
                </c:pt>
                <c:pt idx="4" formatCode="0">
                  <c:v>16.412544182700536</c:v>
                </c:pt>
                <c:pt idx="5">
                  <c:v>32.825088365401072</c:v>
                </c:pt>
                <c:pt idx="6">
                  <c:v>65.650176730802144</c:v>
                </c:pt>
                <c:pt idx="7">
                  <c:v>131.30035346160429</c:v>
                </c:pt>
                <c:pt idx="8">
                  <c:v>262.60070692320858</c:v>
                </c:pt>
              </c:numCache>
            </c:numRef>
          </c:cat>
          <c:val>
            <c:numRef>
              <c:f>'3'!$D$49:$D$57</c:f>
              <c:numCache>
                <c:formatCode>_-"$"\ * #,##0_-;\-"$"\ * #,##0_-;_-"$"\ * "-"??_-;_-@_-</c:formatCode>
                <c:ptCount val="9"/>
                <c:pt idx="0">
                  <c:v>311956.50978942559</c:v>
                </c:pt>
                <c:pt idx="1">
                  <c:v>155978.25489471279</c:v>
                </c:pt>
                <c:pt idx="2">
                  <c:v>77989.127447356397</c:v>
                </c:pt>
                <c:pt idx="3">
                  <c:v>38994.563723678199</c:v>
                </c:pt>
                <c:pt idx="4">
                  <c:v>19497.281861839099</c:v>
                </c:pt>
                <c:pt idx="5">
                  <c:v>9748.6409309195496</c:v>
                </c:pt>
                <c:pt idx="6">
                  <c:v>4874.3204654597748</c:v>
                </c:pt>
                <c:pt idx="7">
                  <c:v>2437.1602327298874</c:v>
                </c:pt>
                <c:pt idx="8">
                  <c:v>1218.5801163649437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91-4099-B470-5511CED38847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'3'!$F$49:$F$57</c:f>
              <c:numCache>
                <c:formatCode>_-"$"\ * #,##0_-;\-"$"\ * #,##0_-;_-"$"\ * "-"??_-;_-@_-</c:formatCode>
                <c:ptCount val="9"/>
                <c:pt idx="0">
                  <c:v>1218.5801163649439</c:v>
                </c:pt>
                <c:pt idx="1">
                  <c:v>2437.1602327298879</c:v>
                </c:pt>
                <c:pt idx="2">
                  <c:v>4874.3204654597757</c:v>
                </c:pt>
                <c:pt idx="3">
                  <c:v>9748.6409309195515</c:v>
                </c:pt>
                <c:pt idx="4">
                  <c:v>19497.281861839103</c:v>
                </c:pt>
                <c:pt idx="5">
                  <c:v>38994.563723678206</c:v>
                </c:pt>
                <c:pt idx="6">
                  <c:v>77989.127447356412</c:v>
                </c:pt>
                <c:pt idx="7">
                  <c:v>155978.25489471282</c:v>
                </c:pt>
                <c:pt idx="8">
                  <c:v>311956.50978942565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91-4099-B470-5511CED38847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'3'!$H$49:$H$57</c:f>
              <c:numCache>
                <c:formatCode>_-"$"\ * #,##0_-;\-"$"\ * #,##0_-;_-"$"\ * "-"??_-;_-@_-</c:formatCode>
                <c:ptCount val="9"/>
                <c:pt idx="0">
                  <c:v>313175.08990579052</c:v>
                </c:pt>
                <c:pt idx="1">
                  <c:v>158415.41512744268</c:v>
                </c:pt>
                <c:pt idx="2">
                  <c:v>82863.447912816177</c:v>
                </c:pt>
                <c:pt idx="3">
                  <c:v>48743.20465459775</c:v>
                </c:pt>
                <c:pt idx="4">
                  <c:v>38994.563723678206</c:v>
                </c:pt>
                <c:pt idx="5">
                  <c:v>48743.204654597757</c:v>
                </c:pt>
                <c:pt idx="6">
                  <c:v>82863.447912816191</c:v>
                </c:pt>
                <c:pt idx="7">
                  <c:v>158415.41512744271</c:v>
                </c:pt>
                <c:pt idx="8">
                  <c:v>313175.08990579058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91-4099-B470-5511CED38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'4'!$B$49:$B$57</c:f>
              <c:numCache>
                <c:formatCode>0.00</c:formatCode>
                <c:ptCount val="9"/>
                <c:pt idx="0">
                  <c:v>21.189484488150324</c:v>
                </c:pt>
                <c:pt idx="1">
                  <c:v>42.378968976300648</c:v>
                </c:pt>
                <c:pt idx="2">
                  <c:v>84.757937952601296</c:v>
                </c:pt>
                <c:pt idx="3">
                  <c:v>169.51587590520259</c:v>
                </c:pt>
                <c:pt idx="4" formatCode="0">
                  <c:v>339.03175181040518</c:v>
                </c:pt>
                <c:pt idx="5">
                  <c:v>678.06350362081037</c:v>
                </c:pt>
                <c:pt idx="6">
                  <c:v>1356.1270072416207</c:v>
                </c:pt>
                <c:pt idx="7">
                  <c:v>2712.2540144832415</c:v>
                </c:pt>
                <c:pt idx="8">
                  <c:v>5424.5080289664829</c:v>
                </c:pt>
              </c:numCache>
            </c:numRef>
          </c:cat>
          <c:val>
            <c:numRef>
              <c:f>'4'!$D$49:$D$57</c:f>
              <c:numCache>
                <c:formatCode>_-"$"\ * #,##0_-;\-"$"\ * #,##0_-;_-"$"\ * "-"??_-;_-@_-</c:formatCode>
                <c:ptCount val="9"/>
                <c:pt idx="0">
                  <c:v>637108.4680021134</c:v>
                </c:pt>
                <c:pt idx="1">
                  <c:v>318554.2340010567</c:v>
                </c:pt>
                <c:pt idx="2">
                  <c:v>159277.11700052835</c:v>
                </c:pt>
                <c:pt idx="3">
                  <c:v>79638.558500264175</c:v>
                </c:pt>
                <c:pt idx="4">
                  <c:v>39819.279250132087</c:v>
                </c:pt>
                <c:pt idx="5">
                  <c:v>19909.639625066044</c:v>
                </c:pt>
                <c:pt idx="6">
                  <c:v>9954.8198125330218</c:v>
                </c:pt>
                <c:pt idx="7">
                  <c:v>4977.4099062665109</c:v>
                </c:pt>
                <c:pt idx="8">
                  <c:v>2488.7049531332555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9-4053-85BF-7E67A4A2C45F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'4'!$F$49:$F$57</c:f>
              <c:numCache>
                <c:formatCode>_-"$"\ * #,##0_-;\-"$"\ * #,##0_-;_-"$"\ * "-"??_-;_-@_-</c:formatCode>
                <c:ptCount val="9"/>
                <c:pt idx="0">
                  <c:v>2488.7049531332555</c:v>
                </c:pt>
                <c:pt idx="1">
                  <c:v>4977.4099062665109</c:v>
                </c:pt>
                <c:pt idx="2">
                  <c:v>9954.8198125330218</c:v>
                </c:pt>
                <c:pt idx="3">
                  <c:v>19909.639625066044</c:v>
                </c:pt>
                <c:pt idx="4">
                  <c:v>39819.279250132087</c:v>
                </c:pt>
                <c:pt idx="5">
                  <c:v>79638.558500264175</c:v>
                </c:pt>
                <c:pt idx="6">
                  <c:v>159277.11700052835</c:v>
                </c:pt>
                <c:pt idx="7">
                  <c:v>318554.2340010567</c:v>
                </c:pt>
                <c:pt idx="8">
                  <c:v>637108.4680021134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49-4053-85BF-7E67A4A2C45F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'4'!$H$49:$H$57</c:f>
              <c:numCache>
                <c:formatCode>_-"$"\ * #,##0_-;\-"$"\ * #,##0_-;_-"$"\ * "-"??_-;_-@_-</c:formatCode>
                <c:ptCount val="9"/>
                <c:pt idx="0">
                  <c:v>639597.17295524664</c:v>
                </c:pt>
                <c:pt idx="1">
                  <c:v>323531.64390732319</c:v>
                </c:pt>
                <c:pt idx="2">
                  <c:v>169231.93681306136</c:v>
                </c:pt>
                <c:pt idx="3">
                  <c:v>99548.198125330222</c:v>
                </c:pt>
                <c:pt idx="4">
                  <c:v>79638.558500264175</c:v>
                </c:pt>
                <c:pt idx="5">
                  <c:v>99548.198125330222</c:v>
                </c:pt>
                <c:pt idx="6">
                  <c:v>169231.93681306136</c:v>
                </c:pt>
                <c:pt idx="7">
                  <c:v>323531.64390732319</c:v>
                </c:pt>
                <c:pt idx="8">
                  <c:v>639597.17295524664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49-4053-85BF-7E67A4A2C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'5'!$B$49:$B$57</c:f>
              <c:numCache>
                <c:formatCode>0.00</c:formatCode>
                <c:ptCount val="9"/>
                <c:pt idx="0">
                  <c:v>1.9209941334977803</c:v>
                </c:pt>
                <c:pt idx="1">
                  <c:v>3.8419882669955605</c:v>
                </c:pt>
                <c:pt idx="2">
                  <c:v>7.683976533991121</c:v>
                </c:pt>
                <c:pt idx="3">
                  <c:v>15.367953067982242</c:v>
                </c:pt>
                <c:pt idx="4" formatCode="0">
                  <c:v>30.735906135964484</c:v>
                </c:pt>
                <c:pt idx="5">
                  <c:v>61.471812271928968</c:v>
                </c:pt>
                <c:pt idx="6">
                  <c:v>122.94362454385794</c:v>
                </c:pt>
                <c:pt idx="7">
                  <c:v>245.88724908771587</c:v>
                </c:pt>
                <c:pt idx="8">
                  <c:v>491.77449817543175</c:v>
                </c:pt>
              </c:numCache>
            </c:numRef>
          </c:cat>
          <c:val>
            <c:numRef>
              <c:f>'5'!$D$49:$D$57</c:f>
              <c:numCache>
                <c:formatCode>_-"$"\ * #,##0_-;\-"$"\ * #,##0_-;_-"$"\ * "-"??_-;_-@_-</c:formatCode>
                <c:ptCount val="9"/>
                <c:pt idx="0">
                  <c:v>124935.31126146842</c:v>
                </c:pt>
                <c:pt idx="1">
                  <c:v>62467.655630734211</c:v>
                </c:pt>
                <c:pt idx="2">
                  <c:v>31233.827815367105</c:v>
                </c:pt>
                <c:pt idx="3">
                  <c:v>15616.913907683553</c:v>
                </c:pt>
                <c:pt idx="4">
                  <c:v>7808.4569538417763</c:v>
                </c:pt>
                <c:pt idx="5">
                  <c:v>3904.2284769208882</c:v>
                </c:pt>
                <c:pt idx="6">
                  <c:v>1952.1142384604441</c:v>
                </c:pt>
                <c:pt idx="7">
                  <c:v>976.05711923022204</c:v>
                </c:pt>
                <c:pt idx="8">
                  <c:v>488.02855961511102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1-4D1D-9D85-026BEC5F4570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'5'!$F$49:$F$57</c:f>
              <c:numCache>
                <c:formatCode>_-"$"\ * #,##0_-;\-"$"\ * #,##0_-;_-"$"\ * "-"??_-;_-@_-</c:formatCode>
                <c:ptCount val="9"/>
                <c:pt idx="0">
                  <c:v>488.02855961511108</c:v>
                </c:pt>
                <c:pt idx="1">
                  <c:v>976.05711923022216</c:v>
                </c:pt>
                <c:pt idx="2">
                  <c:v>1952.1142384604443</c:v>
                </c:pt>
                <c:pt idx="3">
                  <c:v>3904.2284769208886</c:v>
                </c:pt>
                <c:pt idx="4">
                  <c:v>7808.4569538417772</c:v>
                </c:pt>
                <c:pt idx="5">
                  <c:v>15616.913907683554</c:v>
                </c:pt>
                <c:pt idx="6">
                  <c:v>31233.827815367109</c:v>
                </c:pt>
                <c:pt idx="7">
                  <c:v>62467.655630734218</c:v>
                </c:pt>
                <c:pt idx="8">
                  <c:v>124935.31126146844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1-4D1D-9D85-026BEC5F4570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'5'!$H$49:$H$57</c:f>
              <c:numCache>
                <c:formatCode>_-"$"\ * #,##0_-;\-"$"\ * #,##0_-;_-"$"\ * "-"??_-;_-@_-</c:formatCode>
                <c:ptCount val="9"/>
                <c:pt idx="0">
                  <c:v>125423.33982108353</c:v>
                </c:pt>
                <c:pt idx="1">
                  <c:v>63443.712749964434</c:v>
                </c:pt>
                <c:pt idx="2">
                  <c:v>33185.942053827552</c:v>
                </c:pt>
                <c:pt idx="3">
                  <c:v>19521.142384604442</c:v>
                </c:pt>
                <c:pt idx="4">
                  <c:v>15616.913907683553</c:v>
                </c:pt>
                <c:pt idx="5">
                  <c:v>19521.142384604442</c:v>
                </c:pt>
                <c:pt idx="6">
                  <c:v>33185.942053827552</c:v>
                </c:pt>
                <c:pt idx="7">
                  <c:v>63443.712749964441</c:v>
                </c:pt>
                <c:pt idx="8">
                  <c:v>125423.33982108354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11-4D1D-9D85-026BEC5F4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'6'!$B$49:$B$57</c:f>
              <c:numCache>
                <c:formatCode>0.00</c:formatCode>
                <c:ptCount val="9"/>
                <c:pt idx="0">
                  <c:v>1.68468903827354</c:v>
                </c:pt>
                <c:pt idx="1">
                  <c:v>3.36937807654708</c:v>
                </c:pt>
                <c:pt idx="2">
                  <c:v>6.73875615309416</c:v>
                </c:pt>
                <c:pt idx="3">
                  <c:v>13.47751230618832</c:v>
                </c:pt>
                <c:pt idx="4" formatCode="0">
                  <c:v>26.95502461237664</c:v>
                </c:pt>
                <c:pt idx="5">
                  <c:v>53.91004922475328</c:v>
                </c:pt>
                <c:pt idx="6">
                  <c:v>107.82009844950656</c:v>
                </c:pt>
                <c:pt idx="7">
                  <c:v>215.64019689901312</c:v>
                </c:pt>
                <c:pt idx="8">
                  <c:v>431.28039379802624</c:v>
                </c:pt>
              </c:numCache>
            </c:numRef>
          </c:cat>
          <c:val>
            <c:numRef>
              <c:f>'6'!$D$49:$D$57</c:f>
              <c:numCache>
                <c:formatCode>_-"$"\ * #,##0_-;\-"$"\ * #,##0_-;_-"$"\ * "-"??_-;_-@_-</c:formatCode>
                <c:ptCount val="9"/>
                <c:pt idx="0">
                  <c:v>201817.6602777864</c:v>
                </c:pt>
                <c:pt idx="1">
                  <c:v>100908.8301388932</c:v>
                </c:pt>
                <c:pt idx="2">
                  <c:v>50454.415069446601</c:v>
                </c:pt>
                <c:pt idx="3">
                  <c:v>25227.2075347233</c:v>
                </c:pt>
                <c:pt idx="4">
                  <c:v>12613.60376736165</c:v>
                </c:pt>
                <c:pt idx="5">
                  <c:v>6306.8018836808251</c:v>
                </c:pt>
                <c:pt idx="6">
                  <c:v>3153.4009418404125</c:v>
                </c:pt>
                <c:pt idx="7">
                  <c:v>1576.7004709202063</c:v>
                </c:pt>
                <c:pt idx="8">
                  <c:v>788.35023546010314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B5-484D-8CC1-1694EC7DC766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'6'!$F$49:$F$57</c:f>
              <c:numCache>
                <c:formatCode>_-"$"\ * #,##0_-;\-"$"\ * #,##0_-;_-"$"\ * "-"??_-;_-@_-</c:formatCode>
                <c:ptCount val="9"/>
                <c:pt idx="0">
                  <c:v>788.35023546010314</c:v>
                </c:pt>
                <c:pt idx="1">
                  <c:v>1576.7004709202063</c:v>
                </c:pt>
                <c:pt idx="2">
                  <c:v>3153.4009418404125</c:v>
                </c:pt>
                <c:pt idx="3">
                  <c:v>6306.8018836808251</c:v>
                </c:pt>
                <c:pt idx="4">
                  <c:v>12613.60376736165</c:v>
                </c:pt>
                <c:pt idx="5">
                  <c:v>25227.2075347233</c:v>
                </c:pt>
                <c:pt idx="6">
                  <c:v>50454.415069446601</c:v>
                </c:pt>
                <c:pt idx="7">
                  <c:v>100908.8301388932</c:v>
                </c:pt>
                <c:pt idx="8">
                  <c:v>201817.6602777864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B5-484D-8CC1-1694EC7DC766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'6'!$H$49:$H$57</c:f>
              <c:numCache>
                <c:formatCode>_-"$"\ * #,##0_-;\-"$"\ * #,##0_-;_-"$"\ * "-"??_-;_-@_-</c:formatCode>
                <c:ptCount val="9"/>
                <c:pt idx="0">
                  <c:v>202606.0105132465</c:v>
                </c:pt>
                <c:pt idx="1">
                  <c:v>102485.5306098134</c:v>
                </c:pt>
                <c:pt idx="2">
                  <c:v>53607.81601128701</c:v>
                </c:pt>
                <c:pt idx="3">
                  <c:v>31534.009418404126</c:v>
                </c:pt>
                <c:pt idx="4">
                  <c:v>25227.2075347233</c:v>
                </c:pt>
                <c:pt idx="5">
                  <c:v>31534.009418404126</c:v>
                </c:pt>
                <c:pt idx="6">
                  <c:v>53607.81601128701</c:v>
                </c:pt>
                <c:pt idx="7">
                  <c:v>102485.5306098134</c:v>
                </c:pt>
                <c:pt idx="8">
                  <c:v>202606.0105132465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B5-484D-8CC1-1694EC7DC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'7'!$B$49:$B$57</c:f>
              <c:numCache>
                <c:formatCode>0.00</c:formatCode>
                <c:ptCount val="9"/>
                <c:pt idx="0">
                  <c:v>2.1619169203397464</c:v>
                </c:pt>
                <c:pt idx="1">
                  <c:v>4.3238338406794927</c:v>
                </c:pt>
                <c:pt idx="2">
                  <c:v>8.6476676813589854</c:v>
                </c:pt>
                <c:pt idx="3">
                  <c:v>17.295335362717971</c:v>
                </c:pt>
                <c:pt idx="4" formatCode="0">
                  <c:v>34.590670725435942</c:v>
                </c:pt>
                <c:pt idx="5">
                  <c:v>69.181341450871884</c:v>
                </c:pt>
                <c:pt idx="6">
                  <c:v>138.36268290174377</c:v>
                </c:pt>
                <c:pt idx="7">
                  <c:v>276.72536580348753</c:v>
                </c:pt>
                <c:pt idx="8">
                  <c:v>553.45073160697507</c:v>
                </c:pt>
              </c:numCache>
            </c:numRef>
          </c:cat>
          <c:val>
            <c:numRef>
              <c:f>'7'!$D$49:$D$57</c:f>
              <c:numCache>
                <c:formatCode>_-"$"\ * #,##0_-;\-"$"\ * #,##0_-;_-"$"\ * "-"??_-;_-@_-</c:formatCode>
                <c:ptCount val="9"/>
                <c:pt idx="0">
                  <c:v>212774.13376630162</c:v>
                </c:pt>
                <c:pt idx="1">
                  <c:v>106387.06688315081</c:v>
                </c:pt>
                <c:pt idx="2">
                  <c:v>53193.533441575404</c:v>
                </c:pt>
                <c:pt idx="3">
                  <c:v>26596.766720787702</c:v>
                </c:pt>
                <c:pt idx="4">
                  <c:v>13298.383360393851</c:v>
                </c:pt>
                <c:pt idx="5">
                  <c:v>6649.1916801969255</c:v>
                </c:pt>
                <c:pt idx="6">
                  <c:v>3324.5958400984628</c:v>
                </c:pt>
                <c:pt idx="7">
                  <c:v>1662.2979200492314</c:v>
                </c:pt>
                <c:pt idx="8">
                  <c:v>831.14896002461569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5-43E5-8D85-4C8B8F2635C0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'7'!$F$49:$F$57</c:f>
              <c:numCache>
                <c:formatCode>_-"$"\ * #,##0_-;\-"$"\ * #,##0_-;_-"$"\ * "-"??_-;_-@_-</c:formatCode>
                <c:ptCount val="9"/>
                <c:pt idx="0">
                  <c:v>831.14896002461558</c:v>
                </c:pt>
                <c:pt idx="1">
                  <c:v>1662.2979200492312</c:v>
                </c:pt>
                <c:pt idx="2">
                  <c:v>3324.5958400984623</c:v>
                </c:pt>
                <c:pt idx="3">
                  <c:v>6649.1916801969246</c:v>
                </c:pt>
                <c:pt idx="4">
                  <c:v>13298.383360393849</c:v>
                </c:pt>
                <c:pt idx="5">
                  <c:v>26596.766720787698</c:v>
                </c:pt>
                <c:pt idx="6">
                  <c:v>53193.533441575397</c:v>
                </c:pt>
                <c:pt idx="7">
                  <c:v>106387.06688315079</c:v>
                </c:pt>
                <c:pt idx="8">
                  <c:v>212774.13376630159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5-43E5-8D85-4C8B8F2635C0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'7'!$H$49:$H$57</c:f>
              <c:numCache>
                <c:formatCode>_-"$"\ * #,##0_-;\-"$"\ * #,##0_-;_-"$"\ * "-"??_-;_-@_-</c:formatCode>
                <c:ptCount val="9"/>
                <c:pt idx="0">
                  <c:v>213605.28272632623</c:v>
                </c:pt>
                <c:pt idx="1">
                  <c:v>108049.36480320003</c:v>
                </c:pt>
                <c:pt idx="2">
                  <c:v>56518.129281673864</c:v>
                </c:pt>
                <c:pt idx="3">
                  <c:v>33245.958400984629</c:v>
                </c:pt>
                <c:pt idx="4">
                  <c:v>26596.766720787702</c:v>
                </c:pt>
                <c:pt idx="5">
                  <c:v>33245.958400984622</c:v>
                </c:pt>
                <c:pt idx="6">
                  <c:v>56518.129281673857</c:v>
                </c:pt>
                <c:pt idx="7">
                  <c:v>108049.36480320002</c:v>
                </c:pt>
                <c:pt idx="8">
                  <c:v>213605.2827263262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15-43E5-8D85-4C8B8F263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'8'!$B$49:$B$57</c:f>
              <c:numCache>
                <c:formatCode>0.00</c:formatCode>
                <c:ptCount val="9"/>
                <c:pt idx="0">
                  <c:v>0.7024393586862705</c:v>
                </c:pt>
                <c:pt idx="1">
                  <c:v>1.404878717372541</c:v>
                </c:pt>
                <c:pt idx="2">
                  <c:v>2.809757434745082</c:v>
                </c:pt>
                <c:pt idx="3">
                  <c:v>5.619514869490164</c:v>
                </c:pt>
                <c:pt idx="4" formatCode="0">
                  <c:v>11.239029738980328</c:v>
                </c:pt>
                <c:pt idx="5">
                  <c:v>22.478059477960656</c:v>
                </c:pt>
                <c:pt idx="6">
                  <c:v>44.956118955921312</c:v>
                </c:pt>
                <c:pt idx="7">
                  <c:v>89.912237911842624</c:v>
                </c:pt>
                <c:pt idx="8">
                  <c:v>179.82447582368525</c:v>
                </c:pt>
              </c:numCache>
            </c:numRef>
          </c:cat>
          <c:val>
            <c:numRef>
              <c:f>'8'!$D$49:$D$57</c:f>
              <c:numCache>
                <c:formatCode>_-"$"\ * #,##0_-;\-"$"\ * #,##0_-;_-"$"\ * "-"??_-;_-@_-</c:formatCode>
                <c:ptCount val="9"/>
                <c:pt idx="0">
                  <c:v>85416.626016250491</c:v>
                </c:pt>
                <c:pt idx="1">
                  <c:v>42708.313008125246</c:v>
                </c:pt>
                <c:pt idx="2">
                  <c:v>21354.156504062623</c:v>
                </c:pt>
                <c:pt idx="3">
                  <c:v>10677.078252031311</c:v>
                </c:pt>
                <c:pt idx="4">
                  <c:v>5338.5391260156557</c:v>
                </c:pt>
                <c:pt idx="5">
                  <c:v>2669.2695630078279</c:v>
                </c:pt>
                <c:pt idx="6">
                  <c:v>1334.6347815039139</c:v>
                </c:pt>
                <c:pt idx="7">
                  <c:v>667.31739075195696</c:v>
                </c:pt>
                <c:pt idx="8">
                  <c:v>333.65869537597848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01-4ECD-A632-2E0BC1BDC5D3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'8'!$F$49:$F$57</c:f>
              <c:numCache>
                <c:formatCode>_-"$"\ * #,##0_-;\-"$"\ * #,##0_-;_-"$"\ * "-"??_-;_-@_-</c:formatCode>
                <c:ptCount val="9"/>
                <c:pt idx="0">
                  <c:v>333.65869537597848</c:v>
                </c:pt>
                <c:pt idx="1">
                  <c:v>667.31739075195696</c:v>
                </c:pt>
                <c:pt idx="2">
                  <c:v>1334.6347815039139</c:v>
                </c:pt>
                <c:pt idx="3">
                  <c:v>2669.2695630078279</c:v>
                </c:pt>
                <c:pt idx="4">
                  <c:v>5338.5391260156557</c:v>
                </c:pt>
                <c:pt idx="5">
                  <c:v>10677.078252031311</c:v>
                </c:pt>
                <c:pt idx="6">
                  <c:v>21354.156504062623</c:v>
                </c:pt>
                <c:pt idx="7">
                  <c:v>42708.313008125246</c:v>
                </c:pt>
                <c:pt idx="8">
                  <c:v>85416.626016250491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1-4ECD-A632-2E0BC1BDC5D3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'8'!$H$49:$H$57</c:f>
              <c:numCache>
                <c:formatCode>_-"$"\ * #,##0_-;\-"$"\ * #,##0_-;_-"$"\ * "-"??_-;_-@_-</c:formatCode>
                <c:ptCount val="9"/>
                <c:pt idx="0">
                  <c:v>85750.284711626475</c:v>
                </c:pt>
                <c:pt idx="1">
                  <c:v>43375.630398877205</c:v>
                </c:pt>
                <c:pt idx="2">
                  <c:v>22688.791285566538</c:v>
                </c:pt>
                <c:pt idx="3">
                  <c:v>13346.347815039138</c:v>
                </c:pt>
                <c:pt idx="4">
                  <c:v>10677.078252031311</c:v>
                </c:pt>
                <c:pt idx="5">
                  <c:v>13346.347815039138</c:v>
                </c:pt>
                <c:pt idx="6">
                  <c:v>22688.791285566538</c:v>
                </c:pt>
                <c:pt idx="7">
                  <c:v>43375.630398877205</c:v>
                </c:pt>
                <c:pt idx="8">
                  <c:v>85750.284711626475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01-4ECD-A632-2E0BC1BDC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2800"/>
              <a:t>GRÁFICA</a:t>
            </a:r>
            <a:r>
              <a:rPr lang="es-CO" sz="2800" baseline="0"/>
              <a:t> DE COSTOS</a:t>
            </a:r>
            <a:r>
              <a:rPr lang="es-CO" sz="2800"/>
              <a:t>  EOQ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Costo anual de pedido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'9'!$B$49:$B$57</c:f>
              <c:numCache>
                <c:formatCode>0.00</c:formatCode>
                <c:ptCount val="9"/>
                <c:pt idx="0">
                  <c:v>5.9091070753791737</c:v>
                </c:pt>
                <c:pt idx="1">
                  <c:v>11.818214150758347</c:v>
                </c:pt>
                <c:pt idx="2">
                  <c:v>23.636428301516695</c:v>
                </c:pt>
                <c:pt idx="3">
                  <c:v>47.272856603033389</c:v>
                </c:pt>
                <c:pt idx="4" formatCode="0">
                  <c:v>94.545713206066779</c:v>
                </c:pt>
                <c:pt idx="5">
                  <c:v>189.09142641213356</c:v>
                </c:pt>
                <c:pt idx="6">
                  <c:v>378.18285282426712</c:v>
                </c:pt>
                <c:pt idx="7">
                  <c:v>756.36570564853423</c:v>
                </c:pt>
                <c:pt idx="8">
                  <c:v>1512.7314112970685</c:v>
                </c:pt>
              </c:numCache>
            </c:numRef>
          </c:cat>
          <c:val>
            <c:numRef>
              <c:f>'9'!$D$49:$D$57</c:f>
              <c:numCache>
                <c:formatCode>_-"$"\ * #,##0_-;\-"$"\ * #,##0_-;_-"$"\ * "-"??_-;_-@_-</c:formatCode>
                <c:ptCount val="9"/>
                <c:pt idx="0">
                  <c:v>981535.77622010303</c:v>
                </c:pt>
                <c:pt idx="1">
                  <c:v>490767.88811005151</c:v>
                </c:pt>
                <c:pt idx="2">
                  <c:v>245383.94405502576</c:v>
                </c:pt>
                <c:pt idx="3">
                  <c:v>122691.97202751288</c:v>
                </c:pt>
                <c:pt idx="4">
                  <c:v>61345.986013756439</c:v>
                </c:pt>
                <c:pt idx="5">
                  <c:v>30672.99300687822</c:v>
                </c:pt>
                <c:pt idx="6">
                  <c:v>15336.49650343911</c:v>
                </c:pt>
                <c:pt idx="7">
                  <c:v>7668.2482517195549</c:v>
                </c:pt>
                <c:pt idx="8">
                  <c:v>3834.1241258597775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5-479B-92E2-B66889474A29}"/>
            </c:ext>
          </c:extLst>
        </c:ser>
        <c:ser>
          <c:idx val="1"/>
          <c:order val="1"/>
          <c:tx>
            <c:v>Costo anual de almacenamiento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'9'!$F$49:$F$57</c:f>
              <c:numCache>
                <c:formatCode>_-"$"\ * #,##0_-;\-"$"\ * #,##0_-;_-"$"\ * "-"??_-;_-@_-</c:formatCode>
                <c:ptCount val="9"/>
                <c:pt idx="0">
                  <c:v>3834.124125859777</c:v>
                </c:pt>
                <c:pt idx="1">
                  <c:v>7668.248251719554</c:v>
                </c:pt>
                <c:pt idx="2">
                  <c:v>15336.496503439108</c:v>
                </c:pt>
                <c:pt idx="3">
                  <c:v>30672.993006878216</c:v>
                </c:pt>
                <c:pt idx="4">
                  <c:v>61345.986013756432</c:v>
                </c:pt>
                <c:pt idx="5">
                  <c:v>122691.97202751286</c:v>
                </c:pt>
                <c:pt idx="6">
                  <c:v>245383.94405502573</c:v>
                </c:pt>
                <c:pt idx="7">
                  <c:v>490767.88811005146</c:v>
                </c:pt>
                <c:pt idx="8">
                  <c:v>981535.77622010291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5-479B-92E2-B66889474A29}"/>
            </c:ext>
          </c:extLst>
        </c:ser>
        <c:ser>
          <c:idx val="2"/>
          <c:order val="2"/>
          <c:tx>
            <c:v>Costoanual total de inventario</c:v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'9'!$H$49:$H$57</c:f>
              <c:numCache>
                <c:formatCode>_-"$"\ * #,##0_-;\-"$"\ * #,##0_-;_-"$"\ * "-"??_-;_-@_-</c:formatCode>
                <c:ptCount val="9"/>
                <c:pt idx="0">
                  <c:v>985369.90034596284</c:v>
                </c:pt>
                <c:pt idx="1">
                  <c:v>498436.13636177109</c:v>
                </c:pt>
                <c:pt idx="2">
                  <c:v>260720.44055846488</c:v>
                </c:pt>
                <c:pt idx="3">
                  <c:v>153364.96503439109</c:v>
                </c:pt>
                <c:pt idx="4">
                  <c:v>122691.97202751288</c:v>
                </c:pt>
                <c:pt idx="5">
                  <c:v>153364.96503439109</c:v>
                </c:pt>
                <c:pt idx="6">
                  <c:v>260720.44055846485</c:v>
                </c:pt>
                <c:pt idx="7">
                  <c:v>498436.13636177103</c:v>
                </c:pt>
                <c:pt idx="8">
                  <c:v>985369.90034596273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F5-479B-92E2-B66889474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666688"/>
        <c:axId val="638665704"/>
      </c:lineChart>
      <c:catAx>
        <c:axId val="63866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CANTIDAD</a:t>
                </a:r>
                <a:r>
                  <a:rPr lang="es-CO" b="1" baseline="0"/>
                  <a:t> ECONOMICA DE PEDIDO</a:t>
                </a:r>
                <a:r>
                  <a:rPr lang="es-CO" b="1"/>
                  <a:t> (UNIDADES/ORDEN</a:t>
                </a:r>
                <a:r>
                  <a:rPr lang="es-CO" b="1" baseline="0"/>
                  <a:t> DE COMPRA)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5704"/>
        <c:crosses val="autoZero"/>
        <c:auto val="1"/>
        <c:lblAlgn val="ctr"/>
        <c:lblOffset val="100"/>
        <c:noMultiLvlLbl val="0"/>
      </c:catAx>
      <c:valAx>
        <c:axId val="638665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COSTOS</a:t>
                </a:r>
                <a:r>
                  <a:rPr lang="es-CO" b="1" baseline="0"/>
                  <a:t> </a:t>
                </a:r>
                <a:r>
                  <a:rPr lang="es-CO" b="1"/>
                  <a:t> (COP/AÑO)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66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0922EC-244F-CBC5-839F-866230488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4585" y="0"/>
          <a:ext cx="2360082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7099F8-3BF2-8BDE-27CB-2EF70C1C2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20FA4-2CD4-416B-BF61-A47F36FCB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4A8C461-6EB7-499D-A1CF-DC4EFDDB7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B203DB-96CE-4729-90B8-0B2AA9F36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A1015C7-EB1B-4ADE-B52E-DA9C9687D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17494C-AD09-40D1-A884-B3130264E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0FDBAF4-8215-4310-8227-F044B7F89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04B3EB-9974-43EA-BB90-E17B9424E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32B324D-7BD3-4B26-BEE7-622FFFD1D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F8570A-CA23-443A-99C0-5B0612EDA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2911DE-48CC-4A64-81A0-7E37EDE1C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B2BD51-0315-4B3E-B4BE-2C7568C25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492CBAB-41F3-4C61-8DFB-5A2011DDF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FA688D-39B0-40DA-943E-AA64F0C96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C7F560-0A36-47D7-9546-FD4CF54DA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372D65-BC08-4C2E-85FB-045F898E7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CBD2800-EEE2-4E43-B5C1-AFED609EA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A72E66-B826-4547-8F44-1FFF62307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1EF111-16E6-4DB5-9A38-723F9418C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25BD27-64F9-44B4-B9A1-A70E03E7E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8CBCDA-4CC3-4947-958B-C82048288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995713-4485-4363-B246-3BB748E97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772236-D68E-443E-8F34-1E360FA57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FF4D40-B1DD-4D79-A874-9163C1F70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1476564-F1A0-4449-AB76-E8EDBB990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A57E81-2C79-476A-9552-A38BDAC3B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7D989D-9147-4CEB-9AB9-3372A3DE7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DC188-1B4A-447D-BB5F-CC3B13F33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8AD3400-F81F-480D-8283-0BEC66C4C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DA8BCA-5E63-4F9C-A3DF-341D8591E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D01393-5993-4F22-B591-C6843B126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ACDEA5-C5DF-4CA8-96E4-A1FFF17AD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5B414C-74D8-4CE4-B287-9C80CFE4E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3F7A05-0138-4379-B7BA-15603E2B4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D192978-ABFF-4292-9414-58EFBFB1B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8942B8-4AC2-4206-8E73-36A4F6F95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E47182C-4284-4675-B837-668197768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232835</xdr:colOff>
      <xdr:row>0</xdr:row>
      <xdr:rowOff>0</xdr:rowOff>
    </xdr:from>
    <xdr:to>
      <xdr:col>8</xdr:col>
      <xdr:colOff>1195917</xdr:colOff>
      <xdr:row>1</xdr:row>
      <xdr:rowOff>878417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6F74AE-04AD-4C38-9D1B-217A43DB0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7760" y="0"/>
          <a:ext cx="2363257" cy="1068917"/>
        </a:xfrm>
        <a:prstGeom prst="rect">
          <a:avLst/>
        </a:prstGeom>
      </xdr:spPr>
    </xdr:pic>
    <xdr:clientData/>
  </xdr:twoCellAnchor>
  <xdr:twoCellAnchor>
    <xdr:from>
      <xdr:col>1</xdr:col>
      <xdr:colOff>82551</xdr:colOff>
      <xdr:row>57</xdr:row>
      <xdr:rowOff>99482</xdr:rowOff>
    </xdr:from>
    <xdr:to>
      <xdr:col>8</xdr:col>
      <xdr:colOff>1322917</xdr:colOff>
      <xdr:row>86</xdr:row>
      <xdr:rowOff>74083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6EAAA08-671F-4A44-BBA4-5D28317B8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235D-E787-413C-B145-02365CB4CA2A}">
  <dimension ref="A1:N25"/>
  <sheetViews>
    <sheetView tabSelected="1" topLeftCell="A4" workbookViewId="0">
      <selection activeCell="E25" sqref="E25"/>
    </sheetView>
  </sheetViews>
  <sheetFormatPr baseColWidth="10" defaultRowHeight="14.4" x14ac:dyDescent="0.3"/>
  <cols>
    <col min="2" max="2" width="34" bestFit="1" customWidth="1"/>
    <col min="3" max="3" width="11" customWidth="1"/>
    <col min="4" max="4" width="13.77734375" customWidth="1"/>
    <col min="5" max="5" width="12" customWidth="1"/>
    <col min="7" max="7" width="12" customWidth="1"/>
    <col min="8" max="8" width="12.44140625" hidden="1" customWidth="1"/>
    <col min="9" max="9" width="0" hidden="1" customWidth="1"/>
    <col min="12" max="12" width="20.109375" customWidth="1"/>
    <col min="13" max="13" width="17.88671875" bestFit="1" customWidth="1"/>
  </cols>
  <sheetData>
    <row r="1" spans="1:13" x14ac:dyDescent="0.3">
      <c r="A1" s="58" t="s">
        <v>77</v>
      </c>
      <c r="B1" s="58" t="s">
        <v>78</v>
      </c>
      <c r="C1" s="58" t="s">
        <v>88</v>
      </c>
      <c r="D1" s="58"/>
      <c r="E1" s="58"/>
      <c r="F1" s="58" t="s">
        <v>81</v>
      </c>
      <c r="G1" s="58"/>
      <c r="H1" s="58"/>
      <c r="I1" s="58"/>
      <c r="J1" s="58" t="s">
        <v>82</v>
      </c>
      <c r="K1" s="58"/>
      <c r="L1" s="49" t="s">
        <v>90</v>
      </c>
      <c r="M1" s="49"/>
    </row>
    <row r="2" spans="1:13" ht="28.8" x14ac:dyDescent="0.3">
      <c r="A2" s="58"/>
      <c r="B2" s="58"/>
      <c r="C2" s="39" t="s">
        <v>86</v>
      </c>
      <c r="D2" s="39" t="s">
        <v>87</v>
      </c>
      <c r="E2" s="40" t="s">
        <v>80</v>
      </c>
      <c r="F2" s="39" t="s">
        <v>83</v>
      </c>
      <c r="G2" s="39" t="s">
        <v>89</v>
      </c>
      <c r="H2" s="39" t="s">
        <v>85</v>
      </c>
      <c r="I2" s="39" t="s">
        <v>84</v>
      </c>
      <c r="J2" s="39" t="s">
        <v>83</v>
      </c>
      <c r="K2" s="39" t="s">
        <v>89</v>
      </c>
      <c r="L2" s="39" t="s">
        <v>83</v>
      </c>
      <c r="M2" s="39" t="s">
        <v>89</v>
      </c>
    </row>
    <row r="3" spans="1:13" x14ac:dyDescent="0.3">
      <c r="A3" s="38">
        <v>29152</v>
      </c>
      <c r="B3" s="32" t="s">
        <v>58</v>
      </c>
      <c r="C3" s="21">
        <f>'1'!$D$37</f>
        <v>17.155555555555555</v>
      </c>
      <c r="D3" s="21">
        <f>'1'!I37</f>
        <v>21.117443922650292</v>
      </c>
      <c r="E3" s="21">
        <f>'1'!D39</f>
        <v>38.272999478205847</v>
      </c>
      <c r="F3" s="21">
        <f>'1'!I39</f>
        <v>129.3089880156561</v>
      </c>
      <c r="G3" s="21">
        <v>240</v>
      </c>
      <c r="H3" s="21">
        <f>G3-F3</f>
        <v>110.6910119843439</v>
      </c>
      <c r="I3" s="21">
        <f>(F3*J3)/12</f>
        <v>64.333333333333329</v>
      </c>
      <c r="J3" s="21">
        <f>'1'!D41</f>
        <v>5.9701959766828434</v>
      </c>
      <c r="K3" s="21">
        <f>(F3*J3)/G3</f>
        <v>3.2166666666666668</v>
      </c>
      <c r="L3" s="42">
        <f>'1'!$I$45</f>
        <v>14535103.534503665</v>
      </c>
      <c r="M3" s="42">
        <f>_xlfn.XLOOKUP(A3,COSTOS!$A$2:$A$62,COSTOS!$B$2:$B$62)</f>
        <v>15255090.58</v>
      </c>
    </row>
    <row r="4" spans="1:13" x14ac:dyDescent="0.3">
      <c r="A4" s="39">
        <v>29153</v>
      </c>
      <c r="B4" s="33" t="s">
        <v>59</v>
      </c>
      <c r="C4" s="21">
        <f>'2'!D37</f>
        <v>17.155555555555555</v>
      </c>
      <c r="D4" s="21">
        <f>'2'!I37</f>
        <v>21.117443922650292</v>
      </c>
      <c r="E4" s="21">
        <f>'2'!D39</f>
        <v>38.272999478205847</v>
      </c>
      <c r="F4" s="21">
        <f>'2'!I39</f>
        <v>127.29167008389179</v>
      </c>
      <c r="G4" s="21">
        <v>240</v>
      </c>
      <c r="H4" s="21">
        <f t="shared" ref="H4:H22" si="0">G4-F4</f>
        <v>112.70832991610821</v>
      </c>
      <c r="I4" s="21">
        <f t="shared" ref="I4:I22" si="1">(F4*J4)/12</f>
        <v>64.333333333333329</v>
      </c>
      <c r="J4" s="21">
        <f>'2'!D41</f>
        <v>6.0648116211470251</v>
      </c>
      <c r="K4" s="21">
        <f t="shared" ref="K4:K22" si="2">(F4*J4)/G4</f>
        <v>3.2166666666666668</v>
      </c>
      <c r="L4" s="42">
        <f>'2'!$I$45</f>
        <v>14995614.089473668</v>
      </c>
      <c r="M4" s="42">
        <f>_xlfn.XLOOKUP(A4,COSTOS!$A$2:$A$62,COSTOS!$B$2:$B$62)</f>
        <v>15742340.760000002</v>
      </c>
    </row>
    <row r="5" spans="1:13" x14ac:dyDescent="0.3">
      <c r="A5" s="38">
        <v>60050</v>
      </c>
      <c r="B5" s="34" t="s">
        <v>60</v>
      </c>
      <c r="C5" s="21">
        <f>'3'!D37</f>
        <v>0.35555555555555551</v>
      </c>
      <c r="D5" s="21">
        <f>'3'!I37</f>
        <v>0.92260424182815803</v>
      </c>
      <c r="E5" s="21">
        <f>'3'!D39</f>
        <v>1.2781597973837135</v>
      </c>
      <c r="F5" s="21">
        <f>'3'!I39</f>
        <v>16.412544182700536</v>
      </c>
      <c r="G5" s="21">
        <v>6</v>
      </c>
      <c r="H5" s="21">
        <f t="shared" si="0"/>
        <v>-10.412544182700536</v>
      </c>
      <c r="I5" s="21">
        <f t="shared" si="1"/>
        <v>1.3333333333333333</v>
      </c>
      <c r="J5" s="21">
        <f>'3'!D41</f>
        <v>0.97486409309195499</v>
      </c>
      <c r="K5" s="21">
        <f t="shared" si="2"/>
        <v>2.6666666666666665</v>
      </c>
      <c r="L5" s="42">
        <f>'3'!$I$45</f>
        <v>421330.57914183772</v>
      </c>
      <c r="M5" s="42">
        <f>_xlfn.XLOOKUP(A5,COSTOS!$A$2:$A$62,COSTOS!$B$2:$B$62)</f>
        <v>406749.80000000005</v>
      </c>
    </row>
    <row r="6" spans="1:13" x14ac:dyDescent="0.3">
      <c r="A6" s="39">
        <v>63139</v>
      </c>
      <c r="B6" s="35" t="s">
        <v>61</v>
      </c>
      <c r="C6" s="21">
        <f>'4'!D37</f>
        <v>15</v>
      </c>
      <c r="D6" s="21">
        <f>'4'!I37</f>
        <v>16.589094062387861</v>
      </c>
      <c r="E6" s="21">
        <f>'4'!D39</f>
        <v>31.589094062387861</v>
      </c>
      <c r="F6" s="21">
        <f>'4'!I39</f>
        <v>339.03175181040518</v>
      </c>
      <c r="G6" s="21">
        <v>72</v>
      </c>
      <c r="H6" s="21">
        <f t="shared" si="0"/>
        <v>-267.03175181040518</v>
      </c>
      <c r="I6" s="21">
        <f t="shared" si="1"/>
        <v>56.25</v>
      </c>
      <c r="J6" s="21">
        <f>'4'!D41</f>
        <v>1.9909639625066045</v>
      </c>
      <c r="K6" s="21">
        <f t="shared" si="2"/>
        <v>9.375</v>
      </c>
      <c r="L6" s="42">
        <f>'4'!$I$45</f>
        <v>1669110.336695519</v>
      </c>
      <c r="M6" s="42">
        <f>_xlfn.XLOOKUP(A6,COSTOS!$A$2:$A$62,COSTOS!$B$2:$B$62)</f>
        <v>1696586.6500000001</v>
      </c>
    </row>
    <row r="7" spans="1:13" x14ac:dyDescent="0.3">
      <c r="A7" s="38">
        <v>63170</v>
      </c>
      <c r="B7" s="36" t="s">
        <v>62</v>
      </c>
      <c r="C7" s="21">
        <f>'5'!D37</f>
        <v>0.26666666666666666</v>
      </c>
      <c r="D7" s="21">
        <f>'5'!I37</f>
        <v>0.67435148851477844</v>
      </c>
      <c r="E7" s="21">
        <f>'5'!D39</f>
        <v>0.94101815518144516</v>
      </c>
      <c r="F7" s="21">
        <f>'5'!I39</f>
        <v>30.735906135964484</v>
      </c>
      <c r="G7" s="21">
        <v>10</v>
      </c>
      <c r="H7" s="21">
        <f t="shared" si="0"/>
        <v>-20.735906135964484</v>
      </c>
      <c r="I7" s="21">
        <f t="shared" si="1"/>
        <v>1</v>
      </c>
      <c r="J7" s="21">
        <f>'5'!D41</f>
        <v>0.39042284769208885</v>
      </c>
      <c r="K7" s="21">
        <f t="shared" si="2"/>
        <v>1.2</v>
      </c>
      <c r="L7" s="42">
        <f>'5'!$I$45</f>
        <v>76931.551898997917</v>
      </c>
      <c r="M7" s="42">
        <f>_xlfn.XLOOKUP(A7,COSTOS!$A$2:$A$62,COSTOS!$B$2:$B$62)</f>
        <v>65241.11</v>
      </c>
    </row>
    <row r="8" spans="1:13" x14ac:dyDescent="0.3">
      <c r="A8" s="39">
        <v>63473</v>
      </c>
      <c r="B8" s="35" t="s">
        <v>63</v>
      </c>
      <c r="C8" s="21">
        <f>'6'!D37</f>
        <v>1.6527777777777779</v>
      </c>
      <c r="D8" s="21">
        <f>'6'!I37</f>
        <v>3.3195990271056961</v>
      </c>
      <c r="E8" s="21">
        <f>'6'!D39</f>
        <v>4.9723768048834742</v>
      </c>
      <c r="F8" s="21">
        <f>'6'!I39</f>
        <v>26.95502461237664</v>
      </c>
      <c r="G8" s="21">
        <v>10</v>
      </c>
      <c r="H8" s="21">
        <f t="shared" si="0"/>
        <v>-16.95502461237664</v>
      </c>
      <c r="I8" s="21">
        <f t="shared" si="1"/>
        <v>1.4166666666666667</v>
      </c>
      <c r="J8" s="21">
        <f>'6'!D41</f>
        <v>0.63068018836808248</v>
      </c>
      <c r="K8" s="21">
        <f t="shared" si="2"/>
        <v>1.7</v>
      </c>
      <c r="L8" s="42">
        <f>'6'!$I$45</f>
        <v>187437.02026419152</v>
      </c>
      <c r="M8" s="42">
        <f>_xlfn.XLOOKUP(A8,COSTOS!$A$2:$A$62,COSTOS!$B$2:$B$62)</f>
        <v>170246.63</v>
      </c>
    </row>
    <row r="9" spans="1:13" x14ac:dyDescent="0.3">
      <c r="A9" s="38">
        <v>63474</v>
      </c>
      <c r="B9" s="36" t="s">
        <v>64</v>
      </c>
      <c r="C9" s="21">
        <f>'7'!D37</f>
        <v>2.2361111111111112</v>
      </c>
      <c r="D9" s="21">
        <f>'7'!I37</f>
        <v>3.1113711341774462</v>
      </c>
      <c r="E9" s="21">
        <f>'7'!D39</f>
        <v>5.3474822452885569</v>
      </c>
      <c r="F9" s="21">
        <f>'7'!I39</f>
        <v>34.590670725435942</v>
      </c>
      <c r="G9" s="21">
        <v>10</v>
      </c>
      <c r="H9" s="21">
        <f t="shared" si="0"/>
        <v>-24.590670725435942</v>
      </c>
      <c r="I9" s="21">
        <f t="shared" si="1"/>
        <v>1.9166666666666667</v>
      </c>
      <c r="J9" s="21">
        <f>'7'!D41</f>
        <v>0.66491916801969253</v>
      </c>
      <c r="K9" s="21">
        <f t="shared" si="2"/>
        <v>2.2999999999999998</v>
      </c>
      <c r="L9" s="42">
        <f>'7'!$I$45</f>
        <v>205836.09998585674</v>
      </c>
      <c r="M9" s="42">
        <f>_xlfn.XLOOKUP(A9,COSTOS!$A$2:$A$62,COSTOS!$B$2:$B$62)</f>
        <v>189229.5</v>
      </c>
    </row>
    <row r="10" spans="1:13" x14ac:dyDescent="0.3">
      <c r="A10" s="39">
        <v>63475</v>
      </c>
      <c r="B10" s="35" t="s">
        <v>79</v>
      </c>
      <c r="C10" s="21">
        <f>'8'!D37</f>
        <v>0.29166666666666669</v>
      </c>
      <c r="D10" s="21">
        <f>'8'!I37</f>
        <v>1.1928124649558132</v>
      </c>
      <c r="E10" s="21">
        <f>'8'!D39</f>
        <v>1.4844791316224799</v>
      </c>
      <c r="F10" s="21">
        <f>'8'!I39</f>
        <v>11.239029738980328</v>
      </c>
      <c r="G10" s="21">
        <v>5</v>
      </c>
      <c r="H10" s="21">
        <f t="shared" si="0"/>
        <v>-6.239029738980328</v>
      </c>
      <c r="I10" s="21">
        <f t="shared" si="1"/>
        <v>0.25</v>
      </c>
      <c r="J10" s="21">
        <f>'8'!D41</f>
        <v>0.26692695630078278</v>
      </c>
      <c r="K10" s="21">
        <f t="shared" si="2"/>
        <v>0.6</v>
      </c>
      <c r="L10" s="42">
        <f>'8'!$I$45</f>
        <v>40310.250093739334</v>
      </c>
      <c r="M10" s="42">
        <f>_xlfn.XLOOKUP(A10,COSTOS!$A$2:$A$62,COSTOS!$B$2:$B$62)</f>
        <v>30495</v>
      </c>
    </row>
    <row r="11" spans="1:13" x14ac:dyDescent="0.3">
      <c r="A11" s="38">
        <v>63628</v>
      </c>
      <c r="B11" s="36" t="s">
        <v>65</v>
      </c>
      <c r="C11" s="21">
        <f>'9'!D37</f>
        <v>12.083333333333334</v>
      </c>
      <c r="D11" s="21">
        <f>'9'!I37</f>
        <v>16.984958612360014</v>
      </c>
      <c r="E11" s="21">
        <f>'9'!D39</f>
        <v>29.068291945693346</v>
      </c>
      <c r="F11" s="21">
        <f>'9'!I39</f>
        <v>94.545713206066779</v>
      </c>
      <c r="G11" s="21">
        <v>50</v>
      </c>
      <c r="H11" s="21">
        <f t="shared" si="0"/>
        <v>-44.545713206066779</v>
      </c>
      <c r="I11" s="21">
        <f t="shared" si="1"/>
        <v>24.166666666666668</v>
      </c>
      <c r="J11" s="21">
        <f>'9'!D41</f>
        <v>3.067299300687822</v>
      </c>
      <c r="K11" s="21">
        <f t="shared" si="2"/>
        <v>5.8</v>
      </c>
      <c r="L11" s="42">
        <f>'9'!$I$45</f>
        <v>3908063.3528187727</v>
      </c>
      <c r="M11" s="42">
        <f>_xlfn.XLOOKUP(A11,COSTOS!$A$2:$A$62,COSTOS!$B$2:$B$62)</f>
        <v>4026653.9600000004</v>
      </c>
    </row>
    <row r="12" spans="1:13" x14ac:dyDescent="0.3">
      <c r="A12" s="39">
        <v>66828</v>
      </c>
      <c r="B12" s="35" t="s">
        <v>66</v>
      </c>
      <c r="C12" s="21">
        <f>'10'!D37</f>
        <v>166.66666666666666</v>
      </c>
      <c r="D12" s="21">
        <f>'10'!I37</f>
        <v>194.48123537714034</v>
      </c>
      <c r="E12" s="21">
        <f>'10'!D39</f>
        <v>361.14790204380699</v>
      </c>
      <c r="F12" s="21">
        <f>'10'!I39</f>
        <v>3423.2659844072882</v>
      </c>
      <c r="G12" s="21">
        <v>500</v>
      </c>
      <c r="H12" s="21">
        <f t="shared" si="0"/>
        <v>-2923.2659844072882</v>
      </c>
      <c r="I12" s="21">
        <f t="shared" si="1"/>
        <v>624.99999999999989</v>
      </c>
      <c r="J12" s="21">
        <f>'10'!D41</f>
        <v>2.1908902300206643</v>
      </c>
      <c r="K12" s="21">
        <f t="shared" si="2"/>
        <v>14.999999999999998</v>
      </c>
      <c r="L12" s="42">
        <f>'10'!$I$45</f>
        <v>2012614.3288264815</v>
      </c>
      <c r="M12" s="42">
        <f>_xlfn.XLOOKUP(A12,COSTOS!$A$2:$A$62,COSTOS!$B$2:$B$62)</f>
        <v>2054396.79</v>
      </c>
    </row>
    <row r="13" spans="1:13" x14ac:dyDescent="0.3">
      <c r="A13" s="38">
        <v>68335</v>
      </c>
      <c r="B13" s="36" t="s">
        <v>67</v>
      </c>
      <c r="C13" s="21">
        <f>'11'!D37</f>
        <v>11.041666666666666</v>
      </c>
      <c r="D13" s="21">
        <f>'11'!I37</f>
        <v>15.23138953127231</v>
      </c>
      <c r="E13" s="21">
        <f>'11'!D39</f>
        <v>26.273056197938978</v>
      </c>
      <c r="F13" s="21">
        <f>'11'!I39</f>
        <v>60.250618140408896</v>
      </c>
      <c r="G13" s="21">
        <v>40</v>
      </c>
      <c r="H13" s="21">
        <f t="shared" si="0"/>
        <v>-20.250618140408896</v>
      </c>
      <c r="I13" s="21">
        <f t="shared" si="1"/>
        <v>22.083333333333332</v>
      </c>
      <c r="J13" s="21">
        <f>'11'!D41</f>
        <v>4.3982951242498496</v>
      </c>
      <c r="K13" s="21">
        <f t="shared" si="2"/>
        <v>6.625</v>
      </c>
      <c r="L13" s="42">
        <f>'11'!$I$45</f>
        <v>7958407.4624013091</v>
      </c>
      <c r="M13" s="42">
        <f>_xlfn.XLOOKUP(A13,COSTOS!$A$2:$A$62,COSTOS!$B$2:$B$62)</f>
        <v>8279660.0000000009</v>
      </c>
    </row>
    <row r="14" spans="1:13" x14ac:dyDescent="0.3">
      <c r="A14" s="39">
        <v>70040</v>
      </c>
      <c r="B14" s="35" t="s">
        <v>68</v>
      </c>
      <c r="C14" s="21">
        <f>'12'!D37</f>
        <v>56.25</v>
      </c>
      <c r="D14" s="21">
        <f>'12'!I37</f>
        <v>76.680801318587982</v>
      </c>
      <c r="E14" s="21">
        <f>'12'!D39</f>
        <v>132.93080131858798</v>
      </c>
      <c r="F14" s="21">
        <f>'12'!I39</f>
        <v>298.38808504908172</v>
      </c>
      <c r="G14" s="21">
        <v>200</v>
      </c>
      <c r="H14" s="21">
        <f t="shared" si="0"/>
        <v>-98.388085049081724</v>
      </c>
      <c r="I14" s="21">
        <f t="shared" si="1"/>
        <v>112.5</v>
      </c>
      <c r="J14" s="21">
        <f>'12'!D41</f>
        <v>4.5243093395567024</v>
      </c>
      <c r="K14" s="21">
        <f t="shared" si="2"/>
        <v>6.75</v>
      </c>
      <c r="L14" s="42">
        <f>'12'!$I$45</f>
        <v>8415229.279581992</v>
      </c>
      <c r="M14" s="42">
        <f>_xlfn.XLOOKUP(A14,COSTOS!$A$2:$A$62,COSTOS!$B$2:$B$62)</f>
        <v>9760660.3100000005</v>
      </c>
    </row>
    <row r="15" spans="1:13" x14ac:dyDescent="0.3">
      <c r="A15" s="38">
        <v>71170</v>
      </c>
      <c r="B15" s="36" t="s">
        <v>69</v>
      </c>
      <c r="C15" s="21">
        <f>'13'!D37</f>
        <v>1.4666666666666666</v>
      </c>
      <c r="D15" s="21">
        <f>'13'!I37</f>
        <v>1.1143684833608833</v>
      </c>
      <c r="E15" s="21">
        <f>'13'!D39</f>
        <v>2.5810351500275499</v>
      </c>
      <c r="F15" s="21">
        <f>'13'!I39</f>
        <v>15.904360172560819</v>
      </c>
      <c r="G15" s="21">
        <v>10</v>
      </c>
      <c r="H15" s="21">
        <f t="shared" si="0"/>
        <v>-5.9043601725608195</v>
      </c>
      <c r="I15" s="21">
        <f t="shared" si="1"/>
        <v>5.5</v>
      </c>
      <c r="J15" s="21">
        <f>'13'!D41</f>
        <v>4.149805417125001</v>
      </c>
      <c r="K15" s="21">
        <f t="shared" si="2"/>
        <v>6.6</v>
      </c>
      <c r="L15" s="42">
        <f>'13'!$I$45</f>
        <v>7065976.7691089893</v>
      </c>
      <c r="M15" s="42">
        <f>_xlfn.XLOOKUP(A15,COSTOS!$A$2:$A$62,COSTOS!$B$2:$B$62)</f>
        <v>7370556.9700000007</v>
      </c>
    </row>
    <row r="16" spans="1:13" x14ac:dyDescent="0.3">
      <c r="A16" s="39">
        <v>71946</v>
      </c>
      <c r="B16" s="35" t="s">
        <v>70</v>
      </c>
      <c r="C16" s="21">
        <f>'14'!D37</f>
        <v>3.0833333333333335</v>
      </c>
      <c r="D16" s="21">
        <f>'14'!I37</f>
        <v>2.2409044207934516</v>
      </c>
      <c r="E16" s="21">
        <f>'14'!D39</f>
        <v>5.3242377541267851</v>
      </c>
      <c r="F16" s="21">
        <f>'14'!I39</f>
        <v>21.787815862018086</v>
      </c>
      <c r="G16" s="21">
        <v>10</v>
      </c>
      <c r="H16" s="21">
        <f t="shared" si="0"/>
        <v>-11.787815862018086</v>
      </c>
      <c r="I16" s="21">
        <f t="shared" si="1"/>
        <v>6.166666666666667</v>
      </c>
      <c r="J16" s="21">
        <f>'14'!D41</f>
        <v>3.3963936756506894</v>
      </c>
      <c r="K16" s="21">
        <f t="shared" si="2"/>
        <v>7.4</v>
      </c>
      <c r="L16" s="42">
        <f>'14'!$I$45</f>
        <v>4764024.6824514428</v>
      </c>
      <c r="M16" s="42">
        <f>_xlfn.XLOOKUP(A16,COSTOS!$A$2:$A$62,COSTOS!$B$2:$B$62)</f>
        <v>4937199.3500000006</v>
      </c>
    </row>
    <row r="17" spans="1:14" x14ac:dyDescent="0.3">
      <c r="A17" s="38">
        <v>73116</v>
      </c>
      <c r="B17" s="36" t="s">
        <v>71</v>
      </c>
      <c r="C17" s="21">
        <f>'15'!D37</f>
        <v>3.6444444444444444</v>
      </c>
      <c r="D17" s="21">
        <f>'15'!I37</f>
        <v>2.6339801626248485</v>
      </c>
      <c r="E17" s="21">
        <f>'15'!D39</f>
        <v>6.2784246070692928</v>
      </c>
      <c r="F17" s="21">
        <f>'15'!I39</f>
        <v>134.54198323892484</v>
      </c>
      <c r="G17" s="21">
        <v>10</v>
      </c>
      <c r="H17" s="21">
        <f t="shared" si="0"/>
        <v>-124.54198323892484</v>
      </c>
      <c r="I17" s="21">
        <f t="shared" si="1"/>
        <v>13.666666666666666</v>
      </c>
      <c r="J17" s="21">
        <f>'15'!D41</f>
        <v>1.2189503681446592</v>
      </c>
      <c r="K17" s="21">
        <f t="shared" si="2"/>
        <v>16.399999999999999</v>
      </c>
      <c r="L17" s="42">
        <f>'15'!$I$45</f>
        <v>644048.56913672166</v>
      </c>
      <c r="M17" s="42">
        <f>_xlfn.XLOOKUP(A17,COSTOS!$A$2:$A$62,COSTOS!$B$2:$B$62)</f>
        <v>635908.49</v>
      </c>
    </row>
    <row r="18" spans="1:14" x14ac:dyDescent="0.3">
      <c r="A18" s="39">
        <v>76738</v>
      </c>
      <c r="B18" s="35" t="s">
        <v>72</v>
      </c>
      <c r="C18" s="21">
        <f>'16'!D37</f>
        <v>1.2222222222222221</v>
      </c>
      <c r="D18" s="21">
        <f>'16'!I37</f>
        <v>2.5401758597919097</v>
      </c>
      <c r="E18" s="21">
        <f>'16'!D39</f>
        <v>3.7623980820141316</v>
      </c>
      <c r="F18" s="21">
        <f>'16'!I39</f>
        <v>14.316091848888464</v>
      </c>
      <c r="G18" s="21">
        <v>20</v>
      </c>
      <c r="H18" s="21">
        <f t="shared" si="0"/>
        <v>5.6839081511115364</v>
      </c>
      <c r="I18" s="21">
        <f t="shared" si="1"/>
        <v>4.583333333333333</v>
      </c>
      <c r="J18" s="21">
        <f>'16'!D41</f>
        <v>3.8418306183380859</v>
      </c>
      <c r="K18" s="21">
        <f t="shared" si="2"/>
        <v>2.75</v>
      </c>
      <c r="L18" s="42">
        <f>'16'!$I$45</f>
        <v>6084805.234465288</v>
      </c>
      <c r="M18" s="42">
        <f>_xlfn.XLOOKUP(A18,COSTOS!$A$2:$A$62,COSTOS!$B$2:$B$62)</f>
        <v>6317129.1300000008</v>
      </c>
    </row>
    <row r="19" spans="1:14" x14ac:dyDescent="0.3">
      <c r="A19" s="38">
        <v>77202</v>
      </c>
      <c r="B19" s="32" t="s">
        <v>73</v>
      </c>
      <c r="C19" s="21">
        <f>'17'!D37</f>
        <v>0.68055555555555569</v>
      </c>
      <c r="D19" s="21">
        <f>'17'!I37</f>
        <v>2.0794712957670054</v>
      </c>
      <c r="E19" s="21">
        <f>'17'!D39</f>
        <v>2.7600268513225612</v>
      </c>
      <c r="F19" s="21">
        <f>'17'!I39</f>
        <v>6.2274524032627543</v>
      </c>
      <c r="G19" s="21">
        <v>5</v>
      </c>
      <c r="H19" s="21">
        <f t="shared" si="0"/>
        <v>-1.2274524032627543</v>
      </c>
      <c r="I19" s="21">
        <f t="shared" si="1"/>
        <v>0.58333333333333337</v>
      </c>
      <c r="J19" s="21">
        <f>'17'!D41</f>
        <v>1.1240551587889269</v>
      </c>
      <c r="K19" s="21">
        <f t="shared" si="2"/>
        <v>1.4</v>
      </c>
      <c r="L19" s="42">
        <f>'17'!$I$45</f>
        <v>565375.98910699482</v>
      </c>
      <c r="M19" s="42">
        <f>_xlfn.XLOOKUP(A19,COSTOS!$A$2:$A$62,COSTOS!$B$2:$B$62)</f>
        <v>540928.87</v>
      </c>
    </row>
    <row r="20" spans="1:14" x14ac:dyDescent="0.3">
      <c r="A20" s="39">
        <v>77240</v>
      </c>
      <c r="B20" s="33" t="s">
        <v>74</v>
      </c>
      <c r="C20" s="21">
        <f>'18'!D37</f>
        <v>1.5833333333333333</v>
      </c>
      <c r="D20" s="21">
        <f>'18'!I37</f>
        <v>4.9820991095313927</v>
      </c>
      <c r="E20" s="21">
        <f>'18'!D39</f>
        <v>6.5654324428647257</v>
      </c>
      <c r="F20" s="21">
        <f>'18'!I39</f>
        <v>13.36243417643775</v>
      </c>
      <c r="G20" s="21">
        <v>50</v>
      </c>
      <c r="H20" s="21">
        <f t="shared" si="0"/>
        <v>36.637565823562248</v>
      </c>
      <c r="I20" s="21">
        <f t="shared" si="1"/>
        <v>3.1666666666666665</v>
      </c>
      <c r="J20" s="21">
        <f>'18'!D41</f>
        <v>2.843793241429482</v>
      </c>
      <c r="K20" s="21">
        <f t="shared" si="2"/>
        <v>0.76</v>
      </c>
      <c r="L20" s="42">
        <f>'18'!$I$45</f>
        <v>3391027.3429567982</v>
      </c>
      <c r="M20" s="42">
        <f>_xlfn.XLOOKUP(A20,COSTOS!$A$2:$A$62,COSTOS!$B$2:$B$62)</f>
        <v>3461308.7600000002</v>
      </c>
    </row>
    <row r="21" spans="1:14" x14ac:dyDescent="0.3">
      <c r="A21" s="38">
        <v>85777</v>
      </c>
      <c r="B21" s="37" t="s">
        <v>75</v>
      </c>
      <c r="C21" s="21">
        <f>'19'!D37</f>
        <v>12.5</v>
      </c>
      <c r="D21" s="21">
        <f>'19'!I37</f>
        <v>14.244850264469466</v>
      </c>
      <c r="E21" s="21">
        <f>'19'!D39</f>
        <v>26.744850264469466</v>
      </c>
      <c r="F21" s="21">
        <f>'19'!I39</f>
        <v>33.540967254776454</v>
      </c>
      <c r="G21" s="21">
        <v>60</v>
      </c>
      <c r="H21" s="21">
        <f t="shared" si="0"/>
        <v>26.459032745223546</v>
      </c>
      <c r="I21" s="21">
        <f t="shared" si="1"/>
        <v>25</v>
      </c>
      <c r="J21" s="21">
        <f>'19'!D41</f>
        <v>8.9442858854131</v>
      </c>
      <c r="K21" s="21">
        <f t="shared" si="2"/>
        <v>5</v>
      </c>
      <c r="L21" s="42">
        <f>'19'!$I$45</f>
        <v>32509816.97973254</v>
      </c>
      <c r="M21" s="42">
        <f>_xlfn.XLOOKUP(A21,COSTOS!$A$2:$A$62,COSTOS!$B$2:$B$62)</f>
        <v>36240000</v>
      </c>
    </row>
    <row r="22" spans="1:14" ht="15" thickBot="1" x14ac:dyDescent="0.35">
      <c r="A22" s="39">
        <v>111218</v>
      </c>
      <c r="B22" s="33" t="s">
        <v>76</v>
      </c>
      <c r="C22" s="21">
        <f>'20'!D37</f>
        <v>0.33333333333333331</v>
      </c>
      <c r="D22" s="21">
        <f>'20'!I37</f>
        <v>1.2805168118819721</v>
      </c>
      <c r="E22" s="21">
        <f>'20'!D39</f>
        <v>1.6138501452153053</v>
      </c>
      <c r="F22" s="21">
        <f>'20'!I39</f>
        <v>5.2997335377525392</v>
      </c>
      <c r="G22" s="21">
        <v>10</v>
      </c>
      <c r="H22" s="21">
        <f t="shared" si="0"/>
        <v>4.7002664622474608</v>
      </c>
      <c r="I22" s="21">
        <f t="shared" si="1"/>
        <v>0.66666666666666663</v>
      </c>
      <c r="J22" s="21">
        <f>'20'!D41</f>
        <v>1.5095098542242116</v>
      </c>
      <c r="K22" s="21">
        <f t="shared" si="2"/>
        <v>0.8</v>
      </c>
      <c r="L22" s="42">
        <f>'20'!$I$45</f>
        <v>986417.45025842101</v>
      </c>
      <c r="M22" s="42">
        <f>_xlfn.XLOOKUP(A22,COSTOS!$A$2:$A$62,COSTOS!$B$2:$B$62)</f>
        <v>975250.43</v>
      </c>
    </row>
    <row r="23" spans="1:14" ht="34.799999999999997" customHeight="1" thickBot="1" x14ac:dyDescent="0.35">
      <c r="J23" s="50" t="s">
        <v>91</v>
      </c>
      <c r="K23" s="51"/>
      <c r="L23" s="45" t="s">
        <v>83</v>
      </c>
      <c r="M23" s="46" t="s">
        <v>89</v>
      </c>
      <c r="N23" s="44"/>
    </row>
    <row r="24" spans="1:14" ht="18.600000000000001" thickBot="1" x14ac:dyDescent="0.35">
      <c r="J24" s="52"/>
      <c r="K24" s="53"/>
      <c r="L24" s="47">
        <f>SUM(L3:L22)</f>
        <v>110437480.90290323</v>
      </c>
      <c r="M24" s="48">
        <f>SUM(M3:M22)</f>
        <v>118155633.09</v>
      </c>
    </row>
    <row r="25" spans="1:14" ht="15" thickBot="1" x14ac:dyDescent="0.35">
      <c r="J25" s="54" t="s">
        <v>93</v>
      </c>
      <c r="K25" s="55"/>
      <c r="L25" s="56">
        <f>(M24-L24)/M24</f>
        <v>6.532191470903298E-2</v>
      </c>
      <c r="M25" s="57"/>
    </row>
  </sheetData>
  <mergeCells count="9">
    <mergeCell ref="L1:M1"/>
    <mergeCell ref="J23:K24"/>
    <mergeCell ref="J25:K25"/>
    <mergeCell ref="L25:M25"/>
    <mergeCell ref="A1:A2"/>
    <mergeCell ref="B1:B2"/>
    <mergeCell ref="F1:I1"/>
    <mergeCell ref="J1:K1"/>
    <mergeCell ref="C1:E1"/>
  </mergeCells>
  <conditionalFormatting sqref="H3:H22">
    <cfRule type="cellIs" dxfId="4" priority="4" operator="lessThan">
      <formula>0</formula>
    </cfRule>
    <cfRule type="cellIs" dxfId="3" priority="5" operator="greaterThan">
      <formula>0</formula>
    </cfRule>
  </conditionalFormatting>
  <conditionalFormatting sqref="I3:I22">
    <cfRule type="cellIs" dxfId="2" priority="3" operator="lessThan">
      <formula>G3</formula>
    </cfRule>
  </conditionalFormatting>
  <conditionalFormatting sqref="I12">
    <cfRule type="cellIs" dxfId="1" priority="2" operator="greaterThan">
      <formula>$G$12</formula>
    </cfRule>
  </conditionalFormatting>
  <conditionalFormatting sqref="I17">
    <cfRule type="cellIs" dxfId="0" priority="1" operator="greaterThan">
      <formula>$G$17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9CE3-20E3-4950-ACDD-2B8003C339F5}">
  <sheetPr>
    <pageSetUpPr fitToPage="1"/>
  </sheetPr>
  <dimension ref="B1:N87"/>
  <sheetViews>
    <sheetView topLeftCell="A28" zoomScale="90" zoomScaleNormal="90" workbookViewId="0">
      <selection activeCell="F14" sqref="F14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63628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65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30</v>
      </c>
      <c r="D9" s="6" t="s">
        <v>27</v>
      </c>
      <c r="E9" s="10">
        <v>0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0</v>
      </c>
      <c r="D11" s="6" t="s">
        <v>28</v>
      </c>
      <c r="E11" s="10">
        <v>0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30</v>
      </c>
      <c r="D13" s="6" t="s">
        <v>29</v>
      </c>
      <c r="E13" s="10">
        <v>60</v>
      </c>
      <c r="F13" s="2"/>
      <c r="G13" s="72" t="s">
        <v>36</v>
      </c>
      <c r="H13" s="72"/>
      <c r="I13" s="123">
        <v>10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20</v>
      </c>
      <c r="D15" s="6" t="s">
        <v>30</v>
      </c>
      <c r="E15" s="10">
        <v>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15</v>
      </c>
    </row>
    <row r="17" spans="2:14" x14ac:dyDescent="0.3">
      <c r="B17" s="13" t="s">
        <v>25</v>
      </c>
      <c r="C17" s="10">
        <v>40</v>
      </c>
      <c r="D17" s="6" t="s">
        <v>31</v>
      </c>
      <c r="E17" s="10">
        <v>50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30</v>
      </c>
      <c r="D19" s="6" t="s">
        <v>32</v>
      </c>
      <c r="E19" s="10">
        <v>30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290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24.166666666666668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99.369733020406613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12977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1297.7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20.652243256245836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12.083333333333334</v>
      </c>
      <c r="E37" s="87"/>
      <c r="F37" s="137" t="s">
        <v>41</v>
      </c>
      <c r="G37" s="138"/>
      <c r="H37" s="139"/>
      <c r="I37" s="30">
        <f>D37*(D35*I35/(D23))</f>
        <v>16.984958612360014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29.068291945693346</v>
      </c>
      <c r="E39" s="104"/>
      <c r="F39" s="105" t="s">
        <v>44</v>
      </c>
      <c r="G39" s="106"/>
      <c r="H39" s="107"/>
      <c r="I39" s="31">
        <f>SQRT(2*G30*D21/G32)</f>
        <v>94.545713206066779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3.067299300687822</v>
      </c>
      <c r="E41" s="87"/>
      <c r="F41" s="75" t="s">
        <v>45</v>
      </c>
      <c r="G41" s="76"/>
      <c r="H41" s="77"/>
      <c r="I41" s="25">
        <f>G30*D41</f>
        <v>61345.986013756439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83387.366805016034</v>
      </c>
      <c r="E43" s="133"/>
      <c r="F43" s="134" t="s">
        <v>47</v>
      </c>
      <c r="G43" s="135"/>
      <c r="H43" s="136"/>
      <c r="I43" s="26">
        <f>D43+I41</f>
        <v>144733.35281877249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118.99719075935991</v>
      </c>
      <c r="E45" s="87"/>
      <c r="F45" s="67" t="s">
        <v>49</v>
      </c>
      <c r="G45" s="110"/>
      <c r="H45" s="68"/>
      <c r="I45" s="27">
        <f>I43+(G28*D21)</f>
        <v>3908063.3528187727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5.9091070753791737</v>
      </c>
      <c r="C49" s="127"/>
      <c r="D49" s="7">
        <f t="shared" ref="D49:D57" si="0">$G$30*$D$21/B49</f>
        <v>981535.77622010303</v>
      </c>
      <c r="E49" s="129"/>
      <c r="F49" s="7">
        <f t="shared" ref="F49:F57" si="1">$G$32*(B49/2)</f>
        <v>3834.124125859777</v>
      </c>
      <c r="G49" s="115"/>
      <c r="H49" s="7">
        <f>D49+F49</f>
        <v>985369.90034596284</v>
      </c>
      <c r="I49" s="131"/>
    </row>
    <row r="50" spans="2:9" x14ac:dyDescent="0.3">
      <c r="B50" s="28">
        <f>B51/2</f>
        <v>11.818214150758347</v>
      </c>
      <c r="C50" s="127"/>
      <c r="D50" s="7">
        <f t="shared" si="0"/>
        <v>490767.88811005151</v>
      </c>
      <c r="E50" s="129"/>
      <c r="F50" s="7">
        <f t="shared" si="1"/>
        <v>7668.248251719554</v>
      </c>
      <c r="G50" s="116"/>
      <c r="H50" s="7">
        <f t="shared" ref="H50:H57" si="2">D50+F50</f>
        <v>498436.13636177109</v>
      </c>
      <c r="I50" s="131"/>
    </row>
    <row r="51" spans="2:9" x14ac:dyDescent="0.3">
      <c r="B51" s="28">
        <f>B52/2</f>
        <v>23.636428301516695</v>
      </c>
      <c r="C51" s="127"/>
      <c r="D51" s="7">
        <f t="shared" si="0"/>
        <v>245383.94405502576</v>
      </c>
      <c r="E51" s="129"/>
      <c r="F51" s="7">
        <f t="shared" si="1"/>
        <v>15336.496503439108</v>
      </c>
      <c r="G51" s="116"/>
      <c r="H51" s="7">
        <f t="shared" si="2"/>
        <v>260720.44055846488</v>
      </c>
      <c r="I51" s="131"/>
    </row>
    <row r="52" spans="2:9" x14ac:dyDescent="0.3">
      <c r="B52" s="28">
        <f>B53/2</f>
        <v>47.272856603033389</v>
      </c>
      <c r="C52" s="127"/>
      <c r="D52" s="7">
        <f t="shared" si="0"/>
        <v>122691.97202751288</v>
      </c>
      <c r="E52" s="129"/>
      <c r="F52" s="7">
        <f t="shared" si="1"/>
        <v>30672.993006878216</v>
      </c>
      <c r="G52" s="116"/>
      <c r="H52" s="7">
        <f t="shared" si="2"/>
        <v>153364.96503439109</v>
      </c>
      <c r="I52" s="131"/>
    </row>
    <row r="53" spans="2:9" x14ac:dyDescent="0.3">
      <c r="B53" s="29">
        <f>I39</f>
        <v>94.545713206066779</v>
      </c>
      <c r="C53" s="127"/>
      <c r="D53" s="7">
        <f t="shared" si="0"/>
        <v>61345.986013756439</v>
      </c>
      <c r="E53" s="129"/>
      <c r="F53" s="7">
        <f t="shared" si="1"/>
        <v>61345.986013756432</v>
      </c>
      <c r="G53" s="116"/>
      <c r="H53" s="7">
        <f t="shared" si="2"/>
        <v>122691.97202751288</v>
      </c>
      <c r="I53" s="131"/>
    </row>
    <row r="54" spans="2:9" x14ac:dyDescent="0.3">
      <c r="B54" s="28">
        <f>B53*2</f>
        <v>189.09142641213356</v>
      </c>
      <c r="C54" s="127"/>
      <c r="D54" s="7">
        <f t="shared" si="0"/>
        <v>30672.99300687822</v>
      </c>
      <c r="E54" s="129"/>
      <c r="F54" s="7">
        <f t="shared" si="1"/>
        <v>122691.97202751286</v>
      </c>
      <c r="G54" s="116"/>
      <c r="H54" s="7">
        <f t="shared" si="2"/>
        <v>153364.96503439109</v>
      </c>
      <c r="I54" s="131"/>
    </row>
    <row r="55" spans="2:9" x14ac:dyDescent="0.3">
      <c r="B55" s="28">
        <f>B54*2</f>
        <v>378.18285282426712</v>
      </c>
      <c r="C55" s="127"/>
      <c r="D55" s="7">
        <f t="shared" si="0"/>
        <v>15336.49650343911</v>
      </c>
      <c r="E55" s="129"/>
      <c r="F55" s="7">
        <f t="shared" si="1"/>
        <v>245383.94405502573</v>
      </c>
      <c r="G55" s="116"/>
      <c r="H55" s="7">
        <f t="shared" si="2"/>
        <v>260720.44055846485</v>
      </c>
      <c r="I55" s="131"/>
    </row>
    <row r="56" spans="2:9" x14ac:dyDescent="0.3">
      <c r="B56" s="28">
        <f>B55*2</f>
        <v>756.36570564853423</v>
      </c>
      <c r="C56" s="127"/>
      <c r="D56" s="7">
        <f t="shared" si="0"/>
        <v>7668.2482517195549</v>
      </c>
      <c r="E56" s="129"/>
      <c r="F56" s="7">
        <f t="shared" si="1"/>
        <v>490767.88811005146</v>
      </c>
      <c r="G56" s="116"/>
      <c r="H56" s="7">
        <f t="shared" si="2"/>
        <v>498436.13636177103</v>
      </c>
      <c r="I56" s="131"/>
    </row>
    <row r="57" spans="2:9" x14ac:dyDescent="0.3">
      <c r="B57" s="28">
        <f>B56*2</f>
        <v>1512.7314112970685</v>
      </c>
      <c r="C57" s="128"/>
      <c r="D57" s="7">
        <f t="shared" si="0"/>
        <v>3834.1241258597775</v>
      </c>
      <c r="E57" s="130"/>
      <c r="F57" s="7">
        <f t="shared" si="1"/>
        <v>981535.77622010291</v>
      </c>
      <c r="G57" s="117"/>
      <c r="H57" s="7">
        <f t="shared" si="2"/>
        <v>985369.90034596273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CF23F0F3-9F5A-4B0A-957F-2DE9A4F29F16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B327-A7F1-42A1-A8A2-AA1AFD7310D9}">
  <sheetPr>
    <pageSetUpPr fitToPage="1"/>
  </sheetPr>
  <dimension ref="B1:N87"/>
  <sheetViews>
    <sheetView topLeftCell="A24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66828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66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1100</v>
      </c>
      <c r="D9" s="6" t="s">
        <v>27</v>
      </c>
      <c r="E9" s="10">
        <v>0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200</v>
      </c>
      <c r="D11" s="6" t="s">
        <v>28</v>
      </c>
      <c r="E11" s="10">
        <v>1100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500</v>
      </c>
      <c r="D13" s="6" t="s">
        <v>29</v>
      </c>
      <c r="E13" s="10">
        <v>500</v>
      </c>
      <c r="F13" s="2"/>
      <c r="G13" s="72" t="s">
        <v>36</v>
      </c>
      <c r="H13" s="72"/>
      <c r="I13" s="123">
        <v>3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300</v>
      </c>
      <c r="D15" s="6" t="s">
        <v>30</v>
      </c>
      <c r="E15" s="10">
        <v>200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8</v>
      </c>
    </row>
    <row r="17" spans="2:14" x14ac:dyDescent="0.3">
      <c r="B17" s="13" t="s">
        <v>25</v>
      </c>
      <c r="C17" s="10">
        <v>1000</v>
      </c>
      <c r="D17" s="6" t="s">
        <v>31</v>
      </c>
      <c r="E17" s="10">
        <v>800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400</v>
      </c>
      <c r="D19" s="6" t="s">
        <v>32</v>
      </c>
      <c r="E19" s="10">
        <v>1400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7500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625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99.759902440545687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256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25.6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443.38573397315014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166.66666666666666</v>
      </c>
      <c r="E37" s="87"/>
      <c r="F37" s="137" t="s">
        <v>41</v>
      </c>
      <c r="G37" s="138"/>
      <c r="H37" s="139"/>
      <c r="I37" s="30">
        <f>D37*(D35*I35/(D23))</f>
        <v>194.48123537714034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361.14790204380699</v>
      </c>
      <c r="E39" s="104"/>
      <c r="F39" s="105" t="s">
        <v>44</v>
      </c>
      <c r="G39" s="106"/>
      <c r="H39" s="107"/>
      <c r="I39" s="31">
        <f>SQRT(2*G30*D21/G32)</f>
        <v>3423.2659844072882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2.1908902300206643</v>
      </c>
      <c r="E41" s="87"/>
      <c r="F41" s="75" t="s">
        <v>45</v>
      </c>
      <c r="G41" s="76"/>
      <c r="H41" s="77"/>
      <c r="I41" s="25">
        <f>G30*D41</f>
        <v>43817.804600413285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48796.524226068082</v>
      </c>
      <c r="E43" s="133"/>
      <c r="F43" s="134" t="s">
        <v>47</v>
      </c>
      <c r="G43" s="135"/>
      <c r="H43" s="136"/>
      <c r="I43" s="26">
        <f>D43+I41</f>
        <v>92614.32882648136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166.59894457448803</v>
      </c>
      <c r="E45" s="87"/>
      <c r="F45" s="67" t="s">
        <v>49</v>
      </c>
      <c r="G45" s="110"/>
      <c r="H45" s="68"/>
      <c r="I45" s="27">
        <f>I43+(G28*D21)</f>
        <v>2012614.3288264815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213.95412402545551</v>
      </c>
      <c r="C49" s="127"/>
      <c r="D49" s="7">
        <f t="shared" ref="D49:D57" si="0">$G$30*$D$21/B49</f>
        <v>701084.87360661267</v>
      </c>
      <c r="E49" s="129"/>
      <c r="F49" s="7">
        <f t="shared" ref="F49:F57" si="1">$G$32*(B49/2)</f>
        <v>2738.6127875258308</v>
      </c>
      <c r="G49" s="115"/>
      <c r="H49" s="7">
        <f>D49+F49</f>
        <v>703823.48639413854</v>
      </c>
      <c r="I49" s="131"/>
    </row>
    <row r="50" spans="2:9" x14ac:dyDescent="0.3">
      <c r="B50" s="28">
        <f>B51/2</f>
        <v>427.90824805091103</v>
      </c>
      <c r="C50" s="127"/>
      <c r="D50" s="7">
        <f t="shared" si="0"/>
        <v>350542.43680330634</v>
      </c>
      <c r="E50" s="129"/>
      <c r="F50" s="7">
        <f t="shared" si="1"/>
        <v>5477.2255750516615</v>
      </c>
      <c r="G50" s="116"/>
      <c r="H50" s="7">
        <f t="shared" ref="H50:H57" si="2">D50+F50</f>
        <v>356019.66237835801</v>
      </c>
      <c r="I50" s="131"/>
    </row>
    <row r="51" spans="2:9" x14ac:dyDescent="0.3">
      <c r="B51" s="28">
        <f>B52/2</f>
        <v>855.81649610182205</v>
      </c>
      <c r="C51" s="127"/>
      <c r="D51" s="7">
        <f t="shared" si="0"/>
        <v>175271.21840165317</v>
      </c>
      <c r="E51" s="129"/>
      <c r="F51" s="7">
        <f t="shared" si="1"/>
        <v>10954.451150103323</v>
      </c>
      <c r="G51" s="116"/>
      <c r="H51" s="7">
        <f t="shared" si="2"/>
        <v>186225.66955175649</v>
      </c>
      <c r="I51" s="131"/>
    </row>
    <row r="52" spans="2:9" x14ac:dyDescent="0.3">
      <c r="B52" s="28">
        <f>B53/2</f>
        <v>1711.6329922036441</v>
      </c>
      <c r="C52" s="127"/>
      <c r="D52" s="7">
        <f t="shared" si="0"/>
        <v>87635.609200826584</v>
      </c>
      <c r="E52" s="129"/>
      <c r="F52" s="7">
        <f t="shared" si="1"/>
        <v>21908.902300206646</v>
      </c>
      <c r="G52" s="116"/>
      <c r="H52" s="7">
        <f t="shared" si="2"/>
        <v>109544.51150103324</v>
      </c>
      <c r="I52" s="131"/>
    </row>
    <row r="53" spans="2:9" x14ac:dyDescent="0.3">
      <c r="B53" s="29">
        <f>I39</f>
        <v>3423.2659844072882</v>
      </c>
      <c r="C53" s="127"/>
      <c r="D53" s="7">
        <f t="shared" si="0"/>
        <v>43817.804600413292</v>
      </c>
      <c r="E53" s="129"/>
      <c r="F53" s="7">
        <f t="shared" si="1"/>
        <v>43817.804600413292</v>
      </c>
      <c r="G53" s="116"/>
      <c r="H53" s="7">
        <f t="shared" si="2"/>
        <v>87635.609200826584</v>
      </c>
      <c r="I53" s="131"/>
    </row>
    <row r="54" spans="2:9" x14ac:dyDescent="0.3">
      <c r="B54" s="28">
        <f>B53*2</f>
        <v>6846.5319688145764</v>
      </c>
      <c r="C54" s="127"/>
      <c r="D54" s="7">
        <f t="shared" si="0"/>
        <v>21908.902300206646</v>
      </c>
      <c r="E54" s="129"/>
      <c r="F54" s="7">
        <f t="shared" si="1"/>
        <v>87635.609200826584</v>
      </c>
      <c r="G54" s="116"/>
      <c r="H54" s="7">
        <f t="shared" si="2"/>
        <v>109544.51150103324</v>
      </c>
      <c r="I54" s="131"/>
    </row>
    <row r="55" spans="2:9" x14ac:dyDescent="0.3">
      <c r="B55" s="28">
        <f>B54*2</f>
        <v>13693.063937629153</v>
      </c>
      <c r="C55" s="127"/>
      <c r="D55" s="7">
        <f t="shared" si="0"/>
        <v>10954.451150103323</v>
      </c>
      <c r="E55" s="129"/>
      <c r="F55" s="7">
        <f t="shared" si="1"/>
        <v>175271.21840165317</v>
      </c>
      <c r="G55" s="116"/>
      <c r="H55" s="7">
        <f t="shared" si="2"/>
        <v>186225.66955175649</v>
      </c>
      <c r="I55" s="131"/>
    </row>
    <row r="56" spans="2:9" x14ac:dyDescent="0.3">
      <c r="B56" s="28">
        <f>B55*2</f>
        <v>27386.127875258306</v>
      </c>
      <c r="C56" s="127"/>
      <c r="D56" s="7">
        <f t="shared" si="0"/>
        <v>5477.2255750516615</v>
      </c>
      <c r="E56" s="129"/>
      <c r="F56" s="7">
        <f t="shared" si="1"/>
        <v>350542.43680330634</v>
      </c>
      <c r="G56" s="116"/>
      <c r="H56" s="7">
        <f t="shared" si="2"/>
        <v>356019.66237835801</v>
      </c>
      <c r="I56" s="131"/>
    </row>
    <row r="57" spans="2:9" x14ac:dyDescent="0.3">
      <c r="B57" s="28">
        <f>B56*2</f>
        <v>54772.255750516611</v>
      </c>
      <c r="C57" s="128"/>
      <c r="D57" s="7">
        <f t="shared" si="0"/>
        <v>2738.6127875258308</v>
      </c>
      <c r="E57" s="130"/>
      <c r="F57" s="7">
        <f t="shared" si="1"/>
        <v>701084.87360661267</v>
      </c>
      <c r="G57" s="117"/>
      <c r="H57" s="7">
        <f t="shared" si="2"/>
        <v>703823.48639413854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E59A71BC-8FD9-43EE-9B67-D1B45CB7A5C7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61D5-DB78-47A9-AA32-82310EE46FFB}">
  <sheetPr>
    <pageSetUpPr fitToPage="1"/>
  </sheetPr>
  <dimension ref="B1:N87"/>
  <sheetViews>
    <sheetView topLeftCell="A23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68335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67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0</v>
      </c>
      <c r="D9" s="6" t="s">
        <v>27</v>
      </c>
      <c r="E9" s="10">
        <v>0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45</v>
      </c>
      <c r="D11" s="6" t="s">
        <v>28</v>
      </c>
      <c r="E11" s="10">
        <v>0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0</v>
      </c>
      <c r="D13" s="6" t="s">
        <v>29</v>
      </c>
      <c r="E13" s="10">
        <v>20</v>
      </c>
      <c r="F13" s="2"/>
      <c r="G13" s="72" t="s">
        <v>36</v>
      </c>
      <c r="H13" s="72"/>
      <c r="I13" s="123">
        <v>10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40</v>
      </c>
      <c r="D15" s="6" t="s">
        <v>30</v>
      </c>
      <c r="E15" s="10">
        <v>40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15</v>
      </c>
    </row>
    <row r="17" spans="2:14" x14ac:dyDescent="0.3">
      <c r="B17" s="13" t="s">
        <v>25</v>
      </c>
      <c r="C17" s="10">
        <v>20</v>
      </c>
      <c r="D17" s="6" t="s">
        <v>31</v>
      </c>
      <c r="E17" s="10">
        <v>40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40</v>
      </c>
      <c r="D19" s="6" t="s">
        <v>32</v>
      </c>
      <c r="E19" s="10">
        <v>20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265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22.083333333333332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99.096240727893871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29200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2920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18.52005465009281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11.041666666666666</v>
      </c>
      <c r="E37" s="87"/>
      <c r="F37" s="137" t="s">
        <v>41</v>
      </c>
      <c r="G37" s="138"/>
      <c r="H37" s="139"/>
      <c r="I37" s="30">
        <f>D37*(D35*I35/(D23))</f>
        <v>15.23138953127231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26.273056197938978</v>
      </c>
      <c r="E39" s="104"/>
      <c r="F39" s="105" t="s">
        <v>44</v>
      </c>
      <c r="G39" s="106"/>
      <c r="H39" s="107"/>
      <c r="I39" s="31">
        <f>SQRT(2*G30*D21/G32)</f>
        <v>60.250618140408896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4.3982951242498496</v>
      </c>
      <c r="E41" s="87"/>
      <c r="F41" s="75" t="s">
        <v>45</v>
      </c>
      <c r="G41" s="76"/>
      <c r="H41" s="77"/>
      <c r="I41" s="25">
        <f>G30*D41</f>
        <v>87965.902484996986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132441.55991631214</v>
      </c>
      <c r="E43" s="133"/>
      <c r="F43" s="134" t="s">
        <v>47</v>
      </c>
      <c r="G43" s="135"/>
      <c r="H43" s="136"/>
      <c r="I43" s="26">
        <f>D43+I41</f>
        <v>220407.46240130911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82.98670045754433</v>
      </c>
      <c r="E45" s="87"/>
      <c r="F45" s="67" t="s">
        <v>49</v>
      </c>
      <c r="G45" s="110"/>
      <c r="H45" s="68"/>
      <c r="I45" s="27">
        <f>I43+(G28*D21)</f>
        <v>7958407.4624013091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3.765663633775556</v>
      </c>
      <c r="C49" s="127"/>
      <c r="D49" s="7">
        <f t="shared" ref="D49:D57" si="0">$G$30*$D$21/B49</f>
        <v>1407454.439759952</v>
      </c>
      <c r="E49" s="129"/>
      <c r="F49" s="7">
        <f t="shared" ref="F49:F57" si="1">$G$32*(B49/2)</f>
        <v>5497.8689053123117</v>
      </c>
      <c r="G49" s="115"/>
      <c r="H49" s="7">
        <f>D49+F49</f>
        <v>1412952.3086652644</v>
      </c>
      <c r="I49" s="131"/>
    </row>
    <row r="50" spans="2:9" x14ac:dyDescent="0.3">
      <c r="B50" s="28">
        <f>B51/2</f>
        <v>7.531327267551112</v>
      </c>
      <c r="C50" s="127"/>
      <c r="D50" s="7">
        <f t="shared" si="0"/>
        <v>703727.21987997601</v>
      </c>
      <c r="E50" s="129"/>
      <c r="F50" s="7">
        <f t="shared" si="1"/>
        <v>10995.737810624623</v>
      </c>
      <c r="G50" s="116"/>
      <c r="H50" s="7">
        <f t="shared" ref="H50:H57" si="2">D50+F50</f>
        <v>714722.95769060066</v>
      </c>
      <c r="I50" s="131"/>
    </row>
    <row r="51" spans="2:9" x14ac:dyDescent="0.3">
      <c r="B51" s="28">
        <f>B52/2</f>
        <v>15.062654535102224</v>
      </c>
      <c r="C51" s="127"/>
      <c r="D51" s="7">
        <f t="shared" si="0"/>
        <v>351863.609939988</v>
      </c>
      <c r="E51" s="129"/>
      <c r="F51" s="7">
        <f t="shared" si="1"/>
        <v>21991.475621249247</v>
      </c>
      <c r="G51" s="116"/>
      <c r="H51" s="7">
        <f t="shared" si="2"/>
        <v>373855.08556123724</v>
      </c>
      <c r="I51" s="131"/>
    </row>
    <row r="52" spans="2:9" x14ac:dyDescent="0.3">
      <c r="B52" s="28">
        <f>B53/2</f>
        <v>30.125309070204448</v>
      </c>
      <c r="C52" s="127"/>
      <c r="D52" s="7">
        <f t="shared" si="0"/>
        <v>175931.804969994</v>
      </c>
      <c r="E52" s="129"/>
      <c r="F52" s="7">
        <f t="shared" si="1"/>
        <v>43982.951242498493</v>
      </c>
      <c r="G52" s="116"/>
      <c r="H52" s="7">
        <f t="shared" si="2"/>
        <v>219914.7562124925</v>
      </c>
      <c r="I52" s="131"/>
    </row>
    <row r="53" spans="2:9" x14ac:dyDescent="0.3">
      <c r="B53" s="29">
        <f>I39</f>
        <v>60.250618140408896</v>
      </c>
      <c r="C53" s="127"/>
      <c r="D53" s="7">
        <f t="shared" si="0"/>
        <v>87965.902484997001</v>
      </c>
      <c r="E53" s="129"/>
      <c r="F53" s="7">
        <f t="shared" si="1"/>
        <v>87965.902484996986</v>
      </c>
      <c r="G53" s="116"/>
      <c r="H53" s="7">
        <f t="shared" si="2"/>
        <v>175931.804969994</v>
      </c>
      <c r="I53" s="131"/>
    </row>
    <row r="54" spans="2:9" x14ac:dyDescent="0.3">
      <c r="B54" s="28">
        <f>B53*2</f>
        <v>120.50123628081779</v>
      </c>
      <c r="C54" s="127"/>
      <c r="D54" s="7">
        <f t="shared" si="0"/>
        <v>43982.951242498501</v>
      </c>
      <c r="E54" s="129"/>
      <c r="F54" s="7">
        <f t="shared" si="1"/>
        <v>175931.80496999397</v>
      </c>
      <c r="G54" s="116"/>
      <c r="H54" s="7">
        <f t="shared" si="2"/>
        <v>219914.75621249247</v>
      </c>
      <c r="I54" s="131"/>
    </row>
    <row r="55" spans="2:9" x14ac:dyDescent="0.3">
      <c r="B55" s="28">
        <f>B54*2</f>
        <v>241.00247256163559</v>
      </c>
      <c r="C55" s="127"/>
      <c r="D55" s="7">
        <f t="shared" si="0"/>
        <v>21991.47562124925</v>
      </c>
      <c r="E55" s="129"/>
      <c r="F55" s="7">
        <f t="shared" si="1"/>
        <v>351863.60993998795</v>
      </c>
      <c r="G55" s="116"/>
      <c r="H55" s="7">
        <f t="shared" si="2"/>
        <v>373855.08556123718</v>
      </c>
      <c r="I55" s="131"/>
    </row>
    <row r="56" spans="2:9" x14ac:dyDescent="0.3">
      <c r="B56" s="28">
        <f>B55*2</f>
        <v>482.00494512327117</v>
      </c>
      <c r="C56" s="127"/>
      <c r="D56" s="7">
        <f t="shared" si="0"/>
        <v>10995.737810624625</v>
      </c>
      <c r="E56" s="129"/>
      <c r="F56" s="7">
        <f t="shared" si="1"/>
        <v>703727.21987997589</v>
      </c>
      <c r="G56" s="116"/>
      <c r="H56" s="7">
        <f t="shared" si="2"/>
        <v>714722.95769060054</v>
      </c>
      <c r="I56" s="131"/>
    </row>
    <row r="57" spans="2:9" x14ac:dyDescent="0.3">
      <c r="B57" s="28">
        <f>B56*2</f>
        <v>964.00989024654234</v>
      </c>
      <c r="C57" s="128"/>
      <c r="D57" s="7">
        <f t="shared" si="0"/>
        <v>5497.8689053123126</v>
      </c>
      <c r="E57" s="130"/>
      <c r="F57" s="7">
        <f t="shared" si="1"/>
        <v>1407454.4397599518</v>
      </c>
      <c r="G57" s="117"/>
      <c r="H57" s="7">
        <f t="shared" si="2"/>
        <v>1412952.3086652642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F159116F-7910-4B80-B6E3-37A69385D07D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BC75-9EFE-4773-90D7-7D3C299A7261}">
  <sheetPr>
    <pageSetUpPr fitToPage="1"/>
  </sheetPr>
  <dimension ref="B1:N87"/>
  <sheetViews>
    <sheetView topLeftCell="A26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70040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68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50</v>
      </c>
      <c r="D9" s="6" t="s">
        <v>27</v>
      </c>
      <c r="E9" s="10">
        <v>0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50</v>
      </c>
      <c r="D11" s="6" t="s">
        <v>28</v>
      </c>
      <c r="E11" s="10">
        <v>350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150</v>
      </c>
      <c r="D13" s="6" t="s">
        <v>29</v>
      </c>
      <c r="E13" s="10">
        <v>50</v>
      </c>
      <c r="F13" s="2"/>
      <c r="G13" s="72" t="s">
        <v>36</v>
      </c>
      <c r="H13" s="72"/>
      <c r="I13" s="123">
        <v>10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100</v>
      </c>
      <c r="D15" s="6" t="s">
        <v>30</v>
      </c>
      <c r="E15" s="10">
        <v>100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15</v>
      </c>
    </row>
    <row r="17" spans="2:14" x14ac:dyDescent="0.3">
      <c r="B17" s="13" t="s">
        <v>25</v>
      </c>
      <c r="C17" s="10">
        <v>50</v>
      </c>
      <c r="D17" s="6" t="s">
        <v>31</v>
      </c>
      <c r="E17" s="10">
        <v>200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150</v>
      </c>
      <c r="D19" s="6" t="s">
        <v>32</v>
      </c>
      <c r="E19" s="10">
        <v>100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1350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112.5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99.0703473959815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6065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606.5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93.237234076209162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56.25</v>
      </c>
      <c r="E37" s="87"/>
      <c r="F37" s="137" t="s">
        <v>41</v>
      </c>
      <c r="G37" s="138"/>
      <c r="H37" s="139"/>
      <c r="I37" s="30">
        <f>D37*(D35*I35/(D23))</f>
        <v>76.680801318587982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132.93080131858798</v>
      </c>
      <c r="E39" s="104"/>
      <c r="F39" s="105" t="s">
        <v>44</v>
      </c>
      <c r="G39" s="106"/>
      <c r="H39" s="107"/>
      <c r="I39" s="31">
        <f>SQRT(2*G30*D21/G32)</f>
        <v>298.38808504908172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4.5243093395567024</v>
      </c>
      <c r="E41" s="87"/>
      <c r="F41" s="75" t="s">
        <v>45</v>
      </c>
      <c r="G41" s="76"/>
      <c r="H41" s="77"/>
      <c r="I41" s="25">
        <f>G30*D41</f>
        <v>90486.186791134052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136993.09279085766</v>
      </c>
      <c r="E43" s="133"/>
      <c r="F43" s="134" t="s">
        <v>47</v>
      </c>
      <c r="G43" s="135"/>
      <c r="H43" s="136"/>
      <c r="I43" s="26">
        <f>D43+I41</f>
        <v>227479.27958199172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80.675297068825799</v>
      </c>
      <c r="E45" s="87"/>
      <c r="F45" s="67" t="s">
        <v>49</v>
      </c>
      <c r="G45" s="110"/>
      <c r="H45" s="68"/>
      <c r="I45" s="27">
        <f>I43+(G28*D21)</f>
        <v>8415229.279581992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18.649255315567608</v>
      </c>
      <c r="C49" s="127"/>
      <c r="D49" s="7">
        <f t="shared" ref="D49:D57" si="0">$G$30*$D$21/B49</f>
        <v>1447778.9886581446</v>
      </c>
      <c r="E49" s="129"/>
      <c r="F49" s="7">
        <f t="shared" ref="F49:F57" si="1">$G$32*(B49/2)</f>
        <v>5655.3866744458774</v>
      </c>
      <c r="G49" s="115"/>
      <c r="H49" s="7">
        <f>D49+F49</f>
        <v>1453434.3753325904</v>
      </c>
      <c r="I49" s="131"/>
    </row>
    <row r="50" spans="2:9" x14ac:dyDescent="0.3">
      <c r="B50" s="28">
        <f>B51/2</f>
        <v>37.298510631135215</v>
      </c>
      <c r="C50" s="127"/>
      <c r="D50" s="7">
        <f t="shared" si="0"/>
        <v>723889.4943290723</v>
      </c>
      <c r="E50" s="129"/>
      <c r="F50" s="7">
        <f t="shared" si="1"/>
        <v>11310.773348891755</v>
      </c>
      <c r="G50" s="116"/>
      <c r="H50" s="7">
        <f t="shared" ref="H50:H57" si="2">D50+F50</f>
        <v>735200.26767796406</v>
      </c>
      <c r="I50" s="131"/>
    </row>
    <row r="51" spans="2:9" x14ac:dyDescent="0.3">
      <c r="B51" s="28">
        <f>B52/2</f>
        <v>74.597021262270431</v>
      </c>
      <c r="C51" s="127"/>
      <c r="D51" s="7">
        <f t="shared" si="0"/>
        <v>361944.74716453615</v>
      </c>
      <c r="E51" s="129"/>
      <c r="F51" s="7">
        <f t="shared" si="1"/>
        <v>22621.546697783509</v>
      </c>
      <c r="G51" s="116"/>
      <c r="H51" s="7">
        <f t="shared" si="2"/>
        <v>384566.29386231967</v>
      </c>
      <c r="I51" s="131"/>
    </row>
    <row r="52" spans="2:9" x14ac:dyDescent="0.3">
      <c r="B52" s="28">
        <f>B53/2</f>
        <v>149.19404252454086</v>
      </c>
      <c r="C52" s="127"/>
      <c r="D52" s="7">
        <f t="shared" si="0"/>
        <v>180972.37358226808</v>
      </c>
      <c r="E52" s="129"/>
      <c r="F52" s="7">
        <f t="shared" si="1"/>
        <v>45243.093395567019</v>
      </c>
      <c r="G52" s="116"/>
      <c r="H52" s="7">
        <f t="shared" si="2"/>
        <v>226215.46697783511</v>
      </c>
      <c r="I52" s="131"/>
    </row>
    <row r="53" spans="2:9" x14ac:dyDescent="0.3">
      <c r="B53" s="29">
        <f>I39</f>
        <v>298.38808504908172</v>
      </c>
      <c r="C53" s="127"/>
      <c r="D53" s="7">
        <f t="shared" si="0"/>
        <v>90486.186791134038</v>
      </c>
      <c r="E53" s="129"/>
      <c r="F53" s="7">
        <f t="shared" si="1"/>
        <v>90486.186791134038</v>
      </c>
      <c r="G53" s="116"/>
      <c r="H53" s="7">
        <f t="shared" si="2"/>
        <v>180972.37358226808</v>
      </c>
      <c r="I53" s="131"/>
    </row>
    <row r="54" spans="2:9" x14ac:dyDescent="0.3">
      <c r="B54" s="28">
        <f>B53*2</f>
        <v>596.77617009816345</v>
      </c>
      <c r="C54" s="127"/>
      <c r="D54" s="7">
        <f t="shared" si="0"/>
        <v>45243.093395567019</v>
      </c>
      <c r="E54" s="129"/>
      <c r="F54" s="7">
        <f t="shared" si="1"/>
        <v>180972.37358226808</v>
      </c>
      <c r="G54" s="116"/>
      <c r="H54" s="7">
        <f t="shared" si="2"/>
        <v>226215.46697783511</v>
      </c>
      <c r="I54" s="131"/>
    </row>
    <row r="55" spans="2:9" x14ac:dyDescent="0.3">
      <c r="B55" s="28">
        <f>B54*2</f>
        <v>1193.5523401963269</v>
      </c>
      <c r="C55" s="127"/>
      <c r="D55" s="7">
        <f t="shared" si="0"/>
        <v>22621.546697783509</v>
      </c>
      <c r="E55" s="129"/>
      <c r="F55" s="7">
        <f t="shared" si="1"/>
        <v>361944.74716453615</v>
      </c>
      <c r="G55" s="116"/>
      <c r="H55" s="7">
        <f t="shared" si="2"/>
        <v>384566.29386231967</v>
      </c>
      <c r="I55" s="131"/>
    </row>
    <row r="56" spans="2:9" x14ac:dyDescent="0.3">
      <c r="B56" s="28">
        <f>B55*2</f>
        <v>2387.1046803926538</v>
      </c>
      <c r="C56" s="127"/>
      <c r="D56" s="7">
        <f t="shared" si="0"/>
        <v>11310.773348891755</v>
      </c>
      <c r="E56" s="129"/>
      <c r="F56" s="7">
        <f t="shared" si="1"/>
        <v>723889.4943290723</v>
      </c>
      <c r="G56" s="116"/>
      <c r="H56" s="7">
        <f t="shared" si="2"/>
        <v>735200.26767796406</v>
      </c>
      <c r="I56" s="131"/>
    </row>
    <row r="57" spans="2:9" x14ac:dyDescent="0.3">
      <c r="B57" s="28">
        <f>B56*2</f>
        <v>4774.2093607853076</v>
      </c>
      <c r="C57" s="128"/>
      <c r="D57" s="7">
        <f t="shared" si="0"/>
        <v>5655.3866744458774</v>
      </c>
      <c r="E57" s="130"/>
      <c r="F57" s="7">
        <f t="shared" si="1"/>
        <v>1447778.9886581446</v>
      </c>
      <c r="G57" s="117"/>
      <c r="H57" s="7">
        <f t="shared" si="2"/>
        <v>1453434.3753325904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3771E8E5-6359-458D-913D-85C64156337F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A71B-DCFA-4C06-B32E-8DE46A6E52CF}">
  <sheetPr>
    <pageSetUpPr fitToPage="1"/>
  </sheetPr>
  <dimension ref="B1:N87"/>
  <sheetViews>
    <sheetView topLeftCell="A26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71170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69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3</v>
      </c>
      <c r="D9" s="6" t="s">
        <v>27</v>
      </c>
      <c r="E9" s="10">
        <v>2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6</v>
      </c>
      <c r="D11" s="6" t="s">
        <v>28</v>
      </c>
      <c r="E11" s="10">
        <v>6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1</v>
      </c>
      <c r="D13" s="6" t="s">
        <v>29</v>
      </c>
      <c r="E13" s="10">
        <v>9</v>
      </c>
      <c r="F13" s="2"/>
      <c r="G13" s="72" t="s">
        <v>36</v>
      </c>
      <c r="H13" s="72"/>
      <c r="I13" s="123">
        <v>3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5</v>
      </c>
      <c r="D15" s="6" t="s">
        <v>30</v>
      </c>
      <c r="E15" s="10">
        <v>5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8</v>
      </c>
    </row>
    <row r="17" spans="2:14" x14ac:dyDescent="0.3">
      <c r="B17" s="13" t="s">
        <v>25</v>
      </c>
      <c r="C17" s="10">
        <v>8</v>
      </c>
      <c r="D17" s="6" t="s">
        <v>31</v>
      </c>
      <c r="E17" s="10">
        <v>5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8</v>
      </c>
      <c r="D19" s="6" t="s">
        <v>32</v>
      </c>
      <c r="E19" s="10">
        <v>8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66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5.5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99.545226803602745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104369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10436.900000000001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2.540579747724022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1.4666666666666666</v>
      </c>
      <c r="E37" s="87"/>
      <c r="F37" s="137" t="s">
        <v>41</v>
      </c>
      <c r="G37" s="138"/>
      <c r="H37" s="139"/>
      <c r="I37" s="30">
        <f>D37*(D35*I35/(D23))</f>
        <v>1.1143684833608833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2.5810351500275499</v>
      </c>
      <c r="E39" s="104"/>
      <c r="F39" s="105" t="s">
        <v>44</v>
      </c>
      <c r="G39" s="106"/>
      <c r="H39" s="107"/>
      <c r="I39" s="31">
        <f>SQRT(2*G30*D21/G32)</f>
        <v>15.904360172560819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4.149805417125001</v>
      </c>
      <c r="E41" s="87"/>
      <c r="F41" s="75" t="s">
        <v>45</v>
      </c>
      <c r="G41" s="76"/>
      <c r="H41" s="77"/>
      <c r="I41" s="25">
        <f>G30*D41</f>
        <v>82996.108342500025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94626.660766489222</v>
      </c>
      <c r="E43" s="133"/>
      <c r="F43" s="134" t="s">
        <v>47</v>
      </c>
      <c r="G43" s="135"/>
      <c r="H43" s="136"/>
      <c r="I43" s="26">
        <f>D43+I41</f>
        <v>177622.76910898925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87.95593125734392</v>
      </c>
      <c r="E45" s="87"/>
      <c r="F45" s="67" t="s">
        <v>49</v>
      </c>
      <c r="G45" s="110"/>
      <c r="H45" s="68"/>
      <c r="I45" s="27">
        <f>I43+(G28*D21)</f>
        <v>7065976.7691089893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0.99402251078505122</v>
      </c>
      <c r="C49" s="127"/>
      <c r="D49" s="7">
        <f t="shared" ref="D49:D57" si="0">$G$30*$D$21/B49</f>
        <v>1327937.7334800002</v>
      </c>
      <c r="E49" s="129"/>
      <c r="F49" s="7">
        <f t="shared" ref="F49:F57" si="1">$G$32*(B49/2)</f>
        <v>5187.2567714062516</v>
      </c>
      <c r="G49" s="115"/>
      <c r="H49" s="7">
        <f>D49+F49</f>
        <v>1333124.9902514063</v>
      </c>
      <c r="I49" s="131"/>
    </row>
    <row r="50" spans="2:9" x14ac:dyDescent="0.3">
      <c r="B50" s="28">
        <f>B51/2</f>
        <v>1.9880450215701024</v>
      </c>
      <c r="C50" s="127"/>
      <c r="D50" s="7">
        <f t="shared" si="0"/>
        <v>663968.86674000008</v>
      </c>
      <c r="E50" s="129"/>
      <c r="F50" s="7">
        <f t="shared" si="1"/>
        <v>10374.513542812503</v>
      </c>
      <c r="G50" s="116"/>
      <c r="H50" s="7">
        <f t="shared" ref="H50:H57" si="2">D50+F50</f>
        <v>674343.38028281264</v>
      </c>
      <c r="I50" s="131"/>
    </row>
    <row r="51" spans="2:9" x14ac:dyDescent="0.3">
      <c r="B51" s="28">
        <f>B52/2</f>
        <v>3.9760900431402049</v>
      </c>
      <c r="C51" s="127"/>
      <c r="D51" s="7">
        <f t="shared" si="0"/>
        <v>331984.43337000004</v>
      </c>
      <c r="E51" s="129"/>
      <c r="F51" s="7">
        <f t="shared" si="1"/>
        <v>20749.027085625006</v>
      </c>
      <c r="G51" s="116"/>
      <c r="H51" s="7">
        <f t="shared" si="2"/>
        <v>352733.46045562503</v>
      </c>
      <c r="I51" s="131"/>
    </row>
    <row r="52" spans="2:9" x14ac:dyDescent="0.3">
      <c r="B52" s="28">
        <f>B53/2</f>
        <v>7.9521800862804097</v>
      </c>
      <c r="C52" s="127"/>
      <c r="D52" s="7">
        <f t="shared" si="0"/>
        <v>165992.21668500002</v>
      </c>
      <c r="E52" s="129"/>
      <c r="F52" s="7">
        <f t="shared" si="1"/>
        <v>41498.054171250013</v>
      </c>
      <c r="G52" s="116"/>
      <c r="H52" s="7">
        <f t="shared" si="2"/>
        <v>207490.27085625002</v>
      </c>
      <c r="I52" s="131"/>
    </row>
    <row r="53" spans="2:9" x14ac:dyDescent="0.3">
      <c r="B53" s="29">
        <f>I39</f>
        <v>15.904360172560819</v>
      </c>
      <c r="C53" s="127"/>
      <c r="D53" s="7">
        <f t="shared" si="0"/>
        <v>82996.108342500011</v>
      </c>
      <c r="E53" s="129"/>
      <c r="F53" s="7">
        <f t="shared" si="1"/>
        <v>82996.108342500025</v>
      </c>
      <c r="G53" s="116"/>
      <c r="H53" s="7">
        <f t="shared" si="2"/>
        <v>165992.21668500005</v>
      </c>
      <c r="I53" s="131"/>
    </row>
    <row r="54" spans="2:9" x14ac:dyDescent="0.3">
      <c r="B54" s="28">
        <f>B53*2</f>
        <v>31.808720345121639</v>
      </c>
      <c r="C54" s="127"/>
      <c r="D54" s="7">
        <f t="shared" si="0"/>
        <v>41498.054171250005</v>
      </c>
      <c r="E54" s="129"/>
      <c r="F54" s="7">
        <f t="shared" si="1"/>
        <v>165992.21668500005</v>
      </c>
      <c r="G54" s="116"/>
      <c r="H54" s="7">
        <f t="shared" si="2"/>
        <v>207490.27085625005</v>
      </c>
      <c r="I54" s="131"/>
    </row>
    <row r="55" spans="2:9" x14ac:dyDescent="0.3">
      <c r="B55" s="28">
        <f>B54*2</f>
        <v>63.617440690243278</v>
      </c>
      <c r="C55" s="127"/>
      <c r="D55" s="7">
        <f t="shared" si="0"/>
        <v>20749.027085625003</v>
      </c>
      <c r="E55" s="129"/>
      <c r="F55" s="7">
        <f t="shared" si="1"/>
        <v>331984.4333700001</v>
      </c>
      <c r="G55" s="116"/>
      <c r="H55" s="7">
        <f t="shared" si="2"/>
        <v>352733.46045562509</v>
      </c>
      <c r="I55" s="131"/>
    </row>
    <row r="56" spans="2:9" x14ac:dyDescent="0.3">
      <c r="B56" s="28">
        <f>B55*2</f>
        <v>127.23488138048656</v>
      </c>
      <c r="C56" s="127"/>
      <c r="D56" s="7">
        <f t="shared" si="0"/>
        <v>10374.513542812501</v>
      </c>
      <c r="E56" s="129"/>
      <c r="F56" s="7">
        <f t="shared" si="1"/>
        <v>663968.8667400002</v>
      </c>
      <c r="G56" s="116"/>
      <c r="H56" s="7">
        <f t="shared" si="2"/>
        <v>674343.38028281275</v>
      </c>
      <c r="I56" s="131"/>
    </row>
    <row r="57" spans="2:9" x14ac:dyDescent="0.3">
      <c r="B57" s="28">
        <f>B56*2</f>
        <v>254.46976276097311</v>
      </c>
      <c r="C57" s="128"/>
      <c r="D57" s="7">
        <f t="shared" si="0"/>
        <v>5187.2567714062507</v>
      </c>
      <c r="E57" s="130"/>
      <c r="F57" s="7">
        <f t="shared" si="1"/>
        <v>1327937.7334800004</v>
      </c>
      <c r="G57" s="117"/>
      <c r="H57" s="7">
        <f t="shared" si="2"/>
        <v>1333124.9902514066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F39A9B1A-A9D4-4B04-A7A0-B468650EBF2B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17CF-50C8-4BE8-8381-F9B8470EFD72}">
  <sheetPr>
    <pageSetUpPr fitToPage="1"/>
  </sheetPr>
  <dimension ref="B1:N87"/>
  <sheetViews>
    <sheetView topLeftCell="A26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71946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70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8</v>
      </c>
      <c r="D9" s="6" t="s">
        <v>27</v>
      </c>
      <c r="E9" s="10">
        <v>8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6</v>
      </c>
      <c r="D11" s="6" t="s">
        <v>28</v>
      </c>
      <c r="E11" s="10">
        <v>4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5</v>
      </c>
      <c r="D13" s="6" t="s">
        <v>29</v>
      </c>
      <c r="E13" s="10">
        <v>3</v>
      </c>
      <c r="F13" s="2"/>
      <c r="G13" s="72" t="s">
        <v>36</v>
      </c>
      <c r="H13" s="72"/>
      <c r="I13" s="123">
        <v>10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7</v>
      </c>
      <c r="D15" s="6" t="s">
        <v>30</v>
      </c>
      <c r="E15" s="10">
        <v>12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15</v>
      </c>
    </row>
    <row r="17" spans="2:14" x14ac:dyDescent="0.3">
      <c r="B17" s="13" t="s">
        <v>25</v>
      </c>
      <c r="C17" s="10">
        <v>3</v>
      </c>
      <c r="D17" s="6" t="s">
        <v>31</v>
      </c>
      <c r="E17" s="10">
        <v>8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7</v>
      </c>
      <c r="D19" s="6" t="s">
        <v>32</v>
      </c>
      <c r="E19" s="10">
        <v>3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74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6.166666666666667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99.302110888564926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62354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6235.4000000000005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2.7247463045653308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3.0833333333333335</v>
      </c>
      <c r="E37" s="87"/>
      <c r="F37" s="137" t="s">
        <v>41</v>
      </c>
      <c r="G37" s="138"/>
      <c r="H37" s="139"/>
      <c r="I37" s="30">
        <f>D37*(D35*I35/(D23))</f>
        <v>2.2409044207934516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5.3242377541267851</v>
      </c>
      <c r="E39" s="104"/>
      <c r="F39" s="105" t="s">
        <v>44</v>
      </c>
      <c r="G39" s="106"/>
      <c r="H39" s="107"/>
      <c r="I39" s="31">
        <f>SQRT(2*G30*D21/G32)</f>
        <v>21.787815862018086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3.3963936756506894</v>
      </c>
      <c r="E41" s="87"/>
      <c r="F41" s="75" t="s">
        <v>45</v>
      </c>
      <c r="G41" s="76"/>
      <c r="H41" s="77"/>
      <c r="I41" s="25">
        <f>G30*D41</f>
        <v>67927.873513013794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81900.808938429283</v>
      </c>
      <c r="E43" s="133"/>
      <c r="F43" s="134" t="s">
        <v>47</v>
      </c>
      <c r="G43" s="135"/>
      <c r="H43" s="136"/>
      <c r="I43" s="26">
        <f>D43+I41</f>
        <v>149828.68245144308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107.4669295896838</v>
      </c>
      <c r="E45" s="87"/>
      <c r="F45" s="67" t="s">
        <v>49</v>
      </c>
      <c r="G45" s="110"/>
      <c r="H45" s="68"/>
      <c r="I45" s="27">
        <f>I43+(G28*D21)</f>
        <v>4764024.6824514428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1.3617384913761303</v>
      </c>
      <c r="C49" s="127"/>
      <c r="D49" s="7">
        <f t="shared" ref="D49:D57" si="0">$G$30*$D$21/B49</f>
        <v>1086845.9762082207</v>
      </c>
      <c r="E49" s="129"/>
      <c r="F49" s="7">
        <f t="shared" ref="F49:F57" si="1">$G$32*(B49/2)</f>
        <v>4245.4920945633621</v>
      </c>
      <c r="G49" s="115"/>
      <c r="H49" s="7">
        <f>D49+F49</f>
        <v>1091091.468302784</v>
      </c>
      <c r="I49" s="131"/>
    </row>
    <row r="50" spans="2:9" x14ac:dyDescent="0.3">
      <c r="B50" s="28">
        <f>B51/2</f>
        <v>2.7234769827522607</v>
      </c>
      <c r="C50" s="127"/>
      <c r="D50" s="7">
        <f t="shared" si="0"/>
        <v>543422.98810411035</v>
      </c>
      <c r="E50" s="129"/>
      <c r="F50" s="7">
        <f t="shared" si="1"/>
        <v>8490.9841891267242</v>
      </c>
      <c r="G50" s="116"/>
      <c r="H50" s="7">
        <f t="shared" ref="H50:H57" si="2">D50+F50</f>
        <v>551913.97229323711</v>
      </c>
      <c r="I50" s="131"/>
    </row>
    <row r="51" spans="2:9" x14ac:dyDescent="0.3">
      <c r="B51" s="28">
        <f>B52/2</f>
        <v>5.4469539655045214</v>
      </c>
      <c r="C51" s="127"/>
      <c r="D51" s="7">
        <f t="shared" si="0"/>
        <v>271711.49405205518</v>
      </c>
      <c r="E51" s="129"/>
      <c r="F51" s="7">
        <f t="shared" si="1"/>
        <v>16981.968378253448</v>
      </c>
      <c r="G51" s="116"/>
      <c r="H51" s="7">
        <f t="shared" si="2"/>
        <v>288693.46243030863</v>
      </c>
      <c r="I51" s="131"/>
    </row>
    <row r="52" spans="2:9" x14ac:dyDescent="0.3">
      <c r="B52" s="28">
        <f>B53/2</f>
        <v>10.893907931009043</v>
      </c>
      <c r="C52" s="127"/>
      <c r="D52" s="7">
        <f t="shared" si="0"/>
        <v>135855.74702602759</v>
      </c>
      <c r="E52" s="129"/>
      <c r="F52" s="7">
        <f t="shared" si="1"/>
        <v>33963.936756506897</v>
      </c>
      <c r="G52" s="116"/>
      <c r="H52" s="7">
        <f t="shared" si="2"/>
        <v>169819.6837825345</v>
      </c>
      <c r="I52" s="131"/>
    </row>
    <row r="53" spans="2:9" x14ac:dyDescent="0.3">
      <c r="B53" s="29">
        <f>I39</f>
        <v>21.787815862018086</v>
      </c>
      <c r="C53" s="127"/>
      <c r="D53" s="7">
        <f t="shared" si="0"/>
        <v>67927.873513013794</v>
      </c>
      <c r="E53" s="129"/>
      <c r="F53" s="7">
        <f t="shared" si="1"/>
        <v>67927.873513013794</v>
      </c>
      <c r="G53" s="116"/>
      <c r="H53" s="7">
        <f t="shared" si="2"/>
        <v>135855.74702602759</v>
      </c>
      <c r="I53" s="131"/>
    </row>
    <row r="54" spans="2:9" x14ac:dyDescent="0.3">
      <c r="B54" s="28">
        <f>B53*2</f>
        <v>43.575631724036171</v>
      </c>
      <c r="C54" s="127"/>
      <c r="D54" s="7">
        <f t="shared" si="0"/>
        <v>33963.936756506897</v>
      </c>
      <c r="E54" s="129"/>
      <c r="F54" s="7">
        <f t="shared" si="1"/>
        <v>135855.74702602759</v>
      </c>
      <c r="G54" s="116"/>
      <c r="H54" s="7">
        <f t="shared" si="2"/>
        <v>169819.6837825345</v>
      </c>
      <c r="I54" s="131"/>
    </row>
    <row r="55" spans="2:9" x14ac:dyDescent="0.3">
      <c r="B55" s="28">
        <f>B54*2</f>
        <v>87.151263448072342</v>
      </c>
      <c r="C55" s="127"/>
      <c r="D55" s="7">
        <f t="shared" si="0"/>
        <v>16981.968378253448</v>
      </c>
      <c r="E55" s="129"/>
      <c r="F55" s="7">
        <f t="shared" si="1"/>
        <v>271711.49405205518</v>
      </c>
      <c r="G55" s="116"/>
      <c r="H55" s="7">
        <f t="shared" si="2"/>
        <v>288693.46243030863</v>
      </c>
      <c r="I55" s="131"/>
    </row>
    <row r="56" spans="2:9" x14ac:dyDescent="0.3">
      <c r="B56" s="28">
        <f>B55*2</f>
        <v>174.30252689614468</v>
      </c>
      <c r="C56" s="127"/>
      <c r="D56" s="7">
        <f t="shared" si="0"/>
        <v>8490.9841891267242</v>
      </c>
      <c r="E56" s="129"/>
      <c r="F56" s="7">
        <f t="shared" si="1"/>
        <v>543422.98810411035</v>
      </c>
      <c r="G56" s="116"/>
      <c r="H56" s="7">
        <f t="shared" si="2"/>
        <v>551913.97229323711</v>
      </c>
      <c r="I56" s="131"/>
    </row>
    <row r="57" spans="2:9" x14ac:dyDescent="0.3">
      <c r="B57" s="28">
        <f>B56*2</f>
        <v>348.60505379228937</v>
      </c>
      <c r="C57" s="128"/>
      <c r="D57" s="7">
        <f t="shared" si="0"/>
        <v>4245.4920945633621</v>
      </c>
      <c r="E57" s="130"/>
      <c r="F57" s="7">
        <f t="shared" si="1"/>
        <v>1086845.9762082207</v>
      </c>
      <c r="G57" s="117"/>
      <c r="H57" s="7">
        <f t="shared" si="2"/>
        <v>1091091.468302784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7DC1707B-14ED-4416-9AC6-1446D7C62B04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9BB8A-97A8-48CA-A4C8-5CD7BC03C18E}">
  <sheetPr>
    <pageSetUpPr fitToPage="1"/>
  </sheetPr>
  <dimension ref="B1:N87"/>
  <sheetViews>
    <sheetView topLeftCell="A24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73116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71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18</v>
      </c>
      <c r="D9" s="6" t="s">
        <v>27</v>
      </c>
      <c r="E9" s="10">
        <v>19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15</v>
      </c>
      <c r="D11" s="6" t="s">
        <v>28</v>
      </c>
      <c r="E11" s="10">
        <v>28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8</v>
      </c>
      <c r="D13" s="6" t="s">
        <v>29</v>
      </c>
      <c r="E13" s="10">
        <v>16</v>
      </c>
      <c r="F13" s="2"/>
      <c r="G13" s="72" t="s">
        <v>36</v>
      </c>
      <c r="H13" s="72"/>
      <c r="I13" s="123">
        <v>3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8</v>
      </c>
      <c r="D15" s="6" t="s">
        <v>30</v>
      </c>
      <c r="E15" s="10">
        <v>10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8</v>
      </c>
    </row>
    <row r="17" spans="2:14" x14ac:dyDescent="0.3">
      <c r="B17" s="13" t="s">
        <v>25</v>
      </c>
      <c r="C17" s="10">
        <v>14</v>
      </c>
      <c r="D17" s="6" t="s">
        <v>31</v>
      </c>
      <c r="E17" s="10">
        <v>8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10</v>
      </c>
      <c r="D19" s="6" t="s">
        <v>32</v>
      </c>
      <c r="E19" s="10">
        <v>10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164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13.666666666666666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99.866416398011538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3624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362.40000000000003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6.0050483812044382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3.6444444444444444</v>
      </c>
      <c r="E37" s="87"/>
      <c r="F37" s="137" t="s">
        <v>41</v>
      </c>
      <c r="G37" s="138"/>
      <c r="H37" s="139"/>
      <c r="I37" s="30">
        <f>D37*(D35*I35/(D23))</f>
        <v>2.6339801626248485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6.2784246070692928</v>
      </c>
      <c r="E39" s="104"/>
      <c r="F39" s="105" t="s">
        <v>44</v>
      </c>
      <c r="G39" s="106"/>
      <c r="H39" s="107"/>
      <c r="I39" s="31">
        <f>SQRT(2*G30*D21/G32)</f>
        <v>134.54198323892484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1.2189503681446592</v>
      </c>
      <c r="E41" s="87"/>
      <c r="F41" s="75" t="s">
        <v>45</v>
      </c>
      <c r="G41" s="76"/>
      <c r="H41" s="77"/>
      <c r="I41" s="25">
        <f>G30*D41</f>
        <v>24379.007362893182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25333.561773828431</v>
      </c>
      <c r="E43" s="133"/>
      <c r="F43" s="134" t="s">
        <v>47</v>
      </c>
      <c r="G43" s="135"/>
      <c r="H43" s="136"/>
      <c r="I43" s="26">
        <f>D43+I41</f>
        <v>49712.569136721613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299.43795050126568</v>
      </c>
      <c r="E45" s="87"/>
      <c r="F45" s="67" t="s">
        <v>49</v>
      </c>
      <c r="G45" s="110"/>
      <c r="H45" s="68"/>
      <c r="I45" s="27">
        <f>I43+(G28*D21)</f>
        <v>644048.56913672166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8.4088739524328027</v>
      </c>
      <c r="C49" s="127"/>
      <c r="D49" s="7">
        <f t="shared" ref="D49:D57" si="0">$G$30*$D$21/B49</f>
        <v>390064.11780629092</v>
      </c>
      <c r="E49" s="129"/>
      <c r="F49" s="7">
        <f t="shared" ref="F49:F57" si="1">$G$32*(B49/2)</f>
        <v>1523.6879601808239</v>
      </c>
      <c r="G49" s="115"/>
      <c r="H49" s="7">
        <f>D49+F49</f>
        <v>391587.80576647172</v>
      </c>
      <c r="I49" s="131"/>
    </row>
    <row r="50" spans="2:9" x14ac:dyDescent="0.3">
      <c r="B50" s="28">
        <f>B51/2</f>
        <v>16.817747904865605</v>
      </c>
      <c r="C50" s="127"/>
      <c r="D50" s="7">
        <f t="shared" si="0"/>
        <v>195032.05890314546</v>
      </c>
      <c r="E50" s="129"/>
      <c r="F50" s="7">
        <f t="shared" si="1"/>
        <v>3047.3759203616478</v>
      </c>
      <c r="G50" s="116"/>
      <c r="H50" s="7">
        <f t="shared" ref="H50:H57" si="2">D50+F50</f>
        <v>198079.43482350709</v>
      </c>
      <c r="I50" s="131"/>
    </row>
    <row r="51" spans="2:9" x14ac:dyDescent="0.3">
      <c r="B51" s="28">
        <f>B52/2</f>
        <v>33.635495809731211</v>
      </c>
      <c r="C51" s="127"/>
      <c r="D51" s="7">
        <f t="shared" si="0"/>
        <v>97516.029451572729</v>
      </c>
      <c r="E51" s="129"/>
      <c r="F51" s="7">
        <f t="shared" si="1"/>
        <v>6094.7518407232956</v>
      </c>
      <c r="G51" s="116"/>
      <c r="H51" s="7">
        <f t="shared" si="2"/>
        <v>103610.78129229603</v>
      </c>
      <c r="I51" s="131"/>
    </row>
    <row r="52" spans="2:9" x14ac:dyDescent="0.3">
      <c r="B52" s="28">
        <f>B53/2</f>
        <v>67.270991619462421</v>
      </c>
      <c r="C52" s="127"/>
      <c r="D52" s="7">
        <f t="shared" si="0"/>
        <v>48758.014725786365</v>
      </c>
      <c r="E52" s="129"/>
      <c r="F52" s="7">
        <f t="shared" si="1"/>
        <v>12189.503681446591</v>
      </c>
      <c r="G52" s="116"/>
      <c r="H52" s="7">
        <f t="shared" si="2"/>
        <v>60947.518407232958</v>
      </c>
      <c r="I52" s="131"/>
    </row>
    <row r="53" spans="2:9" x14ac:dyDescent="0.3">
      <c r="B53" s="29">
        <f>I39</f>
        <v>134.54198323892484</v>
      </c>
      <c r="C53" s="127"/>
      <c r="D53" s="7">
        <f t="shared" si="0"/>
        <v>24379.007362893182</v>
      </c>
      <c r="E53" s="129"/>
      <c r="F53" s="7">
        <f t="shared" si="1"/>
        <v>24379.007362893182</v>
      </c>
      <c r="G53" s="116"/>
      <c r="H53" s="7">
        <f t="shared" si="2"/>
        <v>48758.014725786365</v>
      </c>
      <c r="I53" s="131"/>
    </row>
    <row r="54" spans="2:9" x14ac:dyDescent="0.3">
      <c r="B54" s="28">
        <f>B53*2</f>
        <v>269.08396647784969</v>
      </c>
      <c r="C54" s="127"/>
      <c r="D54" s="7">
        <f t="shared" si="0"/>
        <v>12189.503681446591</v>
      </c>
      <c r="E54" s="129"/>
      <c r="F54" s="7">
        <f t="shared" si="1"/>
        <v>48758.014725786365</v>
      </c>
      <c r="G54" s="116"/>
      <c r="H54" s="7">
        <f t="shared" si="2"/>
        <v>60947.518407232958</v>
      </c>
      <c r="I54" s="131"/>
    </row>
    <row r="55" spans="2:9" x14ac:dyDescent="0.3">
      <c r="B55" s="28">
        <f>B54*2</f>
        <v>538.16793295569937</v>
      </c>
      <c r="C55" s="127"/>
      <c r="D55" s="7">
        <f t="shared" si="0"/>
        <v>6094.7518407232956</v>
      </c>
      <c r="E55" s="129"/>
      <c r="F55" s="7">
        <f t="shared" si="1"/>
        <v>97516.029451572729</v>
      </c>
      <c r="G55" s="116"/>
      <c r="H55" s="7">
        <f t="shared" si="2"/>
        <v>103610.78129229603</v>
      </c>
      <c r="I55" s="131"/>
    </row>
    <row r="56" spans="2:9" x14ac:dyDescent="0.3">
      <c r="B56" s="28">
        <f>B55*2</f>
        <v>1076.3358659113987</v>
      </c>
      <c r="C56" s="127"/>
      <c r="D56" s="7">
        <f t="shared" si="0"/>
        <v>3047.3759203616478</v>
      </c>
      <c r="E56" s="129"/>
      <c r="F56" s="7">
        <f t="shared" si="1"/>
        <v>195032.05890314546</v>
      </c>
      <c r="G56" s="116"/>
      <c r="H56" s="7">
        <f t="shared" si="2"/>
        <v>198079.43482350709</v>
      </c>
      <c r="I56" s="131"/>
    </row>
    <row r="57" spans="2:9" x14ac:dyDescent="0.3">
      <c r="B57" s="28">
        <f>B56*2</f>
        <v>2152.6717318227975</v>
      </c>
      <c r="C57" s="128"/>
      <c r="D57" s="7">
        <f t="shared" si="0"/>
        <v>1523.6879601808239</v>
      </c>
      <c r="E57" s="130"/>
      <c r="F57" s="7">
        <f t="shared" si="1"/>
        <v>390064.11780629092</v>
      </c>
      <c r="G57" s="117"/>
      <c r="H57" s="7">
        <f t="shared" si="2"/>
        <v>391587.80576647172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ECB62D79-680A-437F-91F4-6EF4E0A3B276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801D-E881-4A81-AEA6-121185CE3332}">
  <sheetPr>
    <pageSetUpPr fitToPage="1"/>
  </sheetPr>
  <dimension ref="B1:N87"/>
  <sheetViews>
    <sheetView topLeftCell="A24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76738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72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2</v>
      </c>
      <c r="D9" s="6" t="s">
        <v>27</v>
      </c>
      <c r="E9" s="10">
        <v>0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0</v>
      </c>
      <c r="D11" s="6" t="s">
        <v>28</v>
      </c>
      <c r="E11" s="10">
        <v>5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3</v>
      </c>
      <c r="D13" s="6" t="s">
        <v>29</v>
      </c>
      <c r="E13" s="10">
        <v>7</v>
      </c>
      <c r="F13" s="2"/>
      <c r="G13" s="72" t="s">
        <v>36</v>
      </c>
      <c r="H13" s="72"/>
      <c r="I13" s="123">
        <v>3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7</v>
      </c>
      <c r="D15" s="6" t="s">
        <v>30</v>
      </c>
      <c r="E15" s="10">
        <v>2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8</v>
      </c>
    </row>
    <row r="17" spans="2:14" x14ac:dyDescent="0.3">
      <c r="B17" s="13" t="s">
        <v>25</v>
      </c>
      <c r="C17" s="10">
        <v>0</v>
      </c>
      <c r="D17" s="6" t="s">
        <v>31</v>
      </c>
      <c r="E17" s="10">
        <v>21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2</v>
      </c>
      <c r="D19" s="6" t="s">
        <v>32</v>
      </c>
      <c r="E19" s="10">
        <v>6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55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4.583333333333333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99.578977466483494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107343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10734.300000000001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5.791189755816915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1.2222222222222221</v>
      </c>
      <c r="E37" s="87"/>
      <c r="F37" s="137" t="s">
        <v>41</v>
      </c>
      <c r="G37" s="138"/>
      <c r="H37" s="139"/>
      <c r="I37" s="30">
        <f>D37*(D35*I35/(D23))</f>
        <v>2.5401758597919097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3.7623980820141316</v>
      </c>
      <c r="E39" s="104"/>
      <c r="F39" s="105" t="s">
        <v>44</v>
      </c>
      <c r="G39" s="106"/>
      <c r="H39" s="107"/>
      <c r="I39" s="31">
        <f>SQRT(2*G30*D21/G32)</f>
        <v>14.316091848888464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3.8418306183380859</v>
      </c>
      <c r="E41" s="87"/>
      <c r="F41" s="75" t="s">
        <v>45</v>
      </c>
      <c r="G41" s="76"/>
      <c r="H41" s="77"/>
      <c r="I41" s="25">
        <f>G30*D41</f>
        <v>76836.612366761721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104103.62209852602</v>
      </c>
      <c r="E43" s="133"/>
      <c r="F43" s="134" t="s">
        <v>47</v>
      </c>
      <c r="G43" s="135"/>
      <c r="H43" s="136"/>
      <c r="I43" s="26">
        <f>D43+I41</f>
        <v>180940.23446528774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95.006791360805266</v>
      </c>
      <c r="E45" s="87"/>
      <c r="F45" s="67" t="s">
        <v>49</v>
      </c>
      <c r="G45" s="110"/>
      <c r="H45" s="68"/>
      <c r="I45" s="27">
        <f>I43+(G28*D21)</f>
        <v>6084805.234465288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0.89475574055552898</v>
      </c>
      <c r="C49" s="127"/>
      <c r="D49" s="7">
        <f t="shared" ref="D49:D57" si="0">$G$30*$D$21/B49</f>
        <v>1229385.7978681875</v>
      </c>
      <c r="E49" s="129"/>
      <c r="F49" s="7">
        <f t="shared" ref="F49:F57" si="1">$G$32*(B49/2)</f>
        <v>4802.2882729226076</v>
      </c>
      <c r="G49" s="115"/>
      <c r="H49" s="7">
        <f>D49+F49</f>
        <v>1234188.0861411102</v>
      </c>
      <c r="I49" s="131"/>
    </row>
    <row r="50" spans="2:9" x14ac:dyDescent="0.3">
      <c r="B50" s="28">
        <f>B51/2</f>
        <v>1.789511481111058</v>
      </c>
      <c r="C50" s="127"/>
      <c r="D50" s="7">
        <f t="shared" si="0"/>
        <v>614692.89893409377</v>
      </c>
      <c r="E50" s="129"/>
      <c r="F50" s="7">
        <f t="shared" si="1"/>
        <v>9604.5765458452152</v>
      </c>
      <c r="G50" s="116"/>
      <c r="H50" s="7">
        <f t="shared" ref="H50:H57" si="2">D50+F50</f>
        <v>624297.47547993902</v>
      </c>
      <c r="I50" s="131"/>
    </row>
    <row r="51" spans="2:9" x14ac:dyDescent="0.3">
      <c r="B51" s="28">
        <f>B52/2</f>
        <v>3.5790229622221159</v>
      </c>
      <c r="C51" s="127"/>
      <c r="D51" s="7">
        <f t="shared" si="0"/>
        <v>307346.44946704688</v>
      </c>
      <c r="E51" s="129"/>
      <c r="F51" s="7">
        <f t="shared" si="1"/>
        <v>19209.15309169043</v>
      </c>
      <c r="G51" s="116"/>
      <c r="H51" s="7">
        <f t="shared" si="2"/>
        <v>326555.60255873733</v>
      </c>
      <c r="I51" s="131"/>
    </row>
    <row r="52" spans="2:9" x14ac:dyDescent="0.3">
      <c r="B52" s="28">
        <f>B53/2</f>
        <v>7.1580459244442318</v>
      </c>
      <c r="C52" s="127"/>
      <c r="D52" s="7">
        <f t="shared" si="0"/>
        <v>153673.22473352344</v>
      </c>
      <c r="E52" s="129"/>
      <c r="F52" s="7">
        <f t="shared" si="1"/>
        <v>38418.306183380861</v>
      </c>
      <c r="G52" s="116"/>
      <c r="H52" s="7">
        <f t="shared" si="2"/>
        <v>192091.5309169043</v>
      </c>
      <c r="I52" s="131"/>
    </row>
    <row r="53" spans="2:9" x14ac:dyDescent="0.3">
      <c r="B53" s="29">
        <f>I39</f>
        <v>14.316091848888464</v>
      </c>
      <c r="C53" s="127"/>
      <c r="D53" s="7">
        <f t="shared" si="0"/>
        <v>76836.612366761721</v>
      </c>
      <c r="E53" s="129"/>
      <c r="F53" s="7">
        <f t="shared" si="1"/>
        <v>76836.612366761721</v>
      </c>
      <c r="G53" s="116"/>
      <c r="H53" s="7">
        <f t="shared" si="2"/>
        <v>153673.22473352344</v>
      </c>
      <c r="I53" s="131"/>
    </row>
    <row r="54" spans="2:9" x14ac:dyDescent="0.3">
      <c r="B54" s="28">
        <f>B53*2</f>
        <v>28.632183697776927</v>
      </c>
      <c r="C54" s="127"/>
      <c r="D54" s="7">
        <f t="shared" si="0"/>
        <v>38418.306183380861</v>
      </c>
      <c r="E54" s="129"/>
      <c r="F54" s="7">
        <f t="shared" si="1"/>
        <v>153673.22473352344</v>
      </c>
      <c r="G54" s="116"/>
      <c r="H54" s="7">
        <f t="shared" si="2"/>
        <v>192091.5309169043</v>
      </c>
      <c r="I54" s="131"/>
    </row>
    <row r="55" spans="2:9" x14ac:dyDescent="0.3">
      <c r="B55" s="28">
        <f>B54*2</f>
        <v>57.264367395553855</v>
      </c>
      <c r="C55" s="127"/>
      <c r="D55" s="7">
        <f t="shared" si="0"/>
        <v>19209.15309169043</v>
      </c>
      <c r="E55" s="129"/>
      <c r="F55" s="7">
        <f t="shared" si="1"/>
        <v>307346.44946704688</v>
      </c>
      <c r="G55" s="116"/>
      <c r="H55" s="7">
        <f t="shared" si="2"/>
        <v>326555.60255873733</v>
      </c>
      <c r="I55" s="131"/>
    </row>
    <row r="56" spans="2:9" x14ac:dyDescent="0.3">
      <c r="B56" s="28">
        <f>B55*2</f>
        <v>114.52873479110771</v>
      </c>
      <c r="C56" s="127"/>
      <c r="D56" s="7">
        <f t="shared" si="0"/>
        <v>9604.5765458452152</v>
      </c>
      <c r="E56" s="129"/>
      <c r="F56" s="7">
        <f t="shared" si="1"/>
        <v>614692.89893409377</v>
      </c>
      <c r="G56" s="116"/>
      <c r="H56" s="7">
        <f t="shared" si="2"/>
        <v>624297.47547993902</v>
      </c>
      <c r="I56" s="131"/>
    </row>
    <row r="57" spans="2:9" x14ac:dyDescent="0.3">
      <c r="B57" s="28">
        <f>B56*2</f>
        <v>229.05746958221542</v>
      </c>
      <c r="C57" s="128"/>
      <c r="D57" s="7">
        <f t="shared" si="0"/>
        <v>4802.2882729226076</v>
      </c>
      <c r="E57" s="130"/>
      <c r="F57" s="7">
        <f t="shared" si="1"/>
        <v>1229385.7978681875</v>
      </c>
      <c r="G57" s="117"/>
      <c r="H57" s="7">
        <f t="shared" si="2"/>
        <v>1234188.0861411102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631308BC-4679-41D3-9FF4-B920FF65D123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E3FC8-36C9-4119-AB32-4C7AA2F8A6A0}">
  <sheetPr>
    <pageSetUpPr fitToPage="1"/>
  </sheetPr>
  <dimension ref="B1:N87"/>
  <sheetViews>
    <sheetView topLeftCell="A24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77202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73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0</v>
      </c>
      <c r="D9" s="6" t="s">
        <v>27</v>
      </c>
      <c r="E9" s="10">
        <v>0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0</v>
      </c>
      <c r="D11" s="6" t="s">
        <v>28</v>
      </c>
      <c r="E11" s="10">
        <v>3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0</v>
      </c>
      <c r="D13" s="6" t="s">
        <v>29</v>
      </c>
      <c r="E13" s="10">
        <v>0</v>
      </c>
      <c r="F13" s="2"/>
      <c r="G13" s="72" t="s">
        <v>36</v>
      </c>
      <c r="H13" s="72"/>
      <c r="I13" s="123">
        <v>30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0</v>
      </c>
      <c r="D15" s="6" t="s">
        <v>30</v>
      </c>
      <c r="E15" s="10">
        <v>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35</v>
      </c>
    </row>
    <row r="17" spans="2:14" x14ac:dyDescent="0.3">
      <c r="B17" s="13" t="s">
        <v>25</v>
      </c>
      <c r="C17" s="10">
        <v>0</v>
      </c>
      <c r="D17" s="6" t="s">
        <v>31</v>
      </c>
      <c r="E17" s="10">
        <v>2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2</v>
      </c>
      <c r="D19" s="6" t="s">
        <v>32</v>
      </c>
      <c r="E19" s="10">
        <v>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7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0.58333333333333337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99.461069444416268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72200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7220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1.0836246694508318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0.68055555555555569</v>
      </c>
      <c r="E37" s="87"/>
      <c r="F37" s="137" t="s">
        <v>41</v>
      </c>
      <c r="G37" s="138"/>
      <c r="H37" s="139"/>
      <c r="I37" s="30">
        <f>D37*(D35*I35/(D23))</f>
        <v>2.0794712957670054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2.7600268513225612</v>
      </c>
      <c r="E39" s="104"/>
      <c r="F39" s="105" t="s">
        <v>44</v>
      </c>
      <c r="G39" s="106"/>
      <c r="H39" s="107"/>
      <c r="I39" s="31">
        <f>SQRT(2*G30*D21/G32)</f>
        <v>6.2274524032627543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1.1240551587889269</v>
      </c>
      <c r="E41" s="87"/>
      <c r="F41" s="75" t="s">
        <v>45</v>
      </c>
      <c r="G41" s="76"/>
      <c r="H41" s="77"/>
      <c r="I41" s="25">
        <f>G30*D41</f>
        <v>22481.103175778539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37494.885931216319</v>
      </c>
      <c r="E43" s="133"/>
      <c r="F43" s="134" t="s">
        <v>47</v>
      </c>
      <c r="G43" s="135"/>
      <c r="H43" s="136"/>
      <c r="I43" s="26">
        <f>D43+I41</f>
        <v>59975.989106994857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324.7171610272722</v>
      </c>
      <c r="E45" s="87"/>
      <c r="F45" s="67" t="s">
        <v>49</v>
      </c>
      <c r="G45" s="110"/>
      <c r="H45" s="68"/>
      <c r="I45" s="27">
        <f>I43+(G28*D21)</f>
        <v>565375.98910699482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0.38921577520392214</v>
      </c>
      <c r="C49" s="127"/>
      <c r="D49" s="7">
        <f t="shared" ref="D49:D57" si="0">$G$30*$D$21/B49</f>
        <v>359697.65081245662</v>
      </c>
      <c r="E49" s="129"/>
      <c r="F49" s="7">
        <f t="shared" ref="F49:F57" si="1">$G$32*(B49/2)</f>
        <v>1405.0689484861589</v>
      </c>
      <c r="G49" s="115"/>
      <c r="H49" s="7">
        <f>D49+F49</f>
        <v>361102.7197609428</v>
      </c>
      <c r="I49" s="131"/>
    </row>
    <row r="50" spans="2:9" x14ac:dyDescent="0.3">
      <c r="B50" s="28">
        <f>B51/2</f>
        <v>0.77843155040784429</v>
      </c>
      <c r="C50" s="127"/>
      <c r="D50" s="7">
        <f t="shared" si="0"/>
        <v>179848.82540622831</v>
      </c>
      <c r="E50" s="129"/>
      <c r="F50" s="7">
        <f t="shared" si="1"/>
        <v>2810.1378969723178</v>
      </c>
      <c r="G50" s="116"/>
      <c r="H50" s="7">
        <f t="shared" ref="H50:H57" si="2">D50+F50</f>
        <v>182658.96330320064</v>
      </c>
      <c r="I50" s="131"/>
    </row>
    <row r="51" spans="2:9" x14ac:dyDescent="0.3">
      <c r="B51" s="28">
        <f>B52/2</f>
        <v>1.5568631008156886</v>
      </c>
      <c r="C51" s="127"/>
      <c r="D51" s="7">
        <f t="shared" si="0"/>
        <v>89924.412703114154</v>
      </c>
      <c r="E51" s="129"/>
      <c r="F51" s="7">
        <f t="shared" si="1"/>
        <v>5620.2757939446356</v>
      </c>
      <c r="G51" s="116"/>
      <c r="H51" s="7">
        <f t="shared" si="2"/>
        <v>95544.688497058785</v>
      </c>
      <c r="I51" s="131"/>
    </row>
    <row r="52" spans="2:9" x14ac:dyDescent="0.3">
      <c r="B52" s="28">
        <f>B53/2</f>
        <v>3.1137262016313771</v>
      </c>
      <c r="C52" s="127"/>
      <c r="D52" s="7">
        <f t="shared" si="0"/>
        <v>44962.206351557077</v>
      </c>
      <c r="E52" s="129"/>
      <c r="F52" s="7">
        <f t="shared" si="1"/>
        <v>11240.551587889271</v>
      </c>
      <c r="G52" s="116"/>
      <c r="H52" s="7">
        <f t="shared" si="2"/>
        <v>56202.757939446346</v>
      </c>
      <c r="I52" s="131"/>
    </row>
    <row r="53" spans="2:9" x14ac:dyDescent="0.3">
      <c r="B53" s="29">
        <f>I39</f>
        <v>6.2274524032627543</v>
      </c>
      <c r="C53" s="127"/>
      <c r="D53" s="7">
        <f t="shared" si="0"/>
        <v>22481.103175778539</v>
      </c>
      <c r="E53" s="129"/>
      <c r="F53" s="7">
        <f t="shared" si="1"/>
        <v>22481.103175778542</v>
      </c>
      <c r="G53" s="116"/>
      <c r="H53" s="7">
        <f t="shared" si="2"/>
        <v>44962.206351557077</v>
      </c>
      <c r="I53" s="131"/>
    </row>
    <row r="54" spans="2:9" x14ac:dyDescent="0.3">
      <c r="B54" s="28">
        <f>B53*2</f>
        <v>12.454904806525509</v>
      </c>
      <c r="C54" s="127"/>
      <c r="D54" s="7">
        <f t="shared" si="0"/>
        <v>11240.551587889269</v>
      </c>
      <c r="E54" s="129"/>
      <c r="F54" s="7">
        <f t="shared" si="1"/>
        <v>44962.206351557084</v>
      </c>
      <c r="G54" s="116"/>
      <c r="H54" s="7">
        <f t="shared" si="2"/>
        <v>56202.757939446354</v>
      </c>
      <c r="I54" s="131"/>
    </row>
    <row r="55" spans="2:9" x14ac:dyDescent="0.3">
      <c r="B55" s="28">
        <f>B54*2</f>
        <v>24.909809613051017</v>
      </c>
      <c r="C55" s="127"/>
      <c r="D55" s="7">
        <f t="shared" si="0"/>
        <v>5620.2757939446346</v>
      </c>
      <c r="E55" s="129"/>
      <c r="F55" s="7">
        <f t="shared" si="1"/>
        <v>89924.412703114169</v>
      </c>
      <c r="G55" s="116"/>
      <c r="H55" s="7">
        <f t="shared" si="2"/>
        <v>95544.6884970588</v>
      </c>
      <c r="I55" s="131"/>
    </row>
    <row r="56" spans="2:9" x14ac:dyDescent="0.3">
      <c r="B56" s="28">
        <f>B55*2</f>
        <v>49.819619226102034</v>
      </c>
      <c r="C56" s="127"/>
      <c r="D56" s="7">
        <f t="shared" si="0"/>
        <v>2810.1378969723173</v>
      </c>
      <c r="E56" s="129"/>
      <c r="F56" s="7">
        <f t="shared" si="1"/>
        <v>179848.82540622834</v>
      </c>
      <c r="G56" s="116"/>
      <c r="H56" s="7">
        <f t="shared" si="2"/>
        <v>182658.96330320067</v>
      </c>
      <c r="I56" s="131"/>
    </row>
    <row r="57" spans="2:9" x14ac:dyDescent="0.3">
      <c r="B57" s="28">
        <f>B56*2</f>
        <v>99.639238452204069</v>
      </c>
      <c r="C57" s="128"/>
      <c r="D57" s="7">
        <f t="shared" si="0"/>
        <v>1405.0689484861587</v>
      </c>
      <c r="E57" s="130"/>
      <c r="F57" s="7">
        <f t="shared" si="1"/>
        <v>359697.65081245668</v>
      </c>
      <c r="G57" s="117"/>
      <c r="H57" s="7">
        <f t="shared" si="2"/>
        <v>361102.71976094285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B0902FDC-BDC7-4175-9FA2-7B8FD7E7F262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55AA6-EBD3-4E87-8A18-7EE8E74828B5}">
  <sheetPr>
    <pageSetUpPr fitToPage="1"/>
  </sheetPr>
  <dimension ref="B1:N87"/>
  <sheetViews>
    <sheetView topLeftCell="A26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77240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74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0</v>
      </c>
      <c r="D9" s="6" t="s">
        <v>27</v>
      </c>
      <c r="E9" s="10">
        <v>0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18</v>
      </c>
      <c r="D11" s="6" t="s">
        <v>28</v>
      </c>
      <c r="E11" s="10">
        <v>10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0</v>
      </c>
      <c r="D13" s="6" t="s">
        <v>29</v>
      </c>
      <c r="E13" s="10">
        <v>0</v>
      </c>
      <c r="F13" s="2"/>
      <c r="G13" s="72" t="s">
        <v>36</v>
      </c>
      <c r="H13" s="72"/>
      <c r="I13" s="123">
        <v>10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0</v>
      </c>
      <c r="D15" s="6" t="s">
        <v>30</v>
      </c>
      <c r="E15" s="10">
        <v>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15</v>
      </c>
    </row>
    <row r="17" spans="2:14" x14ac:dyDescent="0.3">
      <c r="B17" s="13" t="s">
        <v>25</v>
      </c>
      <c r="C17" s="10">
        <v>0</v>
      </c>
      <c r="D17" s="6" t="s">
        <v>31</v>
      </c>
      <c r="E17" s="10">
        <v>10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0</v>
      </c>
      <c r="D19" s="6" t="s">
        <v>32</v>
      </c>
      <c r="E19" s="10">
        <v>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38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3.1666666666666665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99.415658922993941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85128</v>
      </c>
      <c r="H28" s="80"/>
      <c r="I28" s="81"/>
    </row>
    <row r="29" spans="2:14" x14ac:dyDescent="0.3">
      <c r="B29" s="17"/>
      <c r="C29" s="2"/>
      <c r="D29" s="2"/>
      <c r="E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8512.8000000000011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6.0578023818023059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1.5833333333333333</v>
      </c>
      <c r="E37" s="87"/>
      <c r="F37" s="137" t="s">
        <v>41</v>
      </c>
      <c r="G37" s="138"/>
      <c r="H37" s="139"/>
      <c r="I37" s="30">
        <f>D37*(D35*I35/(D23))</f>
        <v>4.9820991095313927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6.5654324428647257</v>
      </c>
      <c r="E39" s="104"/>
      <c r="F39" s="105" t="s">
        <v>44</v>
      </c>
      <c r="G39" s="106"/>
      <c r="H39" s="107"/>
      <c r="I39" s="31">
        <f>SQRT(2*G30*D21/G32)</f>
        <v>13.36243417643775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2.843793241429482</v>
      </c>
      <c r="E41" s="87"/>
      <c r="F41" s="75" t="s">
        <v>45</v>
      </c>
      <c r="G41" s="76"/>
      <c r="H41" s="77"/>
      <c r="I41" s="25">
        <f>G30*D41</f>
        <v>56875.864828589642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99287.478128208488</v>
      </c>
      <c r="E43" s="133"/>
      <c r="F43" s="134" t="s">
        <v>47</v>
      </c>
      <c r="G43" s="135"/>
      <c r="H43" s="136"/>
      <c r="I43" s="26">
        <f>D43+I41</f>
        <v>156163.34295679812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128.34969669473102</v>
      </c>
      <c r="E45" s="87"/>
      <c r="F45" s="67" t="s">
        <v>49</v>
      </c>
      <c r="G45" s="110"/>
      <c r="H45" s="68"/>
      <c r="I45" s="27">
        <f>I43+(G28*D21)</f>
        <v>3391027.3429567982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0.83515213602735938</v>
      </c>
      <c r="C49" s="127"/>
      <c r="D49" s="7">
        <f t="shared" ref="D49:D57" si="0">$G$30*$D$21/B49</f>
        <v>910013.83725743426</v>
      </c>
      <c r="E49" s="129"/>
      <c r="F49" s="7">
        <f t="shared" ref="F49:F57" si="1">$G$32*(B49/2)</f>
        <v>3554.7415517868531</v>
      </c>
      <c r="G49" s="115"/>
      <c r="H49" s="7">
        <f>D49+F49</f>
        <v>913568.57880922116</v>
      </c>
      <c r="I49" s="131"/>
    </row>
    <row r="50" spans="2:9" x14ac:dyDescent="0.3">
      <c r="B50" s="28">
        <f>B51/2</f>
        <v>1.6703042720547188</v>
      </c>
      <c r="C50" s="127"/>
      <c r="D50" s="7">
        <f t="shared" si="0"/>
        <v>455006.91862871713</v>
      </c>
      <c r="E50" s="129"/>
      <c r="F50" s="7">
        <f t="shared" si="1"/>
        <v>7109.4831035737061</v>
      </c>
      <c r="G50" s="116"/>
      <c r="H50" s="7">
        <f t="shared" ref="H50:H57" si="2">D50+F50</f>
        <v>462116.40173229086</v>
      </c>
      <c r="I50" s="131"/>
    </row>
    <row r="51" spans="2:9" x14ac:dyDescent="0.3">
      <c r="B51" s="28">
        <f>B52/2</f>
        <v>3.3406085441094375</v>
      </c>
      <c r="C51" s="127"/>
      <c r="D51" s="7">
        <f t="shared" si="0"/>
        <v>227503.45931435857</v>
      </c>
      <c r="E51" s="129"/>
      <c r="F51" s="7">
        <f t="shared" si="1"/>
        <v>14218.966207147412</v>
      </c>
      <c r="G51" s="116"/>
      <c r="H51" s="7">
        <f t="shared" si="2"/>
        <v>241722.42552150597</v>
      </c>
      <c r="I51" s="131"/>
    </row>
    <row r="52" spans="2:9" x14ac:dyDescent="0.3">
      <c r="B52" s="28">
        <f>B53/2</f>
        <v>6.6812170882188751</v>
      </c>
      <c r="C52" s="127"/>
      <c r="D52" s="7">
        <f t="shared" si="0"/>
        <v>113751.72965717928</v>
      </c>
      <c r="E52" s="129"/>
      <c r="F52" s="7">
        <f t="shared" si="1"/>
        <v>28437.932414294824</v>
      </c>
      <c r="G52" s="116"/>
      <c r="H52" s="7">
        <f t="shared" si="2"/>
        <v>142189.6620714741</v>
      </c>
      <c r="I52" s="131"/>
    </row>
    <row r="53" spans="2:9" x14ac:dyDescent="0.3">
      <c r="B53" s="29">
        <f>I39</f>
        <v>13.36243417643775</v>
      </c>
      <c r="C53" s="127"/>
      <c r="D53" s="7">
        <f t="shared" si="0"/>
        <v>56875.864828589642</v>
      </c>
      <c r="E53" s="129"/>
      <c r="F53" s="7">
        <f t="shared" si="1"/>
        <v>56875.864828589649</v>
      </c>
      <c r="G53" s="116"/>
      <c r="H53" s="7">
        <f t="shared" si="2"/>
        <v>113751.7296571793</v>
      </c>
      <c r="I53" s="131"/>
    </row>
    <row r="54" spans="2:9" x14ac:dyDescent="0.3">
      <c r="B54" s="28">
        <f>B53*2</f>
        <v>26.7248683528755</v>
      </c>
      <c r="C54" s="127"/>
      <c r="D54" s="7">
        <f t="shared" si="0"/>
        <v>28437.932414294821</v>
      </c>
      <c r="E54" s="129"/>
      <c r="F54" s="7">
        <f t="shared" si="1"/>
        <v>113751.7296571793</v>
      </c>
      <c r="G54" s="116"/>
      <c r="H54" s="7">
        <f t="shared" si="2"/>
        <v>142189.66207147413</v>
      </c>
      <c r="I54" s="131"/>
    </row>
    <row r="55" spans="2:9" x14ac:dyDescent="0.3">
      <c r="B55" s="28">
        <f>B54*2</f>
        <v>53.449736705751</v>
      </c>
      <c r="C55" s="127"/>
      <c r="D55" s="7">
        <f t="shared" si="0"/>
        <v>14218.96620714741</v>
      </c>
      <c r="E55" s="129"/>
      <c r="F55" s="7">
        <f t="shared" si="1"/>
        <v>227503.4593143586</v>
      </c>
      <c r="G55" s="116"/>
      <c r="H55" s="7">
        <f t="shared" si="2"/>
        <v>241722.425521506</v>
      </c>
      <c r="I55" s="131"/>
    </row>
    <row r="56" spans="2:9" x14ac:dyDescent="0.3">
      <c r="B56" s="28">
        <f>B55*2</f>
        <v>106.899473411502</v>
      </c>
      <c r="C56" s="127"/>
      <c r="D56" s="7">
        <f t="shared" si="0"/>
        <v>7109.4831035737052</v>
      </c>
      <c r="E56" s="129"/>
      <c r="F56" s="7">
        <f t="shared" si="1"/>
        <v>455006.91862871719</v>
      </c>
      <c r="G56" s="116"/>
      <c r="H56" s="7">
        <f t="shared" si="2"/>
        <v>462116.40173229092</v>
      </c>
      <c r="I56" s="131"/>
    </row>
    <row r="57" spans="2:9" x14ac:dyDescent="0.3">
      <c r="B57" s="28">
        <f>B56*2</f>
        <v>213.798946823004</v>
      </c>
      <c r="C57" s="128"/>
      <c r="D57" s="7">
        <f t="shared" si="0"/>
        <v>3554.7415517868526</v>
      </c>
      <c r="E57" s="130"/>
      <c r="F57" s="7">
        <f t="shared" si="1"/>
        <v>910013.83725743438</v>
      </c>
      <c r="G57" s="117"/>
      <c r="H57" s="7">
        <f t="shared" si="2"/>
        <v>913568.57880922128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CD611190-7A0C-418E-9E4F-0D14E2A8D3CA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20B83-07E1-46E6-83EA-3841D5AC9791}">
  <sheetPr>
    <pageSetUpPr fitToPage="1"/>
  </sheetPr>
  <dimension ref="B1:N87"/>
  <sheetViews>
    <sheetView zoomScale="60" zoomScaleNormal="60" workbookViewId="0">
      <selection activeCell="P43" sqref="P43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97" t="s">
        <v>18</v>
      </c>
      <c r="C1" s="98"/>
      <c r="D1" s="98"/>
      <c r="E1" s="98"/>
      <c r="F1" s="98"/>
      <c r="G1" s="99"/>
      <c r="H1" s="93"/>
      <c r="I1" s="94"/>
    </row>
    <row r="2" spans="2:11" ht="76.5" customHeight="1" x14ac:dyDescent="0.3">
      <c r="B2" s="100"/>
      <c r="C2" s="101"/>
      <c r="D2" s="101"/>
      <c r="E2" s="101"/>
      <c r="F2" s="101"/>
      <c r="G2" s="102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29152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58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30</v>
      </c>
      <c r="D9" s="6" t="s">
        <v>27</v>
      </c>
      <c r="E9" s="10">
        <v>13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12</v>
      </c>
      <c r="D11" s="6" t="s">
        <v>28</v>
      </c>
      <c r="E11" s="10">
        <v>176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92</v>
      </c>
      <c r="D13" s="6" t="s">
        <v>29</v>
      </c>
      <c r="E13" s="10">
        <v>107</v>
      </c>
      <c r="F13" s="2"/>
      <c r="G13" s="72" t="s">
        <v>36</v>
      </c>
      <c r="H13" s="72"/>
      <c r="I13" s="123">
        <v>3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56</v>
      </c>
      <c r="D15" s="6" t="s">
        <v>30</v>
      </c>
      <c r="E15" s="10">
        <v>100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8</v>
      </c>
    </row>
    <row r="17" spans="2:14" x14ac:dyDescent="0.3">
      <c r="B17" s="13" t="s">
        <v>25</v>
      </c>
      <c r="C17" s="10">
        <v>16</v>
      </c>
      <c r="D17" s="6" t="s">
        <v>31</v>
      </c>
      <c r="E17" s="10">
        <v>58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52</v>
      </c>
      <c r="D19" s="6" t="s">
        <v>32</v>
      </c>
      <c r="E19" s="10">
        <v>60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772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64.333333333333329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99.345731947760783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18468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1846.8000000000002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48.144353644833444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17.155555555555555</v>
      </c>
      <c r="E37" s="87"/>
      <c r="F37" s="137" t="s">
        <v>41</v>
      </c>
      <c r="G37" s="138"/>
      <c r="H37" s="139"/>
      <c r="I37" s="30">
        <f>D37*(D35*I35/(D23))</f>
        <v>21.117443922650292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38.272999478205847</v>
      </c>
      <c r="E39" s="104"/>
      <c r="F39" s="105" t="s">
        <v>44</v>
      </c>
      <c r="G39" s="106"/>
      <c r="H39" s="107"/>
      <c r="I39" s="31">
        <f>SQRT(2*G30*D21/G32)</f>
        <v>129.3089880156561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5.9701959766828434</v>
      </c>
      <c r="E41" s="87"/>
      <c r="F41" s="75" t="s">
        <v>45</v>
      </c>
      <c r="G41" s="76"/>
      <c r="H41" s="77"/>
      <c r="I41" s="25">
        <f>G30*D41</f>
        <v>119403.91953365687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158403.61497000742</v>
      </c>
      <c r="E43" s="133"/>
      <c r="F43" s="134" t="s">
        <v>47</v>
      </c>
      <c r="G43" s="135"/>
      <c r="H43" s="136"/>
      <c r="I43" s="26">
        <f>D43+I41</f>
        <v>277807.5345036643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61.137021535899578</v>
      </c>
      <c r="E45" s="87"/>
      <c r="F45" s="67" t="s">
        <v>49</v>
      </c>
      <c r="G45" s="110"/>
      <c r="H45" s="68"/>
      <c r="I45" s="27">
        <f>I43+(G28*D21)</f>
        <v>14535103.534503665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8.0818117509785061</v>
      </c>
      <c r="C49" s="127"/>
      <c r="D49" s="7">
        <f t="shared" ref="D49:D57" si="0">$G$30*$D$21/B49</f>
        <v>1910462.7125385099</v>
      </c>
      <c r="E49" s="129"/>
      <c r="F49" s="7">
        <f t="shared" ref="F49:F57" si="1">$G$32*(B49/2)</f>
        <v>7462.7449708535532</v>
      </c>
      <c r="G49" s="115"/>
      <c r="H49" s="7">
        <f>D49+F49</f>
        <v>1917925.4575093633</v>
      </c>
      <c r="I49" s="131"/>
    </row>
    <row r="50" spans="2:9" x14ac:dyDescent="0.3">
      <c r="B50" s="28">
        <f>B51/2</f>
        <v>16.163623501957012</v>
      </c>
      <c r="C50" s="127"/>
      <c r="D50" s="7">
        <f t="shared" si="0"/>
        <v>955231.35626925493</v>
      </c>
      <c r="E50" s="129"/>
      <c r="F50" s="7">
        <f t="shared" si="1"/>
        <v>14925.489941707106</v>
      </c>
      <c r="G50" s="116"/>
      <c r="H50" s="7">
        <f t="shared" ref="H50:H57" si="2">D50+F50</f>
        <v>970156.84621096205</v>
      </c>
      <c r="I50" s="131"/>
    </row>
    <row r="51" spans="2:9" x14ac:dyDescent="0.3">
      <c r="B51" s="28">
        <f>B52/2</f>
        <v>32.327247003914025</v>
      </c>
      <c r="C51" s="127"/>
      <c r="D51" s="7">
        <f t="shared" si="0"/>
        <v>477615.67813462747</v>
      </c>
      <c r="E51" s="129"/>
      <c r="F51" s="7">
        <f t="shared" si="1"/>
        <v>29850.979883414213</v>
      </c>
      <c r="G51" s="116"/>
      <c r="H51" s="7">
        <f t="shared" si="2"/>
        <v>507466.65801804169</v>
      </c>
      <c r="I51" s="131"/>
    </row>
    <row r="52" spans="2:9" x14ac:dyDescent="0.3">
      <c r="B52" s="28">
        <f>B53/2</f>
        <v>64.654494007828049</v>
      </c>
      <c r="C52" s="127"/>
      <c r="D52" s="7">
        <f t="shared" si="0"/>
        <v>238807.83906731373</v>
      </c>
      <c r="E52" s="129"/>
      <c r="F52" s="7">
        <f t="shared" si="1"/>
        <v>59701.959766828426</v>
      </c>
      <c r="G52" s="116"/>
      <c r="H52" s="7">
        <f t="shared" si="2"/>
        <v>298509.79883414216</v>
      </c>
      <c r="I52" s="131"/>
    </row>
    <row r="53" spans="2:9" x14ac:dyDescent="0.3">
      <c r="B53" s="29">
        <f>I39</f>
        <v>129.3089880156561</v>
      </c>
      <c r="C53" s="127"/>
      <c r="D53" s="7">
        <f t="shared" si="0"/>
        <v>119403.91953365687</v>
      </c>
      <c r="E53" s="129"/>
      <c r="F53" s="7">
        <f t="shared" si="1"/>
        <v>119403.91953365685</v>
      </c>
      <c r="G53" s="116"/>
      <c r="H53" s="7">
        <f t="shared" si="2"/>
        <v>238807.8390673137</v>
      </c>
      <c r="I53" s="131"/>
    </row>
    <row r="54" spans="2:9" x14ac:dyDescent="0.3">
      <c r="B54" s="28">
        <f>B53*2</f>
        <v>258.6179760313122</v>
      </c>
      <c r="C54" s="127"/>
      <c r="D54" s="7">
        <f t="shared" si="0"/>
        <v>59701.959766828433</v>
      </c>
      <c r="E54" s="129"/>
      <c r="F54" s="7">
        <f t="shared" si="1"/>
        <v>238807.8390673137</v>
      </c>
      <c r="G54" s="116"/>
      <c r="H54" s="7">
        <f t="shared" si="2"/>
        <v>298509.79883414216</v>
      </c>
      <c r="I54" s="131"/>
    </row>
    <row r="55" spans="2:9" x14ac:dyDescent="0.3">
      <c r="B55" s="28">
        <f>B54*2</f>
        <v>517.23595206262439</v>
      </c>
      <c r="C55" s="127"/>
      <c r="D55" s="7">
        <f t="shared" si="0"/>
        <v>29850.979883414217</v>
      </c>
      <c r="E55" s="129"/>
      <c r="F55" s="7">
        <f t="shared" si="1"/>
        <v>477615.67813462741</v>
      </c>
      <c r="G55" s="116"/>
      <c r="H55" s="7">
        <f t="shared" si="2"/>
        <v>507466.65801804163</v>
      </c>
      <c r="I55" s="131"/>
    </row>
    <row r="56" spans="2:9" x14ac:dyDescent="0.3">
      <c r="B56" s="28">
        <f>B55*2</f>
        <v>1034.4719041252488</v>
      </c>
      <c r="C56" s="127"/>
      <c r="D56" s="7">
        <f t="shared" si="0"/>
        <v>14925.489941707108</v>
      </c>
      <c r="E56" s="129"/>
      <c r="F56" s="7">
        <f t="shared" si="1"/>
        <v>955231.35626925481</v>
      </c>
      <c r="G56" s="116"/>
      <c r="H56" s="7">
        <f t="shared" si="2"/>
        <v>970156.84621096193</v>
      </c>
      <c r="I56" s="131"/>
    </row>
    <row r="57" spans="2:9" x14ac:dyDescent="0.3">
      <c r="B57" s="28">
        <f>B56*2</f>
        <v>2068.9438082504976</v>
      </c>
      <c r="C57" s="128"/>
      <c r="D57" s="7">
        <f t="shared" si="0"/>
        <v>7462.7449708535542</v>
      </c>
      <c r="E57" s="130"/>
      <c r="F57" s="7">
        <f t="shared" si="1"/>
        <v>1910462.7125385096</v>
      </c>
      <c r="G57" s="117"/>
      <c r="H57" s="7">
        <f t="shared" si="2"/>
        <v>1917925.4575093631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6">
    <mergeCell ref="I13:I14"/>
    <mergeCell ref="I16:I17"/>
    <mergeCell ref="C49:C57"/>
    <mergeCell ref="E49:E57"/>
    <mergeCell ref="I49:I57"/>
    <mergeCell ref="D43:E43"/>
    <mergeCell ref="F43:H43"/>
    <mergeCell ref="F37:H37"/>
    <mergeCell ref="B35:C35"/>
    <mergeCell ref="B48:C48"/>
    <mergeCell ref="D48:E48"/>
    <mergeCell ref="F48:G48"/>
    <mergeCell ref="H48:I48"/>
    <mergeCell ref="B39:C39"/>
    <mergeCell ref="B47:I47"/>
    <mergeCell ref="F35:H35"/>
    <mergeCell ref="B8:F8"/>
    <mergeCell ref="B37:C37"/>
    <mergeCell ref="G49:G57"/>
    <mergeCell ref="G19:I19"/>
    <mergeCell ref="G20:I20"/>
    <mergeCell ref="G22:I22"/>
    <mergeCell ref="G23:I23"/>
    <mergeCell ref="B25:I25"/>
    <mergeCell ref="G8:I8"/>
    <mergeCell ref="G10:H11"/>
    <mergeCell ref="G13:H14"/>
    <mergeCell ref="G16:H17"/>
    <mergeCell ref="I10:I11"/>
    <mergeCell ref="D41:E41"/>
    <mergeCell ref="F41:H41"/>
    <mergeCell ref="B43:C43"/>
    <mergeCell ref="D35:E35"/>
    <mergeCell ref="D39:E39"/>
    <mergeCell ref="F39:H39"/>
    <mergeCell ref="B45:C45"/>
    <mergeCell ref="D45:E45"/>
    <mergeCell ref="F45:H45"/>
    <mergeCell ref="B41:C41"/>
    <mergeCell ref="B3:C3"/>
    <mergeCell ref="D3:F3"/>
    <mergeCell ref="H1:I2"/>
    <mergeCell ref="G3:H3"/>
    <mergeCell ref="B1:G2"/>
    <mergeCell ref="B4:C4"/>
    <mergeCell ref="B5:C5"/>
    <mergeCell ref="B6:C6"/>
    <mergeCell ref="D4:I4"/>
    <mergeCell ref="D5:I5"/>
    <mergeCell ref="D6:I6"/>
    <mergeCell ref="B58:I87"/>
    <mergeCell ref="B7:C7"/>
    <mergeCell ref="D7:E7"/>
    <mergeCell ref="F7:G7"/>
    <mergeCell ref="H7:I7"/>
    <mergeCell ref="B23:C23"/>
    <mergeCell ref="B21:C21"/>
    <mergeCell ref="F26:H26"/>
    <mergeCell ref="B30:E30"/>
    <mergeCell ref="B32:E32"/>
    <mergeCell ref="G28:I28"/>
    <mergeCell ref="G30:I30"/>
    <mergeCell ref="G32:I32"/>
    <mergeCell ref="B28:E28"/>
    <mergeCell ref="B34:I34"/>
    <mergeCell ref="D37:E37"/>
  </mergeCells>
  <dataValidations count="1">
    <dataValidation type="list" allowBlank="1" showInputMessage="1" showErrorMessage="1" sqref="G20:I20" xr:uid="{F2E374D2-405C-44B2-A221-0D90BBC529B1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27A43-E46D-43D9-B613-73681DC6911A}">
  <sheetPr>
    <pageSetUpPr fitToPage="1"/>
  </sheetPr>
  <dimension ref="B1:N87"/>
  <sheetViews>
    <sheetView topLeftCell="A26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85777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75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30</v>
      </c>
      <c r="D9" s="6" t="s">
        <v>27</v>
      </c>
      <c r="E9" s="10">
        <v>0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30</v>
      </c>
      <c r="D11" s="6" t="s">
        <v>28</v>
      </c>
      <c r="E11" s="10">
        <v>20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20</v>
      </c>
      <c r="D13" s="6" t="s">
        <v>29</v>
      </c>
      <c r="E13" s="10">
        <v>40</v>
      </c>
      <c r="F13" s="2"/>
      <c r="G13" s="72" t="s">
        <v>36</v>
      </c>
      <c r="H13" s="72"/>
      <c r="I13" s="123">
        <v>10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40</v>
      </c>
      <c r="D15" s="6" t="s">
        <v>30</v>
      </c>
      <c r="E15" s="10">
        <v>30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15</v>
      </c>
    </row>
    <row r="17" spans="2:14" x14ac:dyDescent="0.3">
      <c r="B17" s="13" t="s">
        <v>25</v>
      </c>
      <c r="C17" s="10">
        <v>0</v>
      </c>
      <c r="D17" s="6" t="s">
        <v>31</v>
      </c>
      <c r="E17" s="10">
        <v>0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40</v>
      </c>
      <c r="D19" s="6" t="s">
        <v>32</v>
      </c>
      <c r="E19" s="10">
        <v>50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300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25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98.16213303724389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106667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10666.7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17.320508075688775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12.5</v>
      </c>
      <c r="E37" s="87"/>
      <c r="F37" s="137" t="s">
        <v>41</v>
      </c>
      <c r="G37" s="138"/>
      <c r="H37" s="139"/>
      <c r="I37" s="30">
        <f>D37*(D35*I35/(D23))</f>
        <v>14.244850264469466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26.744850264469466</v>
      </c>
      <c r="E39" s="104"/>
      <c r="F39" s="105" t="s">
        <v>44</v>
      </c>
      <c r="G39" s="106"/>
      <c r="H39" s="107"/>
      <c r="I39" s="31">
        <f>SQRT(2*G30*D21/G32)</f>
        <v>33.540967254776454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8.9442858854131</v>
      </c>
      <c r="E41" s="87"/>
      <c r="F41" s="75" t="s">
        <v>45</v>
      </c>
      <c r="G41" s="76"/>
      <c r="H41" s="77"/>
      <c r="I41" s="25">
        <f>G30*D41</f>
        <v>178885.717708262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330831.26202427846</v>
      </c>
      <c r="E43" s="133"/>
      <c r="F43" s="134" t="s">
        <v>47</v>
      </c>
      <c r="G43" s="135"/>
      <c r="H43" s="136"/>
      <c r="I43" s="26">
        <f>D43+I41</f>
        <v>509716.97973254044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40.808176826644683</v>
      </c>
      <c r="E45" s="87"/>
      <c r="F45" s="67" t="s">
        <v>49</v>
      </c>
      <c r="G45" s="110"/>
      <c r="H45" s="68"/>
      <c r="I45" s="27">
        <f>I43+(G28*D21)</f>
        <v>32509816.97973254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2.0963104534235284</v>
      </c>
      <c r="C49" s="127"/>
      <c r="D49" s="7">
        <f t="shared" ref="D49:D57" si="0">$G$30*$D$21/B49</f>
        <v>2862171.4833321921</v>
      </c>
      <c r="E49" s="129"/>
      <c r="F49" s="7">
        <f t="shared" ref="F49:F57" si="1">$G$32*(B49/2)</f>
        <v>11180.357356766375</v>
      </c>
      <c r="G49" s="115"/>
      <c r="H49" s="7">
        <f>D49+F49</f>
        <v>2873351.8406889583</v>
      </c>
      <c r="I49" s="131"/>
    </row>
    <row r="50" spans="2:9" x14ac:dyDescent="0.3">
      <c r="B50" s="28">
        <f>B51/2</f>
        <v>4.1926209068470568</v>
      </c>
      <c r="C50" s="127"/>
      <c r="D50" s="7">
        <f t="shared" si="0"/>
        <v>1431085.741666096</v>
      </c>
      <c r="E50" s="129"/>
      <c r="F50" s="7">
        <f t="shared" si="1"/>
        <v>22360.71471353275</v>
      </c>
      <c r="G50" s="116"/>
      <c r="H50" s="7">
        <f t="shared" ref="H50:H57" si="2">D50+F50</f>
        <v>1453446.4563796287</v>
      </c>
      <c r="I50" s="131"/>
    </row>
    <row r="51" spans="2:9" x14ac:dyDescent="0.3">
      <c r="B51" s="28">
        <f>B52/2</f>
        <v>8.3852418136941136</v>
      </c>
      <c r="C51" s="127"/>
      <c r="D51" s="7">
        <f t="shared" si="0"/>
        <v>715542.87083304801</v>
      </c>
      <c r="E51" s="129"/>
      <c r="F51" s="7">
        <f t="shared" si="1"/>
        <v>44721.429427065501</v>
      </c>
      <c r="G51" s="116"/>
      <c r="H51" s="7">
        <f t="shared" si="2"/>
        <v>760264.30026011355</v>
      </c>
      <c r="I51" s="131"/>
    </row>
    <row r="52" spans="2:9" x14ac:dyDescent="0.3">
      <c r="B52" s="28">
        <f>B53/2</f>
        <v>16.770483627388227</v>
      </c>
      <c r="C52" s="127"/>
      <c r="D52" s="7">
        <f t="shared" si="0"/>
        <v>357771.43541652401</v>
      </c>
      <c r="E52" s="129"/>
      <c r="F52" s="7">
        <f t="shared" si="1"/>
        <v>89442.858854131002</v>
      </c>
      <c r="G52" s="116"/>
      <c r="H52" s="7">
        <f t="shared" si="2"/>
        <v>447214.29427065502</v>
      </c>
      <c r="I52" s="131"/>
    </row>
    <row r="53" spans="2:9" x14ac:dyDescent="0.3">
      <c r="B53" s="29">
        <f>I39</f>
        <v>33.540967254776454</v>
      </c>
      <c r="C53" s="127"/>
      <c r="D53" s="7">
        <f t="shared" si="0"/>
        <v>178885.717708262</v>
      </c>
      <c r="E53" s="129"/>
      <c r="F53" s="7">
        <f t="shared" si="1"/>
        <v>178885.717708262</v>
      </c>
      <c r="G53" s="116"/>
      <c r="H53" s="7">
        <f t="shared" si="2"/>
        <v>357771.43541652401</v>
      </c>
      <c r="I53" s="131"/>
    </row>
    <row r="54" spans="2:9" x14ac:dyDescent="0.3">
      <c r="B54" s="28">
        <f>B53*2</f>
        <v>67.081934509552909</v>
      </c>
      <c r="C54" s="127"/>
      <c r="D54" s="7">
        <f t="shared" si="0"/>
        <v>89442.858854131002</v>
      </c>
      <c r="E54" s="129"/>
      <c r="F54" s="7">
        <f t="shared" si="1"/>
        <v>357771.43541652401</v>
      </c>
      <c r="G54" s="116"/>
      <c r="H54" s="7">
        <f t="shared" si="2"/>
        <v>447214.29427065502</v>
      </c>
      <c r="I54" s="131"/>
    </row>
    <row r="55" spans="2:9" x14ac:dyDescent="0.3">
      <c r="B55" s="28">
        <f>B54*2</f>
        <v>134.16386901910582</v>
      </c>
      <c r="C55" s="127"/>
      <c r="D55" s="7">
        <f t="shared" si="0"/>
        <v>44721.429427065501</v>
      </c>
      <c r="E55" s="129"/>
      <c r="F55" s="7">
        <f t="shared" si="1"/>
        <v>715542.87083304801</v>
      </c>
      <c r="G55" s="116"/>
      <c r="H55" s="7">
        <f t="shared" si="2"/>
        <v>760264.30026011355</v>
      </c>
      <c r="I55" s="131"/>
    </row>
    <row r="56" spans="2:9" x14ac:dyDescent="0.3">
      <c r="B56" s="28">
        <f>B55*2</f>
        <v>268.32773803821163</v>
      </c>
      <c r="C56" s="127"/>
      <c r="D56" s="7">
        <f t="shared" si="0"/>
        <v>22360.71471353275</v>
      </c>
      <c r="E56" s="129"/>
      <c r="F56" s="7">
        <f t="shared" si="1"/>
        <v>1431085.741666096</v>
      </c>
      <c r="G56" s="116"/>
      <c r="H56" s="7">
        <f t="shared" si="2"/>
        <v>1453446.4563796287</v>
      </c>
      <c r="I56" s="131"/>
    </row>
    <row r="57" spans="2:9" x14ac:dyDescent="0.3">
      <c r="B57" s="28">
        <f>B56*2</f>
        <v>536.65547607642327</v>
      </c>
      <c r="C57" s="128"/>
      <c r="D57" s="7">
        <f t="shared" si="0"/>
        <v>11180.357356766375</v>
      </c>
      <c r="E57" s="130"/>
      <c r="F57" s="7">
        <f t="shared" si="1"/>
        <v>2862171.4833321921</v>
      </c>
      <c r="G57" s="117"/>
      <c r="H57" s="7">
        <f t="shared" si="2"/>
        <v>2873351.8406889583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67C00AD4-3D1C-4A19-B515-736C21058C4F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1EC16-FCE0-4550-84B4-7AE8F9914B24}">
  <sheetPr>
    <pageSetUpPr fitToPage="1"/>
  </sheetPr>
  <dimension ref="B1:N87"/>
  <sheetViews>
    <sheetView zoomScale="90" zoomScaleNormal="90" workbookViewId="0">
      <selection activeCell="F14" sqref="F14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111218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76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0</v>
      </c>
      <c r="D9" s="6" t="s">
        <v>27</v>
      </c>
      <c r="E9" s="10">
        <v>0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0</v>
      </c>
      <c r="D11" s="6" t="s">
        <v>28</v>
      </c>
      <c r="E11" s="10">
        <v>4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0</v>
      </c>
      <c r="D13" s="6" t="s">
        <v>29</v>
      </c>
      <c r="E13" s="10">
        <v>4</v>
      </c>
      <c r="F13" s="2"/>
      <c r="G13" s="72" t="s">
        <v>36</v>
      </c>
      <c r="H13" s="72"/>
      <c r="I13" s="123">
        <v>10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0</v>
      </c>
      <c r="D15" s="6" t="s">
        <v>30</v>
      </c>
      <c r="E15" s="10">
        <v>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15</v>
      </c>
    </row>
    <row r="17" spans="2:14" x14ac:dyDescent="0.3">
      <c r="B17" s="13" t="s">
        <v>25</v>
      </c>
      <c r="C17" s="10">
        <v>0</v>
      </c>
      <c r="D17" s="6" t="s">
        <v>31</v>
      </c>
      <c r="E17" s="10">
        <v>0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0</v>
      </c>
      <c r="D19" s="6" t="s">
        <v>32</v>
      </c>
      <c r="E19" s="10">
        <v>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8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0.66666666666666663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99.68982674228269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113931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11393.1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1.556997888323046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0.33333333333333331</v>
      </c>
      <c r="E37" s="87"/>
      <c r="F37" s="137" t="s">
        <v>41</v>
      </c>
      <c r="G37" s="138"/>
      <c r="H37" s="139"/>
      <c r="I37" s="30">
        <f>D37*(D35*I35/(D23))</f>
        <v>1.2805168118819721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1.6138501452153053</v>
      </c>
      <c r="E39" s="104"/>
      <c r="F39" s="105" t="s">
        <v>44</v>
      </c>
      <c r="G39" s="106"/>
      <c r="H39" s="107"/>
      <c r="I39" s="31">
        <f>SQRT(2*G30*D21/G32)</f>
        <v>5.2997335377525392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1.5095098542242116</v>
      </c>
      <c r="E41" s="87"/>
      <c r="F41" s="75" t="s">
        <v>45</v>
      </c>
      <c r="G41" s="76"/>
      <c r="H41" s="77"/>
      <c r="I41" s="25">
        <f>G30*D41</f>
        <v>30190.197084484233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44779.253173936719</v>
      </c>
      <c r="E43" s="133"/>
      <c r="F43" s="134" t="s">
        <v>47</v>
      </c>
      <c r="G43" s="135"/>
      <c r="H43" s="136"/>
      <c r="I43" s="26">
        <f>D43+I41</f>
        <v>74969.450258420955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241.8003426599596</v>
      </c>
      <c r="E45" s="87"/>
      <c r="F45" s="67" t="s">
        <v>49</v>
      </c>
      <c r="G45" s="110"/>
      <c r="H45" s="68"/>
      <c r="I45" s="27">
        <f>I43+(G28*D21)</f>
        <v>986417.45025842101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0.3312333461095337</v>
      </c>
      <c r="C49" s="127"/>
      <c r="D49" s="7">
        <f t="shared" ref="D49:D57" si="0">$G$30*$D$21/B49</f>
        <v>483043.15335174766</v>
      </c>
      <c r="E49" s="129"/>
      <c r="F49" s="7">
        <f t="shared" ref="F49:F57" si="1">$G$32*(B49/2)</f>
        <v>1886.8873177802643</v>
      </c>
      <c r="G49" s="115"/>
      <c r="H49" s="7">
        <f>D49+F49</f>
        <v>484930.04066952795</v>
      </c>
      <c r="I49" s="131"/>
    </row>
    <row r="50" spans="2:9" x14ac:dyDescent="0.3">
      <c r="B50" s="28">
        <f>B51/2</f>
        <v>0.6624666922190674</v>
      </c>
      <c r="C50" s="127"/>
      <c r="D50" s="7">
        <f t="shared" si="0"/>
        <v>241521.57667587383</v>
      </c>
      <c r="E50" s="129"/>
      <c r="F50" s="7">
        <f t="shared" si="1"/>
        <v>3773.7746355605286</v>
      </c>
      <c r="G50" s="116"/>
      <c r="H50" s="7">
        <f t="shared" ref="H50:H57" si="2">D50+F50</f>
        <v>245295.35131143435</v>
      </c>
      <c r="I50" s="131"/>
    </row>
    <row r="51" spans="2:9" x14ac:dyDescent="0.3">
      <c r="B51" s="28">
        <f>B52/2</f>
        <v>1.3249333844381348</v>
      </c>
      <c r="C51" s="127"/>
      <c r="D51" s="7">
        <f t="shared" si="0"/>
        <v>120760.78833793692</v>
      </c>
      <c r="E51" s="129"/>
      <c r="F51" s="7">
        <f t="shared" si="1"/>
        <v>7547.5492711210572</v>
      </c>
      <c r="G51" s="116"/>
      <c r="H51" s="7">
        <f t="shared" si="2"/>
        <v>128308.33760905797</v>
      </c>
      <c r="I51" s="131"/>
    </row>
    <row r="52" spans="2:9" x14ac:dyDescent="0.3">
      <c r="B52" s="28">
        <f>B53/2</f>
        <v>2.6498667688762696</v>
      </c>
      <c r="C52" s="127"/>
      <c r="D52" s="7">
        <f t="shared" si="0"/>
        <v>60380.394168968458</v>
      </c>
      <c r="E52" s="129"/>
      <c r="F52" s="7">
        <f t="shared" si="1"/>
        <v>15095.098542242114</v>
      </c>
      <c r="G52" s="116"/>
      <c r="H52" s="7">
        <f t="shared" si="2"/>
        <v>75475.492711210565</v>
      </c>
      <c r="I52" s="131"/>
    </row>
    <row r="53" spans="2:9" x14ac:dyDescent="0.3">
      <c r="B53" s="29">
        <f>I39</f>
        <v>5.2997335377525392</v>
      </c>
      <c r="C53" s="127"/>
      <c r="D53" s="7">
        <f t="shared" si="0"/>
        <v>30190.197084484229</v>
      </c>
      <c r="E53" s="129"/>
      <c r="F53" s="7">
        <f t="shared" si="1"/>
        <v>30190.197084484229</v>
      </c>
      <c r="G53" s="116"/>
      <c r="H53" s="7">
        <f t="shared" si="2"/>
        <v>60380.394168968458</v>
      </c>
      <c r="I53" s="131"/>
    </row>
    <row r="54" spans="2:9" x14ac:dyDescent="0.3">
      <c r="B54" s="28">
        <f>B53*2</f>
        <v>10.599467075505078</v>
      </c>
      <c r="C54" s="127"/>
      <c r="D54" s="7">
        <f t="shared" si="0"/>
        <v>15095.098542242114</v>
      </c>
      <c r="E54" s="129"/>
      <c r="F54" s="7">
        <f t="shared" si="1"/>
        <v>60380.394168968458</v>
      </c>
      <c r="G54" s="116"/>
      <c r="H54" s="7">
        <f t="shared" si="2"/>
        <v>75475.492711210565</v>
      </c>
      <c r="I54" s="131"/>
    </row>
    <row r="55" spans="2:9" x14ac:dyDescent="0.3">
      <c r="B55" s="28">
        <f>B54*2</f>
        <v>21.198934151010157</v>
      </c>
      <c r="C55" s="127"/>
      <c r="D55" s="7">
        <f t="shared" si="0"/>
        <v>7547.5492711210572</v>
      </c>
      <c r="E55" s="129"/>
      <c r="F55" s="7">
        <f t="shared" si="1"/>
        <v>120760.78833793692</v>
      </c>
      <c r="G55" s="116"/>
      <c r="H55" s="7">
        <f t="shared" si="2"/>
        <v>128308.33760905797</v>
      </c>
      <c r="I55" s="131"/>
    </row>
    <row r="56" spans="2:9" x14ac:dyDescent="0.3">
      <c r="B56" s="28">
        <f>B55*2</f>
        <v>42.397868302020314</v>
      </c>
      <c r="C56" s="127"/>
      <c r="D56" s="7">
        <f t="shared" si="0"/>
        <v>3773.7746355605286</v>
      </c>
      <c r="E56" s="129"/>
      <c r="F56" s="7">
        <f t="shared" si="1"/>
        <v>241521.57667587383</v>
      </c>
      <c r="G56" s="116"/>
      <c r="H56" s="7">
        <f t="shared" si="2"/>
        <v>245295.35131143435</v>
      </c>
      <c r="I56" s="131"/>
    </row>
    <row r="57" spans="2:9" x14ac:dyDescent="0.3">
      <c r="B57" s="28">
        <f>B56*2</f>
        <v>84.795736604040627</v>
      </c>
      <c r="C57" s="128"/>
      <c r="D57" s="7">
        <f t="shared" si="0"/>
        <v>1886.8873177802643</v>
      </c>
      <c r="E57" s="130"/>
      <c r="F57" s="7">
        <f t="shared" si="1"/>
        <v>483043.15335174766</v>
      </c>
      <c r="G57" s="117"/>
      <c r="H57" s="7">
        <f t="shared" si="2"/>
        <v>484930.04066952795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31650ACA-3012-4754-BEF1-E5C7D91AD970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17C5-AA6E-4FE1-894C-55B15DEA0A73}">
  <dimension ref="A1:B62"/>
  <sheetViews>
    <sheetView zoomScale="90" zoomScaleNormal="90" workbookViewId="0">
      <pane ySplit="1" topLeftCell="A35" activePane="bottomLeft" state="frozen"/>
      <selection pane="bottomLeft" activeCell="B61" sqref="B61"/>
    </sheetView>
  </sheetViews>
  <sheetFormatPr baseColWidth="10" defaultRowHeight="14.4" x14ac:dyDescent="0.3"/>
  <cols>
    <col min="2" max="2" width="16.6640625" style="41" customWidth="1"/>
  </cols>
  <sheetData>
    <row r="1" spans="1:2" x14ac:dyDescent="0.3">
      <c r="A1" s="6" t="s">
        <v>77</v>
      </c>
      <c r="B1" s="43" t="s">
        <v>92</v>
      </c>
    </row>
    <row r="2" spans="1:2" x14ac:dyDescent="0.3">
      <c r="A2" s="6">
        <v>25795</v>
      </c>
      <c r="B2" s="43">
        <v>1755356.4000000001</v>
      </c>
    </row>
    <row r="3" spans="1:2" x14ac:dyDescent="0.3">
      <c r="A3" s="6">
        <v>28123</v>
      </c>
      <c r="B3" s="43">
        <v>197379.69</v>
      </c>
    </row>
    <row r="4" spans="1:2" x14ac:dyDescent="0.3">
      <c r="A4" s="6">
        <v>28143</v>
      </c>
      <c r="B4" s="43">
        <v>150599.29</v>
      </c>
    </row>
    <row r="5" spans="1:2" x14ac:dyDescent="0.3">
      <c r="A5" s="6">
        <v>28307</v>
      </c>
      <c r="B5" s="43">
        <v>170279.80000000002</v>
      </c>
    </row>
    <row r="6" spans="1:2" x14ac:dyDescent="0.3">
      <c r="A6" s="6">
        <v>29152</v>
      </c>
      <c r="B6" s="43">
        <v>15255090.58</v>
      </c>
    </row>
    <row r="7" spans="1:2" x14ac:dyDescent="0.3">
      <c r="A7" s="6">
        <v>29153</v>
      </c>
      <c r="B7" s="43">
        <v>15742340.760000002</v>
      </c>
    </row>
    <row r="8" spans="1:2" x14ac:dyDescent="0.3">
      <c r="A8" s="6">
        <v>60050</v>
      </c>
      <c r="B8" s="43">
        <v>406749.80000000005</v>
      </c>
    </row>
    <row r="9" spans="1:2" x14ac:dyDescent="0.3">
      <c r="A9" s="6">
        <v>62654</v>
      </c>
      <c r="B9" s="43">
        <v>3321441.5700000003</v>
      </c>
    </row>
    <row r="10" spans="1:2" x14ac:dyDescent="0.3">
      <c r="A10" s="6">
        <v>62863</v>
      </c>
      <c r="B10" s="43">
        <v>7479380.25</v>
      </c>
    </row>
    <row r="11" spans="1:2" x14ac:dyDescent="0.3">
      <c r="A11" s="6">
        <v>63137</v>
      </c>
      <c r="B11" s="43">
        <v>531900.21000000008</v>
      </c>
    </row>
    <row r="12" spans="1:2" x14ac:dyDescent="0.3">
      <c r="A12" s="6">
        <v>63138</v>
      </c>
      <c r="B12" s="43">
        <v>174893.64</v>
      </c>
    </row>
    <row r="13" spans="1:2" x14ac:dyDescent="0.3">
      <c r="A13" s="6">
        <v>63139</v>
      </c>
      <c r="B13" s="43">
        <v>1696586.6500000001</v>
      </c>
    </row>
    <row r="14" spans="1:2" x14ac:dyDescent="0.3">
      <c r="A14" s="6">
        <v>63140</v>
      </c>
      <c r="B14" s="43">
        <v>621361.84000000008</v>
      </c>
    </row>
    <row r="15" spans="1:2" x14ac:dyDescent="0.3">
      <c r="A15" s="6">
        <v>63158</v>
      </c>
      <c r="B15" s="43">
        <v>117343.69</v>
      </c>
    </row>
    <row r="16" spans="1:2" x14ac:dyDescent="0.3">
      <c r="A16" s="6">
        <v>63162</v>
      </c>
      <c r="B16" s="43">
        <v>59916.79</v>
      </c>
    </row>
    <row r="17" spans="1:2" x14ac:dyDescent="0.3">
      <c r="A17" s="6">
        <v>63166</v>
      </c>
      <c r="B17" s="43">
        <v>15926.95</v>
      </c>
    </row>
    <row r="18" spans="1:2" x14ac:dyDescent="0.3">
      <c r="A18" s="6">
        <v>63170</v>
      </c>
      <c r="B18" s="43">
        <v>65241.11</v>
      </c>
    </row>
    <row r="19" spans="1:2" x14ac:dyDescent="0.3">
      <c r="A19" s="6">
        <v>63473</v>
      </c>
      <c r="B19" s="43">
        <v>170246.63</v>
      </c>
    </row>
    <row r="20" spans="1:2" x14ac:dyDescent="0.3">
      <c r="A20" s="6">
        <v>63474</v>
      </c>
      <c r="B20" s="43">
        <v>189229.5</v>
      </c>
    </row>
    <row r="21" spans="1:2" x14ac:dyDescent="0.3">
      <c r="A21" s="6">
        <v>63475</v>
      </c>
      <c r="B21" s="43">
        <v>30495</v>
      </c>
    </row>
    <row r="22" spans="1:2" x14ac:dyDescent="0.3">
      <c r="A22" s="6">
        <v>63628</v>
      </c>
      <c r="B22" s="43">
        <v>4026653.9600000004</v>
      </c>
    </row>
    <row r="23" spans="1:2" x14ac:dyDescent="0.3">
      <c r="A23" s="6">
        <v>63727</v>
      </c>
      <c r="B23" s="43">
        <v>2255741.9</v>
      </c>
    </row>
    <row r="24" spans="1:2" x14ac:dyDescent="0.3">
      <c r="A24" s="6">
        <v>63732</v>
      </c>
      <c r="B24" s="43">
        <v>315652.14</v>
      </c>
    </row>
    <row r="25" spans="1:2" x14ac:dyDescent="0.3">
      <c r="A25" s="6">
        <v>64272</v>
      </c>
      <c r="B25" s="43">
        <v>100134101.04000001</v>
      </c>
    </row>
    <row r="26" spans="1:2" x14ac:dyDescent="0.3">
      <c r="A26" s="6">
        <v>64439</v>
      </c>
      <c r="B26" s="43">
        <v>4405939</v>
      </c>
    </row>
    <row r="27" spans="1:2" x14ac:dyDescent="0.3">
      <c r="A27" s="6">
        <v>64440</v>
      </c>
      <c r="B27" s="43">
        <v>12566030.780000001</v>
      </c>
    </row>
    <row r="28" spans="1:2" x14ac:dyDescent="0.3">
      <c r="A28" s="6">
        <v>65453</v>
      </c>
      <c r="B28" s="43">
        <v>9186168.2800000012</v>
      </c>
    </row>
    <row r="29" spans="1:2" x14ac:dyDescent="0.3">
      <c r="A29" s="6">
        <v>65571</v>
      </c>
      <c r="B29" s="43">
        <v>9988557</v>
      </c>
    </row>
    <row r="30" spans="1:2" x14ac:dyDescent="0.3">
      <c r="A30" s="6">
        <v>65576</v>
      </c>
      <c r="B30" s="43">
        <v>25092798.98</v>
      </c>
    </row>
    <row r="31" spans="1:2" x14ac:dyDescent="0.3">
      <c r="A31" s="6">
        <v>66828</v>
      </c>
      <c r="B31" s="43">
        <v>2054396.79</v>
      </c>
    </row>
    <row r="32" spans="1:2" x14ac:dyDescent="0.3">
      <c r="A32" s="6">
        <v>67353</v>
      </c>
      <c r="B32" s="43">
        <v>445300.83</v>
      </c>
    </row>
    <row r="33" spans="1:2" x14ac:dyDescent="0.3">
      <c r="A33" s="6">
        <v>67380</v>
      </c>
      <c r="B33" s="43">
        <v>2473281.46</v>
      </c>
    </row>
    <row r="34" spans="1:2" x14ac:dyDescent="0.3">
      <c r="A34" s="6">
        <v>67596</v>
      </c>
      <c r="B34" s="43">
        <v>930626.08000000007</v>
      </c>
    </row>
    <row r="35" spans="1:2" x14ac:dyDescent="0.3">
      <c r="A35" s="6">
        <v>67717</v>
      </c>
      <c r="B35" s="43">
        <v>11708810.98</v>
      </c>
    </row>
    <row r="36" spans="1:2" x14ac:dyDescent="0.3">
      <c r="A36" s="6">
        <v>68335</v>
      </c>
      <c r="B36" s="43">
        <v>8279660.0000000009</v>
      </c>
    </row>
    <row r="37" spans="1:2" x14ac:dyDescent="0.3">
      <c r="A37" s="6">
        <v>68979</v>
      </c>
      <c r="B37" s="43">
        <v>610559.12</v>
      </c>
    </row>
    <row r="38" spans="1:2" x14ac:dyDescent="0.3">
      <c r="A38" s="6">
        <v>69176</v>
      </c>
      <c r="B38" s="43">
        <v>42858096.719999999</v>
      </c>
    </row>
    <row r="39" spans="1:2" x14ac:dyDescent="0.3">
      <c r="A39" s="6">
        <v>69302</v>
      </c>
      <c r="B39" s="43">
        <v>3636188.49</v>
      </c>
    </row>
    <row r="40" spans="1:2" x14ac:dyDescent="0.3">
      <c r="A40" s="6">
        <v>70040</v>
      </c>
      <c r="B40" s="43">
        <v>9760660.3100000005</v>
      </c>
    </row>
    <row r="41" spans="1:2" x14ac:dyDescent="0.3">
      <c r="A41" s="6">
        <v>70273</v>
      </c>
      <c r="B41" s="43">
        <v>242486.61000000002</v>
      </c>
    </row>
    <row r="42" spans="1:2" x14ac:dyDescent="0.3">
      <c r="A42" s="6">
        <v>70274</v>
      </c>
      <c r="B42" s="43">
        <v>348421.96</v>
      </c>
    </row>
    <row r="43" spans="1:2" x14ac:dyDescent="0.3">
      <c r="A43" s="6">
        <v>70561</v>
      </c>
      <c r="B43" s="43">
        <v>153530.02000000002</v>
      </c>
    </row>
    <row r="44" spans="1:2" x14ac:dyDescent="0.3">
      <c r="A44" s="6">
        <v>70571</v>
      </c>
      <c r="B44" s="43">
        <v>213396.52000000002</v>
      </c>
    </row>
    <row r="45" spans="1:2" x14ac:dyDescent="0.3">
      <c r="A45" s="6">
        <v>70588</v>
      </c>
      <c r="B45" s="43">
        <v>285347.60000000003</v>
      </c>
    </row>
    <row r="46" spans="1:2" x14ac:dyDescent="0.3">
      <c r="A46" s="6">
        <v>70637</v>
      </c>
      <c r="B46" s="43">
        <v>10647435.18</v>
      </c>
    </row>
    <row r="47" spans="1:2" x14ac:dyDescent="0.3">
      <c r="A47" s="6">
        <v>71170</v>
      </c>
      <c r="B47" s="43">
        <v>7370556.9700000007</v>
      </c>
    </row>
    <row r="48" spans="1:2" x14ac:dyDescent="0.3">
      <c r="A48" s="6">
        <v>71946</v>
      </c>
      <c r="B48" s="43">
        <v>4937199.3500000006</v>
      </c>
    </row>
    <row r="49" spans="1:2" x14ac:dyDescent="0.3">
      <c r="A49" s="6">
        <v>73116</v>
      </c>
      <c r="B49" s="43">
        <v>635908.49</v>
      </c>
    </row>
    <row r="50" spans="1:2" x14ac:dyDescent="0.3">
      <c r="A50" s="6">
        <v>74796</v>
      </c>
      <c r="B50" s="43">
        <v>1986963.25</v>
      </c>
    </row>
    <row r="51" spans="1:2" x14ac:dyDescent="0.3">
      <c r="A51" s="6">
        <v>75761</v>
      </c>
      <c r="B51" s="43">
        <v>489732.58</v>
      </c>
    </row>
    <row r="52" spans="1:2" x14ac:dyDescent="0.3">
      <c r="A52" s="6">
        <v>76738</v>
      </c>
      <c r="B52" s="43">
        <v>6317129.1300000008</v>
      </c>
    </row>
    <row r="53" spans="1:2" x14ac:dyDescent="0.3">
      <c r="A53" s="6">
        <v>77202</v>
      </c>
      <c r="B53" s="43">
        <v>540928.87</v>
      </c>
    </row>
    <row r="54" spans="1:2" x14ac:dyDescent="0.3">
      <c r="A54" s="6">
        <v>77238</v>
      </c>
      <c r="B54" s="43">
        <v>2900104.46</v>
      </c>
    </row>
    <row r="55" spans="1:2" x14ac:dyDescent="0.3">
      <c r="A55" s="6">
        <v>77239</v>
      </c>
      <c r="B55" s="43">
        <v>5831493.5800000001</v>
      </c>
    </row>
    <row r="56" spans="1:2" x14ac:dyDescent="0.3">
      <c r="A56" s="6">
        <v>77240</v>
      </c>
      <c r="B56" s="43">
        <v>3461308.7600000002</v>
      </c>
    </row>
    <row r="57" spans="1:2" x14ac:dyDescent="0.3">
      <c r="A57" s="6">
        <v>77304</v>
      </c>
      <c r="B57" s="43">
        <v>495633.63</v>
      </c>
    </row>
    <row r="58" spans="1:2" x14ac:dyDescent="0.3">
      <c r="A58" s="6">
        <v>78094</v>
      </c>
      <c r="B58" s="43">
        <v>915523.03</v>
      </c>
    </row>
    <row r="59" spans="1:2" x14ac:dyDescent="0.3">
      <c r="A59" s="6">
        <v>78099</v>
      </c>
      <c r="B59" s="43">
        <v>182380.43000000002</v>
      </c>
    </row>
    <row r="60" spans="1:2" x14ac:dyDescent="0.3">
      <c r="A60" s="6">
        <v>85777</v>
      </c>
      <c r="B60" s="43">
        <v>36240000</v>
      </c>
    </row>
    <row r="61" spans="1:2" x14ac:dyDescent="0.3">
      <c r="A61" s="6">
        <v>86642</v>
      </c>
      <c r="B61" s="43">
        <v>250569.39</v>
      </c>
    </row>
    <row r="62" spans="1:2" x14ac:dyDescent="0.3">
      <c r="A62" s="6">
        <v>111218</v>
      </c>
      <c r="B62" s="43">
        <v>975250.43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DB0ED-32B9-4E7A-9CB2-82ADC60FF872}">
  <sheetPr>
    <pageSetUpPr fitToPage="1"/>
  </sheetPr>
  <dimension ref="B1:N87"/>
  <sheetViews>
    <sheetView topLeftCell="A23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29153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59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30</v>
      </c>
      <c r="D9" s="6" t="s">
        <v>27</v>
      </c>
      <c r="E9" s="10">
        <v>13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12</v>
      </c>
      <c r="D11" s="6" t="s">
        <v>28</v>
      </c>
      <c r="E11" s="10">
        <v>176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92</v>
      </c>
      <c r="D13" s="6" t="s">
        <v>29</v>
      </c>
      <c r="E13" s="10">
        <v>107</v>
      </c>
      <c r="F13" s="2"/>
      <c r="G13" s="72" t="s">
        <v>36</v>
      </c>
      <c r="H13" s="72"/>
      <c r="I13" s="123">
        <v>3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56</v>
      </c>
      <c r="D15" s="6" t="s">
        <v>30</v>
      </c>
      <c r="E15" s="10">
        <v>100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8</v>
      </c>
    </row>
    <row r="17" spans="2:14" x14ac:dyDescent="0.3">
      <c r="B17" s="13" t="s">
        <v>25</v>
      </c>
      <c r="C17" s="10">
        <v>16</v>
      </c>
      <c r="D17" s="6" t="s">
        <v>31</v>
      </c>
      <c r="E17" s="10">
        <v>58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52</v>
      </c>
      <c r="D19" s="6" t="s">
        <v>32</v>
      </c>
      <c r="E19" s="10">
        <v>60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772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64.333333333333329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99.335363110011286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19058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1905.8000000000002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48.144353644833444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17.155555555555555</v>
      </c>
      <c r="E37" s="87"/>
      <c r="F37" s="137" t="s">
        <v>41</v>
      </c>
      <c r="G37" s="138"/>
      <c r="H37" s="139"/>
      <c r="I37" s="30">
        <f>D37*(D35*I35/(D23))</f>
        <v>21.117443922650292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38.272999478205847</v>
      </c>
      <c r="E39" s="104"/>
      <c r="F39" s="105" t="s">
        <v>44</v>
      </c>
      <c r="G39" s="106"/>
      <c r="H39" s="107"/>
      <c r="I39" s="31">
        <f>SQRT(2*G30*D21/G32)</f>
        <v>127.29167008389179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6.0648116211470251</v>
      </c>
      <c r="E41" s="87"/>
      <c r="F41" s="75" t="s">
        <v>45</v>
      </c>
      <c r="G41" s="76"/>
      <c r="H41" s="77"/>
      <c r="I41" s="25">
        <f>G30*D41</f>
        <v>121296.23242294051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161541.85705072741</v>
      </c>
      <c r="E43" s="133"/>
      <c r="F43" s="134" t="s">
        <v>47</v>
      </c>
      <c r="G43" s="135"/>
      <c r="H43" s="136"/>
      <c r="I43" s="26">
        <f>D43+I41</f>
        <v>282838.0894736679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60.18323779873122</v>
      </c>
      <c r="E45" s="87"/>
      <c r="F45" s="67" t="s">
        <v>49</v>
      </c>
      <c r="G45" s="110"/>
      <c r="H45" s="68"/>
      <c r="I45" s="27">
        <f>I43+(G28*D21)</f>
        <v>14995614.089473668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7.9557293802432367</v>
      </c>
      <c r="C49" s="127"/>
      <c r="D49" s="7">
        <f t="shared" ref="D49:D57" si="0">$G$30*$D$21/B49</f>
        <v>1940739.7187670479</v>
      </c>
      <c r="E49" s="129"/>
      <c r="F49" s="7">
        <f t="shared" ref="F49:F57" si="1">$G$32*(B49/2)</f>
        <v>7581.0145264337807</v>
      </c>
      <c r="G49" s="115"/>
      <c r="H49" s="7">
        <f>D49+F49</f>
        <v>1948320.7332934816</v>
      </c>
      <c r="I49" s="131"/>
    </row>
    <row r="50" spans="2:9" x14ac:dyDescent="0.3">
      <c r="B50" s="28">
        <f>B51/2</f>
        <v>15.911458760486473</v>
      </c>
      <c r="C50" s="127"/>
      <c r="D50" s="7">
        <f t="shared" si="0"/>
        <v>970369.85938352393</v>
      </c>
      <c r="E50" s="129"/>
      <c r="F50" s="7">
        <f t="shared" si="1"/>
        <v>15162.029052867561</v>
      </c>
      <c r="G50" s="116"/>
      <c r="H50" s="7">
        <f t="shared" ref="H50:H57" si="2">D50+F50</f>
        <v>985531.88843639148</v>
      </c>
      <c r="I50" s="131"/>
    </row>
    <row r="51" spans="2:9" x14ac:dyDescent="0.3">
      <c r="B51" s="28">
        <f>B52/2</f>
        <v>31.822917520972947</v>
      </c>
      <c r="C51" s="127"/>
      <c r="D51" s="7">
        <f t="shared" si="0"/>
        <v>485184.92969176196</v>
      </c>
      <c r="E51" s="129"/>
      <c r="F51" s="7">
        <f t="shared" si="1"/>
        <v>30324.058105735123</v>
      </c>
      <c r="G51" s="116"/>
      <c r="H51" s="7">
        <f t="shared" si="2"/>
        <v>515508.98779749707</v>
      </c>
      <c r="I51" s="131"/>
    </row>
    <row r="52" spans="2:9" x14ac:dyDescent="0.3">
      <c r="B52" s="28">
        <f>B53/2</f>
        <v>63.645835041945894</v>
      </c>
      <c r="C52" s="127"/>
      <c r="D52" s="7">
        <f t="shared" si="0"/>
        <v>242592.46484588098</v>
      </c>
      <c r="E52" s="129"/>
      <c r="F52" s="7">
        <f t="shared" si="1"/>
        <v>60648.116211470246</v>
      </c>
      <c r="G52" s="116"/>
      <c r="H52" s="7">
        <f t="shared" si="2"/>
        <v>303240.5810573512</v>
      </c>
      <c r="I52" s="131"/>
    </row>
    <row r="53" spans="2:9" x14ac:dyDescent="0.3">
      <c r="B53" s="29">
        <f>I39</f>
        <v>127.29167008389179</v>
      </c>
      <c r="C53" s="127"/>
      <c r="D53" s="7">
        <f t="shared" si="0"/>
        <v>121296.23242294049</v>
      </c>
      <c r="E53" s="129"/>
      <c r="F53" s="7">
        <f t="shared" si="1"/>
        <v>121296.23242294049</v>
      </c>
      <c r="G53" s="116"/>
      <c r="H53" s="7">
        <f t="shared" si="2"/>
        <v>242592.46484588098</v>
      </c>
      <c r="I53" s="131"/>
    </row>
    <row r="54" spans="2:9" x14ac:dyDescent="0.3">
      <c r="B54" s="28">
        <f>B53*2</f>
        <v>254.58334016778358</v>
      </c>
      <c r="C54" s="127"/>
      <c r="D54" s="7">
        <f t="shared" si="0"/>
        <v>60648.116211470246</v>
      </c>
      <c r="E54" s="129"/>
      <c r="F54" s="7">
        <f t="shared" si="1"/>
        <v>242592.46484588098</v>
      </c>
      <c r="G54" s="116"/>
      <c r="H54" s="7">
        <f t="shared" si="2"/>
        <v>303240.5810573512</v>
      </c>
      <c r="I54" s="131"/>
    </row>
    <row r="55" spans="2:9" x14ac:dyDescent="0.3">
      <c r="B55" s="28">
        <f>B54*2</f>
        <v>509.16668033556715</v>
      </c>
      <c r="C55" s="127"/>
      <c r="D55" s="7">
        <f t="shared" si="0"/>
        <v>30324.058105735123</v>
      </c>
      <c r="E55" s="129"/>
      <c r="F55" s="7">
        <f t="shared" si="1"/>
        <v>485184.92969176196</v>
      </c>
      <c r="G55" s="116"/>
      <c r="H55" s="7">
        <f t="shared" si="2"/>
        <v>515508.98779749707</v>
      </c>
      <c r="I55" s="131"/>
    </row>
    <row r="56" spans="2:9" x14ac:dyDescent="0.3">
      <c r="B56" s="28">
        <f>B55*2</f>
        <v>1018.3333606711343</v>
      </c>
      <c r="C56" s="127"/>
      <c r="D56" s="7">
        <f t="shared" si="0"/>
        <v>15162.029052867561</v>
      </c>
      <c r="E56" s="129"/>
      <c r="F56" s="7">
        <f t="shared" si="1"/>
        <v>970369.85938352393</v>
      </c>
      <c r="G56" s="116"/>
      <c r="H56" s="7">
        <f t="shared" si="2"/>
        <v>985531.88843639148</v>
      </c>
      <c r="I56" s="131"/>
    </row>
    <row r="57" spans="2:9" x14ac:dyDescent="0.3">
      <c r="B57" s="28">
        <f>B56*2</f>
        <v>2036.6667213422686</v>
      </c>
      <c r="C57" s="128"/>
      <c r="D57" s="7">
        <f t="shared" si="0"/>
        <v>7581.0145264337807</v>
      </c>
      <c r="E57" s="130"/>
      <c r="F57" s="7">
        <f t="shared" si="1"/>
        <v>1940739.7187670479</v>
      </c>
      <c r="G57" s="117"/>
      <c r="H57" s="7">
        <f t="shared" si="2"/>
        <v>1948320.7332934816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A116AFEE-93DA-4EC0-97E6-AA93A8D30C2F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F9C2-5F58-46F8-8216-0C23F7E03C73}">
  <sheetPr>
    <pageSetUpPr fitToPage="1"/>
  </sheetPr>
  <dimension ref="B1:N87"/>
  <sheetViews>
    <sheetView topLeftCell="A24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60050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60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0</v>
      </c>
      <c r="D9" s="6" t="s">
        <v>27</v>
      </c>
      <c r="E9" s="10">
        <v>4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0</v>
      </c>
      <c r="D11" s="6" t="s">
        <v>28</v>
      </c>
      <c r="E11" s="10">
        <v>0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0</v>
      </c>
      <c r="D13" s="6" t="s">
        <v>29</v>
      </c>
      <c r="E13" s="10">
        <v>6</v>
      </c>
      <c r="F13" s="2"/>
      <c r="G13" s="72" t="s">
        <v>36</v>
      </c>
      <c r="H13" s="72"/>
      <c r="I13" s="123">
        <v>3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0</v>
      </c>
      <c r="D15" s="6" t="s">
        <v>30</v>
      </c>
      <c r="E15" s="10">
        <v>4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8</v>
      </c>
    </row>
    <row r="17" spans="2:14" x14ac:dyDescent="0.3">
      <c r="B17" s="13" t="s">
        <v>25</v>
      </c>
      <c r="C17" s="10">
        <v>1</v>
      </c>
      <c r="D17" s="6" t="s">
        <v>31</v>
      </c>
      <c r="E17" s="10">
        <v>0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1</v>
      </c>
      <c r="D19" s="6" t="s">
        <v>32</v>
      </c>
      <c r="E19" s="10">
        <v>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16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1.3333333333333333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99.893165578839245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23759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2375.9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2.1033883198882761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0.35555555555555551</v>
      </c>
      <c r="E37" s="87"/>
      <c r="F37" s="137" t="s">
        <v>41</v>
      </c>
      <c r="G37" s="138"/>
      <c r="H37" s="139"/>
      <c r="I37" s="30">
        <f>D37*(D35*I35/(D23))</f>
        <v>0.92260424182815803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1.2781597973837135</v>
      </c>
      <c r="E39" s="104"/>
      <c r="F39" s="105" t="s">
        <v>44</v>
      </c>
      <c r="G39" s="106"/>
      <c r="H39" s="107"/>
      <c r="I39" s="31">
        <f>SQRT(2*G30*D21/G32)</f>
        <v>16.412544182700536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0.97486409309195499</v>
      </c>
      <c r="E41" s="87"/>
      <c r="F41" s="75" t="s">
        <v>45</v>
      </c>
      <c r="G41" s="76"/>
      <c r="H41" s="77"/>
      <c r="I41" s="25">
        <f>G30*D41</f>
        <v>19497.281861839099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21689.29727999862</v>
      </c>
      <c r="E43" s="133"/>
      <c r="F43" s="134" t="s">
        <v>47</v>
      </c>
      <c r="G43" s="135"/>
      <c r="H43" s="136"/>
      <c r="I43" s="26">
        <f>D43+I41</f>
        <v>41186.579141837719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374.41116416785599</v>
      </c>
      <c r="E45" s="87"/>
      <c r="F45" s="67" t="s">
        <v>49</v>
      </c>
      <c r="G45" s="110"/>
      <c r="H45" s="68"/>
      <c r="I45" s="27">
        <f>I43+(G28*D21)</f>
        <v>421330.57914183772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1.0257840114187835</v>
      </c>
      <c r="C49" s="127"/>
      <c r="D49" s="7">
        <f t="shared" ref="D49:D57" si="0">$G$30*$D$21/B49</f>
        <v>311956.50978942559</v>
      </c>
      <c r="E49" s="129"/>
      <c r="F49" s="7">
        <f t="shared" ref="F49:F57" si="1">$G$32*(B49/2)</f>
        <v>1218.5801163649439</v>
      </c>
      <c r="G49" s="115"/>
      <c r="H49" s="7">
        <f>D49+F49</f>
        <v>313175.08990579052</v>
      </c>
      <c r="I49" s="131"/>
    </row>
    <row r="50" spans="2:9" x14ac:dyDescent="0.3">
      <c r="B50" s="28">
        <f>B51/2</f>
        <v>2.051568022837567</v>
      </c>
      <c r="C50" s="127"/>
      <c r="D50" s="7">
        <f t="shared" si="0"/>
        <v>155978.25489471279</v>
      </c>
      <c r="E50" s="129"/>
      <c r="F50" s="7">
        <f t="shared" si="1"/>
        <v>2437.1602327298879</v>
      </c>
      <c r="G50" s="116"/>
      <c r="H50" s="7">
        <f t="shared" ref="H50:H57" si="2">D50+F50</f>
        <v>158415.41512744268</v>
      </c>
      <c r="I50" s="131"/>
    </row>
    <row r="51" spans="2:9" x14ac:dyDescent="0.3">
      <c r="B51" s="28">
        <f>B52/2</f>
        <v>4.103136045675134</v>
      </c>
      <c r="C51" s="127"/>
      <c r="D51" s="7">
        <f t="shared" si="0"/>
        <v>77989.127447356397</v>
      </c>
      <c r="E51" s="129"/>
      <c r="F51" s="7">
        <f t="shared" si="1"/>
        <v>4874.3204654597757</v>
      </c>
      <c r="G51" s="116"/>
      <c r="H51" s="7">
        <f t="shared" si="2"/>
        <v>82863.447912816177</v>
      </c>
      <c r="I51" s="131"/>
    </row>
    <row r="52" spans="2:9" x14ac:dyDescent="0.3">
      <c r="B52" s="28">
        <f>B53/2</f>
        <v>8.206272091350268</v>
      </c>
      <c r="C52" s="127"/>
      <c r="D52" s="7">
        <f t="shared" si="0"/>
        <v>38994.563723678199</v>
      </c>
      <c r="E52" s="129"/>
      <c r="F52" s="7">
        <f t="shared" si="1"/>
        <v>9748.6409309195515</v>
      </c>
      <c r="G52" s="116"/>
      <c r="H52" s="7">
        <f t="shared" si="2"/>
        <v>48743.20465459775</v>
      </c>
      <c r="I52" s="131"/>
    </row>
    <row r="53" spans="2:9" x14ac:dyDescent="0.3">
      <c r="B53" s="29">
        <f>I39</f>
        <v>16.412544182700536</v>
      </c>
      <c r="C53" s="127"/>
      <c r="D53" s="7">
        <f t="shared" si="0"/>
        <v>19497.281861839099</v>
      </c>
      <c r="E53" s="129"/>
      <c r="F53" s="7">
        <f t="shared" si="1"/>
        <v>19497.281861839103</v>
      </c>
      <c r="G53" s="116"/>
      <c r="H53" s="7">
        <f t="shared" si="2"/>
        <v>38994.563723678206</v>
      </c>
      <c r="I53" s="131"/>
    </row>
    <row r="54" spans="2:9" x14ac:dyDescent="0.3">
      <c r="B54" s="28">
        <f>B53*2</f>
        <v>32.825088365401072</v>
      </c>
      <c r="C54" s="127"/>
      <c r="D54" s="7">
        <f t="shared" si="0"/>
        <v>9748.6409309195496</v>
      </c>
      <c r="E54" s="129"/>
      <c r="F54" s="7">
        <f t="shared" si="1"/>
        <v>38994.563723678206</v>
      </c>
      <c r="G54" s="116"/>
      <c r="H54" s="7">
        <f t="shared" si="2"/>
        <v>48743.204654597757</v>
      </c>
      <c r="I54" s="131"/>
    </row>
    <row r="55" spans="2:9" x14ac:dyDescent="0.3">
      <c r="B55" s="28">
        <f>B54*2</f>
        <v>65.650176730802144</v>
      </c>
      <c r="C55" s="127"/>
      <c r="D55" s="7">
        <f t="shared" si="0"/>
        <v>4874.3204654597748</v>
      </c>
      <c r="E55" s="129"/>
      <c r="F55" s="7">
        <f t="shared" si="1"/>
        <v>77989.127447356412</v>
      </c>
      <c r="G55" s="116"/>
      <c r="H55" s="7">
        <f t="shared" si="2"/>
        <v>82863.447912816191</v>
      </c>
      <c r="I55" s="131"/>
    </row>
    <row r="56" spans="2:9" x14ac:dyDescent="0.3">
      <c r="B56" s="28">
        <f>B55*2</f>
        <v>131.30035346160429</v>
      </c>
      <c r="C56" s="127"/>
      <c r="D56" s="7">
        <f t="shared" si="0"/>
        <v>2437.1602327298874</v>
      </c>
      <c r="E56" s="129"/>
      <c r="F56" s="7">
        <f t="shared" si="1"/>
        <v>155978.25489471282</v>
      </c>
      <c r="G56" s="116"/>
      <c r="H56" s="7">
        <f t="shared" si="2"/>
        <v>158415.41512744271</v>
      </c>
      <c r="I56" s="131"/>
    </row>
    <row r="57" spans="2:9" x14ac:dyDescent="0.3">
      <c r="B57" s="28">
        <f>B56*2</f>
        <v>262.60070692320858</v>
      </c>
      <c r="C57" s="128"/>
      <c r="D57" s="7">
        <f t="shared" si="0"/>
        <v>1218.5801163649437</v>
      </c>
      <c r="E57" s="130"/>
      <c r="F57" s="7">
        <f t="shared" si="1"/>
        <v>311956.50978942565</v>
      </c>
      <c r="G57" s="117"/>
      <c r="H57" s="7">
        <f t="shared" si="2"/>
        <v>313175.08990579058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BFBD260C-EC89-4E08-9D0A-BA3D1DADF956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240E-7A0D-4324-AA1B-7B46D5A7DD6A}">
  <sheetPr>
    <pageSetUpPr fitToPage="1"/>
  </sheetPr>
  <dimension ref="B1:N87"/>
  <sheetViews>
    <sheetView topLeftCell="A26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63139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61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0</v>
      </c>
      <c r="D9" s="6" t="s">
        <v>27</v>
      </c>
      <c r="E9" s="10">
        <v>45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0</v>
      </c>
      <c r="D11" s="6" t="s">
        <v>28</v>
      </c>
      <c r="E11" s="10">
        <v>36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135</v>
      </c>
      <c r="D13" s="6" t="s">
        <v>29</v>
      </c>
      <c r="E13" s="10">
        <v>90</v>
      </c>
      <c r="F13" s="2"/>
      <c r="G13" s="72" t="s">
        <v>36</v>
      </c>
      <c r="H13" s="72"/>
      <c r="I13" s="123">
        <v>3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45</v>
      </c>
      <c r="D15" s="6" t="s">
        <v>30</v>
      </c>
      <c r="E15" s="10">
        <v>81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8</v>
      </c>
    </row>
    <row r="17" spans="2:14" x14ac:dyDescent="0.3">
      <c r="B17" s="13" t="s">
        <v>25</v>
      </c>
      <c r="C17" s="10">
        <v>45</v>
      </c>
      <c r="D17" s="6" t="s">
        <v>31</v>
      </c>
      <c r="E17" s="10">
        <v>54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63</v>
      </c>
      <c r="D19" s="6" t="s">
        <v>32</v>
      </c>
      <c r="E19" s="10">
        <v>81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675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56.25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99.781812168492422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2349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234.9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37.820449014208755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15</v>
      </c>
      <c r="E37" s="87"/>
      <c r="F37" s="137" t="s">
        <v>41</v>
      </c>
      <c r="G37" s="138"/>
      <c r="H37" s="139"/>
      <c r="I37" s="30">
        <f>D37*(D35*I35/(D23))</f>
        <v>16.589094062387861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31.589094062387861</v>
      </c>
      <c r="E39" s="104"/>
      <c r="F39" s="105" t="s">
        <v>44</v>
      </c>
      <c r="G39" s="106"/>
      <c r="H39" s="107"/>
      <c r="I39" s="31">
        <f>SQRT(2*G30*D21/G32)</f>
        <v>339.03175181040518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1.9909639625066045</v>
      </c>
      <c r="E41" s="87"/>
      <c r="F41" s="75" t="s">
        <v>45</v>
      </c>
      <c r="G41" s="76"/>
      <c r="H41" s="77"/>
      <c r="I41" s="25">
        <f>G30*D41</f>
        <v>39819.279250132087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43716.057445386999</v>
      </c>
      <c r="E43" s="133"/>
      <c r="F43" s="134" t="s">
        <v>47</v>
      </c>
      <c r="G43" s="135"/>
      <c r="H43" s="136"/>
      <c r="I43" s="26">
        <f>D43+I41</f>
        <v>83535.336695519087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183.32828060858947</v>
      </c>
      <c r="E45" s="87"/>
      <c r="F45" s="67" t="s">
        <v>49</v>
      </c>
      <c r="G45" s="110"/>
      <c r="H45" s="68"/>
      <c r="I45" s="27">
        <f>I43+(G28*D21)</f>
        <v>1669110.336695519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21.189484488150324</v>
      </c>
      <c r="C49" s="127"/>
      <c r="D49" s="7">
        <f t="shared" ref="D49:D57" si="0">$G$30*$D$21/B49</f>
        <v>637108.4680021134</v>
      </c>
      <c r="E49" s="129"/>
      <c r="F49" s="7">
        <f t="shared" ref="F49:F57" si="1">$G$32*(B49/2)</f>
        <v>2488.7049531332555</v>
      </c>
      <c r="G49" s="115"/>
      <c r="H49" s="7">
        <f>D49+F49</f>
        <v>639597.17295524664</v>
      </c>
      <c r="I49" s="131"/>
    </row>
    <row r="50" spans="2:9" x14ac:dyDescent="0.3">
      <c r="B50" s="28">
        <f>B51/2</f>
        <v>42.378968976300648</v>
      </c>
      <c r="C50" s="127"/>
      <c r="D50" s="7">
        <f t="shared" si="0"/>
        <v>318554.2340010567</v>
      </c>
      <c r="E50" s="129"/>
      <c r="F50" s="7">
        <f t="shared" si="1"/>
        <v>4977.4099062665109</v>
      </c>
      <c r="G50" s="116"/>
      <c r="H50" s="7">
        <f t="shared" ref="H50:H57" si="2">D50+F50</f>
        <v>323531.64390732319</v>
      </c>
      <c r="I50" s="131"/>
    </row>
    <row r="51" spans="2:9" x14ac:dyDescent="0.3">
      <c r="B51" s="28">
        <f>B52/2</f>
        <v>84.757937952601296</v>
      </c>
      <c r="C51" s="127"/>
      <c r="D51" s="7">
        <f t="shared" si="0"/>
        <v>159277.11700052835</v>
      </c>
      <c r="E51" s="129"/>
      <c r="F51" s="7">
        <f t="shared" si="1"/>
        <v>9954.8198125330218</v>
      </c>
      <c r="G51" s="116"/>
      <c r="H51" s="7">
        <f t="shared" si="2"/>
        <v>169231.93681306136</v>
      </c>
      <c r="I51" s="131"/>
    </row>
    <row r="52" spans="2:9" x14ac:dyDescent="0.3">
      <c r="B52" s="28">
        <f>B53/2</f>
        <v>169.51587590520259</v>
      </c>
      <c r="C52" s="127"/>
      <c r="D52" s="7">
        <f t="shared" si="0"/>
        <v>79638.558500264175</v>
      </c>
      <c r="E52" s="129"/>
      <c r="F52" s="7">
        <f t="shared" si="1"/>
        <v>19909.639625066044</v>
      </c>
      <c r="G52" s="116"/>
      <c r="H52" s="7">
        <f t="shared" si="2"/>
        <v>99548.198125330222</v>
      </c>
      <c r="I52" s="131"/>
    </row>
    <row r="53" spans="2:9" x14ac:dyDescent="0.3">
      <c r="B53" s="29">
        <f>I39</f>
        <v>339.03175181040518</v>
      </c>
      <c r="C53" s="127"/>
      <c r="D53" s="7">
        <f t="shared" si="0"/>
        <v>39819.279250132087</v>
      </c>
      <c r="E53" s="129"/>
      <c r="F53" s="7">
        <f t="shared" si="1"/>
        <v>39819.279250132087</v>
      </c>
      <c r="G53" s="116"/>
      <c r="H53" s="7">
        <f t="shared" si="2"/>
        <v>79638.558500264175</v>
      </c>
      <c r="I53" s="131"/>
    </row>
    <row r="54" spans="2:9" x14ac:dyDescent="0.3">
      <c r="B54" s="28">
        <f>B53*2</f>
        <v>678.06350362081037</v>
      </c>
      <c r="C54" s="127"/>
      <c r="D54" s="7">
        <f t="shared" si="0"/>
        <v>19909.639625066044</v>
      </c>
      <c r="E54" s="129"/>
      <c r="F54" s="7">
        <f t="shared" si="1"/>
        <v>79638.558500264175</v>
      </c>
      <c r="G54" s="116"/>
      <c r="H54" s="7">
        <f t="shared" si="2"/>
        <v>99548.198125330222</v>
      </c>
      <c r="I54" s="131"/>
    </row>
    <row r="55" spans="2:9" x14ac:dyDescent="0.3">
      <c r="B55" s="28">
        <f>B54*2</f>
        <v>1356.1270072416207</v>
      </c>
      <c r="C55" s="127"/>
      <c r="D55" s="7">
        <f t="shared" si="0"/>
        <v>9954.8198125330218</v>
      </c>
      <c r="E55" s="129"/>
      <c r="F55" s="7">
        <f t="shared" si="1"/>
        <v>159277.11700052835</v>
      </c>
      <c r="G55" s="116"/>
      <c r="H55" s="7">
        <f t="shared" si="2"/>
        <v>169231.93681306136</v>
      </c>
      <c r="I55" s="131"/>
    </row>
    <row r="56" spans="2:9" x14ac:dyDescent="0.3">
      <c r="B56" s="28">
        <f>B55*2</f>
        <v>2712.2540144832415</v>
      </c>
      <c r="C56" s="127"/>
      <c r="D56" s="7">
        <f t="shared" si="0"/>
        <v>4977.4099062665109</v>
      </c>
      <c r="E56" s="129"/>
      <c r="F56" s="7">
        <f t="shared" si="1"/>
        <v>318554.2340010567</v>
      </c>
      <c r="G56" s="116"/>
      <c r="H56" s="7">
        <f t="shared" si="2"/>
        <v>323531.64390732319</v>
      </c>
      <c r="I56" s="131"/>
    </row>
    <row r="57" spans="2:9" x14ac:dyDescent="0.3">
      <c r="B57" s="28">
        <f>B56*2</f>
        <v>5424.5080289664829</v>
      </c>
      <c r="C57" s="128"/>
      <c r="D57" s="7">
        <f t="shared" si="0"/>
        <v>2488.7049531332555</v>
      </c>
      <c r="E57" s="130"/>
      <c r="F57" s="7">
        <f t="shared" si="1"/>
        <v>637108.4680021134</v>
      </c>
      <c r="G57" s="117"/>
      <c r="H57" s="7">
        <f t="shared" si="2"/>
        <v>639597.17295524664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6DBA9DB7-9958-4330-B765-F4150837254C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6902-EA70-4666-8067-2D0577BD07B8}">
  <sheetPr>
    <pageSetUpPr fitToPage="1"/>
  </sheetPr>
  <dimension ref="B1:N87"/>
  <sheetViews>
    <sheetView topLeftCell="A26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63170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62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0</v>
      </c>
      <c r="D9" s="6" t="s">
        <v>27</v>
      </c>
      <c r="E9" s="10">
        <v>1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0</v>
      </c>
      <c r="D11" s="6" t="s">
        <v>28</v>
      </c>
      <c r="E11" s="10">
        <v>0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3</v>
      </c>
      <c r="D13" s="6" t="s">
        <v>29</v>
      </c>
      <c r="E13" s="10">
        <v>5</v>
      </c>
      <c r="F13" s="2"/>
      <c r="G13" s="72" t="s">
        <v>36</v>
      </c>
      <c r="H13" s="72"/>
      <c r="I13" s="123">
        <v>3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0</v>
      </c>
      <c r="D15" s="6" t="s">
        <v>30</v>
      </c>
      <c r="E15" s="10">
        <v>1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8</v>
      </c>
    </row>
    <row r="17" spans="2:14" x14ac:dyDescent="0.3">
      <c r="B17" s="13" t="s">
        <v>25</v>
      </c>
      <c r="C17" s="10">
        <v>1</v>
      </c>
      <c r="D17" s="6" t="s">
        <v>31</v>
      </c>
      <c r="E17" s="10">
        <v>0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1</v>
      </c>
      <c r="D19" s="6" t="s">
        <v>32</v>
      </c>
      <c r="E19" s="10">
        <v>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12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1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99.957213934499492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5081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508.1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1.5374122295716148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0.26666666666666666</v>
      </c>
      <c r="E37" s="87"/>
      <c r="F37" s="137" t="s">
        <v>41</v>
      </c>
      <c r="G37" s="138"/>
      <c r="H37" s="139"/>
      <c r="I37" s="30">
        <f>D37*(D35*I35/(D23))</f>
        <v>0.67435148851477844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0.94101815518144516</v>
      </c>
      <c r="E39" s="104"/>
      <c r="F39" s="105" t="s">
        <v>44</v>
      </c>
      <c r="G39" s="106"/>
      <c r="H39" s="107"/>
      <c r="I39" s="31">
        <f>SQRT(2*G30*D21/G32)</f>
        <v>30.735906135964484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0.39042284769208885</v>
      </c>
      <c r="E41" s="87"/>
      <c r="F41" s="75" t="s">
        <v>45</v>
      </c>
      <c r="G41" s="76"/>
      <c r="H41" s="77"/>
      <c r="I41" s="25">
        <f>G30*D41</f>
        <v>7808.4569538417772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8151.0949451561355</v>
      </c>
      <c r="E43" s="133"/>
      <c r="F43" s="134" t="s">
        <v>47</v>
      </c>
      <c r="G43" s="135"/>
      <c r="H43" s="136"/>
      <c r="I43" s="26">
        <f>D43+I41</f>
        <v>15959.551898997914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934.88381163558631</v>
      </c>
      <c r="E45" s="87"/>
      <c r="F45" s="67" t="s">
        <v>49</v>
      </c>
      <c r="G45" s="110"/>
      <c r="H45" s="68"/>
      <c r="I45" s="27">
        <f>I43+(G28*D21)</f>
        <v>76931.551898997917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1.9209941334977803</v>
      </c>
      <c r="C49" s="127"/>
      <c r="D49" s="7">
        <f t="shared" ref="D49:D57" si="0">$G$30*$D$21/B49</f>
        <v>124935.31126146842</v>
      </c>
      <c r="E49" s="129"/>
      <c r="F49" s="7">
        <f t="shared" ref="F49:F57" si="1">$G$32*(B49/2)</f>
        <v>488.02855961511108</v>
      </c>
      <c r="G49" s="115"/>
      <c r="H49" s="7">
        <f>D49+F49</f>
        <v>125423.33982108353</v>
      </c>
      <c r="I49" s="131"/>
    </row>
    <row r="50" spans="2:9" x14ac:dyDescent="0.3">
      <c r="B50" s="28">
        <f>B51/2</f>
        <v>3.8419882669955605</v>
      </c>
      <c r="C50" s="127"/>
      <c r="D50" s="7">
        <f t="shared" si="0"/>
        <v>62467.655630734211</v>
      </c>
      <c r="E50" s="129"/>
      <c r="F50" s="7">
        <f t="shared" si="1"/>
        <v>976.05711923022216</v>
      </c>
      <c r="G50" s="116"/>
      <c r="H50" s="7">
        <f t="shared" ref="H50:H57" si="2">D50+F50</f>
        <v>63443.712749964434</v>
      </c>
      <c r="I50" s="131"/>
    </row>
    <row r="51" spans="2:9" x14ac:dyDescent="0.3">
      <c r="B51" s="28">
        <f>B52/2</f>
        <v>7.683976533991121</v>
      </c>
      <c r="C51" s="127"/>
      <c r="D51" s="7">
        <f t="shared" si="0"/>
        <v>31233.827815367105</v>
      </c>
      <c r="E51" s="129"/>
      <c r="F51" s="7">
        <f t="shared" si="1"/>
        <v>1952.1142384604443</v>
      </c>
      <c r="G51" s="116"/>
      <c r="H51" s="7">
        <f t="shared" si="2"/>
        <v>33185.942053827552</v>
      </c>
      <c r="I51" s="131"/>
    </row>
    <row r="52" spans="2:9" x14ac:dyDescent="0.3">
      <c r="B52" s="28">
        <f>B53/2</f>
        <v>15.367953067982242</v>
      </c>
      <c r="C52" s="127"/>
      <c r="D52" s="7">
        <f t="shared" si="0"/>
        <v>15616.913907683553</v>
      </c>
      <c r="E52" s="129"/>
      <c r="F52" s="7">
        <f t="shared" si="1"/>
        <v>3904.2284769208886</v>
      </c>
      <c r="G52" s="116"/>
      <c r="H52" s="7">
        <f t="shared" si="2"/>
        <v>19521.142384604442</v>
      </c>
      <c r="I52" s="131"/>
    </row>
    <row r="53" spans="2:9" x14ac:dyDescent="0.3">
      <c r="B53" s="29">
        <f>I39</f>
        <v>30.735906135964484</v>
      </c>
      <c r="C53" s="127"/>
      <c r="D53" s="7">
        <f t="shared" si="0"/>
        <v>7808.4569538417763</v>
      </c>
      <c r="E53" s="129"/>
      <c r="F53" s="7">
        <f t="shared" si="1"/>
        <v>7808.4569538417772</v>
      </c>
      <c r="G53" s="116"/>
      <c r="H53" s="7">
        <f t="shared" si="2"/>
        <v>15616.913907683553</v>
      </c>
      <c r="I53" s="131"/>
    </row>
    <row r="54" spans="2:9" x14ac:dyDescent="0.3">
      <c r="B54" s="28">
        <f>B53*2</f>
        <v>61.471812271928968</v>
      </c>
      <c r="C54" s="127"/>
      <c r="D54" s="7">
        <f t="shared" si="0"/>
        <v>3904.2284769208882</v>
      </c>
      <c r="E54" s="129"/>
      <c r="F54" s="7">
        <f t="shared" si="1"/>
        <v>15616.913907683554</v>
      </c>
      <c r="G54" s="116"/>
      <c r="H54" s="7">
        <f t="shared" si="2"/>
        <v>19521.142384604442</v>
      </c>
      <c r="I54" s="131"/>
    </row>
    <row r="55" spans="2:9" x14ac:dyDescent="0.3">
      <c r="B55" s="28">
        <f>B54*2</f>
        <v>122.94362454385794</v>
      </c>
      <c r="C55" s="127"/>
      <c r="D55" s="7">
        <f t="shared" si="0"/>
        <v>1952.1142384604441</v>
      </c>
      <c r="E55" s="129"/>
      <c r="F55" s="7">
        <f t="shared" si="1"/>
        <v>31233.827815367109</v>
      </c>
      <c r="G55" s="116"/>
      <c r="H55" s="7">
        <f t="shared" si="2"/>
        <v>33185.942053827552</v>
      </c>
      <c r="I55" s="131"/>
    </row>
    <row r="56" spans="2:9" x14ac:dyDescent="0.3">
      <c r="B56" s="28">
        <f>B55*2</f>
        <v>245.88724908771587</v>
      </c>
      <c r="C56" s="127"/>
      <c r="D56" s="7">
        <f t="shared" si="0"/>
        <v>976.05711923022204</v>
      </c>
      <c r="E56" s="129"/>
      <c r="F56" s="7">
        <f t="shared" si="1"/>
        <v>62467.655630734218</v>
      </c>
      <c r="G56" s="116"/>
      <c r="H56" s="7">
        <f t="shared" si="2"/>
        <v>63443.712749964441</v>
      </c>
      <c r="I56" s="131"/>
    </row>
    <row r="57" spans="2:9" x14ac:dyDescent="0.3">
      <c r="B57" s="28">
        <f>B56*2</f>
        <v>491.77449817543175</v>
      </c>
      <c r="C57" s="128"/>
      <c r="D57" s="7">
        <f t="shared" si="0"/>
        <v>488.02855961511102</v>
      </c>
      <c r="E57" s="130"/>
      <c r="F57" s="7">
        <f t="shared" si="1"/>
        <v>124935.31126146844</v>
      </c>
      <c r="G57" s="117"/>
      <c r="H57" s="7">
        <f t="shared" si="2"/>
        <v>125423.33982108354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136F10FC-66A0-40EE-A807-0B8940BECDA5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2E122-13E0-4512-AFF4-02512EB55316}">
  <sheetPr>
    <pageSetUpPr fitToPage="1"/>
  </sheetPr>
  <dimension ref="B1:N87"/>
  <sheetViews>
    <sheetView topLeftCell="A24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63473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63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2</v>
      </c>
      <c r="D9" s="6" t="s">
        <v>27</v>
      </c>
      <c r="E9" s="10">
        <v>1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0</v>
      </c>
      <c r="D11" s="6" t="s">
        <v>28</v>
      </c>
      <c r="E11" s="10">
        <v>3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1</v>
      </c>
      <c r="D13" s="6" t="s">
        <v>29</v>
      </c>
      <c r="E13" s="10">
        <v>4</v>
      </c>
      <c r="F13" s="2"/>
      <c r="G13" s="72" t="s">
        <v>36</v>
      </c>
      <c r="H13" s="72"/>
      <c r="I13" s="123">
        <v>30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0</v>
      </c>
      <c r="D15" s="6" t="s">
        <v>30</v>
      </c>
      <c r="E15" s="10">
        <v>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35</v>
      </c>
    </row>
    <row r="17" spans="2:14" x14ac:dyDescent="0.3">
      <c r="B17" s="13" t="s">
        <v>25</v>
      </c>
      <c r="C17" s="10">
        <v>0</v>
      </c>
      <c r="D17" s="6" t="s">
        <v>31</v>
      </c>
      <c r="E17" s="10">
        <v>0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1</v>
      </c>
      <c r="D19" s="6" t="s">
        <v>32</v>
      </c>
      <c r="E19" s="10">
        <v>5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17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1.4166666666666667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99.697619087768729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9359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935.90000000000009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1.7298624923456323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1.6527777777777779</v>
      </c>
      <c r="E37" s="87"/>
      <c r="F37" s="137" t="s">
        <v>41</v>
      </c>
      <c r="G37" s="138"/>
      <c r="H37" s="139"/>
      <c r="I37" s="30">
        <f>D37*(D35*I35/(D23))</f>
        <v>3.3195990271056961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4.9723768048834742</v>
      </c>
      <c r="E39" s="104"/>
      <c r="F39" s="105" t="s">
        <v>44</v>
      </c>
      <c r="G39" s="106"/>
      <c r="H39" s="107"/>
      <c r="I39" s="31">
        <f>SQRT(2*G30*D21/G32)</f>
        <v>26.95502461237664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0.63068018836808248</v>
      </c>
      <c r="E41" s="87"/>
      <c r="F41" s="75" t="s">
        <v>45</v>
      </c>
      <c r="G41" s="76"/>
      <c r="H41" s="77"/>
      <c r="I41" s="25">
        <f>G30*D41</f>
        <v>12613.60376736165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15720.41649682987</v>
      </c>
      <c r="E43" s="133"/>
      <c r="F43" s="134" t="s">
        <v>47</v>
      </c>
      <c r="G43" s="135"/>
      <c r="H43" s="136"/>
      <c r="I43" s="26">
        <f>D43+I41</f>
        <v>28334.02026419152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578.74023432455726</v>
      </c>
      <c r="E45" s="87"/>
      <c r="F45" s="67" t="s">
        <v>49</v>
      </c>
      <c r="G45" s="110"/>
      <c r="H45" s="68"/>
      <c r="I45" s="27">
        <f>I43+(G28*D21)</f>
        <v>187437.02026419152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1.68468903827354</v>
      </c>
      <c r="C49" s="127"/>
      <c r="D49" s="7">
        <f t="shared" ref="D49:D57" si="0">$G$30*$D$21/B49</f>
        <v>201817.6602777864</v>
      </c>
      <c r="E49" s="129"/>
      <c r="F49" s="7">
        <f t="shared" ref="F49:F57" si="1">$G$32*(B49/2)</f>
        <v>788.35023546010314</v>
      </c>
      <c r="G49" s="115"/>
      <c r="H49" s="7">
        <f>D49+F49</f>
        <v>202606.0105132465</v>
      </c>
      <c r="I49" s="131"/>
    </row>
    <row r="50" spans="2:9" x14ac:dyDescent="0.3">
      <c r="B50" s="28">
        <f>B51/2</f>
        <v>3.36937807654708</v>
      </c>
      <c r="C50" s="127"/>
      <c r="D50" s="7">
        <f t="shared" si="0"/>
        <v>100908.8301388932</v>
      </c>
      <c r="E50" s="129"/>
      <c r="F50" s="7">
        <f t="shared" si="1"/>
        <v>1576.7004709202063</v>
      </c>
      <c r="G50" s="116"/>
      <c r="H50" s="7">
        <f t="shared" ref="H50:H57" si="2">D50+F50</f>
        <v>102485.5306098134</v>
      </c>
      <c r="I50" s="131"/>
    </row>
    <row r="51" spans="2:9" x14ac:dyDescent="0.3">
      <c r="B51" s="28">
        <f>B52/2</f>
        <v>6.73875615309416</v>
      </c>
      <c r="C51" s="127"/>
      <c r="D51" s="7">
        <f t="shared" si="0"/>
        <v>50454.415069446601</v>
      </c>
      <c r="E51" s="129"/>
      <c r="F51" s="7">
        <f t="shared" si="1"/>
        <v>3153.4009418404125</v>
      </c>
      <c r="G51" s="116"/>
      <c r="H51" s="7">
        <f t="shared" si="2"/>
        <v>53607.81601128701</v>
      </c>
      <c r="I51" s="131"/>
    </row>
    <row r="52" spans="2:9" x14ac:dyDescent="0.3">
      <c r="B52" s="28">
        <f>B53/2</f>
        <v>13.47751230618832</v>
      </c>
      <c r="C52" s="127"/>
      <c r="D52" s="7">
        <f t="shared" si="0"/>
        <v>25227.2075347233</v>
      </c>
      <c r="E52" s="129"/>
      <c r="F52" s="7">
        <f t="shared" si="1"/>
        <v>6306.8018836808251</v>
      </c>
      <c r="G52" s="116"/>
      <c r="H52" s="7">
        <f t="shared" si="2"/>
        <v>31534.009418404126</v>
      </c>
      <c r="I52" s="131"/>
    </row>
    <row r="53" spans="2:9" x14ac:dyDescent="0.3">
      <c r="B53" s="29">
        <f>I39</f>
        <v>26.95502461237664</v>
      </c>
      <c r="C53" s="127"/>
      <c r="D53" s="7">
        <f t="shared" si="0"/>
        <v>12613.60376736165</v>
      </c>
      <c r="E53" s="129"/>
      <c r="F53" s="7">
        <f t="shared" si="1"/>
        <v>12613.60376736165</v>
      </c>
      <c r="G53" s="116"/>
      <c r="H53" s="7">
        <f t="shared" si="2"/>
        <v>25227.2075347233</v>
      </c>
      <c r="I53" s="131"/>
    </row>
    <row r="54" spans="2:9" x14ac:dyDescent="0.3">
      <c r="B54" s="28">
        <f>B53*2</f>
        <v>53.91004922475328</v>
      </c>
      <c r="C54" s="127"/>
      <c r="D54" s="7">
        <f t="shared" si="0"/>
        <v>6306.8018836808251</v>
      </c>
      <c r="E54" s="129"/>
      <c r="F54" s="7">
        <f t="shared" si="1"/>
        <v>25227.2075347233</v>
      </c>
      <c r="G54" s="116"/>
      <c r="H54" s="7">
        <f t="shared" si="2"/>
        <v>31534.009418404126</v>
      </c>
      <c r="I54" s="131"/>
    </row>
    <row r="55" spans="2:9" x14ac:dyDescent="0.3">
      <c r="B55" s="28">
        <f>B54*2</f>
        <v>107.82009844950656</v>
      </c>
      <c r="C55" s="127"/>
      <c r="D55" s="7">
        <f t="shared" si="0"/>
        <v>3153.4009418404125</v>
      </c>
      <c r="E55" s="129"/>
      <c r="F55" s="7">
        <f t="shared" si="1"/>
        <v>50454.415069446601</v>
      </c>
      <c r="G55" s="116"/>
      <c r="H55" s="7">
        <f t="shared" si="2"/>
        <v>53607.81601128701</v>
      </c>
      <c r="I55" s="131"/>
    </row>
    <row r="56" spans="2:9" x14ac:dyDescent="0.3">
      <c r="B56" s="28">
        <f>B55*2</f>
        <v>215.64019689901312</v>
      </c>
      <c r="C56" s="127"/>
      <c r="D56" s="7">
        <f t="shared" si="0"/>
        <v>1576.7004709202063</v>
      </c>
      <c r="E56" s="129"/>
      <c r="F56" s="7">
        <f t="shared" si="1"/>
        <v>100908.8301388932</v>
      </c>
      <c r="G56" s="116"/>
      <c r="H56" s="7">
        <f t="shared" si="2"/>
        <v>102485.5306098134</v>
      </c>
      <c r="I56" s="131"/>
    </row>
    <row r="57" spans="2:9" x14ac:dyDescent="0.3">
      <c r="B57" s="28">
        <f>B56*2</f>
        <v>431.28039379802624</v>
      </c>
      <c r="C57" s="128"/>
      <c r="D57" s="7">
        <f t="shared" si="0"/>
        <v>788.35023546010314</v>
      </c>
      <c r="E57" s="130"/>
      <c r="F57" s="7">
        <f t="shared" si="1"/>
        <v>201817.6602777864</v>
      </c>
      <c r="G57" s="117"/>
      <c r="H57" s="7">
        <f t="shared" si="2"/>
        <v>202606.0105132465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1E2503DF-93EB-41B2-9C14-BE723BCEBD4A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F1B70-7B66-4DFC-88CB-AC1139655FCB}">
  <sheetPr>
    <pageSetUpPr fitToPage="1"/>
  </sheetPr>
  <dimension ref="B1:N87"/>
  <sheetViews>
    <sheetView topLeftCell="A24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63474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64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3</v>
      </c>
      <c r="D9" s="6" t="s">
        <v>27</v>
      </c>
      <c r="E9" s="10">
        <v>0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0</v>
      </c>
      <c r="D11" s="6" t="s">
        <v>28</v>
      </c>
      <c r="E11" s="10">
        <v>3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0</v>
      </c>
      <c r="D13" s="6" t="s">
        <v>29</v>
      </c>
      <c r="E13" s="10">
        <v>2</v>
      </c>
      <c r="F13" s="2"/>
      <c r="G13" s="72" t="s">
        <v>36</v>
      </c>
      <c r="H13" s="72"/>
      <c r="I13" s="123">
        <v>30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3</v>
      </c>
      <c r="D15" s="6" t="s">
        <v>30</v>
      </c>
      <c r="E15" s="10">
        <v>5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35</v>
      </c>
    </row>
    <row r="17" spans="2:14" x14ac:dyDescent="0.3">
      <c r="B17" s="13" t="s">
        <v>25</v>
      </c>
      <c r="C17" s="10">
        <v>2</v>
      </c>
      <c r="D17" s="6" t="s">
        <v>31</v>
      </c>
      <c r="E17" s="10">
        <v>3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0</v>
      </c>
      <c r="D19" s="6" t="s">
        <v>32</v>
      </c>
      <c r="E19" s="10">
        <v>2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23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1.9166666666666667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99.681203138620702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7689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768.90000000000009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1.6213537179739277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2.2361111111111112</v>
      </c>
      <c r="E37" s="87"/>
      <c r="F37" s="137" t="s">
        <v>41</v>
      </c>
      <c r="G37" s="138"/>
      <c r="H37" s="139"/>
      <c r="I37" s="30">
        <f>D37*(D35*I35/(D23))</f>
        <v>3.1113711341774462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5.3474822452885569</v>
      </c>
      <c r="E39" s="104"/>
      <c r="F39" s="105" t="s">
        <v>44</v>
      </c>
      <c r="G39" s="106"/>
      <c r="H39" s="107"/>
      <c r="I39" s="31">
        <f>SQRT(2*G30*D21/G32)</f>
        <v>34.590670725435942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0.66491916801969253</v>
      </c>
      <c r="E41" s="87"/>
      <c r="F41" s="75" t="s">
        <v>45</v>
      </c>
      <c r="G41" s="76"/>
      <c r="H41" s="77"/>
      <c r="I41" s="25">
        <f>G30*D41</f>
        <v>13298.383360393851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15690.716625462888</v>
      </c>
      <c r="E43" s="133"/>
      <c r="F43" s="134" t="s">
        <v>47</v>
      </c>
      <c r="G43" s="135"/>
      <c r="H43" s="136"/>
      <c r="I43" s="26">
        <f>D43+I41</f>
        <v>28989.099985856737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548.93890499061388</v>
      </c>
      <c r="E45" s="87"/>
      <c r="F45" s="67" t="s">
        <v>49</v>
      </c>
      <c r="G45" s="110"/>
      <c r="H45" s="68"/>
      <c r="I45" s="27">
        <f>I43+(G28*D21)</f>
        <v>205836.09998585674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2.1619169203397464</v>
      </c>
      <c r="C49" s="127"/>
      <c r="D49" s="7">
        <f t="shared" ref="D49:D57" si="0">$G$30*$D$21/B49</f>
        <v>212774.13376630162</v>
      </c>
      <c r="E49" s="129"/>
      <c r="F49" s="7">
        <f t="shared" ref="F49:F57" si="1">$G$32*(B49/2)</f>
        <v>831.14896002461558</v>
      </c>
      <c r="G49" s="115"/>
      <c r="H49" s="7">
        <f>D49+F49</f>
        <v>213605.28272632623</v>
      </c>
      <c r="I49" s="131"/>
    </row>
    <row r="50" spans="2:9" x14ac:dyDescent="0.3">
      <c r="B50" s="28">
        <f>B51/2</f>
        <v>4.3238338406794927</v>
      </c>
      <c r="C50" s="127"/>
      <c r="D50" s="7">
        <f t="shared" si="0"/>
        <v>106387.06688315081</v>
      </c>
      <c r="E50" s="129"/>
      <c r="F50" s="7">
        <f t="shared" si="1"/>
        <v>1662.2979200492312</v>
      </c>
      <c r="G50" s="116"/>
      <c r="H50" s="7">
        <f t="shared" ref="H50:H57" si="2">D50+F50</f>
        <v>108049.36480320003</v>
      </c>
      <c r="I50" s="131"/>
    </row>
    <row r="51" spans="2:9" x14ac:dyDescent="0.3">
      <c r="B51" s="28">
        <f>B52/2</f>
        <v>8.6476676813589854</v>
      </c>
      <c r="C51" s="127"/>
      <c r="D51" s="7">
        <f t="shared" si="0"/>
        <v>53193.533441575404</v>
      </c>
      <c r="E51" s="129"/>
      <c r="F51" s="7">
        <f t="shared" si="1"/>
        <v>3324.5958400984623</v>
      </c>
      <c r="G51" s="116"/>
      <c r="H51" s="7">
        <f t="shared" si="2"/>
        <v>56518.129281673864</v>
      </c>
      <c r="I51" s="131"/>
    </row>
    <row r="52" spans="2:9" x14ac:dyDescent="0.3">
      <c r="B52" s="28">
        <f>B53/2</f>
        <v>17.295335362717971</v>
      </c>
      <c r="C52" s="127"/>
      <c r="D52" s="7">
        <f t="shared" si="0"/>
        <v>26596.766720787702</v>
      </c>
      <c r="E52" s="129"/>
      <c r="F52" s="7">
        <f t="shared" si="1"/>
        <v>6649.1916801969246</v>
      </c>
      <c r="G52" s="116"/>
      <c r="H52" s="7">
        <f t="shared" si="2"/>
        <v>33245.958400984629</v>
      </c>
      <c r="I52" s="131"/>
    </row>
    <row r="53" spans="2:9" x14ac:dyDescent="0.3">
      <c r="B53" s="29">
        <f>I39</f>
        <v>34.590670725435942</v>
      </c>
      <c r="C53" s="127"/>
      <c r="D53" s="7">
        <f t="shared" si="0"/>
        <v>13298.383360393851</v>
      </c>
      <c r="E53" s="129"/>
      <c r="F53" s="7">
        <f t="shared" si="1"/>
        <v>13298.383360393849</v>
      </c>
      <c r="G53" s="116"/>
      <c r="H53" s="7">
        <f t="shared" si="2"/>
        <v>26596.766720787702</v>
      </c>
      <c r="I53" s="131"/>
    </row>
    <row r="54" spans="2:9" x14ac:dyDescent="0.3">
      <c r="B54" s="28">
        <f>B53*2</f>
        <v>69.181341450871884</v>
      </c>
      <c r="C54" s="127"/>
      <c r="D54" s="7">
        <f t="shared" si="0"/>
        <v>6649.1916801969255</v>
      </c>
      <c r="E54" s="129"/>
      <c r="F54" s="7">
        <f t="shared" si="1"/>
        <v>26596.766720787698</v>
      </c>
      <c r="G54" s="116"/>
      <c r="H54" s="7">
        <f t="shared" si="2"/>
        <v>33245.958400984622</v>
      </c>
      <c r="I54" s="131"/>
    </row>
    <row r="55" spans="2:9" x14ac:dyDescent="0.3">
      <c r="B55" s="28">
        <f>B54*2</f>
        <v>138.36268290174377</v>
      </c>
      <c r="C55" s="127"/>
      <c r="D55" s="7">
        <f t="shared" si="0"/>
        <v>3324.5958400984628</v>
      </c>
      <c r="E55" s="129"/>
      <c r="F55" s="7">
        <f t="shared" si="1"/>
        <v>53193.533441575397</v>
      </c>
      <c r="G55" s="116"/>
      <c r="H55" s="7">
        <f t="shared" si="2"/>
        <v>56518.129281673857</v>
      </c>
      <c r="I55" s="131"/>
    </row>
    <row r="56" spans="2:9" x14ac:dyDescent="0.3">
      <c r="B56" s="28">
        <f>B55*2</f>
        <v>276.72536580348753</v>
      </c>
      <c r="C56" s="127"/>
      <c r="D56" s="7">
        <f t="shared" si="0"/>
        <v>1662.2979200492314</v>
      </c>
      <c r="E56" s="129"/>
      <c r="F56" s="7">
        <f t="shared" si="1"/>
        <v>106387.06688315079</v>
      </c>
      <c r="G56" s="116"/>
      <c r="H56" s="7">
        <f t="shared" si="2"/>
        <v>108049.36480320002</v>
      </c>
      <c r="I56" s="131"/>
    </row>
    <row r="57" spans="2:9" x14ac:dyDescent="0.3">
      <c r="B57" s="28">
        <f>B56*2</f>
        <v>553.45073160697507</v>
      </c>
      <c r="C57" s="128"/>
      <c r="D57" s="7">
        <f t="shared" si="0"/>
        <v>831.14896002461569</v>
      </c>
      <c r="E57" s="130"/>
      <c r="F57" s="7">
        <f t="shared" si="1"/>
        <v>212774.13376630159</v>
      </c>
      <c r="G57" s="117"/>
      <c r="H57" s="7">
        <f t="shared" si="2"/>
        <v>213605.2827263262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B48A1744-5B0D-483A-A277-120441989878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4DB0C-47DA-478F-92AB-3F8482577086}">
  <sheetPr>
    <pageSetUpPr fitToPage="1"/>
  </sheetPr>
  <dimension ref="B1:N87"/>
  <sheetViews>
    <sheetView topLeftCell="A24" zoomScale="90" zoomScaleNormal="90" workbookViewId="0">
      <selection activeCell="D6" sqref="D6:I6"/>
    </sheetView>
  </sheetViews>
  <sheetFormatPr baseColWidth="10" defaultRowHeight="14.4" x14ac:dyDescent="0.3"/>
  <cols>
    <col min="1" max="1" width="2.44140625" customWidth="1"/>
    <col min="2" max="3" width="21" customWidth="1"/>
    <col min="4" max="4" width="22.5546875" customWidth="1"/>
    <col min="5" max="5" width="22.109375" customWidth="1"/>
    <col min="6" max="6" width="22.5546875" customWidth="1"/>
    <col min="7" max="7" width="22.109375" customWidth="1"/>
    <col min="8" max="9" width="21" customWidth="1"/>
    <col min="11" max="11" width="8" hidden="1" customWidth="1"/>
  </cols>
  <sheetData>
    <row r="1" spans="2:11" ht="15" customHeight="1" x14ac:dyDescent="0.3">
      <c r="B1" s="142" t="s">
        <v>2</v>
      </c>
      <c r="C1" s="143"/>
      <c r="D1" s="143" t="s">
        <v>18</v>
      </c>
      <c r="E1" s="143"/>
      <c r="F1" s="143"/>
      <c r="G1" s="143"/>
      <c r="H1" s="93"/>
      <c r="I1" s="94"/>
    </row>
    <row r="2" spans="2:11" ht="76.5" customHeight="1" x14ac:dyDescent="0.3">
      <c r="B2" s="144"/>
      <c r="C2" s="145"/>
      <c r="D2" s="145"/>
      <c r="E2" s="145"/>
      <c r="F2" s="145"/>
      <c r="G2" s="145"/>
      <c r="H2" s="95"/>
      <c r="I2" s="96"/>
    </row>
    <row r="3" spans="2:11" x14ac:dyDescent="0.3">
      <c r="B3" s="88" t="s">
        <v>3</v>
      </c>
      <c r="C3" s="49"/>
      <c r="D3" s="74"/>
      <c r="E3" s="74"/>
      <c r="F3" s="74"/>
      <c r="G3" s="49" t="s">
        <v>4</v>
      </c>
      <c r="H3" s="49"/>
      <c r="I3" s="12"/>
    </row>
    <row r="4" spans="2:11" x14ac:dyDescent="0.3">
      <c r="B4" s="88" t="s">
        <v>5</v>
      </c>
      <c r="C4" s="49"/>
      <c r="D4" s="74"/>
      <c r="E4" s="74"/>
      <c r="F4" s="74"/>
      <c r="G4" s="74"/>
      <c r="H4" s="74"/>
      <c r="I4" s="91"/>
    </row>
    <row r="5" spans="2:11" x14ac:dyDescent="0.3">
      <c r="B5" s="88" t="s">
        <v>6</v>
      </c>
      <c r="C5" s="49"/>
      <c r="D5" s="74">
        <v>63475</v>
      </c>
      <c r="E5" s="74"/>
      <c r="F5" s="74"/>
      <c r="G5" s="74"/>
      <c r="H5" s="74"/>
      <c r="I5" s="91"/>
    </row>
    <row r="6" spans="2:11" x14ac:dyDescent="0.3">
      <c r="B6" s="89" t="s">
        <v>7</v>
      </c>
      <c r="C6" s="90"/>
      <c r="D6" s="92" t="s">
        <v>64</v>
      </c>
      <c r="E6" s="92"/>
      <c r="F6" s="92"/>
      <c r="G6" s="74"/>
      <c r="H6" s="74"/>
      <c r="I6" s="91"/>
    </row>
    <row r="7" spans="2:11" x14ac:dyDescent="0.3">
      <c r="B7" s="65" t="s">
        <v>20</v>
      </c>
      <c r="C7" s="66"/>
      <c r="D7" s="67"/>
      <c r="E7" s="68"/>
      <c r="F7" s="69" t="s">
        <v>19</v>
      </c>
      <c r="G7" s="66"/>
      <c r="H7" s="67"/>
      <c r="I7" s="70"/>
    </row>
    <row r="8" spans="2:11" ht="21" x14ac:dyDescent="0.4">
      <c r="B8" s="113" t="s">
        <v>10</v>
      </c>
      <c r="C8" s="114"/>
      <c r="D8" s="114"/>
      <c r="E8" s="114"/>
      <c r="F8" s="114"/>
      <c r="G8" s="114" t="s">
        <v>13</v>
      </c>
      <c r="H8" s="114"/>
      <c r="I8" s="122"/>
      <c r="K8" t="s">
        <v>0</v>
      </c>
    </row>
    <row r="9" spans="2:11" x14ac:dyDescent="0.3">
      <c r="B9" s="13" t="s">
        <v>21</v>
      </c>
      <c r="C9" s="9">
        <v>0</v>
      </c>
      <c r="D9" s="6" t="s">
        <v>27</v>
      </c>
      <c r="E9" s="10">
        <v>0</v>
      </c>
      <c r="F9" s="2"/>
      <c r="G9" s="2"/>
      <c r="H9" s="2"/>
      <c r="I9" s="14"/>
      <c r="K9" t="s">
        <v>1</v>
      </c>
    </row>
    <row r="10" spans="2:11" x14ac:dyDescent="0.3">
      <c r="B10" s="15"/>
      <c r="C10" s="2"/>
      <c r="D10" s="3"/>
      <c r="E10" s="2"/>
      <c r="F10" s="2"/>
      <c r="G10" s="72" t="s">
        <v>35</v>
      </c>
      <c r="H10" s="72"/>
      <c r="I10" s="123">
        <v>5</v>
      </c>
      <c r="K10" t="s">
        <v>14</v>
      </c>
    </row>
    <row r="11" spans="2:11" x14ac:dyDescent="0.3">
      <c r="B11" s="16" t="s">
        <v>22</v>
      </c>
      <c r="C11" s="10">
        <v>0</v>
      </c>
      <c r="D11" s="6" t="s">
        <v>28</v>
      </c>
      <c r="E11" s="10">
        <v>1</v>
      </c>
      <c r="F11" s="2"/>
      <c r="G11" s="72"/>
      <c r="H11" s="72"/>
      <c r="I11" s="123"/>
    </row>
    <row r="12" spans="2:11" x14ac:dyDescent="0.3">
      <c r="B12" s="15"/>
      <c r="C12" s="2"/>
      <c r="D12" s="3"/>
      <c r="E12" s="2"/>
      <c r="F12" s="2"/>
      <c r="G12" s="2"/>
      <c r="H12" s="2"/>
      <c r="I12" s="14"/>
      <c r="K12">
        <v>3</v>
      </c>
    </row>
    <row r="13" spans="2:11" x14ac:dyDescent="0.3">
      <c r="B13" s="13" t="s">
        <v>23</v>
      </c>
      <c r="C13" s="10">
        <v>0</v>
      </c>
      <c r="D13" s="6" t="s">
        <v>29</v>
      </c>
      <c r="E13" s="10">
        <v>2</v>
      </c>
      <c r="F13" s="2"/>
      <c r="G13" s="72" t="s">
        <v>36</v>
      </c>
      <c r="H13" s="72"/>
      <c r="I13" s="123">
        <v>30</v>
      </c>
      <c r="K13">
        <v>2</v>
      </c>
    </row>
    <row r="14" spans="2:11" x14ac:dyDescent="0.3">
      <c r="B14" s="15"/>
      <c r="C14" s="2"/>
      <c r="D14" s="3"/>
      <c r="E14" s="2"/>
      <c r="F14" s="2"/>
      <c r="G14" s="72"/>
      <c r="H14" s="72"/>
      <c r="I14" s="123"/>
      <c r="K14">
        <v>1</v>
      </c>
    </row>
    <row r="15" spans="2:11" x14ac:dyDescent="0.3">
      <c r="B15" s="13" t="s">
        <v>24</v>
      </c>
      <c r="C15" s="10">
        <v>0</v>
      </c>
      <c r="D15" s="6" t="s">
        <v>30</v>
      </c>
      <c r="E15" s="10">
        <v>0</v>
      </c>
      <c r="F15" s="2"/>
      <c r="G15" s="2"/>
      <c r="H15" s="2"/>
      <c r="I15" s="14"/>
    </row>
    <row r="16" spans="2:11" x14ac:dyDescent="0.3">
      <c r="B16" s="15"/>
      <c r="C16" s="2"/>
      <c r="D16" s="3"/>
      <c r="E16" s="2"/>
      <c r="F16" s="2"/>
      <c r="G16" s="72" t="s">
        <v>37</v>
      </c>
      <c r="H16" s="72"/>
      <c r="I16" s="126">
        <f>I10+I13</f>
        <v>35</v>
      </c>
    </row>
    <row r="17" spans="2:14" x14ac:dyDescent="0.3">
      <c r="B17" s="13" t="s">
        <v>25</v>
      </c>
      <c r="C17" s="10">
        <v>0</v>
      </c>
      <c r="D17" s="6" t="s">
        <v>31</v>
      </c>
      <c r="E17" s="10">
        <v>0</v>
      </c>
      <c r="F17" s="2"/>
      <c r="G17" s="72"/>
      <c r="H17" s="72"/>
      <c r="I17" s="126"/>
    </row>
    <row r="18" spans="2:14" x14ac:dyDescent="0.3">
      <c r="B18" s="15"/>
      <c r="C18" s="2"/>
      <c r="D18" s="3"/>
      <c r="E18" s="2"/>
      <c r="F18" s="2"/>
      <c r="G18" s="2"/>
      <c r="H18" s="2"/>
      <c r="I18" s="14"/>
    </row>
    <row r="19" spans="2:14" x14ac:dyDescent="0.3">
      <c r="B19" s="13" t="s">
        <v>26</v>
      </c>
      <c r="C19" s="10">
        <v>0</v>
      </c>
      <c r="D19" s="6" t="s">
        <v>32</v>
      </c>
      <c r="E19" s="10">
        <v>0</v>
      </c>
      <c r="F19" s="2"/>
      <c r="G19" s="74" t="s">
        <v>8</v>
      </c>
      <c r="H19" s="74"/>
      <c r="I19" s="91"/>
    </row>
    <row r="20" spans="2:14" x14ac:dyDescent="0.3">
      <c r="B20" s="17"/>
      <c r="C20" s="2"/>
      <c r="D20" s="2"/>
      <c r="E20" s="2"/>
      <c r="F20" s="2"/>
      <c r="G20" s="118">
        <v>2</v>
      </c>
      <c r="H20" s="118"/>
      <c r="I20" s="119"/>
    </row>
    <row r="21" spans="2:14" x14ac:dyDescent="0.3">
      <c r="B21" s="73" t="s">
        <v>33</v>
      </c>
      <c r="C21" s="74"/>
      <c r="D21" s="20">
        <f>SUM(C9+C11+C13+C15+C17+C19+E9+E11+E13+E15+E17+E19)</f>
        <v>3</v>
      </c>
      <c r="E21" s="2"/>
      <c r="F21" s="2"/>
      <c r="G21" s="2"/>
      <c r="H21" s="2"/>
      <c r="I21" s="14"/>
      <c r="N21" s="1"/>
    </row>
    <row r="22" spans="2:14" x14ac:dyDescent="0.3">
      <c r="B22" s="17"/>
      <c r="C22" s="2"/>
      <c r="D22" s="2"/>
      <c r="E22" s="2"/>
      <c r="F22" s="2"/>
      <c r="G22" s="74" t="s">
        <v>17</v>
      </c>
      <c r="H22" s="74"/>
      <c r="I22" s="91"/>
    </row>
    <row r="23" spans="2:14" ht="30.75" customHeight="1" x14ac:dyDescent="0.3">
      <c r="B23" s="71" t="s">
        <v>34</v>
      </c>
      <c r="C23" s="72"/>
      <c r="D23" s="21">
        <f>D21/12</f>
        <v>0.25</v>
      </c>
      <c r="E23" s="2"/>
      <c r="F23" s="2"/>
      <c r="G23" s="120" t="str">
        <f>IF(G20=3,"PARALIZA LA PRODUCCIÓN",IF(G20=2,"AFECTA PARCIALMNETE LA PRODUCCIÓN","NO AFECTA LA PRODUCCIÓN"))</f>
        <v>AFECTA PARCIALMNETE LA PRODUCCIÓN</v>
      </c>
      <c r="H23" s="120"/>
      <c r="I23" s="121"/>
    </row>
    <row r="24" spans="2:14" x14ac:dyDescent="0.3">
      <c r="B24" s="17"/>
      <c r="C24" s="2"/>
      <c r="D24" s="2"/>
      <c r="E24" s="2"/>
      <c r="F24" s="2"/>
      <c r="G24" s="2"/>
      <c r="H24" s="2"/>
      <c r="I24" s="14"/>
    </row>
    <row r="25" spans="2:14" ht="21" x14ac:dyDescent="0.4">
      <c r="B25" s="84" t="s">
        <v>9</v>
      </c>
      <c r="C25" s="85"/>
      <c r="D25" s="85"/>
      <c r="E25" s="85"/>
      <c r="F25" s="85"/>
      <c r="G25" s="85"/>
      <c r="H25" s="85"/>
      <c r="I25" s="86"/>
    </row>
    <row r="26" spans="2:14" ht="47.25" customHeight="1" x14ac:dyDescent="0.3">
      <c r="B26" s="11" t="s">
        <v>16</v>
      </c>
      <c r="C26" s="22">
        <f>IF(G20=1,80,IF(G20=2,95,99.9))</f>
        <v>95</v>
      </c>
      <c r="D26" s="5" t="s">
        <v>15</v>
      </c>
      <c r="E26" s="23">
        <f>(100-((100-C26)*I16*D41)/365)</f>
        <v>99.872021322321544</v>
      </c>
      <c r="F26" s="75" t="s">
        <v>11</v>
      </c>
      <c r="G26" s="76"/>
      <c r="H26" s="77"/>
      <c r="I26" s="18">
        <v>0.1</v>
      </c>
    </row>
    <row r="27" spans="2:14" x14ac:dyDescent="0.3">
      <c r="B27" s="15"/>
      <c r="C27" s="8"/>
      <c r="D27" s="8"/>
      <c r="E27" s="8"/>
      <c r="F27" s="8"/>
      <c r="G27" s="8"/>
      <c r="H27" s="8"/>
      <c r="I27" s="19"/>
    </row>
    <row r="28" spans="2:14" x14ac:dyDescent="0.3">
      <c r="B28" s="78" t="s">
        <v>50</v>
      </c>
      <c r="C28" s="79"/>
      <c r="D28" s="79"/>
      <c r="E28" s="79"/>
      <c r="F28" s="2"/>
      <c r="G28" s="80">
        <v>9500</v>
      </c>
      <c r="H28" s="80"/>
      <c r="I28" s="81"/>
    </row>
    <row r="29" spans="2:14" x14ac:dyDescent="0.3">
      <c r="B29" s="17"/>
      <c r="C29" s="2"/>
      <c r="D29" s="2"/>
      <c r="E29" s="2"/>
      <c r="F29" s="2"/>
      <c r="G29" s="2"/>
      <c r="H29" s="2"/>
      <c r="I29" s="14"/>
    </row>
    <row r="30" spans="2:14" x14ac:dyDescent="0.3">
      <c r="B30" s="78" t="s">
        <v>51</v>
      </c>
      <c r="C30" s="79"/>
      <c r="D30" s="79"/>
      <c r="E30" s="79"/>
      <c r="F30" s="2"/>
      <c r="G30" s="80">
        <v>20000</v>
      </c>
      <c r="H30" s="80"/>
      <c r="I30" s="81"/>
    </row>
    <row r="31" spans="2:14" x14ac:dyDescent="0.3">
      <c r="B31" s="17"/>
      <c r="C31" s="2"/>
      <c r="D31" s="2"/>
      <c r="E31" s="2"/>
      <c r="F31" s="2"/>
      <c r="G31" s="2"/>
      <c r="H31" s="2"/>
      <c r="I31" s="14"/>
    </row>
    <row r="32" spans="2:14" ht="30" customHeight="1" x14ac:dyDescent="0.3">
      <c r="B32" s="71" t="s">
        <v>52</v>
      </c>
      <c r="C32" s="72"/>
      <c r="D32" s="72"/>
      <c r="E32" s="72"/>
      <c r="F32" s="2"/>
      <c r="G32" s="82">
        <f>G28*I26</f>
        <v>950</v>
      </c>
      <c r="H32" s="82"/>
      <c r="I32" s="83"/>
    </row>
    <row r="33" spans="2:9" x14ac:dyDescent="0.3">
      <c r="B33" s="17"/>
      <c r="C33" s="2"/>
      <c r="D33" s="2"/>
      <c r="E33" s="2"/>
      <c r="F33" s="2"/>
      <c r="G33" s="2"/>
      <c r="H33" s="2"/>
      <c r="I33" s="14"/>
    </row>
    <row r="34" spans="2:9" ht="21" x14ac:dyDescent="0.4">
      <c r="B34" s="84" t="s">
        <v>12</v>
      </c>
      <c r="C34" s="85"/>
      <c r="D34" s="85"/>
      <c r="E34" s="85"/>
      <c r="F34" s="85"/>
      <c r="G34" s="85"/>
      <c r="H34" s="85"/>
      <c r="I34" s="86"/>
    </row>
    <row r="35" spans="2:9" x14ac:dyDescent="0.3">
      <c r="B35" s="140" t="s">
        <v>38</v>
      </c>
      <c r="C35" s="120"/>
      <c r="D35" s="103">
        <f>_xlfn.NORM.S.INV(C26/100)</f>
        <v>1.6448536269514715</v>
      </c>
      <c r="E35" s="103"/>
      <c r="F35" s="67" t="s">
        <v>39</v>
      </c>
      <c r="G35" s="110"/>
      <c r="H35" s="68"/>
      <c r="I35" s="24">
        <f>_xlfn.STDEV.S(C9,C11,C13,C15,C17,C19,E9,E11,E13,E15,E17,E19)</f>
        <v>0.62158156050806102</v>
      </c>
    </row>
    <row r="36" spans="2:9" x14ac:dyDescent="0.3">
      <c r="B36" s="15"/>
      <c r="C36" s="8"/>
      <c r="D36" s="8"/>
      <c r="E36" s="8"/>
      <c r="F36" s="8"/>
      <c r="G36" s="8"/>
      <c r="H36" s="8"/>
      <c r="I36" s="19"/>
    </row>
    <row r="37" spans="2:9" x14ac:dyDescent="0.3">
      <c r="B37" s="108" t="s">
        <v>40</v>
      </c>
      <c r="C37" s="109"/>
      <c r="D37" s="87">
        <f>D23*(I16/30)</f>
        <v>0.29166666666666669</v>
      </c>
      <c r="E37" s="87"/>
      <c r="F37" s="137" t="s">
        <v>41</v>
      </c>
      <c r="G37" s="138"/>
      <c r="H37" s="139"/>
      <c r="I37" s="30">
        <f>D37*(D35*I35/(D23))</f>
        <v>1.1928124649558132</v>
      </c>
    </row>
    <row r="38" spans="2:9" x14ac:dyDescent="0.3">
      <c r="B38" s="17"/>
      <c r="C38" s="2"/>
      <c r="D38" s="2"/>
      <c r="E38" s="2"/>
      <c r="F38" s="2"/>
      <c r="G38" s="2"/>
      <c r="H38" s="2"/>
      <c r="I38" s="14"/>
    </row>
    <row r="39" spans="2:9" s="4" customFormat="1" ht="33" customHeight="1" x14ac:dyDescent="0.3">
      <c r="B39" s="111" t="s">
        <v>42</v>
      </c>
      <c r="C39" s="112"/>
      <c r="D39" s="104">
        <f>D37+I37</f>
        <v>1.4844791316224799</v>
      </c>
      <c r="E39" s="104"/>
      <c r="F39" s="105" t="s">
        <v>44</v>
      </c>
      <c r="G39" s="106"/>
      <c r="H39" s="107"/>
      <c r="I39" s="31">
        <f>SQRT(2*G30*D21/G32)</f>
        <v>11.239029738980328</v>
      </c>
    </row>
    <row r="40" spans="2:9" x14ac:dyDescent="0.3">
      <c r="B40" s="17"/>
      <c r="C40" s="2"/>
      <c r="D40" s="2"/>
      <c r="E40" s="2"/>
      <c r="F40" s="2"/>
      <c r="G40" s="2"/>
      <c r="H40" s="2"/>
      <c r="I40" s="14"/>
    </row>
    <row r="41" spans="2:9" ht="18" customHeight="1" x14ac:dyDescent="0.3">
      <c r="B41" s="111" t="s">
        <v>43</v>
      </c>
      <c r="C41" s="112"/>
      <c r="D41" s="87">
        <f>D21/I39</f>
        <v>0.26692695630078278</v>
      </c>
      <c r="E41" s="87"/>
      <c r="F41" s="75" t="s">
        <v>45</v>
      </c>
      <c r="G41" s="76"/>
      <c r="H41" s="77"/>
      <c r="I41" s="25">
        <f>G30*D41</f>
        <v>5338.5391260156557</v>
      </c>
    </row>
    <row r="42" spans="2:9" x14ac:dyDescent="0.3">
      <c r="B42" s="17"/>
      <c r="C42" s="2"/>
      <c r="D42" s="2"/>
      <c r="E42" s="2"/>
      <c r="F42" s="2"/>
      <c r="G42" s="2"/>
      <c r="H42" s="2"/>
      <c r="I42" s="14"/>
    </row>
    <row r="43" spans="2:9" ht="30" customHeight="1" x14ac:dyDescent="0.3">
      <c r="B43" s="124" t="s">
        <v>46</v>
      </c>
      <c r="C43" s="125"/>
      <c r="D43" s="133">
        <f>G32*(I37+I39/2)</f>
        <v>6471.7109677236786</v>
      </c>
      <c r="E43" s="133"/>
      <c r="F43" s="134" t="s">
        <v>47</v>
      </c>
      <c r="G43" s="135"/>
      <c r="H43" s="136"/>
      <c r="I43" s="26">
        <f>D43+I41</f>
        <v>11810.250093739334</v>
      </c>
    </row>
    <row r="44" spans="2:9" x14ac:dyDescent="0.3">
      <c r="B44" s="17"/>
      <c r="C44" s="2"/>
      <c r="D44" s="2"/>
      <c r="E44" s="2"/>
      <c r="F44" s="2"/>
      <c r="G44" s="2"/>
      <c r="H44" s="2"/>
      <c r="I44" s="14"/>
    </row>
    <row r="45" spans="2:9" x14ac:dyDescent="0.3">
      <c r="B45" s="108" t="s">
        <v>48</v>
      </c>
      <c r="C45" s="109"/>
      <c r="D45" s="87">
        <f>365/D41</f>
        <v>1367.4152849092732</v>
      </c>
      <c r="E45" s="87"/>
      <c r="F45" s="67" t="s">
        <v>49</v>
      </c>
      <c r="G45" s="110"/>
      <c r="H45" s="68"/>
      <c r="I45" s="27">
        <f>I43+(G28*D21)</f>
        <v>40310.250093739334</v>
      </c>
    </row>
    <row r="46" spans="2:9" x14ac:dyDescent="0.3">
      <c r="B46" s="17"/>
      <c r="C46" s="2"/>
      <c r="D46" s="2"/>
      <c r="E46" s="2"/>
      <c r="F46" s="2"/>
      <c r="G46" s="2"/>
      <c r="H46" s="2"/>
      <c r="I46" s="14"/>
    </row>
    <row r="47" spans="2:9" ht="21" x14ac:dyDescent="0.4">
      <c r="B47" s="84" t="s">
        <v>53</v>
      </c>
      <c r="C47" s="85"/>
      <c r="D47" s="85"/>
      <c r="E47" s="85"/>
      <c r="F47" s="85"/>
      <c r="G47" s="85"/>
      <c r="H47" s="85"/>
      <c r="I47" s="86"/>
    </row>
    <row r="48" spans="2:9" ht="40.5" customHeight="1" x14ac:dyDescent="0.3">
      <c r="B48" s="140" t="s">
        <v>54</v>
      </c>
      <c r="C48" s="120"/>
      <c r="D48" s="72" t="s">
        <v>55</v>
      </c>
      <c r="E48" s="72"/>
      <c r="F48" s="75" t="s">
        <v>56</v>
      </c>
      <c r="G48" s="77"/>
      <c r="H48" s="72" t="s">
        <v>57</v>
      </c>
      <c r="I48" s="141"/>
    </row>
    <row r="49" spans="2:9" x14ac:dyDescent="0.3">
      <c r="B49" s="28">
        <f>B50/2</f>
        <v>0.7024393586862705</v>
      </c>
      <c r="C49" s="127"/>
      <c r="D49" s="7">
        <f t="shared" ref="D49:D57" si="0">$G$30*$D$21/B49</f>
        <v>85416.626016250491</v>
      </c>
      <c r="E49" s="129"/>
      <c r="F49" s="7">
        <f t="shared" ref="F49:F57" si="1">$G$32*(B49/2)</f>
        <v>333.65869537597848</v>
      </c>
      <c r="G49" s="115"/>
      <c r="H49" s="7">
        <f>D49+F49</f>
        <v>85750.284711626475</v>
      </c>
      <c r="I49" s="131"/>
    </row>
    <row r="50" spans="2:9" x14ac:dyDescent="0.3">
      <c r="B50" s="28">
        <f>B51/2</f>
        <v>1.404878717372541</v>
      </c>
      <c r="C50" s="127"/>
      <c r="D50" s="7">
        <f t="shared" si="0"/>
        <v>42708.313008125246</v>
      </c>
      <c r="E50" s="129"/>
      <c r="F50" s="7">
        <f t="shared" si="1"/>
        <v>667.31739075195696</v>
      </c>
      <c r="G50" s="116"/>
      <c r="H50" s="7">
        <f t="shared" ref="H50:H57" si="2">D50+F50</f>
        <v>43375.630398877205</v>
      </c>
      <c r="I50" s="131"/>
    </row>
    <row r="51" spans="2:9" x14ac:dyDescent="0.3">
      <c r="B51" s="28">
        <f>B52/2</f>
        <v>2.809757434745082</v>
      </c>
      <c r="C51" s="127"/>
      <c r="D51" s="7">
        <f t="shared" si="0"/>
        <v>21354.156504062623</v>
      </c>
      <c r="E51" s="129"/>
      <c r="F51" s="7">
        <f t="shared" si="1"/>
        <v>1334.6347815039139</v>
      </c>
      <c r="G51" s="116"/>
      <c r="H51" s="7">
        <f t="shared" si="2"/>
        <v>22688.791285566538</v>
      </c>
      <c r="I51" s="131"/>
    </row>
    <row r="52" spans="2:9" x14ac:dyDescent="0.3">
      <c r="B52" s="28">
        <f>B53/2</f>
        <v>5.619514869490164</v>
      </c>
      <c r="C52" s="127"/>
      <c r="D52" s="7">
        <f t="shared" si="0"/>
        <v>10677.078252031311</v>
      </c>
      <c r="E52" s="129"/>
      <c r="F52" s="7">
        <f t="shared" si="1"/>
        <v>2669.2695630078279</v>
      </c>
      <c r="G52" s="116"/>
      <c r="H52" s="7">
        <f t="shared" si="2"/>
        <v>13346.347815039138</v>
      </c>
      <c r="I52" s="131"/>
    </row>
    <row r="53" spans="2:9" x14ac:dyDescent="0.3">
      <c r="B53" s="29">
        <f>I39</f>
        <v>11.239029738980328</v>
      </c>
      <c r="C53" s="127"/>
      <c r="D53" s="7">
        <f t="shared" si="0"/>
        <v>5338.5391260156557</v>
      </c>
      <c r="E53" s="129"/>
      <c r="F53" s="7">
        <f t="shared" si="1"/>
        <v>5338.5391260156557</v>
      </c>
      <c r="G53" s="116"/>
      <c r="H53" s="7">
        <f t="shared" si="2"/>
        <v>10677.078252031311</v>
      </c>
      <c r="I53" s="131"/>
    </row>
    <row r="54" spans="2:9" x14ac:dyDescent="0.3">
      <c r="B54" s="28">
        <f>B53*2</f>
        <v>22.478059477960656</v>
      </c>
      <c r="C54" s="127"/>
      <c r="D54" s="7">
        <f t="shared" si="0"/>
        <v>2669.2695630078279</v>
      </c>
      <c r="E54" s="129"/>
      <c r="F54" s="7">
        <f t="shared" si="1"/>
        <v>10677.078252031311</v>
      </c>
      <c r="G54" s="116"/>
      <c r="H54" s="7">
        <f t="shared" si="2"/>
        <v>13346.347815039138</v>
      </c>
      <c r="I54" s="131"/>
    </row>
    <row r="55" spans="2:9" x14ac:dyDescent="0.3">
      <c r="B55" s="28">
        <f>B54*2</f>
        <v>44.956118955921312</v>
      </c>
      <c r="C55" s="127"/>
      <c r="D55" s="7">
        <f t="shared" si="0"/>
        <v>1334.6347815039139</v>
      </c>
      <c r="E55" s="129"/>
      <c r="F55" s="7">
        <f t="shared" si="1"/>
        <v>21354.156504062623</v>
      </c>
      <c r="G55" s="116"/>
      <c r="H55" s="7">
        <f t="shared" si="2"/>
        <v>22688.791285566538</v>
      </c>
      <c r="I55" s="131"/>
    </row>
    <row r="56" spans="2:9" x14ac:dyDescent="0.3">
      <c r="B56" s="28">
        <f>B55*2</f>
        <v>89.912237911842624</v>
      </c>
      <c r="C56" s="127"/>
      <c r="D56" s="7">
        <f t="shared" si="0"/>
        <v>667.31739075195696</v>
      </c>
      <c r="E56" s="129"/>
      <c r="F56" s="7">
        <f t="shared" si="1"/>
        <v>42708.313008125246</v>
      </c>
      <c r="G56" s="116"/>
      <c r="H56" s="7">
        <f t="shared" si="2"/>
        <v>43375.630398877205</v>
      </c>
      <c r="I56" s="131"/>
    </row>
    <row r="57" spans="2:9" x14ac:dyDescent="0.3">
      <c r="B57" s="28">
        <f>B56*2</f>
        <v>179.82447582368525</v>
      </c>
      <c r="C57" s="128"/>
      <c r="D57" s="7">
        <f t="shared" si="0"/>
        <v>333.65869537597848</v>
      </c>
      <c r="E57" s="130"/>
      <c r="F57" s="7">
        <f t="shared" si="1"/>
        <v>85416.626016250491</v>
      </c>
      <c r="G57" s="117"/>
      <c r="H57" s="7">
        <f t="shared" si="2"/>
        <v>85750.284711626475</v>
      </c>
      <c r="I57" s="132"/>
    </row>
    <row r="58" spans="2:9" x14ac:dyDescent="0.3">
      <c r="B58" s="59"/>
      <c r="C58" s="60"/>
      <c r="D58" s="60"/>
      <c r="E58" s="60"/>
      <c r="F58" s="60"/>
      <c r="G58" s="60"/>
      <c r="H58" s="60"/>
      <c r="I58" s="61"/>
    </row>
    <row r="59" spans="2:9" x14ac:dyDescent="0.3">
      <c r="B59" s="59"/>
      <c r="C59" s="60"/>
      <c r="D59" s="60"/>
      <c r="E59" s="60"/>
      <c r="F59" s="60"/>
      <c r="G59" s="60"/>
      <c r="H59" s="60"/>
      <c r="I59" s="61"/>
    </row>
    <row r="60" spans="2:9" x14ac:dyDescent="0.3">
      <c r="B60" s="59"/>
      <c r="C60" s="60"/>
      <c r="D60" s="60"/>
      <c r="E60" s="60"/>
      <c r="F60" s="60"/>
      <c r="G60" s="60"/>
      <c r="H60" s="60"/>
      <c r="I60" s="61"/>
    </row>
    <row r="61" spans="2:9" x14ac:dyDescent="0.3">
      <c r="B61" s="59"/>
      <c r="C61" s="60"/>
      <c r="D61" s="60"/>
      <c r="E61" s="60"/>
      <c r="F61" s="60"/>
      <c r="G61" s="60"/>
      <c r="H61" s="60"/>
      <c r="I61" s="61"/>
    </row>
    <row r="62" spans="2:9" x14ac:dyDescent="0.3">
      <c r="B62" s="59"/>
      <c r="C62" s="60"/>
      <c r="D62" s="60"/>
      <c r="E62" s="60"/>
      <c r="F62" s="60"/>
      <c r="G62" s="60"/>
      <c r="H62" s="60"/>
      <c r="I62" s="61"/>
    </row>
    <row r="63" spans="2:9" x14ac:dyDescent="0.3">
      <c r="B63" s="59"/>
      <c r="C63" s="60"/>
      <c r="D63" s="60"/>
      <c r="E63" s="60"/>
      <c r="F63" s="60"/>
      <c r="G63" s="60"/>
      <c r="H63" s="60"/>
      <c r="I63" s="61"/>
    </row>
    <row r="64" spans="2:9" x14ac:dyDescent="0.3">
      <c r="B64" s="59"/>
      <c r="C64" s="60"/>
      <c r="D64" s="60"/>
      <c r="E64" s="60"/>
      <c r="F64" s="60"/>
      <c r="G64" s="60"/>
      <c r="H64" s="60"/>
      <c r="I64" s="61"/>
    </row>
    <row r="65" spans="2:9" x14ac:dyDescent="0.3">
      <c r="B65" s="59"/>
      <c r="C65" s="60"/>
      <c r="D65" s="60"/>
      <c r="E65" s="60"/>
      <c r="F65" s="60"/>
      <c r="G65" s="60"/>
      <c r="H65" s="60"/>
      <c r="I65" s="61"/>
    </row>
    <row r="66" spans="2:9" x14ac:dyDescent="0.3">
      <c r="B66" s="59"/>
      <c r="C66" s="60"/>
      <c r="D66" s="60"/>
      <c r="E66" s="60"/>
      <c r="F66" s="60"/>
      <c r="G66" s="60"/>
      <c r="H66" s="60"/>
      <c r="I66" s="61"/>
    </row>
    <row r="67" spans="2:9" x14ac:dyDescent="0.3">
      <c r="B67" s="59"/>
      <c r="C67" s="60"/>
      <c r="D67" s="60"/>
      <c r="E67" s="60"/>
      <c r="F67" s="60"/>
      <c r="G67" s="60"/>
      <c r="H67" s="60"/>
      <c r="I67" s="61"/>
    </row>
    <row r="68" spans="2:9" x14ac:dyDescent="0.3">
      <c r="B68" s="59"/>
      <c r="C68" s="60"/>
      <c r="D68" s="60"/>
      <c r="E68" s="60"/>
      <c r="F68" s="60"/>
      <c r="G68" s="60"/>
      <c r="H68" s="60"/>
      <c r="I68" s="61"/>
    </row>
    <row r="69" spans="2:9" x14ac:dyDescent="0.3">
      <c r="B69" s="59"/>
      <c r="C69" s="60"/>
      <c r="D69" s="60"/>
      <c r="E69" s="60"/>
      <c r="F69" s="60"/>
      <c r="G69" s="60"/>
      <c r="H69" s="60"/>
      <c r="I69" s="61"/>
    </row>
    <row r="70" spans="2:9" x14ac:dyDescent="0.3">
      <c r="B70" s="59"/>
      <c r="C70" s="60"/>
      <c r="D70" s="60"/>
      <c r="E70" s="60"/>
      <c r="F70" s="60"/>
      <c r="G70" s="60"/>
      <c r="H70" s="60"/>
      <c r="I70" s="61"/>
    </row>
    <row r="71" spans="2:9" x14ac:dyDescent="0.3">
      <c r="B71" s="59"/>
      <c r="C71" s="60"/>
      <c r="D71" s="60"/>
      <c r="E71" s="60"/>
      <c r="F71" s="60"/>
      <c r="G71" s="60"/>
      <c r="H71" s="60"/>
      <c r="I71" s="61"/>
    </row>
    <row r="72" spans="2:9" x14ac:dyDescent="0.3">
      <c r="B72" s="59"/>
      <c r="C72" s="60"/>
      <c r="D72" s="60"/>
      <c r="E72" s="60"/>
      <c r="F72" s="60"/>
      <c r="G72" s="60"/>
      <c r="H72" s="60"/>
      <c r="I72" s="61"/>
    </row>
    <row r="73" spans="2:9" x14ac:dyDescent="0.3">
      <c r="B73" s="59"/>
      <c r="C73" s="60"/>
      <c r="D73" s="60"/>
      <c r="E73" s="60"/>
      <c r="F73" s="60"/>
      <c r="G73" s="60"/>
      <c r="H73" s="60"/>
      <c r="I73" s="61"/>
    </row>
    <row r="74" spans="2:9" x14ac:dyDescent="0.3">
      <c r="B74" s="59"/>
      <c r="C74" s="60"/>
      <c r="D74" s="60"/>
      <c r="E74" s="60"/>
      <c r="F74" s="60"/>
      <c r="G74" s="60"/>
      <c r="H74" s="60"/>
      <c r="I74" s="61"/>
    </row>
    <row r="75" spans="2:9" x14ac:dyDescent="0.3">
      <c r="B75" s="59"/>
      <c r="C75" s="60"/>
      <c r="D75" s="60"/>
      <c r="E75" s="60"/>
      <c r="F75" s="60"/>
      <c r="G75" s="60"/>
      <c r="H75" s="60"/>
      <c r="I75" s="61"/>
    </row>
    <row r="76" spans="2:9" x14ac:dyDescent="0.3">
      <c r="B76" s="59"/>
      <c r="C76" s="60"/>
      <c r="D76" s="60"/>
      <c r="E76" s="60"/>
      <c r="F76" s="60"/>
      <c r="G76" s="60"/>
      <c r="H76" s="60"/>
      <c r="I76" s="61"/>
    </row>
    <row r="77" spans="2:9" x14ac:dyDescent="0.3">
      <c r="B77" s="59"/>
      <c r="C77" s="60"/>
      <c r="D77" s="60"/>
      <c r="E77" s="60"/>
      <c r="F77" s="60"/>
      <c r="G77" s="60"/>
      <c r="H77" s="60"/>
      <c r="I77" s="61"/>
    </row>
    <row r="78" spans="2:9" x14ac:dyDescent="0.3">
      <c r="B78" s="59"/>
      <c r="C78" s="60"/>
      <c r="D78" s="60"/>
      <c r="E78" s="60"/>
      <c r="F78" s="60"/>
      <c r="G78" s="60"/>
      <c r="H78" s="60"/>
      <c r="I78" s="61"/>
    </row>
    <row r="79" spans="2:9" x14ac:dyDescent="0.3">
      <c r="B79" s="59"/>
      <c r="C79" s="60"/>
      <c r="D79" s="60"/>
      <c r="E79" s="60"/>
      <c r="F79" s="60"/>
      <c r="G79" s="60"/>
      <c r="H79" s="60"/>
      <c r="I79" s="61"/>
    </row>
    <row r="80" spans="2:9" x14ac:dyDescent="0.3">
      <c r="B80" s="59"/>
      <c r="C80" s="60"/>
      <c r="D80" s="60"/>
      <c r="E80" s="60"/>
      <c r="F80" s="60"/>
      <c r="G80" s="60"/>
      <c r="H80" s="60"/>
      <c r="I80" s="61"/>
    </row>
    <row r="81" spans="2:9" x14ac:dyDescent="0.3">
      <c r="B81" s="59"/>
      <c r="C81" s="60"/>
      <c r="D81" s="60"/>
      <c r="E81" s="60"/>
      <c r="F81" s="60"/>
      <c r="G81" s="60"/>
      <c r="H81" s="60"/>
      <c r="I81" s="61"/>
    </row>
    <row r="82" spans="2:9" x14ac:dyDescent="0.3">
      <c r="B82" s="59"/>
      <c r="C82" s="60"/>
      <c r="D82" s="60"/>
      <c r="E82" s="60"/>
      <c r="F82" s="60"/>
      <c r="G82" s="60"/>
      <c r="H82" s="60"/>
      <c r="I82" s="61"/>
    </row>
    <row r="83" spans="2:9" x14ac:dyDescent="0.3">
      <c r="B83" s="59"/>
      <c r="C83" s="60"/>
      <c r="D83" s="60"/>
      <c r="E83" s="60"/>
      <c r="F83" s="60"/>
      <c r="G83" s="60"/>
      <c r="H83" s="60"/>
      <c r="I83" s="61"/>
    </row>
    <row r="84" spans="2:9" x14ac:dyDescent="0.3">
      <c r="B84" s="59"/>
      <c r="C84" s="60"/>
      <c r="D84" s="60"/>
      <c r="E84" s="60"/>
      <c r="F84" s="60"/>
      <c r="G84" s="60"/>
      <c r="H84" s="60"/>
      <c r="I84" s="61"/>
    </row>
    <row r="85" spans="2:9" x14ac:dyDescent="0.3">
      <c r="B85" s="59"/>
      <c r="C85" s="60"/>
      <c r="D85" s="60"/>
      <c r="E85" s="60"/>
      <c r="F85" s="60"/>
      <c r="G85" s="60"/>
      <c r="H85" s="60"/>
      <c r="I85" s="61"/>
    </row>
    <row r="86" spans="2:9" x14ac:dyDescent="0.3">
      <c r="B86" s="59"/>
      <c r="C86" s="60"/>
      <c r="D86" s="60"/>
      <c r="E86" s="60"/>
      <c r="F86" s="60"/>
      <c r="G86" s="60"/>
      <c r="H86" s="60"/>
      <c r="I86" s="61"/>
    </row>
    <row r="87" spans="2:9" ht="15" thickBot="1" x14ac:dyDescent="0.35">
      <c r="B87" s="62"/>
      <c r="C87" s="63"/>
      <c r="D87" s="63"/>
      <c r="E87" s="63"/>
      <c r="F87" s="63"/>
      <c r="G87" s="63"/>
      <c r="H87" s="63"/>
      <c r="I87" s="64"/>
    </row>
  </sheetData>
  <mergeCells count="67">
    <mergeCell ref="B1:C2"/>
    <mergeCell ref="D1:G2"/>
    <mergeCell ref="H1:I2"/>
    <mergeCell ref="B3:C3"/>
    <mergeCell ref="D3:F3"/>
    <mergeCell ref="G3:H3"/>
    <mergeCell ref="B4:C4"/>
    <mergeCell ref="D4:I4"/>
    <mergeCell ref="B5:C5"/>
    <mergeCell ref="D5:I5"/>
    <mergeCell ref="B6:C6"/>
    <mergeCell ref="D6:I6"/>
    <mergeCell ref="B7:C7"/>
    <mergeCell ref="D7:E7"/>
    <mergeCell ref="F7:G7"/>
    <mergeCell ref="H7:I7"/>
    <mergeCell ref="B8:F8"/>
    <mergeCell ref="G8:I8"/>
    <mergeCell ref="G10:H11"/>
    <mergeCell ref="I10:I11"/>
    <mergeCell ref="G13:H14"/>
    <mergeCell ref="I13:I14"/>
    <mergeCell ref="G16:H17"/>
    <mergeCell ref="I16:I17"/>
    <mergeCell ref="G19:I19"/>
    <mergeCell ref="G20:I20"/>
    <mergeCell ref="B21:C21"/>
    <mergeCell ref="G22:I22"/>
    <mergeCell ref="B23:C23"/>
    <mergeCell ref="G23:I23"/>
    <mergeCell ref="B25:I25"/>
    <mergeCell ref="F26:H26"/>
    <mergeCell ref="B28:E28"/>
    <mergeCell ref="G28:I28"/>
    <mergeCell ref="B30:E30"/>
    <mergeCell ref="G30:I30"/>
    <mergeCell ref="B32:E32"/>
    <mergeCell ref="G32:I32"/>
    <mergeCell ref="B34:I34"/>
    <mergeCell ref="B35:C35"/>
    <mergeCell ref="D35:E35"/>
    <mergeCell ref="F35:H35"/>
    <mergeCell ref="B37:C37"/>
    <mergeCell ref="D37:E37"/>
    <mergeCell ref="F37:H37"/>
    <mergeCell ref="B39:C39"/>
    <mergeCell ref="D39:E39"/>
    <mergeCell ref="F39:H39"/>
    <mergeCell ref="B41:C41"/>
    <mergeCell ref="D41:E41"/>
    <mergeCell ref="F41:H41"/>
    <mergeCell ref="B43:C43"/>
    <mergeCell ref="D43:E43"/>
    <mergeCell ref="F43:H43"/>
    <mergeCell ref="B45:C45"/>
    <mergeCell ref="D45:E45"/>
    <mergeCell ref="F45:H45"/>
    <mergeCell ref="B47:I47"/>
    <mergeCell ref="B48:C48"/>
    <mergeCell ref="D48:E48"/>
    <mergeCell ref="F48:G48"/>
    <mergeCell ref="H48:I48"/>
    <mergeCell ref="C49:C57"/>
    <mergeCell ref="E49:E57"/>
    <mergeCell ref="G49:G57"/>
    <mergeCell ref="I49:I57"/>
    <mergeCell ref="B58:I87"/>
  </mergeCells>
  <dataValidations count="1">
    <dataValidation type="list" allowBlank="1" showInputMessage="1" showErrorMessage="1" sqref="G20:I20" xr:uid="{ABCA2967-456E-41AB-8F2B-1D0E00A607E6}">
      <formula1>$K$12:$K$14</formula1>
    </dataValidation>
  </dataValidations>
  <pageMargins left="0.7" right="0.7" top="0.75" bottom="0.75" header="0.3" footer="0.3"/>
  <pageSetup paperSize="9" scale="81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GENERAL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COSTOS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Julian Fernando Garcia Jauregui</cp:lastModifiedBy>
  <cp:lastPrinted>2022-06-30T21:29:28Z</cp:lastPrinted>
  <dcterms:created xsi:type="dcterms:W3CDTF">2022-06-29T13:14:00Z</dcterms:created>
  <dcterms:modified xsi:type="dcterms:W3CDTF">2025-08-13T23:35:27Z</dcterms:modified>
</cp:coreProperties>
</file>