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comments1.xml" ContentType="application/vnd.openxmlformats-officedocument.spreadsheetml.comments+xml"/>
  <Override PartName="/xl/drawings/drawing5.xml" ContentType="application/vnd.openxmlformats-officedocument.drawing+xml"/>
  <Override PartName="/xl/tables/table5.xml" ContentType="application/vnd.openxmlformats-officedocument.spreadsheetml.table+xml"/>
  <Override PartName="/xl/comments2.xml" ContentType="application/vnd.openxmlformats-officedocument.spreadsheetml.comments+xml"/>
  <Override PartName="/xl/drawings/drawing6.xml" ContentType="application/vnd.openxmlformats-officedocument.drawing+xml"/>
  <Override PartName="/xl/tables/table6.xml" ContentType="application/vnd.openxmlformats-officedocument.spreadsheetml.table+xml"/>
  <Override PartName="/xl/comments3.xml" ContentType="application/vnd.openxmlformats-officedocument.spreadsheetml.comments+xml"/>
  <Override PartName="/xl/drawings/drawing7.xml" ContentType="application/vnd.openxmlformats-officedocument.drawing+xml"/>
  <Override PartName="/xl/tables/table7.xml" ContentType="application/vnd.openxmlformats-officedocument.spreadsheetml.table+xml"/>
  <Override PartName="/xl/comments4.xml" ContentType="application/vnd.openxmlformats-officedocument.spreadsheetml.comments+xml"/>
  <Override PartName="/xl/drawings/drawing8.xml" ContentType="application/vnd.openxmlformats-officedocument.drawing+xml"/>
  <Override PartName="/xl/tables/table8.xml" ContentType="application/vnd.openxmlformats-officedocument.spreadsheetml.table+xml"/>
  <Override PartName="/xl/comments5.xml" ContentType="application/vnd.openxmlformats-officedocument.spreadsheetml.comments+xml"/>
  <Override PartName="/xl/drawings/drawing9.xml" ContentType="application/vnd.openxmlformats-officedocument.drawing+xml"/>
  <Override PartName="/xl/tables/table9.xml" ContentType="application/vnd.openxmlformats-officedocument.spreadsheetml.table+xml"/>
  <Override PartName="/xl/comments6.xml" ContentType="application/vnd.openxmlformats-officedocument.spreadsheetml.comments+xml"/>
  <Override PartName="/xl/drawings/drawing10.xml" ContentType="application/vnd.openxmlformats-officedocument.drawing+xml"/>
  <Override PartName="/xl/tables/table10.xml" ContentType="application/vnd.openxmlformats-officedocument.spreadsheetml.table+xml"/>
  <Override PartName="/xl/comments7.xml" ContentType="application/vnd.openxmlformats-officedocument.spreadsheetml.comments+xml"/>
  <Override PartName="/xl/drawings/drawing11.xml" ContentType="application/vnd.openxmlformats-officedocument.drawing+xml"/>
  <Override PartName="/xl/tables/table11.xml" ContentType="application/vnd.openxmlformats-officedocument.spreadsheetml.table+xml"/>
  <Override PartName="/xl/comments8.xml" ContentType="application/vnd.openxmlformats-officedocument.spreadsheetml.comments+xml"/>
  <Override PartName="/xl/drawings/drawing12.xml" ContentType="application/vnd.openxmlformats-officedocument.drawing+xml"/>
  <Override PartName="/xl/tables/table12.xml" ContentType="application/vnd.openxmlformats-officedocument.spreadsheetml.table+xml"/>
  <Override PartName="/xl/comments9.xml" ContentType="application/vnd.openxmlformats-officedocument.spreadsheetml.comments+xml"/>
  <Override PartName="/xl/drawings/drawing13.xml" ContentType="application/vnd.openxmlformats-officedocument.drawing+xml"/>
  <Override PartName="/xl/tables/table13.xml" ContentType="application/vnd.openxmlformats-officedocument.spreadsheetml.table+xml"/>
  <Override PartName="/xl/comments10.xml" ContentType="application/vnd.openxmlformats-officedocument.spreadsheetml.comments+xml"/>
  <Override PartName="/xl/drawings/drawing14.xml" ContentType="application/vnd.openxmlformats-officedocument.drawing+xml"/>
  <Override PartName="/xl/tables/table14.xml" ContentType="application/vnd.openxmlformats-officedocument.spreadsheetml.table+xml"/>
  <Override PartName="/xl/drawings/drawing15.xml" ContentType="application/vnd.openxmlformats-officedocument.drawing+xml"/>
  <Override PartName="/xl/tables/table15.xml" ContentType="application/vnd.openxmlformats-officedocument.spreadsheetml.table+xml"/>
  <Override PartName="/xl/drawings/drawing16.xml" ContentType="application/vnd.openxmlformats-officedocument.drawing+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13_ncr:1_{C345E42E-3901-4001-AEAF-034A05206599}" xr6:coauthVersionLast="47" xr6:coauthVersionMax="47" xr10:uidLastSave="{00000000-0000-0000-0000-000000000000}"/>
  <bookViews>
    <workbookView xWindow="-110" yWindow="-110" windowWidth="19420" windowHeight="10420" tabRatio="932" xr2:uid="{00000000-000D-0000-FFFF-FFFF00000000}"/>
  </bookViews>
  <sheets>
    <sheet name="Enero" sheetId="4" r:id="rId1"/>
    <sheet name="Febrero" sheetId="5" r:id="rId2"/>
    <sheet name="Marzo" sheetId="17" r:id="rId3"/>
    <sheet name="Abril" sheetId="18" r:id="rId4"/>
    <sheet name="Mayo" sheetId="19" r:id="rId5"/>
    <sheet name="Junio" sheetId="20" r:id="rId6"/>
    <sheet name="Julio" sheetId="21" r:id="rId7"/>
    <sheet name="Agosto" sheetId="22" r:id="rId8"/>
    <sheet name="Septiembre" sheetId="23" r:id="rId9"/>
    <sheet name="Octubre" sheetId="24" r:id="rId10"/>
    <sheet name="Noviembre" sheetId="25" r:id="rId11"/>
    <sheet name="Diciembre" sheetId="15" r:id="rId12"/>
    <sheet name="Enero (2024)" sheetId="32" r:id="rId13"/>
    <sheet name="Febrero (2024)" sheetId="35" r:id="rId14"/>
    <sheet name="Marzo (2024)" sheetId="34" r:id="rId15"/>
    <sheet name="Nombres de los empleados" sheetId="16" state="hidden" r:id="rId16"/>
    <sheet name="Información" sheetId="28" state="hidden" r:id="rId17"/>
  </sheets>
  <definedNames>
    <definedName name="CalendarYear" localSheetId="12">'Enero (2024)'!$AH$6</definedName>
    <definedName name="CalendarYear" localSheetId="13">'Febrero (2024)'!$AH$6</definedName>
    <definedName name="CalendarYear">Enero!$AH$6</definedName>
    <definedName name="ColumnTitle13" localSheetId="12">Nombre_del_empleado[[#Headers],[Nombres de los empleados]]</definedName>
    <definedName name="ColumnTitle13" localSheetId="13">Nombre_del_empleado[[#Headers],[Nombres de los empleados]]</definedName>
    <definedName name="ColumnTitle13" localSheetId="14">Nombre_del_empleado[[#Headers],[Nombres de los empleados]]</definedName>
    <definedName name="ColumnTitle13">Nombre_del_empleado[[#Headers],[Nombres de los empleados]]</definedName>
    <definedName name="Employee_Absence_Title" localSheetId="12">'Enero (2024)'!$B$1</definedName>
    <definedName name="Employee_Absence_Title" localSheetId="13">'Febrero (2024)'!$B$1</definedName>
    <definedName name="Employee_Absence_Title">Enero!$B$1</definedName>
    <definedName name="fEBREOR">Nombre_del_empleado[[#Headers],[Nombres de los empleados]]</definedName>
    <definedName name="JJ">Enero[[#Headers],[Nombre del empleado]]</definedName>
    <definedName name="K">Septiembre[[#Headers],[Nombre del empleado]]</definedName>
    <definedName name="Key_name" localSheetId="12">'Enero (2024)'!$B$4</definedName>
    <definedName name="Key_name" localSheetId="13">'Febrero (2024)'!$B$4</definedName>
    <definedName name="Key_name">Enero!$B$4</definedName>
    <definedName name="KeyCustom1" localSheetId="12">'Enero (2024)'!$O$4</definedName>
    <definedName name="KeyCustom1" localSheetId="13">'Febrero (2024)'!$O$4</definedName>
    <definedName name="KeyCustom1">Enero!$O$4</definedName>
    <definedName name="KeyCustom1Label" localSheetId="12">'Enero (2024)'!$P$4</definedName>
    <definedName name="KeyCustom1Label" localSheetId="13">'Febrero (2024)'!$P$4</definedName>
    <definedName name="KeyCustom1Label">Enero!$P$4</definedName>
    <definedName name="KeyCustom2" localSheetId="12">'Enero (2024)'!$T$4</definedName>
    <definedName name="KeyCustom2" localSheetId="13">'Febrero (2024)'!$T$4</definedName>
    <definedName name="KeyCustom2">Enero!$T$4</definedName>
    <definedName name="KeyCustom2Label" localSheetId="12">'Enero (2024)'!$U$4</definedName>
    <definedName name="KeyCustom2Label" localSheetId="13">'Febrero (2024)'!$U$4</definedName>
    <definedName name="KeyCustom2Label">Enero!$U$4</definedName>
    <definedName name="KeyPersonal" localSheetId="12">'Enero (2024)'!$G$4</definedName>
    <definedName name="KeyPersonal" localSheetId="13">'Febrero (2024)'!$G$4</definedName>
    <definedName name="KeyPersonal">Enero!$G$4</definedName>
    <definedName name="KeyPersonalLabel" localSheetId="12">'Enero (2024)'!$H$4</definedName>
    <definedName name="KeyPersonalLabel" localSheetId="13">'Febrero (2024)'!$H$4</definedName>
    <definedName name="KeyPersonalLabel">Enero!$H$4</definedName>
    <definedName name="KeySick" localSheetId="12">'Enero (2024)'!$K$4</definedName>
    <definedName name="KeySick" localSheetId="13">'Febrero (2024)'!$K$4</definedName>
    <definedName name="KeySick">Enero!$K$4</definedName>
    <definedName name="KeySickLabel" localSheetId="12">'Enero (2024)'!$L$4</definedName>
    <definedName name="KeySickLabel" localSheetId="13">'Febrero (2024)'!$L$4</definedName>
    <definedName name="KeySickLabel">Enero!$L$4</definedName>
    <definedName name="KeyVacation" localSheetId="12">'Enero (2024)'!$C$4</definedName>
    <definedName name="KeyVacation" localSheetId="13">'Febrero (2024)'!$C$4</definedName>
    <definedName name="KeyVacation">Enero!$C$4</definedName>
    <definedName name="KeyVacationLabel" localSheetId="12">'Enero (2024)'!$D$4</definedName>
    <definedName name="KeyVacationLabel" localSheetId="13">'Febrero (2024)'!$D$4</definedName>
    <definedName name="KeyVacationLabel">Enero!$D$4</definedName>
    <definedName name="Keyysick">Enero!$K$4</definedName>
    <definedName name="M">Marzo[[#Headers],[Nombre del empleado]]</definedName>
    <definedName name="MonthName" localSheetId="3">Abril!$B$2</definedName>
    <definedName name="MonthName" localSheetId="7">Agosto!$B$2</definedName>
    <definedName name="MonthName" localSheetId="11">Diciembre!$B$2</definedName>
    <definedName name="MonthName" localSheetId="0">Enero!$B$2</definedName>
    <definedName name="MonthName" localSheetId="12">'Enero (2024)'!$B$2</definedName>
    <definedName name="MonthName" localSheetId="1">Febrero!$B$2</definedName>
    <definedName name="MonthName" localSheetId="13">'Febrero (2024)'!$B$2</definedName>
    <definedName name="MonthName" localSheetId="6">Julio!$B$2</definedName>
    <definedName name="MonthName" localSheetId="5">Junio!$B$2</definedName>
    <definedName name="MonthName" localSheetId="2">Marzo!$B$2</definedName>
    <definedName name="MonthName" localSheetId="14">'Marzo (2024)'!$B$2</definedName>
    <definedName name="MonthName" localSheetId="4">Mayo!$B$4</definedName>
    <definedName name="MonthName" localSheetId="10">Noviembre!$B$2</definedName>
    <definedName name="MonthName" localSheetId="9">Octubre!$B$2</definedName>
    <definedName name="MonthName" localSheetId="8">Septiembre!$B$2</definedName>
    <definedName name="Title1" localSheetId="12">Enero6[[#Headers],[Nombre del empleado]]</definedName>
    <definedName name="Title1" localSheetId="13">Enero69[[#Headers],[Nombre del empleado]]</definedName>
    <definedName name="Title1" localSheetId="14">Enero[[#Headers],[Nombre del empleado]]</definedName>
    <definedName name="Title1">Enero[[#Headers],[Nombre del empleado]]</definedName>
    <definedName name="Title10" localSheetId="12">Octubre[[#Headers],[Nombre del empleado]]</definedName>
    <definedName name="Title10" localSheetId="13">Octubre[[#Headers],[Nombre del empleado]]</definedName>
    <definedName name="Title10" localSheetId="14">Octubre[[#Headers],[Nombre del empleado]]</definedName>
    <definedName name="Title10">Octubre[[#Headers],[Nombre del empleado]]</definedName>
    <definedName name="Title11" localSheetId="12">Noviembre[[#Headers],[Nombre del empleado]]</definedName>
    <definedName name="Title11" localSheetId="13">Noviembre[[#Headers],[Nombre del empleado]]</definedName>
    <definedName name="Title11" localSheetId="14">Noviembre[[#Headers],[Nombre del empleado]]</definedName>
    <definedName name="Title11">Noviembre[[#Headers],[Nombre del empleado]]</definedName>
    <definedName name="Title12" localSheetId="12">Diciembre[[#Headers],[Nombre del empleado]]</definedName>
    <definedName name="Title12" localSheetId="13">Diciembre[[#Headers],[Nombre del empleado]]</definedName>
    <definedName name="Title12" localSheetId="14">Diciembre[[#Headers],[Nombre del empleado]]</definedName>
    <definedName name="Title12">Diciembre[[#Headers],[Nombre del empleado]]</definedName>
    <definedName name="Title2" localSheetId="12">Febrero[[#Headers],[Nombre del empleado]]</definedName>
    <definedName name="Title2" localSheetId="13">Febrero[[#Headers],[Nombre del empleado]]</definedName>
    <definedName name="Title2" localSheetId="14">Febrero[[#Headers],[Nombre del empleado]]</definedName>
    <definedName name="Title2">Febrero[[#Headers],[Nombre del empleado]]</definedName>
    <definedName name="Title3" localSheetId="12">Marzo[[#Headers],[Nombre del empleado]]</definedName>
    <definedName name="Title3" localSheetId="13">Marzo[[#Headers],[Nombre del empleado]]</definedName>
    <definedName name="Title3" localSheetId="14">Marzo7[[#Headers],[Nombre del empleado]]</definedName>
    <definedName name="Title3">Marzo[[#Headers],[Nombre del empleado]]</definedName>
    <definedName name="Title4" localSheetId="12">March5[[#Headers],[Nombre del empleado]]</definedName>
    <definedName name="Title4" localSheetId="13">March5[[#Headers],[Nombre del empleado]]</definedName>
    <definedName name="Title4" localSheetId="14">March5[[#Headers],[Nombre del empleado]]</definedName>
    <definedName name="Title4">March5[[#Headers],[Nombre del empleado]]</definedName>
    <definedName name="Title5" localSheetId="12">March58[[#Headers],[Nombre del empleado]]</definedName>
    <definedName name="Title5" localSheetId="13">March58[[#Headers],[Nombre del empleado]]</definedName>
    <definedName name="Title5" localSheetId="14">March58[[#Headers],[Nombre del empleado]]</definedName>
    <definedName name="Title5">March58[[#Headers],[Nombre del empleado]]</definedName>
    <definedName name="Title6" localSheetId="12">Junio[[#Headers],[Nombre del empleado]]</definedName>
    <definedName name="Title6" localSheetId="13">Junio[[#Headers],[Nombre del empleado]]</definedName>
    <definedName name="Title6" localSheetId="14">Junio[[#Headers],[Nombre del empleado]]</definedName>
    <definedName name="Title6">Junio[[#Headers],[Nombre del empleado]]</definedName>
    <definedName name="Title7" localSheetId="12">Julio[[#Headers],[Nombre del empleado]]</definedName>
    <definedName name="Title7" localSheetId="13">Julio[[#Headers],[Nombre del empleado]]</definedName>
    <definedName name="Title7" localSheetId="14">Julio[[#Headers],[Nombre del empleado]]</definedName>
    <definedName name="Title7">Julio[[#Headers],[Nombre del empleado]]</definedName>
    <definedName name="Title8" localSheetId="12">Agosto[[#Headers],[Nombre del empleado]]</definedName>
    <definedName name="Title8" localSheetId="13">Agosto[[#Headers],[Nombre del empleado]]</definedName>
    <definedName name="Title8" localSheetId="14">Agosto[[#Headers],[Nombre del empleado]]</definedName>
    <definedName name="Title8">Agosto[[#Headers],[Nombre del empleado]]</definedName>
    <definedName name="Title9" localSheetId="12">Septiembre[[#Headers],[Nombre del empleado]]</definedName>
    <definedName name="Title9" localSheetId="13">Septiembre[[#Headers],[Nombre del empleado]]</definedName>
    <definedName name="Title9" localSheetId="14">Septiembre[[#Headers],[Nombre del empleado]]</definedName>
    <definedName name="Title9">Septiembre[[#Headers],[Nombre del empleado]]</definedName>
    <definedName name="_xlnm.Print_Titles" localSheetId="3">Abril!$7:$8</definedName>
    <definedName name="_xlnm.Print_Titles" localSheetId="7">Agosto!$6:$8</definedName>
    <definedName name="_xlnm.Print_Titles" localSheetId="11">Diciembre!$6:$8</definedName>
    <definedName name="_xlnm.Print_Titles" localSheetId="0">Enero!$6:$8</definedName>
    <definedName name="_xlnm.Print_Titles" localSheetId="12">'Enero (2024)'!$6:$8</definedName>
    <definedName name="_xlnm.Print_Titles" localSheetId="1">Febrero!$6:$8</definedName>
    <definedName name="_xlnm.Print_Titles" localSheetId="13">'Febrero (2024)'!$6:$8</definedName>
    <definedName name="_xlnm.Print_Titles" localSheetId="6">Julio!$7:$8</definedName>
    <definedName name="_xlnm.Print_Titles" localSheetId="5">Junio!$6:$8</definedName>
    <definedName name="_xlnm.Print_Titles" localSheetId="2">Marzo!$6:$8</definedName>
    <definedName name="_xlnm.Print_Titles" localSheetId="14">'Marzo (2024)'!$6:$8</definedName>
    <definedName name="_xlnm.Print_Titles" localSheetId="4">Mayo!$4:$6</definedName>
    <definedName name="_xlnm.Print_Titles" localSheetId="10">Noviembre!$6:$8</definedName>
    <definedName name="_xlnm.Print_Titles" localSheetId="9">Octubre!$6:$8</definedName>
    <definedName name="_xlnm.Print_Titles" localSheetId="8">Septiembre!$6:$8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8" i="35" l="1"/>
  <c r="AG7" i="34"/>
  <c r="AF7" i="34"/>
  <c r="F7" i="35"/>
  <c r="E7" i="35"/>
  <c r="D7" i="35"/>
  <c r="C7" i="35"/>
  <c r="AE7" i="35"/>
  <c r="G7" i="35"/>
  <c r="H7" i="35"/>
  <c r="I7" i="35"/>
  <c r="J7" i="35"/>
  <c r="K7" i="35"/>
  <c r="L7" i="35"/>
  <c r="M7" i="35"/>
  <c r="N7" i="35"/>
  <c r="O7" i="35"/>
  <c r="P7" i="35"/>
  <c r="Q7" i="35"/>
  <c r="R7" i="35"/>
  <c r="S7" i="35"/>
  <c r="T7" i="35"/>
  <c r="U7" i="35"/>
  <c r="V7" i="35"/>
  <c r="W7" i="35"/>
  <c r="X7" i="35"/>
  <c r="Y7" i="35"/>
  <c r="Z7" i="35"/>
  <c r="AA7" i="35"/>
  <c r="AB7" i="35"/>
  <c r="AC7" i="35"/>
  <c r="AD7" i="35"/>
  <c r="AG28" i="35"/>
  <c r="AF28" i="35"/>
  <c r="AE28" i="35"/>
  <c r="AD28" i="35"/>
  <c r="AC28" i="35"/>
  <c r="AB28" i="35"/>
  <c r="AA28" i="35"/>
  <c r="Z28" i="35"/>
  <c r="Y28" i="35"/>
  <c r="X28" i="35"/>
  <c r="W28" i="35"/>
  <c r="V28" i="35"/>
  <c r="U28" i="35"/>
  <c r="T28" i="35"/>
  <c r="S28" i="35"/>
  <c r="R28" i="35"/>
  <c r="Q28" i="35"/>
  <c r="P28" i="35"/>
  <c r="O28" i="35"/>
  <c r="N28" i="35"/>
  <c r="M28" i="35"/>
  <c r="L28" i="35"/>
  <c r="K28" i="35"/>
  <c r="J28" i="35"/>
  <c r="I28" i="35"/>
  <c r="H28" i="35"/>
  <c r="G28" i="35"/>
  <c r="F28" i="35"/>
  <c r="E28" i="35"/>
  <c r="D28" i="35"/>
  <c r="C28" i="35"/>
  <c r="AH27" i="35"/>
  <c r="AH26" i="35"/>
  <c r="AH25" i="35"/>
  <c r="AH24" i="35"/>
  <c r="AH23" i="35"/>
  <c r="AH22" i="35"/>
  <c r="AH21" i="35"/>
  <c r="AH20" i="35"/>
  <c r="AH19" i="35"/>
  <c r="AH18" i="35"/>
  <c r="AH17" i="35"/>
  <c r="AH16" i="35"/>
  <c r="AH15" i="35"/>
  <c r="AH14" i="35"/>
  <c r="AH13" i="35"/>
  <c r="AH12" i="35"/>
  <c r="AH11" i="35"/>
  <c r="AH10" i="35"/>
  <c r="AH9" i="35"/>
  <c r="B28" i="34"/>
  <c r="AG28" i="34"/>
  <c r="AF28" i="34"/>
  <c r="AE28" i="34"/>
  <c r="AD28" i="34"/>
  <c r="AC28" i="34"/>
  <c r="AB28" i="34"/>
  <c r="AA28" i="34"/>
  <c r="Z28" i="34"/>
  <c r="Y28" i="34"/>
  <c r="X28" i="34"/>
  <c r="W28" i="34"/>
  <c r="V28" i="34"/>
  <c r="U28" i="34"/>
  <c r="T28" i="34"/>
  <c r="S28" i="34"/>
  <c r="R28" i="34"/>
  <c r="Q28" i="34"/>
  <c r="P28" i="34"/>
  <c r="O28" i="34"/>
  <c r="N28" i="34"/>
  <c r="M28" i="34"/>
  <c r="L28" i="34"/>
  <c r="K28" i="34"/>
  <c r="J28" i="34"/>
  <c r="I28" i="34"/>
  <c r="H28" i="34"/>
  <c r="G28" i="34"/>
  <c r="F28" i="34"/>
  <c r="E28" i="34"/>
  <c r="D28" i="34"/>
  <c r="C28" i="34"/>
  <c r="AH27" i="34"/>
  <c r="AH26" i="34"/>
  <c r="AH25" i="34"/>
  <c r="AH24" i="34"/>
  <c r="AH23" i="34"/>
  <c r="AH22" i="34"/>
  <c r="AH21" i="34"/>
  <c r="AH20" i="34"/>
  <c r="AH19" i="34"/>
  <c r="AH18" i="34"/>
  <c r="AH17" i="34"/>
  <c r="AH16" i="34"/>
  <c r="AH15" i="34"/>
  <c r="AH14" i="34"/>
  <c r="AH13" i="34"/>
  <c r="AH12" i="34"/>
  <c r="AH11" i="34"/>
  <c r="AH10" i="34"/>
  <c r="AH9" i="34"/>
  <c r="AE7" i="34"/>
  <c r="AD7" i="34"/>
  <c r="AC7" i="34"/>
  <c r="AB7" i="34"/>
  <c r="AA7" i="34"/>
  <c r="Z7" i="34"/>
  <c r="Y7" i="34"/>
  <c r="X7" i="34"/>
  <c r="W7" i="34"/>
  <c r="V7" i="34"/>
  <c r="U7" i="34"/>
  <c r="T7" i="34"/>
  <c r="S7" i="34"/>
  <c r="R7" i="34"/>
  <c r="Q7" i="34"/>
  <c r="P7" i="34"/>
  <c r="O7" i="34"/>
  <c r="N7" i="34"/>
  <c r="M7" i="34"/>
  <c r="L7" i="34"/>
  <c r="K7" i="34"/>
  <c r="J7" i="34"/>
  <c r="I7" i="34"/>
  <c r="H7" i="34"/>
  <c r="G7" i="34"/>
  <c r="F7" i="34"/>
  <c r="E7" i="34"/>
  <c r="D7" i="34"/>
  <c r="C7" i="34"/>
  <c r="C7" i="32"/>
  <c r="B28" i="32"/>
  <c r="AG28" i="32"/>
  <c r="AF28" i="32"/>
  <c r="AE28" i="32"/>
  <c r="AD28" i="32"/>
  <c r="AC28" i="32"/>
  <c r="AB28" i="32"/>
  <c r="AA28" i="32"/>
  <c r="Z28" i="32"/>
  <c r="Y28" i="32"/>
  <c r="X28" i="32"/>
  <c r="W28" i="32"/>
  <c r="V28" i="32"/>
  <c r="U28" i="32"/>
  <c r="T28" i="32"/>
  <c r="S28" i="32"/>
  <c r="R28" i="32"/>
  <c r="Q28" i="32"/>
  <c r="P28" i="32"/>
  <c r="O28" i="32"/>
  <c r="N28" i="32"/>
  <c r="M28" i="32"/>
  <c r="L28" i="32"/>
  <c r="K28" i="32"/>
  <c r="J28" i="32"/>
  <c r="I28" i="32"/>
  <c r="H28" i="32"/>
  <c r="G28" i="32"/>
  <c r="F28" i="32"/>
  <c r="E28" i="32"/>
  <c r="D28" i="32"/>
  <c r="C28" i="32"/>
  <c r="AH27" i="32"/>
  <c r="AH24" i="32"/>
  <c r="AH9" i="32"/>
  <c r="AH17" i="32"/>
  <c r="AH23" i="32"/>
  <c r="AH22" i="32"/>
  <c r="AH14" i="32"/>
  <c r="AH19" i="32"/>
  <c r="AH11" i="32"/>
  <c r="AH16" i="32"/>
  <c r="AH25" i="32"/>
  <c r="AH13" i="32"/>
  <c r="AH20" i="32"/>
  <c r="AH21" i="32"/>
  <c r="AH10" i="32"/>
  <c r="AH12" i="32"/>
  <c r="AH18" i="32"/>
  <c r="AH15" i="32"/>
  <c r="AH26" i="32"/>
  <c r="AG7" i="32"/>
  <c r="AF7" i="32"/>
  <c r="AE7" i="32"/>
  <c r="AD7" i="32"/>
  <c r="AC7" i="32"/>
  <c r="AB7" i="32"/>
  <c r="AA7" i="32"/>
  <c r="Z7" i="32"/>
  <c r="Y7" i="32"/>
  <c r="X7" i="32"/>
  <c r="W7" i="32"/>
  <c r="V7" i="32"/>
  <c r="U7" i="32"/>
  <c r="T7" i="32"/>
  <c r="S7" i="32"/>
  <c r="R7" i="32"/>
  <c r="Q7" i="32"/>
  <c r="P7" i="32"/>
  <c r="O7" i="32"/>
  <c r="N7" i="32"/>
  <c r="M7" i="32"/>
  <c r="L7" i="32"/>
  <c r="K7" i="32"/>
  <c r="J7" i="32"/>
  <c r="I7" i="32"/>
  <c r="H7" i="32"/>
  <c r="G7" i="32"/>
  <c r="F7" i="32"/>
  <c r="E7" i="32"/>
  <c r="D7" i="32"/>
  <c r="AH27" i="24"/>
  <c r="AH26" i="4"/>
  <c r="AH28" i="35" l="1"/>
  <c r="AH28" i="34"/>
  <c r="AH28" i="32"/>
  <c r="AH13" i="15"/>
  <c r="AH14" i="15"/>
  <c r="AH15" i="15"/>
  <c r="AH16" i="15"/>
  <c r="AH17" i="15"/>
  <c r="AH18" i="15"/>
  <c r="AH19" i="15"/>
  <c r="AH20" i="15"/>
  <c r="AH21" i="15"/>
  <c r="AH22" i="15"/>
  <c r="AH23" i="15"/>
  <c r="AH24" i="15"/>
  <c r="AH25" i="15"/>
  <c r="AH26" i="15"/>
  <c r="AH27" i="15"/>
  <c r="AH13" i="25"/>
  <c r="AH14" i="25"/>
  <c r="AH15" i="25"/>
  <c r="AH16" i="25"/>
  <c r="AH17" i="25"/>
  <c r="AH18" i="25"/>
  <c r="AH19" i="25"/>
  <c r="AH20" i="25"/>
  <c r="AH21" i="25"/>
  <c r="AH22" i="25"/>
  <c r="AH23" i="25"/>
  <c r="AH24" i="25"/>
  <c r="AH25" i="25"/>
  <c r="AH26" i="25"/>
  <c r="AH27" i="25"/>
  <c r="AH13" i="24"/>
  <c r="AH14" i="24"/>
  <c r="AH15" i="24"/>
  <c r="AH16" i="24"/>
  <c r="AH17" i="24"/>
  <c r="AH18" i="24"/>
  <c r="AH19" i="24"/>
  <c r="AH20" i="24"/>
  <c r="AH21" i="24"/>
  <c r="AH22" i="24"/>
  <c r="AH23" i="24"/>
  <c r="AH24" i="24"/>
  <c r="AH25" i="24"/>
  <c r="AH26" i="24"/>
  <c r="AH28" i="24"/>
  <c r="AH13" i="23"/>
  <c r="AH14" i="23"/>
  <c r="AH15" i="23"/>
  <c r="AH16" i="23"/>
  <c r="AH17" i="23"/>
  <c r="AH18" i="23"/>
  <c r="AH19" i="23"/>
  <c r="AH20" i="23"/>
  <c r="AH21" i="23"/>
  <c r="AH22" i="23"/>
  <c r="AH23" i="23"/>
  <c r="AH24" i="23"/>
  <c r="AH25" i="23"/>
  <c r="AH26" i="23"/>
  <c r="AH27" i="23"/>
  <c r="AH13" i="22"/>
  <c r="AH14" i="22"/>
  <c r="AH15" i="22"/>
  <c r="AH16" i="22"/>
  <c r="AH17" i="22"/>
  <c r="AH18" i="22"/>
  <c r="AH19" i="22"/>
  <c r="AH20" i="22"/>
  <c r="AH21" i="22"/>
  <c r="AH22" i="22"/>
  <c r="AH23" i="22"/>
  <c r="AH24" i="22"/>
  <c r="AH25" i="22"/>
  <c r="AH26" i="22"/>
  <c r="AH27" i="22"/>
  <c r="AH13" i="21"/>
  <c r="AH14" i="21"/>
  <c r="AH15" i="21"/>
  <c r="AH16" i="21"/>
  <c r="AH17" i="21"/>
  <c r="AH18" i="21"/>
  <c r="AH19" i="21"/>
  <c r="AH20" i="21"/>
  <c r="AH21" i="21"/>
  <c r="AH22" i="21"/>
  <c r="AH23" i="21"/>
  <c r="AH24" i="21"/>
  <c r="AH25" i="21"/>
  <c r="AH26" i="21"/>
  <c r="AH27" i="21"/>
  <c r="AH13" i="20"/>
  <c r="AH14" i="20"/>
  <c r="AH15" i="20"/>
  <c r="AH16" i="20"/>
  <c r="AH17" i="20"/>
  <c r="AH18" i="20"/>
  <c r="AH19" i="20"/>
  <c r="AH20" i="20"/>
  <c r="AH21" i="20"/>
  <c r="AH22" i="20"/>
  <c r="AH23" i="20"/>
  <c r="AH24" i="20"/>
  <c r="AH25" i="20"/>
  <c r="AH26" i="20"/>
  <c r="AH27" i="20"/>
  <c r="AH13" i="19"/>
  <c r="AH14" i="19"/>
  <c r="AH15" i="19"/>
  <c r="AH16" i="19"/>
  <c r="AH17" i="19"/>
  <c r="AH18" i="19"/>
  <c r="AH19" i="19"/>
  <c r="AH20" i="19"/>
  <c r="AH21" i="19"/>
  <c r="AH22" i="19"/>
  <c r="AH23" i="19"/>
  <c r="AH24" i="19"/>
  <c r="AH25" i="19"/>
  <c r="AH26" i="19"/>
  <c r="AH27" i="19"/>
  <c r="AH13" i="18"/>
  <c r="AH14" i="18"/>
  <c r="AH15" i="18"/>
  <c r="AH16" i="18"/>
  <c r="AH17" i="18"/>
  <c r="AH18" i="18"/>
  <c r="AH19" i="18"/>
  <c r="AH20" i="18"/>
  <c r="AH21" i="18"/>
  <c r="AH22" i="18"/>
  <c r="AH23" i="18"/>
  <c r="AH24" i="18"/>
  <c r="AH25" i="18"/>
  <c r="AH26" i="18"/>
  <c r="AH27" i="18"/>
  <c r="AH13" i="17"/>
  <c r="AH14" i="17"/>
  <c r="AH15" i="17"/>
  <c r="AH16" i="17"/>
  <c r="AH17" i="17"/>
  <c r="AH18" i="17"/>
  <c r="AH19" i="17"/>
  <c r="AH20" i="17"/>
  <c r="AH21" i="17"/>
  <c r="AH22" i="17"/>
  <c r="AH23" i="17"/>
  <c r="AH24" i="17"/>
  <c r="AH25" i="17"/>
  <c r="AH26" i="17"/>
  <c r="AH27" i="17"/>
  <c r="AH13" i="5"/>
  <c r="AH14" i="5"/>
  <c r="AH15" i="5"/>
  <c r="AH16" i="5"/>
  <c r="AH17" i="5"/>
  <c r="AH18" i="5"/>
  <c r="AH19" i="5"/>
  <c r="AH20" i="5"/>
  <c r="AH21" i="5"/>
  <c r="AH22" i="5"/>
  <c r="AH23" i="5"/>
  <c r="AH24" i="5"/>
  <c r="AH25" i="5"/>
  <c r="AH26" i="5"/>
  <c r="AH27" i="5"/>
  <c r="AH24" i="4"/>
  <c r="AH18" i="4"/>
  <c r="AH19" i="4"/>
  <c r="AH20" i="4"/>
  <c r="AH21" i="4"/>
  <c r="AH23" i="4"/>
  <c r="AH25" i="4"/>
  <c r="AH17" i="4"/>
  <c r="AH22" i="4"/>
  <c r="AH16" i="4"/>
  <c r="AH15" i="4"/>
  <c r="AH12" i="4"/>
  <c r="AH13" i="4"/>
  <c r="AH14" i="4"/>
  <c r="AH27" i="4"/>
  <c r="C28" i="4"/>
  <c r="D28" i="4"/>
  <c r="E28" i="4"/>
  <c r="F28" i="4"/>
  <c r="G28" i="4"/>
  <c r="H28" i="4"/>
  <c r="I28" i="4"/>
  <c r="J28" i="4"/>
  <c r="K28" i="4"/>
  <c r="L28" i="4"/>
  <c r="M28" i="4"/>
  <c r="N28" i="4"/>
  <c r="O28" i="4"/>
  <c r="P28" i="4"/>
  <c r="Q28" i="4"/>
  <c r="R28" i="4"/>
  <c r="S28" i="4"/>
  <c r="T28" i="4"/>
  <c r="U28" i="4"/>
  <c r="V28" i="4"/>
  <c r="W28" i="4"/>
  <c r="X28" i="4"/>
  <c r="Y28" i="4"/>
  <c r="Z28" i="4"/>
  <c r="AA28" i="4"/>
  <c r="AB28" i="4"/>
  <c r="AC28" i="4"/>
  <c r="AD28" i="4"/>
  <c r="AE28" i="4"/>
  <c r="AF28" i="4"/>
  <c r="AG28" i="4"/>
  <c r="AE7" i="5" l="1"/>
  <c r="AD7" i="5"/>
  <c r="AC7" i="5"/>
  <c r="AB7" i="5"/>
  <c r="AA7" i="5"/>
  <c r="Z7" i="5"/>
  <c r="Y7" i="5"/>
  <c r="X7" i="5"/>
  <c r="W7" i="5"/>
  <c r="V7" i="5"/>
  <c r="U7" i="5"/>
  <c r="T7" i="5"/>
  <c r="S7" i="5"/>
  <c r="R7" i="5"/>
  <c r="Q7" i="5"/>
  <c r="P7" i="5"/>
  <c r="O7" i="5"/>
  <c r="N7" i="5"/>
  <c r="M7" i="5"/>
  <c r="L7" i="5"/>
  <c r="K7" i="5"/>
  <c r="J7" i="5"/>
  <c r="I7" i="5"/>
  <c r="H7" i="5"/>
  <c r="G7" i="5"/>
  <c r="F7" i="5"/>
  <c r="E7" i="5"/>
  <c r="D7" i="5"/>
  <c r="C7" i="5"/>
  <c r="AG7" i="17"/>
  <c r="AF7" i="17"/>
  <c r="AE7" i="17"/>
  <c r="AD7" i="17"/>
  <c r="AC7" i="17"/>
  <c r="AB7" i="17"/>
  <c r="AA7" i="17"/>
  <c r="Z7" i="17"/>
  <c r="Y7" i="17"/>
  <c r="X7" i="17"/>
  <c r="W7" i="17"/>
  <c r="V7" i="17"/>
  <c r="U7" i="17"/>
  <c r="T7" i="17"/>
  <c r="S7" i="17"/>
  <c r="R7" i="17"/>
  <c r="Q7" i="17"/>
  <c r="P7" i="17"/>
  <c r="O7" i="17"/>
  <c r="N7" i="17"/>
  <c r="M7" i="17"/>
  <c r="L7" i="17"/>
  <c r="K7" i="17"/>
  <c r="J7" i="17"/>
  <c r="I7" i="17"/>
  <c r="H7" i="17"/>
  <c r="G7" i="17"/>
  <c r="F7" i="17"/>
  <c r="E7" i="17"/>
  <c r="D7" i="17"/>
  <c r="C7" i="17"/>
  <c r="AF7" i="18"/>
  <c r="AE7" i="18"/>
  <c r="AD7" i="18"/>
  <c r="AC7" i="18"/>
  <c r="AB7" i="18"/>
  <c r="AA7" i="18"/>
  <c r="Z7" i="18"/>
  <c r="Y7" i="18"/>
  <c r="X7" i="18"/>
  <c r="W7" i="18"/>
  <c r="V7" i="18"/>
  <c r="U7" i="18"/>
  <c r="T7" i="18"/>
  <c r="S7" i="18"/>
  <c r="R7" i="18"/>
  <c r="Q7" i="18"/>
  <c r="P7" i="18"/>
  <c r="O7" i="18"/>
  <c r="N7" i="18"/>
  <c r="M7" i="18"/>
  <c r="L7" i="18"/>
  <c r="K7" i="18"/>
  <c r="J7" i="18"/>
  <c r="I7" i="18"/>
  <c r="H7" i="18"/>
  <c r="G7" i="18"/>
  <c r="F7" i="18"/>
  <c r="E7" i="18"/>
  <c r="D7" i="18"/>
  <c r="C7" i="18"/>
  <c r="AG7" i="19"/>
  <c r="AF7" i="19"/>
  <c r="AE7" i="19"/>
  <c r="AD7" i="19"/>
  <c r="AC7" i="19"/>
  <c r="AB7" i="19"/>
  <c r="AA7" i="19"/>
  <c r="Z7" i="19"/>
  <c r="Y7" i="19"/>
  <c r="X7" i="19"/>
  <c r="W7" i="19"/>
  <c r="V7" i="19"/>
  <c r="U7" i="19"/>
  <c r="T7" i="19"/>
  <c r="S7" i="19"/>
  <c r="R7" i="19"/>
  <c r="Q7" i="19"/>
  <c r="P7" i="19"/>
  <c r="O7" i="19"/>
  <c r="N7" i="19"/>
  <c r="M7" i="19"/>
  <c r="L7" i="19"/>
  <c r="K7" i="19"/>
  <c r="J7" i="19"/>
  <c r="I7" i="19"/>
  <c r="H7" i="19"/>
  <c r="G7" i="19"/>
  <c r="F7" i="19"/>
  <c r="E7" i="19"/>
  <c r="D7" i="19"/>
  <c r="C7" i="19"/>
  <c r="AF7" i="20"/>
  <c r="AE7" i="20"/>
  <c r="AD7" i="20"/>
  <c r="AC7" i="20"/>
  <c r="AB7" i="20"/>
  <c r="AA7" i="20"/>
  <c r="Z7" i="20"/>
  <c r="Y7" i="20"/>
  <c r="X7" i="20"/>
  <c r="W7" i="20"/>
  <c r="V7" i="20"/>
  <c r="U7" i="20"/>
  <c r="T7" i="20"/>
  <c r="S7" i="20"/>
  <c r="R7" i="20"/>
  <c r="Q7" i="20"/>
  <c r="P7" i="20"/>
  <c r="O7" i="20"/>
  <c r="N7" i="20"/>
  <c r="M7" i="20"/>
  <c r="L7" i="20"/>
  <c r="K7" i="20"/>
  <c r="J7" i="20"/>
  <c r="I7" i="20"/>
  <c r="H7" i="20"/>
  <c r="G7" i="20"/>
  <c r="F7" i="20"/>
  <c r="E7" i="20"/>
  <c r="D7" i="20"/>
  <c r="C7" i="20"/>
  <c r="AG7" i="21"/>
  <c r="AF7" i="21"/>
  <c r="AE7" i="21"/>
  <c r="AD7" i="21"/>
  <c r="AC7" i="21"/>
  <c r="AB7" i="21"/>
  <c r="AA7" i="21"/>
  <c r="Z7" i="21"/>
  <c r="Y7" i="21"/>
  <c r="X7" i="21"/>
  <c r="W7" i="21"/>
  <c r="V7" i="21"/>
  <c r="U7" i="21"/>
  <c r="T7" i="21"/>
  <c r="S7" i="21"/>
  <c r="R7" i="21"/>
  <c r="Q7" i="21"/>
  <c r="P7" i="21"/>
  <c r="O7" i="21"/>
  <c r="N7" i="21"/>
  <c r="M7" i="21"/>
  <c r="L7" i="21"/>
  <c r="K7" i="21"/>
  <c r="J7" i="21"/>
  <c r="I7" i="21"/>
  <c r="H7" i="21"/>
  <c r="G7" i="21"/>
  <c r="F7" i="21"/>
  <c r="E7" i="21"/>
  <c r="D7" i="21"/>
  <c r="C7" i="21"/>
  <c r="AG7" i="22"/>
  <c r="AF7" i="22"/>
  <c r="AE7" i="22"/>
  <c r="AD7" i="22"/>
  <c r="AC7" i="22"/>
  <c r="AB7" i="22"/>
  <c r="AA7" i="22"/>
  <c r="Z7" i="22"/>
  <c r="Y7" i="22"/>
  <c r="X7" i="22"/>
  <c r="W7" i="22"/>
  <c r="V7" i="22"/>
  <c r="U7" i="22"/>
  <c r="T7" i="22"/>
  <c r="S7" i="22"/>
  <c r="R7" i="22"/>
  <c r="Q7" i="22"/>
  <c r="P7" i="22"/>
  <c r="O7" i="22"/>
  <c r="N7" i="22"/>
  <c r="M7" i="22"/>
  <c r="L7" i="22"/>
  <c r="K7" i="22"/>
  <c r="J7" i="22"/>
  <c r="I7" i="22"/>
  <c r="H7" i="22"/>
  <c r="G7" i="22"/>
  <c r="F7" i="22"/>
  <c r="E7" i="22"/>
  <c r="D7" i="22"/>
  <c r="C7" i="22"/>
  <c r="AF7" i="23"/>
  <c r="AE7" i="23"/>
  <c r="AD7" i="23"/>
  <c r="AC7" i="23"/>
  <c r="AB7" i="23"/>
  <c r="AA7" i="23"/>
  <c r="Z7" i="23"/>
  <c r="Y7" i="23"/>
  <c r="X7" i="23"/>
  <c r="W7" i="23"/>
  <c r="V7" i="23"/>
  <c r="U7" i="23"/>
  <c r="T7" i="23"/>
  <c r="S7" i="23"/>
  <c r="R7" i="23"/>
  <c r="Q7" i="23"/>
  <c r="P7" i="23"/>
  <c r="O7" i="23"/>
  <c r="N7" i="23"/>
  <c r="M7" i="23"/>
  <c r="L7" i="23"/>
  <c r="K7" i="23"/>
  <c r="J7" i="23"/>
  <c r="I7" i="23"/>
  <c r="H7" i="23"/>
  <c r="G7" i="23"/>
  <c r="F7" i="23"/>
  <c r="E7" i="23"/>
  <c r="D7" i="23"/>
  <c r="C7" i="23"/>
  <c r="AG7" i="24"/>
  <c r="AF7" i="24"/>
  <c r="AE7" i="24"/>
  <c r="AD7" i="24"/>
  <c r="AC7" i="24"/>
  <c r="AB7" i="24"/>
  <c r="AA7" i="24"/>
  <c r="Z7" i="24"/>
  <c r="Y7" i="24"/>
  <c r="X7" i="24"/>
  <c r="W7" i="24"/>
  <c r="V7" i="24"/>
  <c r="U7" i="24"/>
  <c r="T7" i="24"/>
  <c r="S7" i="24"/>
  <c r="R7" i="24"/>
  <c r="Q7" i="24"/>
  <c r="P7" i="24"/>
  <c r="O7" i="24"/>
  <c r="N7" i="24"/>
  <c r="M7" i="24"/>
  <c r="L7" i="24"/>
  <c r="K7" i="24"/>
  <c r="J7" i="24"/>
  <c r="I7" i="24"/>
  <c r="H7" i="24"/>
  <c r="G7" i="24"/>
  <c r="F7" i="24"/>
  <c r="E7" i="24"/>
  <c r="D7" i="24"/>
  <c r="C7" i="24"/>
  <c r="AF7" i="25"/>
  <c r="AE7" i="25"/>
  <c r="AD7" i="25"/>
  <c r="AC7" i="25"/>
  <c r="AB7" i="25"/>
  <c r="AA7" i="25"/>
  <c r="Z7" i="25"/>
  <c r="Y7" i="25"/>
  <c r="X7" i="25"/>
  <c r="W7" i="25"/>
  <c r="V7" i="25"/>
  <c r="U7" i="25"/>
  <c r="T7" i="25"/>
  <c r="S7" i="25"/>
  <c r="R7" i="25"/>
  <c r="Q7" i="25"/>
  <c r="P7" i="25"/>
  <c r="O7" i="25"/>
  <c r="N7" i="25"/>
  <c r="M7" i="25"/>
  <c r="L7" i="25"/>
  <c r="K7" i="25"/>
  <c r="J7" i="25"/>
  <c r="I7" i="25"/>
  <c r="H7" i="25"/>
  <c r="G7" i="25"/>
  <c r="F7" i="25"/>
  <c r="E7" i="25"/>
  <c r="D7" i="25"/>
  <c r="C7" i="25"/>
  <c r="AG7" i="15"/>
  <c r="AF7" i="15"/>
  <c r="AE7" i="15"/>
  <c r="AD7" i="15"/>
  <c r="AC7" i="15"/>
  <c r="AB7" i="15"/>
  <c r="AA7" i="15"/>
  <c r="Z7" i="15"/>
  <c r="Y7" i="15"/>
  <c r="X7" i="15"/>
  <c r="W7" i="15"/>
  <c r="V7" i="15"/>
  <c r="U7" i="15"/>
  <c r="T7" i="15"/>
  <c r="S7" i="15"/>
  <c r="R7" i="15"/>
  <c r="Q7" i="15"/>
  <c r="P7" i="15"/>
  <c r="O7" i="15"/>
  <c r="N7" i="15"/>
  <c r="M7" i="15"/>
  <c r="L7" i="15"/>
  <c r="K7" i="15"/>
  <c r="J7" i="15"/>
  <c r="I7" i="15"/>
  <c r="H7" i="15"/>
  <c r="G7" i="15"/>
  <c r="F7" i="15"/>
  <c r="E7" i="15"/>
  <c r="D7" i="15"/>
  <c r="C7" i="15"/>
  <c r="AG7" i="4"/>
  <c r="AF7" i="4"/>
  <c r="AE7" i="4"/>
  <c r="AD7" i="4"/>
  <c r="AC7" i="4"/>
  <c r="AB7" i="4"/>
  <c r="AA7" i="4"/>
  <c r="Z7" i="4"/>
  <c r="Y7" i="4"/>
  <c r="X7" i="4"/>
  <c r="W7" i="4"/>
  <c r="V7" i="4"/>
  <c r="U7" i="4"/>
  <c r="T7" i="4"/>
  <c r="S7" i="4"/>
  <c r="R7" i="4"/>
  <c r="Q7" i="4"/>
  <c r="P7" i="4"/>
  <c r="O7" i="4"/>
  <c r="N7" i="4"/>
  <c r="M7" i="4"/>
  <c r="L7" i="4"/>
  <c r="K7" i="4"/>
  <c r="J7" i="4"/>
  <c r="I7" i="4"/>
  <c r="H7" i="4"/>
  <c r="G7" i="4"/>
  <c r="F7" i="4"/>
  <c r="E7" i="4"/>
  <c r="D7" i="4"/>
  <c r="C7" i="4"/>
  <c r="AH6" i="15" l="1"/>
  <c r="AH6" i="25"/>
  <c r="AH6" i="24"/>
  <c r="AH6" i="23"/>
  <c r="AH6" i="22"/>
  <c r="AH6" i="21"/>
  <c r="B28" i="19"/>
  <c r="AH6" i="20"/>
  <c r="B28" i="18"/>
  <c r="B28" i="4"/>
  <c r="AG28" i="19"/>
  <c r="AF28" i="19"/>
  <c r="AE28" i="19"/>
  <c r="AD28" i="19"/>
  <c r="AC28" i="19"/>
  <c r="AB28" i="19"/>
  <c r="AA28" i="19"/>
  <c r="Z28" i="19"/>
  <c r="Y28" i="19"/>
  <c r="X28" i="19"/>
  <c r="W28" i="19"/>
  <c r="V28" i="19"/>
  <c r="U28" i="19"/>
  <c r="T28" i="19"/>
  <c r="S28" i="19"/>
  <c r="R28" i="19"/>
  <c r="Q28" i="19"/>
  <c r="P28" i="19"/>
  <c r="O28" i="19"/>
  <c r="N28" i="19"/>
  <c r="M28" i="19"/>
  <c r="L28" i="19"/>
  <c r="K28" i="19"/>
  <c r="J28" i="19"/>
  <c r="I28" i="19"/>
  <c r="H28" i="19"/>
  <c r="G28" i="19"/>
  <c r="F28" i="19"/>
  <c r="E28" i="19"/>
  <c r="D28" i="19"/>
  <c r="C28" i="19"/>
  <c r="AH12" i="19"/>
  <c r="AH11" i="19"/>
  <c r="AH10" i="19"/>
  <c r="AH9" i="19"/>
  <c r="AH6" i="19"/>
  <c r="AG28" i="18"/>
  <c r="AF28" i="18"/>
  <c r="AE28" i="18"/>
  <c r="AD28" i="18"/>
  <c r="AC28" i="18"/>
  <c r="AB28" i="18"/>
  <c r="AA28" i="18"/>
  <c r="Z28" i="18"/>
  <c r="Y28" i="18"/>
  <c r="X28" i="18"/>
  <c r="W28" i="18"/>
  <c r="V28" i="18"/>
  <c r="U28" i="18"/>
  <c r="T28" i="18"/>
  <c r="S28" i="18"/>
  <c r="R28" i="18"/>
  <c r="Q28" i="18"/>
  <c r="P28" i="18"/>
  <c r="O28" i="18"/>
  <c r="N28" i="18"/>
  <c r="M28" i="18"/>
  <c r="L28" i="18"/>
  <c r="K28" i="18"/>
  <c r="J28" i="18"/>
  <c r="I28" i="18"/>
  <c r="H28" i="18"/>
  <c r="G28" i="18"/>
  <c r="F28" i="18"/>
  <c r="E28" i="18"/>
  <c r="D28" i="18"/>
  <c r="C28" i="18"/>
  <c r="AH12" i="18"/>
  <c r="AH11" i="18"/>
  <c r="AH10" i="18"/>
  <c r="AH9" i="18"/>
  <c r="AH6" i="18"/>
  <c r="AH6" i="17"/>
  <c r="B28" i="5"/>
  <c r="AH10" i="4"/>
  <c r="AH11" i="4"/>
  <c r="AH28" i="18" l="1"/>
  <c r="AH28" i="19"/>
  <c r="B28" i="23"/>
  <c r="AG28" i="25"/>
  <c r="AF28" i="25"/>
  <c r="AE28" i="25"/>
  <c r="AD28" i="25"/>
  <c r="AC28" i="25"/>
  <c r="AB28" i="25"/>
  <c r="AA28" i="25"/>
  <c r="Z28" i="25"/>
  <c r="Y28" i="25"/>
  <c r="X28" i="25"/>
  <c r="W28" i="25"/>
  <c r="V28" i="25"/>
  <c r="U28" i="25"/>
  <c r="T28" i="25"/>
  <c r="S28" i="25"/>
  <c r="R28" i="25"/>
  <c r="Q28" i="25"/>
  <c r="P28" i="25"/>
  <c r="O28" i="25"/>
  <c r="N28" i="25"/>
  <c r="M28" i="25"/>
  <c r="L28" i="25"/>
  <c r="K28" i="25"/>
  <c r="J28" i="25"/>
  <c r="I28" i="25"/>
  <c r="H28" i="25"/>
  <c r="G28" i="25"/>
  <c r="F28" i="25"/>
  <c r="E28" i="25"/>
  <c r="D28" i="25"/>
  <c r="C28" i="25"/>
  <c r="B28" i="25"/>
  <c r="AH12" i="25"/>
  <c r="AH11" i="25"/>
  <c r="AH10" i="25"/>
  <c r="AH9" i="25"/>
  <c r="AG29" i="24"/>
  <c r="AF29" i="24"/>
  <c r="AE29" i="24"/>
  <c r="AD29" i="24"/>
  <c r="AC29" i="24"/>
  <c r="AB29" i="24"/>
  <c r="AA29" i="24"/>
  <c r="Z29" i="24"/>
  <c r="Y29" i="24"/>
  <c r="X29" i="24"/>
  <c r="W29" i="24"/>
  <c r="V29" i="24"/>
  <c r="U29" i="24"/>
  <c r="T29" i="24"/>
  <c r="S29" i="24"/>
  <c r="R29" i="24"/>
  <c r="Q29" i="24"/>
  <c r="P29" i="24"/>
  <c r="O29" i="24"/>
  <c r="N29" i="24"/>
  <c r="M29" i="24"/>
  <c r="L29" i="24"/>
  <c r="K29" i="24"/>
  <c r="J29" i="24"/>
  <c r="I29" i="24"/>
  <c r="H29" i="24"/>
  <c r="G29" i="24"/>
  <c r="F29" i="24"/>
  <c r="E29" i="24"/>
  <c r="D29" i="24"/>
  <c r="C29" i="24"/>
  <c r="B29" i="24"/>
  <c r="AH12" i="24"/>
  <c r="AH11" i="24"/>
  <c r="AH10" i="24"/>
  <c r="AH9" i="24"/>
  <c r="AG28" i="23"/>
  <c r="AF28" i="23"/>
  <c r="AE28" i="23"/>
  <c r="AD28" i="23"/>
  <c r="AC28" i="23"/>
  <c r="AB28" i="23"/>
  <c r="AA28" i="23"/>
  <c r="Z28" i="23"/>
  <c r="Y28" i="23"/>
  <c r="X28" i="23"/>
  <c r="W28" i="23"/>
  <c r="V28" i="23"/>
  <c r="U28" i="23"/>
  <c r="T28" i="23"/>
  <c r="S28" i="23"/>
  <c r="R28" i="23"/>
  <c r="Q28" i="23"/>
  <c r="P28" i="23"/>
  <c r="O28" i="23"/>
  <c r="N28" i="23"/>
  <c r="M28" i="23"/>
  <c r="L28" i="23"/>
  <c r="K28" i="23"/>
  <c r="J28" i="23"/>
  <c r="I28" i="23"/>
  <c r="H28" i="23"/>
  <c r="G28" i="23"/>
  <c r="F28" i="23"/>
  <c r="E28" i="23"/>
  <c r="D28" i="23"/>
  <c r="C28" i="23"/>
  <c r="AH12" i="23"/>
  <c r="AH11" i="23"/>
  <c r="AH10" i="23"/>
  <c r="AH9" i="23"/>
  <c r="AG28" i="22"/>
  <c r="AF28" i="22"/>
  <c r="AE28" i="22"/>
  <c r="AD28" i="22"/>
  <c r="AC28" i="22"/>
  <c r="AB28" i="22"/>
  <c r="AA28" i="22"/>
  <c r="Z28" i="22"/>
  <c r="Y28" i="22"/>
  <c r="X28" i="22"/>
  <c r="W28" i="22"/>
  <c r="V28" i="22"/>
  <c r="U28" i="22"/>
  <c r="T28" i="22"/>
  <c r="S28" i="22"/>
  <c r="R28" i="22"/>
  <c r="Q28" i="22"/>
  <c r="P28" i="22"/>
  <c r="O28" i="22"/>
  <c r="N28" i="22"/>
  <c r="M28" i="22"/>
  <c r="L28" i="22"/>
  <c r="K28" i="22"/>
  <c r="J28" i="22"/>
  <c r="I28" i="22"/>
  <c r="H28" i="22"/>
  <c r="G28" i="22"/>
  <c r="F28" i="22"/>
  <c r="E28" i="22"/>
  <c r="D28" i="22"/>
  <c r="C28" i="22"/>
  <c r="B28" i="22"/>
  <c r="AH12" i="22"/>
  <c r="AH11" i="22"/>
  <c r="AH10" i="22"/>
  <c r="AH9" i="22"/>
  <c r="AG28" i="21"/>
  <c r="AF28" i="21"/>
  <c r="AE28" i="21"/>
  <c r="AD28" i="21"/>
  <c r="AC28" i="21"/>
  <c r="AB28" i="21"/>
  <c r="AA28" i="21"/>
  <c r="Z28" i="21"/>
  <c r="Y28" i="21"/>
  <c r="X28" i="21"/>
  <c r="W28" i="21"/>
  <c r="V28" i="21"/>
  <c r="U28" i="21"/>
  <c r="T28" i="21"/>
  <c r="S28" i="21"/>
  <c r="R28" i="21"/>
  <c r="Q28" i="21"/>
  <c r="P28" i="21"/>
  <c r="O28" i="21"/>
  <c r="N28" i="21"/>
  <c r="M28" i="21"/>
  <c r="L28" i="21"/>
  <c r="K28" i="21"/>
  <c r="J28" i="21"/>
  <c r="I28" i="21"/>
  <c r="H28" i="21"/>
  <c r="G28" i="21"/>
  <c r="F28" i="21"/>
  <c r="E28" i="21"/>
  <c r="D28" i="21"/>
  <c r="C28" i="21"/>
  <c r="B28" i="21"/>
  <c r="AH12" i="21"/>
  <c r="AH11" i="21"/>
  <c r="AH10" i="21"/>
  <c r="AH9" i="21"/>
  <c r="AG28" i="20"/>
  <c r="AF28" i="20"/>
  <c r="AE28" i="20"/>
  <c r="AD28" i="20"/>
  <c r="AC28" i="20"/>
  <c r="AB28" i="20"/>
  <c r="AA28" i="20"/>
  <c r="Z28" i="20"/>
  <c r="Y28" i="20"/>
  <c r="X28" i="20"/>
  <c r="W28" i="20"/>
  <c r="V28" i="20"/>
  <c r="U28" i="20"/>
  <c r="T28" i="20"/>
  <c r="S28" i="20"/>
  <c r="R28" i="20"/>
  <c r="Q28" i="20"/>
  <c r="P28" i="20"/>
  <c r="O28" i="20"/>
  <c r="N28" i="20"/>
  <c r="M28" i="20"/>
  <c r="L28" i="20"/>
  <c r="K28" i="20"/>
  <c r="J28" i="20"/>
  <c r="I28" i="20"/>
  <c r="H28" i="20"/>
  <c r="G28" i="20"/>
  <c r="F28" i="20"/>
  <c r="E28" i="20"/>
  <c r="D28" i="20"/>
  <c r="C28" i="20"/>
  <c r="B28" i="20"/>
  <c r="AH12" i="20"/>
  <c r="AH11" i="20"/>
  <c r="AH10" i="20"/>
  <c r="AH9" i="20"/>
  <c r="AG28" i="17"/>
  <c r="AF28" i="17"/>
  <c r="AE28" i="17"/>
  <c r="AD28" i="17"/>
  <c r="AC28" i="17"/>
  <c r="AB28" i="17"/>
  <c r="AA28" i="17"/>
  <c r="Z28" i="17"/>
  <c r="Y28" i="17"/>
  <c r="X28" i="17"/>
  <c r="W28" i="17"/>
  <c r="V28" i="17"/>
  <c r="U28" i="17"/>
  <c r="T28" i="17"/>
  <c r="S28" i="17"/>
  <c r="R28" i="17"/>
  <c r="Q28" i="17"/>
  <c r="P28" i="17"/>
  <c r="O28" i="17"/>
  <c r="N28" i="17"/>
  <c r="M28" i="17"/>
  <c r="L28" i="17"/>
  <c r="K28" i="17"/>
  <c r="J28" i="17"/>
  <c r="I28" i="17"/>
  <c r="H28" i="17"/>
  <c r="G28" i="17"/>
  <c r="F28" i="17"/>
  <c r="E28" i="17"/>
  <c r="D28" i="17"/>
  <c r="C28" i="17"/>
  <c r="B28" i="17"/>
  <c r="AH12" i="17"/>
  <c r="AH11" i="17"/>
  <c r="AH10" i="17"/>
  <c r="AH9" i="17"/>
  <c r="AH28" i="23" l="1"/>
  <c r="AH28" i="17"/>
  <c r="AH28" i="21"/>
  <c r="AH28" i="22"/>
  <c r="AH28" i="25"/>
  <c r="AH28" i="20"/>
  <c r="AH29" i="24"/>
  <c r="AG28" i="15" l="1"/>
  <c r="AF28" i="15"/>
  <c r="AH9" i="15"/>
  <c r="AH10" i="15"/>
  <c r="AH11" i="15"/>
  <c r="AH12" i="15"/>
  <c r="AH28" i="15" l="1"/>
  <c r="C28" i="15"/>
  <c r="D28" i="15"/>
  <c r="E28" i="15"/>
  <c r="F28" i="15"/>
  <c r="G28" i="15"/>
  <c r="H28" i="15"/>
  <c r="I28" i="15"/>
  <c r="J28" i="15"/>
  <c r="K28" i="15"/>
  <c r="L28" i="15"/>
  <c r="M28" i="15"/>
  <c r="N28" i="15"/>
  <c r="O28" i="15"/>
  <c r="P28" i="15"/>
  <c r="Q28" i="15"/>
  <c r="R28" i="15"/>
  <c r="S28" i="15"/>
  <c r="T28" i="15"/>
  <c r="U28" i="15"/>
  <c r="V28" i="15"/>
  <c r="W28" i="15"/>
  <c r="X28" i="15"/>
  <c r="Y28" i="15"/>
  <c r="Z28" i="15"/>
  <c r="AA28" i="15"/>
  <c r="AB28" i="15"/>
  <c r="AC28" i="15"/>
  <c r="AD28" i="15"/>
  <c r="AE28" i="15"/>
  <c r="B28" i="15" l="1"/>
  <c r="AH12" i="5" l="1"/>
  <c r="AH11" i="5"/>
  <c r="AH10" i="5"/>
  <c r="AE28" i="5"/>
  <c r="AD28" i="5"/>
  <c r="AC28" i="5"/>
  <c r="AB28" i="5"/>
  <c r="AA28" i="5"/>
  <c r="Z28" i="5"/>
  <c r="Y28" i="5"/>
  <c r="X28" i="5"/>
  <c r="W28" i="5"/>
  <c r="V28" i="5"/>
  <c r="U28" i="5"/>
  <c r="T28" i="5"/>
  <c r="S28" i="5"/>
  <c r="R28" i="5"/>
  <c r="Q28" i="5"/>
  <c r="P28" i="5"/>
  <c r="O28" i="5"/>
  <c r="N28" i="5"/>
  <c r="M28" i="5"/>
  <c r="L28" i="5"/>
  <c r="K28" i="5"/>
  <c r="J28" i="5"/>
  <c r="I28" i="5"/>
  <c r="H28" i="5"/>
  <c r="G28" i="5"/>
  <c r="F28" i="5"/>
  <c r="E28" i="5"/>
  <c r="D28" i="5"/>
  <c r="C28" i="5"/>
  <c r="AH9" i="5"/>
  <c r="AH28" i="5" l="1"/>
  <c r="AH9" i="4"/>
  <c r="AH28"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T14" authorId="0" shapeId="0" xr:uid="{B435AF12-6836-4713-9A63-71251283D2AB}">
      <text>
        <r>
          <rPr>
            <b/>
            <sz val="9"/>
            <color indexed="81"/>
            <rFont val="Tahoma"/>
            <family val="2"/>
          </rPr>
          <t>Autor:</t>
        </r>
        <r>
          <rPr>
            <sz val="9"/>
            <color indexed="81"/>
            <rFont val="Tahoma"/>
            <family val="2"/>
          </rPr>
          <t xml:space="preserve">
Permiso cita medica y cepelio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11" authorId="0" shapeId="0" xr:uid="{945A865F-0707-4FB7-9D07-7EE40965C3FE}">
      <text>
        <r>
          <rPr>
            <b/>
            <sz val="9"/>
            <color indexed="81"/>
            <rFont val="Tahoma"/>
            <family val="2"/>
          </rPr>
          <t>Autor:</t>
        </r>
        <r>
          <rPr>
            <sz val="9"/>
            <color indexed="81"/>
            <rFont val="Tahoma"/>
            <family val="2"/>
          </rPr>
          <t xml:space="preserve">
Dia compensatorio</t>
        </r>
      </text>
    </comment>
    <comment ref="J17" authorId="0" shapeId="0" xr:uid="{A8902C47-3CEC-43E3-BA51-A7C60817B48D}">
      <text>
        <r>
          <rPr>
            <b/>
            <sz val="9"/>
            <color indexed="81"/>
            <rFont val="Tahoma"/>
            <family val="2"/>
          </rPr>
          <t>Autor:</t>
        </r>
        <r>
          <rPr>
            <sz val="9"/>
            <color indexed="81"/>
            <rFont val="Tahoma"/>
            <family val="2"/>
          </rPr>
          <t xml:space="preserve">
Dia compensatorio</t>
        </r>
      </text>
    </comment>
    <comment ref="K17" authorId="0" shapeId="0" xr:uid="{47CB5A66-0FCC-4ECE-A72A-1AB99CB8A6F5}">
      <text>
        <r>
          <rPr>
            <b/>
            <sz val="9"/>
            <color indexed="81"/>
            <rFont val="Tahoma"/>
            <family val="2"/>
          </rPr>
          <t>Autor:</t>
        </r>
        <r>
          <rPr>
            <sz val="9"/>
            <color indexed="81"/>
            <rFont val="Tahoma"/>
            <family val="2"/>
          </rPr>
          <t xml:space="preserve">
Dia compensatorio</t>
        </r>
      </text>
    </comment>
    <comment ref="L17" authorId="0" shapeId="0" xr:uid="{02781A64-4DB5-45B1-A7B6-54C7BF6A6EAE}">
      <text>
        <r>
          <rPr>
            <b/>
            <sz val="9"/>
            <color indexed="81"/>
            <rFont val="Tahoma"/>
            <family val="2"/>
          </rPr>
          <t>Autor:</t>
        </r>
        <r>
          <rPr>
            <sz val="9"/>
            <color indexed="81"/>
            <rFont val="Tahoma"/>
            <family val="2"/>
          </rPr>
          <t xml:space="preserve">
Dia compensatorio</t>
        </r>
      </text>
    </comment>
    <comment ref="D21" authorId="0" shapeId="0" xr:uid="{E3F1A731-F19F-4C7A-B50D-E86622FDA442}">
      <text>
        <r>
          <rPr>
            <b/>
            <sz val="9"/>
            <color indexed="81"/>
            <rFont val="Tahoma"/>
            <family val="2"/>
          </rPr>
          <t>Autor:</t>
        </r>
        <r>
          <rPr>
            <sz val="9"/>
            <color indexed="81"/>
            <rFont val="Tahoma"/>
            <family val="2"/>
          </rPr>
          <t xml:space="preserve">
Dia compensatorio</t>
        </r>
      </text>
    </comment>
    <comment ref="G22" authorId="0" shapeId="0" xr:uid="{98C7AAC7-7BAC-4EE8-A6B7-24A4431A5997}">
      <text>
        <r>
          <rPr>
            <b/>
            <sz val="9"/>
            <color indexed="81"/>
            <rFont val="Tahoma"/>
            <family val="2"/>
          </rPr>
          <t>Autor:</t>
        </r>
        <r>
          <rPr>
            <sz val="9"/>
            <color indexed="81"/>
            <rFont val="Tahoma"/>
            <family val="2"/>
          </rPr>
          <t xml:space="preserve">
Dia compensatorio</t>
        </r>
      </text>
    </comment>
    <comment ref="E25" authorId="0" shapeId="0" xr:uid="{464DDE90-1930-49F2-BD9B-6EBA897B3AAC}">
      <text>
        <r>
          <rPr>
            <b/>
            <sz val="9"/>
            <color indexed="81"/>
            <rFont val="Tahoma"/>
            <family val="2"/>
          </rPr>
          <t>Autor:</t>
        </r>
        <r>
          <rPr>
            <sz val="9"/>
            <color indexed="81"/>
            <rFont val="Tahoma"/>
            <family val="2"/>
          </rPr>
          <t xml:space="preserve">
Dia compensatorio</t>
        </r>
      </text>
    </comment>
    <comment ref="F25" authorId="0" shapeId="0" xr:uid="{A1F9771B-9995-4857-AB86-D41D3D74635F}">
      <text>
        <r>
          <rPr>
            <b/>
            <sz val="9"/>
            <color indexed="81"/>
            <rFont val="Tahoma"/>
            <family val="2"/>
          </rPr>
          <t>Autor:</t>
        </r>
        <r>
          <rPr>
            <sz val="9"/>
            <color indexed="81"/>
            <rFont val="Tahoma"/>
            <family val="2"/>
          </rPr>
          <t xml:space="preserve">
Dia compensatorio</t>
        </r>
      </text>
    </comment>
    <comment ref="G25" authorId="0" shapeId="0" xr:uid="{0A78F5C4-8195-46A9-9D77-16DA18F82224}">
      <text>
        <r>
          <rPr>
            <b/>
            <sz val="9"/>
            <color indexed="81"/>
            <rFont val="Tahoma"/>
            <family val="2"/>
          </rPr>
          <t>Autor:</t>
        </r>
        <r>
          <rPr>
            <sz val="9"/>
            <color indexed="81"/>
            <rFont val="Tahoma"/>
            <family val="2"/>
          </rPr>
          <t xml:space="preserve">
Dia compensatorio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15" authorId="0" shapeId="0" xr:uid="{D4DDD830-CB6B-4914-BA1A-D1DE74520B4D}">
      <text>
        <r>
          <rPr>
            <b/>
            <sz val="9"/>
            <color indexed="81"/>
            <rFont val="Tahoma"/>
            <family val="2"/>
          </rPr>
          <t>Autor:</t>
        </r>
        <r>
          <rPr>
            <sz val="9"/>
            <color indexed="81"/>
            <rFont val="Tahoma"/>
            <family val="2"/>
          </rPr>
          <t xml:space="preserve">
Permiso porque se encontraba fuera de la ciudad por motivos familiares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C11" authorId="0" shapeId="0" xr:uid="{4F85BC61-0CD1-4111-9E29-CEB19FD602D5}">
      <text>
        <r>
          <rPr>
            <b/>
            <sz val="9"/>
            <color indexed="81"/>
            <rFont val="Tahoma"/>
            <family val="2"/>
          </rPr>
          <t>Autor:</t>
        </r>
        <r>
          <rPr>
            <sz val="9"/>
            <color indexed="81"/>
            <rFont val="Tahoma"/>
            <family val="2"/>
          </rPr>
          <t xml:space="preserve">
Día de la familia 2022
Primer Semestre
</t>
        </r>
      </text>
    </comment>
    <comment ref="AD11" authorId="0" shapeId="0" xr:uid="{6A745682-937E-46B6-BDA8-EB7E300F55C4}">
      <text>
        <r>
          <rPr>
            <b/>
            <sz val="9"/>
            <color indexed="81"/>
            <rFont val="Tahoma"/>
            <family val="2"/>
          </rPr>
          <t>Autor:</t>
        </r>
        <r>
          <rPr>
            <sz val="9"/>
            <color indexed="81"/>
            <rFont val="Tahoma"/>
            <family val="2"/>
          </rPr>
          <t xml:space="preserve">
Día de la familia 2022
Segundo Semestre
</t>
        </r>
      </text>
    </comment>
    <comment ref="I12" authorId="0" shapeId="0" xr:uid="{7C8F09DA-382D-4ACA-96D4-8FCD699E8B0E}">
      <text>
        <r>
          <rPr>
            <b/>
            <sz val="9"/>
            <color indexed="81"/>
            <rFont val="Tahoma"/>
            <family val="2"/>
          </rPr>
          <t>Autor:</t>
        </r>
        <r>
          <rPr>
            <sz val="9"/>
            <color indexed="81"/>
            <rFont val="Tahoma"/>
            <family val="2"/>
          </rPr>
          <t xml:space="preserve">
Cirugia del Sr padre, solicita el permiso por 3 días
</t>
        </r>
      </text>
    </comment>
    <comment ref="J12" authorId="0" shapeId="0" xr:uid="{9E95977C-6C71-44D9-8E28-18F6E5A28992}">
      <text>
        <r>
          <rPr>
            <b/>
            <sz val="9"/>
            <color indexed="81"/>
            <rFont val="Tahoma"/>
            <family val="2"/>
          </rPr>
          <t>Autor:</t>
        </r>
        <r>
          <rPr>
            <sz val="9"/>
            <color indexed="81"/>
            <rFont val="Tahoma"/>
            <family val="2"/>
          </rPr>
          <t xml:space="preserve">
Cirugia del Sr padre, solicita el permiso por 3 días
</t>
        </r>
      </text>
    </comment>
    <comment ref="K12" authorId="0" shapeId="0" xr:uid="{1A3BE804-1A8A-4AAC-A074-662A09C218D9}">
      <text>
        <r>
          <rPr>
            <b/>
            <sz val="9"/>
            <color indexed="81"/>
            <rFont val="Tahoma"/>
            <family val="2"/>
          </rPr>
          <t>Autor:</t>
        </r>
        <r>
          <rPr>
            <sz val="9"/>
            <color indexed="81"/>
            <rFont val="Tahoma"/>
            <family val="2"/>
          </rPr>
          <t xml:space="preserve">
Cirugia del Sr padre, solicita el permiso por 3 días
</t>
        </r>
      </text>
    </comment>
    <comment ref="Q12" authorId="0" shapeId="0" xr:uid="{3A1760A9-8B04-479B-86BD-C4204D96ACE5}">
      <text>
        <r>
          <rPr>
            <b/>
            <sz val="9"/>
            <color indexed="81"/>
            <rFont val="Tahoma"/>
            <family val="2"/>
          </rPr>
          <t>Autor:</t>
        </r>
        <r>
          <rPr>
            <sz val="9"/>
            <color indexed="81"/>
            <rFont val="Tahoma"/>
            <family val="2"/>
          </rPr>
          <t xml:space="preserve">
Día compensatorio por motivo semana santa (resolución N° 22 de febrero de 2023)
</t>
        </r>
      </text>
    </comment>
    <comment ref="R12" authorId="0" shapeId="0" xr:uid="{DC19361E-2519-4321-95AF-4E5F0237D0CF}">
      <text>
        <r>
          <rPr>
            <b/>
            <sz val="9"/>
            <color indexed="81"/>
            <rFont val="Tahoma"/>
            <family val="2"/>
          </rPr>
          <t>Autor:</t>
        </r>
        <r>
          <rPr>
            <sz val="9"/>
            <color indexed="81"/>
            <rFont val="Tahoma"/>
            <family val="2"/>
          </rPr>
          <t xml:space="preserve">
Día compensatorio por motivo semana santa (resolución N° 22 de febrero de 2023)
</t>
        </r>
      </text>
    </comment>
    <comment ref="V12" authorId="0" shapeId="0" xr:uid="{B89438EF-AA1B-4E79-8D75-BEF55E4976D0}">
      <text>
        <r>
          <rPr>
            <b/>
            <sz val="9"/>
            <color indexed="81"/>
            <rFont val="Tahoma"/>
            <family val="2"/>
          </rPr>
          <t>Autor:</t>
        </r>
        <r>
          <rPr>
            <sz val="9"/>
            <color indexed="81"/>
            <rFont val="Tahoma"/>
            <family val="2"/>
          </rPr>
          <t xml:space="preserve">
Día compensatorio por motivo semana santa (resolución N° 22 de febrero de 2023)
</t>
        </r>
      </text>
    </comment>
    <comment ref="W12" authorId="0" shapeId="0" xr:uid="{B2575471-FAC1-4118-9E05-810007B9C6CD}">
      <text>
        <r>
          <rPr>
            <b/>
            <sz val="9"/>
            <color indexed="81"/>
            <rFont val="Tahoma"/>
            <family val="2"/>
          </rPr>
          <t>Autor:</t>
        </r>
        <r>
          <rPr>
            <sz val="9"/>
            <color indexed="81"/>
            <rFont val="Tahoma"/>
            <family val="2"/>
          </rPr>
          <t xml:space="preserve">
Días de vacaciones según la resolución N° 22-2023
</t>
        </r>
      </text>
    </comment>
    <comment ref="X12" authorId="0" shapeId="0" xr:uid="{3A472816-A7F0-4EF0-9C33-636CBED909C6}">
      <text>
        <r>
          <rPr>
            <b/>
            <sz val="9"/>
            <color indexed="81"/>
            <rFont val="Tahoma"/>
            <family val="2"/>
          </rPr>
          <t>Autor:</t>
        </r>
        <r>
          <rPr>
            <sz val="9"/>
            <color indexed="81"/>
            <rFont val="Tahoma"/>
            <family val="2"/>
          </rPr>
          <t xml:space="preserve">
Días de vacaciones según la resolución N° 22-2023
</t>
        </r>
      </text>
    </comment>
    <comment ref="Y12" authorId="0" shapeId="0" xr:uid="{7AEE6C85-B5B4-4DF3-B1A2-1F7DAC13183D}">
      <text>
        <r>
          <rPr>
            <b/>
            <sz val="9"/>
            <color indexed="81"/>
            <rFont val="Tahoma"/>
            <family val="2"/>
          </rPr>
          <t>Autor:</t>
        </r>
        <r>
          <rPr>
            <sz val="9"/>
            <color indexed="81"/>
            <rFont val="Tahoma"/>
            <family val="2"/>
          </rPr>
          <t xml:space="preserve">
Días de vacaciones según la resolución N° 22-2023
</t>
        </r>
      </text>
    </comment>
    <comment ref="V13" authorId="0" shapeId="0" xr:uid="{07B27744-8953-4C2C-8146-1F3A1F431646}">
      <text>
        <r>
          <rPr>
            <b/>
            <sz val="9"/>
            <color indexed="81"/>
            <rFont val="Tahoma"/>
            <family val="2"/>
          </rPr>
          <t xml:space="preserve">Asus: 
</t>
        </r>
        <r>
          <rPr>
            <sz val="9"/>
            <color indexed="81"/>
            <rFont val="Tahoma"/>
            <family val="2"/>
          </rPr>
          <t xml:space="preserve">Día compensatorio de diciembre de 2022 ( 1 día/3 días )
</t>
        </r>
      </text>
    </comment>
    <comment ref="W13" authorId="0" shapeId="0" xr:uid="{E0C42CD8-DAB4-430E-8089-8F531019750D}">
      <text>
        <r>
          <rPr>
            <b/>
            <sz val="9"/>
            <color indexed="81"/>
            <rFont val="Tahoma"/>
            <family val="2"/>
          </rPr>
          <t xml:space="preserve">Asus: 
</t>
        </r>
        <r>
          <rPr>
            <sz val="9"/>
            <color indexed="81"/>
            <rFont val="Tahoma"/>
            <family val="2"/>
          </rPr>
          <t>Día compensatorio de diciembre de 2022 (2 días/3 días)</t>
        </r>
      </text>
    </comment>
    <comment ref="X13" authorId="0" shapeId="0" xr:uid="{57B012EA-8FDA-4871-9D81-374D9BC12CA8}">
      <text>
        <r>
          <rPr>
            <b/>
            <sz val="9"/>
            <color indexed="81"/>
            <rFont val="Tahoma"/>
            <family val="2"/>
          </rPr>
          <t xml:space="preserve">Asus: 
</t>
        </r>
        <r>
          <rPr>
            <sz val="9"/>
            <color indexed="81"/>
            <rFont val="Tahoma"/>
            <family val="2"/>
          </rPr>
          <t xml:space="preserve">Día de la familia 2022-2
</t>
        </r>
      </text>
    </comment>
    <comment ref="AB15" authorId="0" shapeId="0" xr:uid="{184C5D01-4B6C-4DFF-97EC-A748A010B006}">
      <text>
        <r>
          <rPr>
            <b/>
            <sz val="9"/>
            <color indexed="81"/>
            <rFont val="Tahoma"/>
            <family val="2"/>
          </rPr>
          <t>Autor:</t>
        </r>
        <r>
          <rPr>
            <sz val="9"/>
            <color indexed="81"/>
            <rFont val="Tahoma"/>
            <family val="2"/>
          </rPr>
          <t xml:space="preserve">
Permiso referente a temas de Salud
</t>
        </r>
      </text>
    </comment>
    <comment ref="AF19" authorId="0" shapeId="0" xr:uid="{B9E999A9-F1E6-469B-881B-EC6B83207E28}">
      <text>
        <r>
          <rPr>
            <b/>
            <sz val="9"/>
            <color indexed="81"/>
            <rFont val="Tahoma"/>
            <family val="2"/>
          </rPr>
          <t>Autor:</t>
        </r>
        <r>
          <rPr>
            <sz val="9"/>
            <color indexed="81"/>
            <rFont val="Tahoma"/>
            <family val="2"/>
          </rPr>
          <t xml:space="preserve">
Permiso para ausentarse desde las 3:40 p.m por cita medica
</t>
        </r>
      </text>
    </comment>
    <comment ref="V20" authorId="0" shapeId="0" xr:uid="{5E4D853D-8BE5-42E2-8190-0B7CE242340E}">
      <text>
        <r>
          <rPr>
            <b/>
            <sz val="9"/>
            <color indexed="81"/>
            <rFont val="Tahoma"/>
            <family val="2"/>
          </rPr>
          <t>Autor:</t>
        </r>
        <r>
          <rPr>
            <sz val="9"/>
            <color indexed="81"/>
            <rFont val="Tahoma"/>
            <family val="2"/>
          </rPr>
          <t xml:space="preserve">
Permiso cita odontologica jornada de la tarde
</t>
        </r>
      </text>
    </comment>
    <comment ref="AF23" authorId="0" shapeId="0" xr:uid="{A7835702-D3A1-4148-9A84-9D3A72CC8822}">
      <text>
        <r>
          <rPr>
            <b/>
            <sz val="9"/>
            <color indexed="81"/>
            <rFont val="Tahoma"/>
            <family val="2"/>
          </rPr>
          <t>Autor:</t>
        </r>
        <r>
          <rPr>
            <sz val="9"/>
            <color indexed="81"/>
            <rFont val="Tahoma"/>
            <family val="2"/>
          </rPr>
          <t xml:space="preserve">
Día compensatorio asignado, 2 Días mas pendientes
</t>
        </r>
      </text>
    </comment>
    <comment ref="X25" authorId="0" shapeId="0" xr:uid="{088FEDEF-B613-46D8-A549-29E7E5A25E02}">
      <text>
        <r>
          <rPr>
            <b/>
            <sz val="9"/>
            <color indexed="81"/>
            <rFont val="Tahoma"/>
            <family val="2"/>
          </rPr>
          <t>Autor:</t>
        </r>
        <r>
          <rPr>
            <sz val="9"/>
            <color indexed="81"/>
            <rFont val="Tahoma"/>
            <family val="2"/>
          </rPr>
          <t xml:space="preserve">
3 Días compensatorios por trabajo en semana Santa
</t>
        </r>
      </text>
    </comment>
    <comment ref="Y25" authorId="0" shapeId="0" xr:uid="{1670B2C3-3E53-4F5B-B08D-C44908CF62F9}">
      <text>
        <r>
          <rPr>
            <b/>
            <sz val="9"/>
            <color indexed="81"/>
            <rFont val="Tahoma"/>
            <family val="2"/>
          </rPr>
          <t>Autor:</t>
        </r>
        <r>
          <rPr>
            <sz val="9"/>
            <color indexed="81"/>
            <rFont val="Tahoma"/>
            <family val="2"/>
          </rPr>
          <t xml:space="preserve">
3 Días compensatorios por trabajo en semana Santa
</t>
        </r>
      </text>
    </comment>
    <comment ref="AB25" authorId="0" shapeId="0" xr:uid="{C0985938-D550-4637-B167-CC5D01C6F92D}">
      <text>
        <r>
          <rPr>
            <b/>
            <sz val="9"/>
            <color indexed="81"/>
            <rFont val="Tahoma"/>
            <family val="2"/>
          </rPr>
          <t>Autor:</t>
        </r>
        <r>
          <rPr>
            <sz val="9"/>
            <color indexed="81"/>
            <rFont val="Tahoma"/>
            <family val="2"/>
          </rPr>
          <t xml:space="preserve">
3 Días compensatorios por trabajo en semana Santa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U10" authorId="0" shapeId="0" xr:uid="{CB9A5B8A-285E-48AD-8702-9C07EFE75BBD}">
      <text>
        <r>
          <rPr>
            <b/>
            <sz val="9"/>
            <color indexed="81"/>
            <rFont val="Tahoma"/>
            <family val="2"/>
          </rPr>
          <t>Autor:</t>
        </r>
        <r>
          <rPr>
            <sz val="9"/>
            <color indexed="81"/>
            <rFont val="Tahoma"/>
            <family val="2"/>
          </rPr>
          <t xml:space="preserve">
Día compensatorio por cumpleaños</t>
        </r>
      </text>
    </comment>
    <comment ref="AC14" authorId="0" shapeId="0" xr:uid="{67DE045E-54F8-4956-8365-28978226D38A}">
      <text>
        <r>
          <rPr>
            <b/>
            <sz val="9"/>
            <color indexed="81"/>
            <rFont val="Tahoma"/>
            <family val="2"/>
          </rPr>
          <t>Autor:</t>
        </r>
        <r>
          <rPr>
            <sz val="9"/>
            <color indexed="81"/>
            <rFont val="Tahoma"/>
            <family val="2"/>
          </rPr>
          <t xml:space="preserve">
Permiso por grado de su Hija
</t>
        </r>
      </text>
    </comment>
    <comment ref="AA16" authorId="0" shapeId="0" xr:uid="{CF22D167-2BA5-419E-A359-1A2914BEF8F0}">
      <text>
        <r>
          <rPr>
            <b/>
            <sz val="9"/>
            <color indexed="81"/>
            <rFont val="Tahoma"/>
            <family val="2"/>
          </rPr>
          <t>Autor:</t>
        </r>
        <r>
          <rPr>
            <sz val="9"/>
            <color indexed="81"/>
            <rFont val="Tahoma"/>
            <family val="2"/>
          </rPr>
          <t xml:space="preserve">
Incapacidad Medica 
</t>
        </r>
      </text>
    </comment>
    <comment ref="P19" authorId="0" shapeId="0" xr:uid="{086480B8-3979-4B9C-A93E-CE3DBEA409BC}">
      <text>
        <r>
          <rPr>
            <b/>
            <sz val="9"/>
            <color indexed="81"/>
            <rFont val="Tahoma"/>
            <family val="2"/>
          </rPr>
          <t>Autor:</t>
        </r>
        <r>
          <rPr>
            <sz val="9"/>
            <color indexed="81"/>
            <rFont val="Tahoma"/>
            <family val="2"/>
          </rPr>
          <t xml:space="preserve">
Permiso sindical
</t>
        </r>
      </text>
    </comment>
    <comment ref="AD19" authorId="0" shapeId="0" xr:uid="{3C859B26-FCB7-4154-9E18-846952DD3385}">
      <text>
        <r>
          <rPr>
            <b/>
            <sz val="9"/>
            <color indexed="81"/>
            <rFont val="Tahoma"/>
            <family val="2"/>
          </rPr>
          <t>Autor:</t>
        </r>
        <r>
          <rPr>
            <sz val="9"/>
            <color indexed="81"/>
            <rFont val="Tahoma"/>
            <family val="2"/>
          </rPr>
          <t xml:space="preserve">
Permiso sindical
</t>
        </r>
      </text>
    </comment>
    <comment ref="AG19" authorId="0" shapeId="0" xr:uid="{92C9491D-B176-428C-8B9D-3E4A1B3596C9}">
      <text>
        <r>
          <rPr>
            <b/>
            <sz val="9"/>
            <color indexed="81"/>
            <rFont val="Tahoma"/>
            <family val="2"/>
          </rPr>
          <t>Autor:</t>
        </r>
        <r>
          <rPr>
            <sz val="9"/>
            <color indexed="81"/>
            <rFont val="Tahoma"/>
            <family val="2"/>
          </rPr>
          <t xml:space="preserve">
Permiso jornada mañana por cita medica de su Hijo
</t>
        </r>
      </text>
    </comment>
    <comment ref="AG21" authorId="0" shapeId="0" xr:uid="{1ED8F36A-1B1D-49D6-B033-6D782BA38009}">
      <text>
        <r>
          <rPr>
            <b/>
            <sz val="9"/>
            <color indexed="81"/>
            <rFont val="Tahoma"/>
            <family val="2"/>
          </rPr>
          <t>Autor:</t>
        </r>
        <r>
          <rPr>
            <sz val="9"/>
            <color indexed="81"/>
            <rFont val="Tahoma"/>
            <family val="2"/>
          </rPr>
          <t xml:space="preserve">
Permiso para ausentarse la jornada de la mañana por temas personales
</t>
        </r>
      </text>
    </comment>
    <comment ref="S25" authorId="0" shapeId="0" xr:uid="{79356C27-F828-4513-824C-5FADFB4E3085}">
      <text>
        <r>
          <rPr>
            <b/>
            <sz val="9"/>
            <color indexed="81"/>
            <rFont val="Tahoma"/>
            <family val="2"/>
          </rPr>
          <t>Autor:</t>
        </r>
        <r>
          <rPr>
            <sz val="9"/>
            <color indexed="81"/>
            <rFont val="Tahoma"/>
            <family val="2"/>
          </rPr>
          <t xml:space="preserve">
Permiso por quebrantos de salud para trabajar desde casa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Z16" authorId="0" shapeId="0" xr:uid="{BF4086E9-C8DD-4919-9168-64992814F12B}">
      <text>
        <r>
          <rPr>
            <b/>
            <sz val="9"/>
            <color indexed="81"/>
            <rFont val="Tahoma"/>
            <family val="2"/>
          </rPr>
          <t>Autor:</t>
        </r>
        <r>
          <rPr>
            <sz val="9"/>
            <color indexed="81"/>
            <rFont val="Tahoma"/>
            <family val="2"/>
          </rPr>
          <t xml:space="preserve">
Permiso para cita médica el día 24 de agosto de 2023 de 10 am a 1:30 pm</t>
        </r>
      </text>
    </comment>
    <comment ref="M19" authorId="0" shapeId="0" xr:uid="{1112B7CF-6BB2-4D36-9E20-EBF167FB23F2}">
      <text>
        <r>
          <rPr>
            <b/>
            <sz val="9"/>
            <color indexed="81"/>
            <rFont val="Tahoma"/>
            <family val="2"/>
          </rPr>
          <t>Autor:</t>
        </r>
        <r>
          <rPr>
            <sz val="9"/>
            <color indexed="81"/>
            <rFont val="Tahoma"/>
            <family val="2"/>
          </rPr>
          <t xml:space="preserve">
Permiso sindical
</t>
        </r>
      </text>
    </comment>
    <comment ref="N19" authorId="0" shapeId="0" xr:uid="{DDAA0C41-F661-4E06-80D8-487E9BAF31B1}">
      <text>
        <r>
          <rPr>
            <b/>
            <sz val="9"/>
            <color indexed="81"/>
            <rFont val="Tahoma"/>
            <family val="2"/>
          </rPr>
          <t>Autor:</t>
        </r>
        <r>
          <rPr>
            <sz val="9"/>
            <color indexed="81"/>
            <rFont val="Tahoma"/>
            <family val="2"/>
          </rPr>
          <t xml:space="preserve">
Permiso para asistir a examanes medicos, día programado para dar inicio al curso de excel, refiere que asiste desde las 9:30 am</t>
        </r>
      </text>
    </comment>
    <comment ref="AA19" authorId="0" shapeId="0" xr:uid="{B0EAEA5A-936A-4A70-BD61-24913206DF72}">
      <text>
        <r>
          <rPr>
            <b/>
            <sz val="9"/>
            <color indexed="81"/>
            <rFont val="Tahoma"/>
            <family val="2"/>
          </rPr>
          <t>Autor:</t>
        </r>
        <r>
          <rPr>
            <sz val="9"/>
            <color indexed="81"/>
            <rFont val="Tahoma"/>
            <family val="2"/>
          </rPr>
          <t xml:space="preserve">
Permiso sindical
</t>
        </r>
      </text>
    </comment>
    <comment ref="P21" authorId="0" shapeId="0" xr:uid="{032AFAEA-C188-46A2-B0F9-700C3A5C8C30}">
      <text>
        <r>
          <rPr>
            <b/>
            <sz val="9"/>
            <color indexed="81"/>
            <rFont val="Tahoma"/>
            <family val="2"/>
          </rPr>
          <t>Autor:</t>
        </r>
        <r>
          <rPr>
            <sz val="9"/>
            <color indexed="81"/>
            <rFont val="Tahoma"/>
            <family val="2"/>
          </rPr>
          <t xml:space="preserve">
Solicita permiso por quebrantos de salud para la jornada de la tarde del día 14 de agosto de 2023
</t>
        </r>
      </text>
    </comment>
    <comment ref="M23" authorId="0" shapeId="0" xr:uid="{1448DEA4-0224-47B3-AC50-06A08F62A3E2}">
      <text>
        <r>
          <rPr>
            <b/>
            <sz val="9"/>
            <color indexed="81"/>
            <rFont val="Tahoma"/>
            <family val="2"/>
          </rPr>
          <t>Autor:</t>
        </r>
        <r>
          <rPr>
            <sz val="9"/>
            <color indexed="81"/>
            <rFont val="Tahoma"/>
            <family val="2"/>
          </rPr>
          <t xml:space="preserve">
Día compensatorio fijado para comienzos de julio, despues modificado por la llegada del presidente
</t>
        </r>
      </text>
    </comment>
    <comment ref="P23" authorId="0" shapeId="0" xr:uid="{C27B7CB6-1081-4C3D-A7AC-FA7CC21464BC}">
      <text>
        <r>
          <rPr>
            <b/>
            <sz val="9"/>
            <color indexed="81"/>
            <rFont val="Tahoma"/>
            <family val="2"/>
          </rPr>
          <t>Autor:</t>
        </r>
        <r>
          <rPr>
            <sz val="9"/>
            <color indexed="81"/>
            <rFont val="Tahoma"/>
            <family val="2"/>
          </rPr>
          <t xml:space="preserve">
Incapacidad medica por enfermedad general, para los días 14,15,16 de agosto de 2023
</t>
        </r>
      </text>
    </comment>
    <comment ref="Q23" authorId="0" shapeId="0" xr:uid="{3B906D10-9788-4E31-97D8-7DCAC833A8C5}">
      <text>
        <r>
          <rPr>
            <b/>
            <sz val="9"/>
            <color indexed="81"/>
            <rFont val="Tahoma"/>
            <family val="2"/>
          </rPr>
          <t>Autor:</t>
        </r>
        <r>
          <rPr>
            <sz val="9"/>
            <color indexed="81"/>
            <rFont val="Tahoma"/>
            <family val="2"/>
          </rPr>
          <t xml:space="preserve">
Incapacidad medica por enfermedad general, para los días 14,15,16 de agosto de 2023
</t>
        </r>
      </text>
    </comment>
    <comment ref="R23" authorId="0" shapeId="0" xr:uid="{A1C80B6C-4FB8-406E-9979-E2D1C6362B2B}">
      <text>
        <r>
          <rPr>
            <b/>
            <sz val="9"/>
            <color indexed="81"/>
            <rFont val="Tahoma"/>
            <family val="2"/>
          </rPr>
          <t>Autor:</t>
        </r>
        <r>
          <rPr>
            <sz val="9"/>
            <color indexed="81"/>
            <rFont val="Tahoma"/>
            <family val="2"/>
          </rPr>
          <t xml:space="preserve">
Incapacidad medica por enfermedad general, para los días 14,15,16 de agosto de 2023
</t>
        </r>
      </text>
    </comment>
    <comment ref="P25" authorId="0" shapeId="0" xr:uid="{D4A3B2C3-EF2C-43E1-A09B-17AD2F2306C3}">
      <text>
        <r>
          <rPr>
            <b/>
            <sz val="9"/>
            <color indexed="81"/>
            <rFont val="Tahoma"/>
            <family val="2"/>
          </rPr>
          <t>Autor:</t>
        </r>
        <r>
          <rPr>
            <sz val="9"/>
            <color indexed="81"/>
            <rFont val="Tahoma"/>
            <family val="2"/>
          </rPr>
          <t xml:space="preserve">
Medía jornada por día de la familia primer semestre
</t>
        </r>
      </text>
    </comment>
    <comment ref="Q25" authorId="0" shapeId="0" xr:uid="{25BD5828-0D83-4318-8756-870307AABFD2}">
      <text>
        <r>
          <rPr>
            <b/>
            <sz val="9"/>
            <color indexed="81"/>
            <rFont val="Tahoma"/>
            <family val="2"/>
          </rPr>
          <t>Autor:</t>
        </r>
        <r>
          <rPr>
            <sz val="9"/>
            <color indexed="81"/>
            <rFont val="Tahoma"/>
            <family val="2"/>
          </rPr>
          <t xml:space="preserve">
Medía jornada por día de la familia primer semestre
</t>
        </r>
      </text>
    </comment>
    <comment ref="R25" authorId="0" shapeId="0" xr:uid="{0CCCE1D7-9AF9-4543-A3E0-2D06F990E492}">
      <text>
        <r>
          <rPr>
            <b/>
            <sz val="9"/>
            <color indexed="81"/>
            <rFont val="Tahoma"/>
            <family val="2"/>
          </rPr>
          <t>Autor:</t>
        </r>
        <r>
          <rPr>
            <sz val="9"/>
            <color indexed="81"/>
            <rFont val="Tahoma"/>
            <family val="2"/>
          </rPr>
          <t xml:space="preserve">
Medía jornada otorgada por la asistencia al evento del presidente realizado el día 21 de julio
</t>
        </r>
      </text>
    </comment>
    <comment ref="T26" authorId="0" shapeId="0" xr:uid="{49A72F78-2AD0-433B-9225-978676D27CAB}">
      <text>
        <r>
          <rPr>
            <b/>
            <sz val="9"/>
            <color indexed="81"/>
            <rFont val="Tahoma"/>
            <family val="2"/>
          </rPr>
          <t>Autor:</t>
        </r>
        <r>
          <rPr>
            <sz val="9"/>
            <color indexed="81"/>
            <rFont val="Tahoma"/>
            <family val="2"/>
          </rPr>
          <t xml:space="preserve">
Día compensatorio otorgado descontados de los faltantes por asingar del ultimo día de diciembre (completados los 3 días)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C14" authorId="0" shapeId="0" xr:uid="{C541B3CB-3F58-48FC-8298-825C9B5A6960}">
      <text>
        <r>
          <rPr>
            <b/>
            <sz val="9"/>
            <color indexed="81"/>
            <rFont val="Tahoma"/>
            <family val="2"/>
          </rPr>
          <t>Autor:</t>
        </r>
        <r>
          <rPr>
            <sz val="9"/>
            <color indexed="81"/>
            <rFont val="Tahoma"/>
            <family val="2"/>
          </rPr>
          <t xml:space="preserve">
Día compensatorio por Cumpleaños 
</t>
        </r>
      </text>
    </comment>
    <comment ref="J19" authorId="0" shapeId="0" xr:uid="{B6BE10F1-8819-45D7-92FF-33A95395C981}">
      <text>
        <r>
          <rPr>
            <b/>
            <sz val="9"/>
            <color indexed="81"/>
            <rFont val="Tahoma"/>
            <family val="2"/>
          </rPr>
          <t>Autor:</t>
        </r>
        <r>
          <rPr>
            <sz val="9"/>
            <color indexed="81"/>
            <rFont val="Tahoma"/>
            <family val="2"/>
          </rPr>
          <t xml:space="preserve">
Permiso para ingresar a las 10 a.m. por entrega de informes academicos de su hijo 
</t>
        </r>
      </text>
    </comment>
    <comment ref="I21" authorId="0" shapeId="0" xr:uid="{63C01AC0-C09A-4E3D-9436-EB927F360885}">
      <text>
        <r>
          <rPr>
            <b/>
            <sz val="9"/>
            <color indexed="81"/>
            <rFont val="Tahoma"/>
            <family val="2"/>
          </rPr>
          <t>Autor:</t>
        </r>
        <r>
          <rPr>
            <sz val="9"/>
            <color indexed="81"/>
            <rFont val="Tahoma"/>
            <family val="2"/>
          </rPr>
          <t xml:space="preserve">
Permiso para asisitir a curso brindado por la esap sobre mipg, todo el día
</t>
        </r>
      </text>
    </comment>
    <comment ref="F25" authorId="0" shapeId="0" xr:uid="{26E0FC36-2A46-4065-A682-8EFA75FF8070}">
      <text>
        <r>
          <rPr>
            <b/>
            <sz val="9"/>
            <color indexed="81"/>
            <rFont val="Tahoma"/>
            <family val="2"/>
          </rPr>
          <t>Autor:</t>
        </r>
        <r>
          <rPr>
            <sz val="9"/>
            <color indexed="81"/>
            <rFont val="Tahoma"/>
            <family val="2"/>
          </rPr>
          <t xml:space="preserve">
Día compensatorio por motivo de cumpleaños 
</t>
        </r>
      </text>
    </comment>
    <comment ref="G25" authorId="0" shapeId="0" xr:uid="{165006C9-00BD-4A3E-9F72-A3893606F34A}">
      <text>
        <r>
          <rPr>
            <b/>
            <sz val="9"/>
            <color indexed="81"/>
            <rFont val="Tahoma"/>
            <family val="2"/>
          </rPr>
          <t>Autor:</t>
        </r>
        <r>
          <rPr>
            <sz val="9"/>
            <color indexed="81"/>
            <rFont val="Tahoma"/>
            <family val="2"/>
          </rPr>
          <t xml:space="preserve">
Día compensatorio de los 3 correspondientes a diciembre de 2022 (1/3)</t>
        </r>
      </text>
    </comment>
    <comment ref="M25" authorId="0" shapeId="0" xr:uid="{C84AB89B-F144-41CA-9968-72EEFD34F821}">
      <text>
        <r>
          <rPr>
            <b/>
            <sz val="9"/>
            <color indexed="81"/>
            <rFont val="Tahoma"/>
            <family val="2"/>
          </rPr>
          <t>Autor:</t>
        </r>
        <r>
          <rPr>
            <sz val="9"/>
            <color indexed="81"/>
            <rFont val="Tahoma"/>
            <family val="2"/>
          </rPr>
          <t xml:space="preserve">
Día compensatorio de los 3 correspondientes a diciembre de 2022 (2/3)</t>
        </r>
      </text>
    </comment>
    <comment ref="N25" authorId="0" shapeId="0" xr:uid="{83A2E0F2-514D-42CE-99F4-70A4F6396E8B}">
      <text>
        <r>
          <rPr>
            <b/>
            <sz val="9"/>
            <color indexed="81"/>
            <rFont val="Tahoma"/>
            <family val="2"/>
          </rPr>
          <t>Autor:</t>
        </r>
        <r>
          <rPr>
            <sz val="9"/>
            <color indexed="81"/>
            <rFont val="Tahoma"/>
            <family val="2"/>
          </rPr>
          <t xml:space="preserve">
Día compensatorio de los 3 correspondientes a diciembre de 2022 (3/3)</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25" authorId="0" shapeId="0" xr:uid="{8E7AEB7C-2926-49E7-9631-54B42A2A5214}">
      <text>
        <r>
          <rPr>
            <b/>
            <sz val="9"/>
            <color indexed="81"/>
            <rFont val="Tahoma"/>
            <family val="2"/>
          </rPr>
          <t>Autor:</t>
        </r>
        <r>
          <rPr>
            <sz val="9"/>
            <color indexed="81"/>
            <rFont val="Tahoma"/>
            <family val="2"/>
          </rPr>
          <t xml:space="preserve">
Día compensatorio de la familia 2023-1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S10" authorId="0" shapeId="0" xr:uid="{6008C196-6CB0-43BA-BD2A-07BA07865F32}">
      <text>
        <r>
          <rPr>
            <b/>
            <sz val="9"/>
            <color indexed="81"/>
            <rFont val="Tahoma"/>
            <family val="2"/>
          </rPr>
          <t>Autor:</t>
        </r>
        <r>
          <rPr>
            <sz val="9"/>
            <color indexed="81"/>
            <rFont val="Tahoma"/>
            <family val="2"/>
          </rPr>
          <t xml:space="preserve">
Solicitud dia de la familia primer y segundo semestre 2023</t>
        </r>
      </text>
    </comment>
    <comment ref="K15" authorId="0" shapeId="0" xr:uid="{BF9FB360-F0A8-4531-B996-A855D522191C}">
      <text>
        <r>
          <rPr>
            <b/>
            <sz val="9"/>
            <color indexed="81"/>
            <rFont val="Tahoma"/>
            <family val="2"/>
          </rPr>
          <t>Autor:</t>
        </r>
        <r>
          <rPr>
            <sz val="9"/>
            <color indexed="81"/>
            <rFont val="Tahoma"/>
            <family val="2"/>
          </rPr>
          <t xml:space="preserve">
Permiso por votación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I9" authorId="0" shapeId="0" xr:uid="{82C98BAF-DDF2-4EE7-80C5-B1AA60CE9390}">
      <text>
        <r>
          <rPr>
            <b/>
            <sz val="9"/>
            <color indexed="81"/>
            <rFont val="Tahoma"/>
            <family val="2"/>
          </rPr>
          <t>Autor:</t>
        </r>
        <r>
          <rPr>
            <sz val="9"/>
            <color indexed="81"/>
            <rFont val="Tahoma"/>
            <family val="2"/>
          </rPr>
          <t xml:space="preserve">
Dia compensatorio</t>
        </r>
      </text>
    </comment>
    <comment ref="AE9" authorId="0" shapeId="0" xr:uid="{59B42CCA-2DFA-41D3-8FBC-C8C849FAB5C1}">
      <text>
        <r>
          <rPr>
            <b/>
            <sz val="9"/>
            <color indexed="81"/>
            <rFont val="Tahoma"/>
            <family val="2"/>
          </rPr>
          <t>Autor:</t>
        </r>
        <r>
          <rPr>
            <sz val="9"/>
            <color indexed="81"/>
            <rFont val="Tahoma"/>
            <family val="2"/>
          </rPr>
          <t xml:space="preserve">
Dia compensatorio</t>
        </r>
      </text>
    </comment>
    <comment ref="H13" authorId="0" shapeId="0" xr:uid="{FDEECCB6-D5C6-4FD9-BF06-050CC025BE84}">
      <text>
        <r>
          <rPr>
            <b/>
            <sz val="9"/>
            <color indexed="81"/>
            <rFont val="Tahoma"/>
            <family val="2"/>
          </rPr>
          <t>Autor:</t>
        </r>
        <r>
          <rPr>
            <sz val="9"/>
            <color indexed="81"/>
            <rFont val="Tahoma"/>
            <family val="2"/>
          </rPr>
          <t xml:space="preserve">
Dia compensatorio</t>
        </r>
      </text>
    </comment>
    <comment ref="I13" authorId="0" shapeId="0" xr:uid="{DEFD34D1-D713-42CD-BAF3-AC091A42B889}">
      <text>
        <r>
          <rPr>
            <b/>
            <sz val="9"/>
            <color indexed="81"/>
            <rFont val="Tahoma"/>
            <family val="2"/>
          </rPr>
          <t>Autor:</t>
        </r>
        <r>
          <rPr>
            <sz val="9"/>
            <color indexed="81"/>
            <rFont val="Tahoma"/>
            <family val="2"/>
          </rPr>
          <t xml:space="preserve">
Dia compensatorio</t>
        </r>
      </text>
    </comment>
    <comment ref="X13" authorId="0" shapeId="0" xr:uid="{AE513214-7F6A-418B-A648-14D346F31875}">
      <text>
        <r>
          <rPr>
            <b/>
            <sz val="9"/>
            <color indexed="81"/>
            <rFont val="Tahoma"/>
            <family val="2"/>
          </rPr>
          <t>Autor:</t>
        </r>
        <r>
          <rPr>
            <sz val="9"/>
            <color indexed="81"/>
            <rFont val="Tahoma"/>
            <family val="2"/>
          </rPr>
          <t xml:space="preserve">
Dia compensatorio</t>
        </r>
      </text>
    </comment>
    <comment ref="X15" authorId="0" shapeId="0" xr:uid="{289730E4-126B-4179-BE0F-62F5CA6CCCFE}">
      <text>
        <r>
          <rPr>
            <b/>
            <sz val="9"/>
            <color indexed="81"/>
            <rFont val="Tahoma"/>
            <family val="2"/>
          </rPr>
          <t>Autor:</t>
        </r>
        <r>
          <rPr>
            <sz val="9"/>
            <color indexed="81"/>
            <rFont val="Tahoma"/>
            <family val="2"/>
          </rPr>
          <t xml:space="preserve">
Dia compensatorio</t>
        </r>
      </text>
    </comment>
    <comment ref="AE15" authorId="0" shapeId="0" xr:uid="{233AD428-076C-4503-8C02-E0C4833743AB}">
      <text>
        <r>
          <rPr>
            <b/>
            <sz val="9"/>
            <color indexed="81"/>
            <rFont val="Tahoma"/>
            <family val="2"/>
          </rPr>
          <t>Autor:</t>
        </r>
        <r>
          <rPr>
            <sz val="9"/>
            <color indexed="81"/>
            <rFont val="Tahoma"/>
            <family val="2"/>
          </rPr>
          <t xml:space="preserve">
Dia compensatorio</t>
        </r>
      </text>
    </comment>
    <comment ref="I23" authorId="0" shapeId="0" xr:uid="{A6F843F1-42EE-4010-8BF2-F6F77569743E}">
      <text>
        <r>
          <rPr>
            <b/>
            <sz val="9"/>
            <color indexed="81"/>
            <rFont val="Tahoma"/>
            <family val="2"/>
          </rPr>
          <t>Autor:</t>
        </r>
        <r>
          <rPr>
            <sz val="9"/>
            <color indexed="81"/>
            <rFont val="Tahoma"/>
            <family val="2"/>
          </rPr>
          <t xml:space="preserve">
Dia compensatorio</t>
        </r>
      </text>
    </comment>
    <comment ref="V23" authorId="0" shapeId="0" xr:uid="{4524BBB9-14BD-4B37-AB11-0130CB26F932}">
      <text>
        <r>
          <rPr>
            <b/>
            <sz val="9"/>
            <color indexed="81"/>
            <rFont val="Tahoma"/>
            <family val="2"/>
          </rPr>
          <t>Autor:</t>
        </r>
        <r>
          <rPr>
            <sz val="9"/>
            <color indexed="81"/>
            <rFont val="Tahoma"/>
            <family val="2"/>
          </rPr>
          <t xml:space="preserve">
solicitud de días de la familia primera y segundo semestre 2023, más un compensatorio pendiente</t>
        </r>
      </text>
    </comment>
    <comment ref="X23" authorId="0" shapeId="0" xr:uid="{F741337B-CA73-4C90-B0C8-2C615116D59E}">
      <text>
        <r>
          <rPr>
            <b/>
            <sz val="9"/>
            <color indexed="81"/>
            <rFont val="Tahoma"/>
            <family val="2"/>
          </rPr>
          <t>Autor:</t>
        </r>
        <r>
          <rPr>
            <sz val="9"/>
            <color indexed="81"/>
            <rFont val="Tahoma"/>
            <family val="2"/>
          </rPr>
          <t xml:space="preserve">
Dia compensatorio</t>
        </r>
      </text>
    </comment>
    <comment ref="N25" authorId="0" shapeId="0" xr:uid="{7BB28D9D-3F1C-46A3-8416-EB126E0156B6}">
      <text>
        <r>
          <rPr>
            <b/>
            <sz val="9"/>
            <color indexed="81"/>
            <rFont val="Tahoma"/>
            <family val="2"/>
          </rPr>
          <t>Autor:</t>
        </r>
        <r>
          <rPr>
            <sz val="9"/>
            <color indexed="81"/>
            <rFont val="Tahoma"/>
            <family val="2"/>
          </rPr>
          <t xml:space="preserve">
Solicitud de día familia segundo semestre 2023- Canje de días 07- 22 dic que ya fueron compensados</t>
        </r>
      </text>
    </comment>
    <comment ref="I27" authorId="0" shapeId="0" xr:uid="{FAF1FA48-55E9-49BE-9DEB-885DD78FDF75}">
      <text>
        <r>
          <rPr>
            <b/>
            <sz val="9"/>
            <color indexed="81"/>
            <rFont val="Tahoma"/>
            <family val="2"/>
          </rPr>
          <t>Autor:</t>
        </r>
        <r>
          <rPr>
            <sz val="9"/>
            <color indexed="81"/>
            <rFont val="Tahoma"/>
            <family val="2"/>
          </rPr>
          <t xml:space="preserve">
Dia compensatorio</t>
        </r>
      </text>
    </comment>
  </commentList>
</comments>
</file>

<file path=xl/sharedStrings.xml><?xml version="1.0" encoding="utf-8"?>
<sst xmlns="http://schemas.openxmlformats.org/spreadsheetml/2006/main" count="1429" uniqueCount="161">
  <si>
    <t>Programación de ausencias de empleados</t>
  </si>
  <si>
    <t>Enero</t>
  </si>
  <si>
    <t>Claves de los tipos de ausencia</t>
  </si>
  <si>
    <t>Nombre del empleado</t>
  </si>
  <si>
    <t>V</t>
  </si>
  <si>
    <t>Fechas de ausencia</t>
  </si>
  <si>
    <t>1</t>
  </si>
  <si>
    <t>Vacaciones</t>
  </si>
  <si>
    <t>2</t>
  </si>
  <si>
    <t>3</t>
  </si>
  <si>
    <t>P</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</si>
  <si>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</si>
  <si>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</si>
  <si>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</si>
  <si>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</si>
  <si>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</si>
  <si>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</si>
  <si>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</si>
  <si>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</si>
  <si>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</si>
  <si>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</si>
  <si>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</si>
  <si>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</si>
  <si>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</si>
  <si>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</si>
  <si>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</si>
  <si>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</si>
  <si>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</si>
  <si>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</si>
  <si>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</si>
  <si>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</si>
  <si>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</si>
  <si>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</si>
  <si>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</si>
  <si>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</si>
  <si>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</si>
  <si>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</si>
  <si>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</si>
  <si>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</si>
  <si>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Total de días</t>
  </si>
  <si>
    <t>Febrero</t>
  </si>
  <si>
    <t xml:space="preserve"> </t>
  </si>
  <si>
    <t xml:space="preserve">  </t>
  </si>
  <si>
    <t>Marzo</t>
  </si>
  <si>
    <t>Abril</t>
  </si>
  <si>
    <t>Mayo</t>
  </si>
  <si>
    <t>Junio</t>
  </si>
  <si>
    <t>Julio</t>
  </si>
  <si>
    <t>Agosto</t>
  </si>
  <si>
    <t>Septiembre</t>
  </si>
  <si>
    <t>Octubre</t>
  </si>
  <si>
    <t>Noviembre</t>
  </si>
  <si>
    <t>Diciembre</t>
  </si>
  <si>
    <t>Nombres de los empleados</t>
  </si>
  <si>
    <t>MARIO ANDRES CASTAÑEDA QUIÑONEZ</t>
  </si>
  <si>
    <t>ROLAND LEONARDO ROJAS PATIÑO</t>
  </si>
  <si>
    <t>LUIS ALBERTO PAEZ NIÑO</t>
  </si>
  <si>
    <t>YOLANDA MENDIVELSO M.</t>
  </si>
  <si>
    <t>IVONNE TATIANA REINA MANTILLA</t>
  </si>
  <si>
    <t>EDGAR JAIMES MATEUS</t>
  </si>
  <si>
    <t>NOHEMI GARCIA LEON</t>
  </si>
  <si>
    <t>NELSON J.TARAZONA O.</t>
  </si>
  <si>
    <t>JAVIER LAGOS BARRERA</t>
  </si>
  <si>
    <t>YANNETH VASQUEZ MARTINEZ</t>
  </si>
  <si>
    <t>MARIA SHIRLEY RODRIGUEZ A.</t>
  </si>
  <si>
    <t xml:space="preserve">BECERRA BECERRA HELI OCTAVIO </t>
  </si>
  <si>
    <t>MIGUEL ANGEL PACHECO JIMENEZ</t>
  </si>
  <si>
    <t>LINA CONSTANZA CORREA CARDONA</t>
  </si>
  <si>
    <t>SILVIA MARGARITA VILLAMIZAR REY</t>
  </si>
  <si>
    <t>SILVIA NATHALIA NIÑO VILLAMIZAR</t>
  </si>
  <si>
    <t>MARIBEL DEL SOCORRO BARON</t>
  </si>
  <si>
    <t>ALVARO ANDRES LOZADA ANTOLINEZ</t>
  </si>
  <si>
    <t>Permiso Sindical</t>
  </si>
  <si>
    <t>C</t>
  </si>
  <si>
    <t>Cumpleaños</t>
  </si>
  <si>
    <t>I</t>
  </si>
  <si>
    <t>Incapacidad</t>
  </si>
  <si>
    <t>Permiso Personal</t>
  </si>
  <si>
    <t>S</t>
  </si>
  <si>
    <t>R</t>
  </si>
  <si>
    <t>NOMBRE</t>
  </si>
  <si>
    <t>CEDULA</t>
  </si>
  <si>
    <t>FECHA DE NACIMIENTO</t>
  </si>
  <si>
    <t>CELULAR</t>
  </si>
  <si>
    <t>EPS</t>
  </si>
  <si>
    <t>FONDO DE PENSION</t>
  </si>
  <si>
    <t>CARGO</t>
  </si>
  <si>
    <t>CORREO</t>
  </si>
  <si>
    <t>PROVENIR</t>
  </si>
  <si>
    <t>Director General</t>
  </si>
  <si>
    <t>SILVIA NATALIA NIÑO VILLAMIZAR</t>
  </si>
  <si>
    <t>SALUD TOTAL</t>
  </si>
  <si>
    <t>PROTECCION</t>
  </si>
  <si>
    <t xml:space="preserve">Subdirector Administrativo y Financiero </t>
  </si>
  <si>
    <t>subdirector_admin_financiero@inderbu.gov.co</t>
  </si>
  <si>
    <t>SURA</t>
  </si>
  <si>
    <t>COLFONDOS</t>
  </si>
  <si>
    <t>Subdirector  Tecnico</t>
  </si>
  <si>
    <t>subdirector_tecnico@inderbu.gov.co</t>
  </si>
  <si>
    <t>NUEVA EPS</t>
  </si>
  <si>
    <t>Subdirector  Operativo</t>
  </si>
  <si>
    <t>subdirector_operativo_juventud@inderbu.gov.co</t>
  </si>
  <si>
    <t>YOLANDA MENDIVELSO MORENO</t>
  </si>
  <si>
    <t>COLSANITAS</t>
  </si>
  <si>
    <t>COLPENSIONES</t>
  </si>
  <si>
    <t>Asesora</t>
  </si>
  <si>
    <t>asesor@inderbu.gov.co</t>
  </si>
  <si>
    <t>EPS SANITAS</t>
  </si>
  <si>
    <t>PORVENIR</t>
  </si>
  <si>
    <t>Jefe de Oficina de Control Interno</t>
  </si>
  <si>
    <t>control_interno@inderbu.gov.co</t>
  </si>
  <si>
    <t>08/08/1085</t>
  </si>
  <si>
    <t>Jefe de Oficina Asesora Juridica</t>
  </si>
  <si>
    <t>jefe_juridica@inderbu.gov.co</t>
  </si>
  <si>
    <t>NELSON JAVIER TARAZONA ORDOÑEZ</t>
  </si>
  <si>
    <t>SALUD MIA</t>
  </si>
  <si>
    <t>Secretario ejecutivo</t>
  </si>
  <si>
    <t>secretarioejecutivo@inderbu.gov.co</t>
  </si>
  <si>
    <t>MARIA SHIRLEY RODRIGUEZ ARIZA</t>
  </si>
  <si>
    <t>Jefe de Prensa</t>
  </si>
  <si>
    <t>prensa@inderbu.gov.co</t>
  </si>
  <si>
    <t>Almacenista General</t>
  </si>
  <si>
    <t>almacen@inderbu.gov.co</t>
  </si>
  <si>
    <t>COOMEVA</t>
  </si>
  <si>
    <t>Profesional  Universitario</t>
  </si>
  <si>
    <t>actividadfisicayrecreacion@inderbu.gov.co</t>
  </si>
  <si>
    <t>YANETH VASQUEZ MARTINEZ</t>
  </si>
  <si>
    <t>formacion@inderbu.gov.co</t>
  </si>
  <si>
    <t>MARIBEL DEL SOCORRO BARON MENDIVIL</t>
  </si>
  <si>
    <t>Auxiliar Administrativo</t>
  </si>
  <si>
    <t>auxiliar_administrativo2@inderbu.gov.co</t>
  </si>
  <si>
    <t>Tesorero General</t>
  </si>
  <si>
    <t>tesoreria@inderbu.gov.co</t>
  </si>
  <si>
    <t>auxiliartesoreria@inderbu.gov.co</t>
  </si>
  <si>
    <t>juventud@inderbu.gov.co</t>
  </si>
  <si>
    <t>auxiliar_administrativo1@inderbu.gov.co</t>
  </si>
  <si>
    <t>Tecnico Operativo</t>
  </si>
  <si>
    <t>juventud_operativo@inderbu.gov.co</t>
  </si>
  <si>
    <t>HELI OCTAVIO BECERRA BECERRA</t>
  </si>
  <si>
    <t>FAMISANAR</t>
  </si>
  <si>
    <t>auxiliar_administrativo3@inderbu.gov.co</t>
  </si>
  <si>
    <t>GENERO</t>
  </si>
  <si>
    <t>Femenino</t>
  </si>
  <si>
    <t>Masculino</t>
  </si>
  <si>
    <t>NIVEL EDUCATIVO</t>
  </si>
  <si>
    <t>Profesional</t>
  </si>
  <si>
    <t>Tecnico</t>
  </si>
  <si>
    <t>1 día por dia de la familia 2023-2</t>
  </si>
  <si>
    <t>TATIANA MARCELA PALENCIA CACERES</t>
  </si>
  <si>
    <t xml:space="preserve">3 Días (2 días faltantes por asignar y 1 día de la familia 2023-2 </t>
  </si>
  <si>
    <t>4 días (1 día de diciembre año anterior, día de cumpleaños, día de la familia  2023-1 y 2023-2)</t>
  </si>
  <si>
    <t xml:space="preserve">Día compensatorio curso de excel </t>
  </si>
  <si>
    <t>7 de diciembre de 2023</t>
  </si>
  <si>
    <t>22 de diciembre de 2023</t>
  </si>
  <si>
    <t>Sábado 12 de agosto</t>
  </si>
  <si>
    <t>Sábado 2 de Septiembre</t>
  </si>
  <si>
    <t>p</t>
  </si>
  <si>
    <t xml:space="preserve">TATIANA MARCELA PALENCIA </t>
  </si>
  <si>
    <t xml:space="preserve">LAURA MARCELA CORONADO </t>
  </si>
  <si>
    <t>DIAS PENDIENTES</t>
  </si>
  <si>
    <t xml:space="preserve">Compensatorio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</si>
</sst>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 #,##0_);_(* \(#,##0\);_(* &quot;-&quot;_);_(@_)"/>
    <numFmt numFmtId="165" formatCode="_(* #,##0.00_);_(* \(#,##0.00\);_(* &quot;-&quot;??_);_(@_)"/>
    <numFmt numFmtId="166" formatCode="_-* #,##0\ &quot;€&quot;_-;\-* #,##0\ &quot;€&quot;_-;_-* &quot;-&quot;\ &quot;€&quot;_-;_-@_-"/>
    <numFmt numFmtId="167" formatCode="_-* #,##0.00\ &quot;€&quot;_-;\-* #,##0.00\ &quot;€&quot;_-;_-* &quot;-&quot;??\ &quot;€&quot;_-;_-@_-"/>
    <numFmt numFmtId="168" formatCode="0;0;"/>
  </numFmts>
  <fonts count="45">
    <font>
      <sz val="11"/>
      <color theme="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scheme val="minor"/>
    </font>
    <font>
      <sz val="11"/>
      <color rgb="FF000000"/>
      <name val="Calibri"/>
      <family val="2"/>
      <scheme val="minor"/>
    </font>
    <font>
      <b/>
      <sz val="18"/>
      <color theme="3"/>
      <name val="Calibri"/>
      <family val="2"/>
      <scheme val="minor"/>
    </font>
    <font>
      <b/>
      <sz val="11"/>
      <color theme="0"/>
      <name val="Calibri"/>
      <family val="2"/>
      <scheme val="minor"/>
    </font>
    <font>
      <b/>
      <sz val="72"/>
      <color theme="6" tint="0.39997558519241921"/>
      <name val="Calibri"/>
      <family val="2"/>
      <scheme val="minor"/>
    </font>
    <font>
      <sz val="8"/>
      <name val="Calibri"/>
      <family val="2"/>
      <scheme val="minor"/>
    </font>
    <font>
      <b/>
      <sz val="18"/>
      <color theme="4" tint="9.9948118533890809E-2"/>
      <name val="Calibri"/>
      <family val="2"/>
      <scheme val="minor"/>
    </font>
    <font>
      <b/>
      <sz val="72"/>
      <color theme="4" tint="0.249977111117893"/>
      <name val="Calibri"/>
      <family val="2"/>
      <scheme val="minor"/>
    </font>
    <font>
      <b/>
      <sz val="11"/>
      <name val="Calibri"/>
      <family val="2"/>
      <scheme val="minor"/>
    </font>
    <font>
      <b/>
      <sz val="72"/>
      <color theme="7" tint="-0.249977111117893"/>
      <name val="Calibri"/>
      <family val="2"/>
      <scheme val="minor"/>
    </font>
    <font>
      <b/>
      <sz val="72"/>
      <color theme="8" tint="-0.249977111117893"/>
      <name val="Calibri"/>
      <family val="2"/>
      <scheme val="minor"/>
    </font>
    <font>
      <sz val="11"/>
      <color theme="1"/>
      <name val="Calibri"/>
      <family val="2"/>
      <charset val="134"/>
    </font>
    <font>
      <sz val="11"/>
      <color theme="1"/>
      <name val="Calibri"/>
      <family val="2"/>
    </font>
    <font>
      <b/>
      <sz val="11"/>
      <color theme="1"/>
      <name val="Calibri"/>
      <family val="2"/>
    </font>
    <font>
      <sz val="11"/>
      <color theme="0"/>
      <name val="Calibri"/>
      <family val="2"/>
    </font>
    <font>
      <sz val="11"/>
      <color theme="0"/>
      <name val="Calibri"/>
      <family val="2"/>
      <charset val="134"/>
    </font>
    <font>
      <sz val="11"/>
      <color rgb="FF9C0006"/>
      <name val="Calibri"/>
      <family val="2"/>
      <charset val="134"/>
    </font>
    <font>
      <b/>
      <sz val="11"/>
      <color rgb="FFFA7D00"/>
      <name val="Calibri"/>
      <family val="2"/>
      <charset val="134"/>
    </font>
    <font>
      <b/>
      <sz val="11"/>
      <color theme="0"/>
      <name val="Calibri"/>
      <family val="2"/>
      <charset val="134"/>
    </font>
    <font>
      <sz val="11"/>
      <color theme="4" tint="-0.499984740745262"/>
      <name val="Calibri"/>
      <family val="2"/>
    </font>
    <font>
      <i/>
      <sz val="11"/>
      <color rgb="FF7F7F7F"/>
      <name val="Calibri"/>
      <family val="2"/>
      <charset val="134"/>
    </font>
    <font>
      <sz val="11"/>
      <color rgb="FF006100"/>
      <name val="Calibri"/>
      <family val="2"/>
      <charset val="134"/>
    </font>
    <font>
      <b/>
      <sz val="26"/>
      <color theme="3" tint="-0.24994659260841701"/>
      <name val="Calibri"/>
      <family val="2"/>
    </font>
    <font>
      <b/>
      <sz val="18"/>
      <color theme="4" tint="-0.24994659260841701"/>
      <name val="Calibri"/>
      <family val="2"/>
    </font>
    <font>
      <sz val="11"/>
      <color rgb="FF3F3F76"/>
      <name val="Calibri"/>
      <family val="2"/>
      <charset val="134"/>
    </font>
    <font>
      <sz val="11"/>
      <color rgb="FFFA7D00"/>
      <name val="Calibri"/>
      <family val="2"/>
      <charset val="134"/>
    </font>
    <font>
      <sz val="11"/>
      <color rgb="FF9C5700"/>
      <name val="Calibri"/>
      <family val="2"/>
      <charset val="134"/>
    </font>
    <font>
      <b/>
      <sz val="11"/>
      <color rgb="FF3F3F3F"/>
      <name val="Calibri"/>
      <family val="2"/>
      <charset val="134"/>
    </font>
    <font>
      <b/>
      <sz val="26"/>
      <color theme="3"/>
      <name val="Calibri"/>
      <family val="2"/>
    </font>
    <font>
      <sz val="11"/>
      <color rgb="FFFF0000"/>
      <name val="Calibri"/>
      <family val="2"/>
      <charset val="134"/>
    </font>
    <font>
      <sz val="9"/>
      <name val="DengXian"/>
      <family val="3"/>
      <charset val="134"/>
    </font>
    <font>
      <b/>
      <sz val="11"/>
      <color theme="0"/>
      <name val="Calibri"/>
      <family val="2"/>
    </font>
    <font>
      <sz val="10"/>
      <color theme="1"/>
      <name val="Calibri"/>
      <family val="2"/>
    </font>
    <font>
      <sz val="11"/>
      <name val="Calibri"/>
      <family val="2"/>
    </font>
    <font>
      <u/>
      <sz val="11"/>
      <color theme="10"/>
      <name val="Calibri"/>
      <family val="2"/>
      <scheme val="minor"/>
    </font>
    <font>
      <sz val="9"/>
      <color indexed="81"/>
      <name val="Tahoma"/>
      <family val="2"/>
    </font>
    <font>
      <b/>
      <sz val="9"/>
      <color indexed="81"/>
      <name val="Tahoma"/>
      <family val="2"/>
    </font>
    <font>
      <sz val="12"/>
      <color theme="1"/>
      <name val="Times New Roman"/>
      <family val="1"/>
    </font>
    <font>
      <u/>
      <sz val="12"/>
      <color theme="10"/>
      <name val="Times New Roman"/>
      <family val="1"/>
    </font>
    <font>
      <b/>
      <sz val="12"/>
      <color theme="1"/>
      <name val="Times New Roman"/>
      <family val="1"/>
    </font>
    <font>
      <sz val="11"/>
      <color theme="0" tint="-0.14999847407452621"/>
      <name val="Calibri"/>
      <family val="2"/>
    </font>
  </fonts>
  <fills count="36">
    <fill>
      <patternFill patternType="none"/>
    </fill>
    <fill>
      <patternFill patternType="gray125"/>
    </fill>
    <fill>
      <patternFill patternType="solid">
        <fgColor theme="2"/>
        <bgColor indexed="64"/>
      </patternFill>
    </fill>
    <fill>
      <patternFill patternType="solid">
        <fgColor theme="7"/>
        <bgColor indexed="64"/>
      </patternFill>
    </fill>
    <fill>
      <patternFill patternType="solid">
        <fgColor theme="7" tint="0.79998168889431442"/>
        <bgColor indexed="65"/>
      </patternFill>
    </fill>
    <fill>
      <patternFill patternType="solid">
        <fgColor theme="7" tint="0.39997558519241921"/>
        <bgColor indexed="65"/>
      </patternFill>
    </fill>
    <fill>
      <patternFill patternType="solid">
        <fgColor theme="3" tint="0.79998168889431442"/>
        <bgColor indexed="64"/>
      </patternFill>
    </fill>
    <fill>
      <patternFill patternType="solid">
        <fgColor theme="3" tint="-0.24994659260841701"/>
        <bgColor indexed="64"/>
      </patternFill>
    </fill>
    <fill>
      <patternFill patternType="solid">
        <fgColor theme="3" tint="0.39994506668294322"/>
        <bgColor indexed="64"/>
      </patternFill>
    </fill>
    <fill>
      <patternFill patternType="solid">
        <fgColor theme="7" tint="0.59996337778862885"/>
        <bgColor indexed="64"/>
      </patternFill>
    </fill>
    <fill>
      <patternFill patternType="solid">
        <fgColor theme="5" tint="0.59999389629810485"/>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8" tint="0.59999389629810485"/>
        <bgColor indexed="65"/>
      </patternFill>
    </fill>
    <fill>
      <patternFill patternType="solid">
        <fgColor theme="4" tint="0.39994506668294322"/>
        <bgColor indexed="64"/>
      </patternFill>
    </fill>
    <fill>
      <patternFill patternType="solid">
        <fgColor theme="4" tint="0.59996337778862885"/>
        <bgColor indexed="64"/>
      </patternFill>
    </fill>
    <fill>
      <patternFill patternType="solid">
        <fgColor theme="4" tint="0.79998168889431442"/>
        <bgColor indexed="64"/>
      </patternFill>
    </fill>
    <fill>
      <patternFill patternType="solid">
        <fgColor rgb="FFF8E3E0"/>
        <bgColor indexed="64"/>
      </patternFill>
    </fill>
    <fill>
      <patternFill patternType="solid">
        <fgColor theme="5" tint="0.39994506668294322"/>
        <bgColor indexed="64"/>
      </patternFill>
    </fill>
    <fill>
      <patternFill patternType="solid">
        <fgColor theme="6" tint="0.599963377788628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5" tint="0.79998168889431442"/>
        <bgColor indexed="65"/>
      </patternFill>
    </fill>
    <fill>
      <patternFill patternType="solid">
        <fgColor theme="5"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39997558519241921"/>
        <bgColor indexed="65"/>
      </patternFill>
    </fill>
    <fill>
      <patternFill patternType="solid">
        <fgColor theme="8" tint="-0.249977111117893"/>
        <bgColor indexed="64"/>
      </patternFill>
    </fill>
    <fill>
      <patternFill patternType="solid">
        <fgColor rgb="FFFFFAD1"/>
        <bgColor indexed="64"/>
      </patternFill>
    </fill>
  </fills>
  <borders count="11">
    <border>
      <left/>
      <right/>
      <top/>
      <bottom/>
      <diagonal/>
    </border>
    <border>
      <left/>
      <right/>
      <top/>
      <bottom style="thin">
        <color theme="4"/>
      </bottom>
      <diagonal/>
    </border>
    <border>
      <left/>
      <right/>
      <top style="thin">
        <color theme="4"/>
      </top>
      <bottom/>
      <diagonal/>
    </border>
    <border>
      <left/>
      <right/>
      <top style="thin">
        <color auto="1"/>
      </top>
      <bottom/>
      <diagonal/>
    </border>
    <border>
      <left/>
      <right/>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s>
  <cellStyleXfs count="51">
    <xf numFmtId="0" fontId="0" fillId="0" borderId="0">
      <alignment horizontal="left" vertical="center"/>
    </xf>
    <xf numFmtId="0" fontId="32" fillId="0" borderId="0" applyNumberFormat="0" applyFill="0" applyBorder="0" applyProtection="0">
      <alignment vertical="top"/>
    </xf>
    <xf numFmtId="0" fontId="26" fillId="0" borderId="0" applyNumberFormat="0" applyFill="0" applyBorder="0" applyProtection="0">
      <alignment vertical="top"/>
    </xf>
    <xf numFmtId="0" fontId="27" fillId="2" borderId="0" applyNumberFormat="0" applyBorder="0" applyProtection="0">
      <alignment horizontal="center" vertical="center"/>
    </xf>
    <xf numFmtId="0" fontId="17" fillId="20" borderId="0" applyNumberFormat="0" applyProtection="0">
      <alignment horizontal="right" vertical="center" indent="1"/>
    </xf>
    <xf numFmtId="0" fontId="16" fillId="0" borderId="0" applyNumberFormat="0" applyFill="0" applyBorder="0" applyProtection="0">
      <alignment horizontal="left" vertical="center" indent="2"/>
    </xf>
    <xf numFmtId="0" fontId="18" fillId="3" borderId="0" applyNumberFormat="0" applyBorder="0" applyAlignment="0" applyProtection="0"/>
    <xf numFmtId="0" fontId="16" fillId="4" borderId="0" applyNumberFormat="0" applyBorder="0" applyProtection="0">
      <alignment horizontal="center" vertical="center"/>
    </xf>
    <xf numFmtId="0" fontId="17" fillId="9" borderId="0" applyNumberFormat="0" applyBorder="0" applyAlignment="0" applyProtection="0"/>
    <xf numFmtId="0" fontId="16" fillId="5" borderId="0" applyNumberFormat="0" applyBorder="0" applyAlignment="0" applyProtection="0"/>
    <xf numFmtId="0" fontId="18" fillId="7" borderId="0" applyNumberFormat="0" applyBorder="0" applyAlignment="0" applyProtection="0"/>
    <xf numFmtId="0" fontId="16" fillId="6" borderId="0" applyNumberFormat="0" applyBorder="0" applyAlignment="0" applyProtection="0"/>
    <xf numFmtId="0" fontId="17" fillId="15" borderId="0" applyNumberFormat="0" applyBorder="0" applyAlignment="0" applyProtection="0"/>
    <xf numFmtId="0" fontId="16" fillId="8" borderId="0" applyNumberFormat="0" applyBorder="0" applyAlignment="0" applyProtection="0"/>
    <xf numFmtId="0" fontId="18" fillId="15" borderId="0" applyNumberFormat="0" applyBorder="0" applyAlignment="0" applyProtection="0"/>
    <xf numFmtId="0" fontId="16" fillId="18" borderId="0" applyNumberFormat="0" applyBorder="0" applyAlignment="0" applyProtection="0"/>
    <xf numFmtId="0" fontId="17" fillId="17" borderId="0" applyNumberFormat="0" applyBorder="0" applyAlignment="0" applyProtection="0"/>
    <xf numFmtId="0" fontId="18" fillId="16" borderId="0" applyNumberFormat="0" applyBorder="0" applyAlignment="0" applyProtection="0"/>
    <xf numFmtId="0" fontId="18" fillId="19" borderId="0" applyNumberFormat="0" applyBorder="0" applyAlignment="0" applyProtection="0"/>
    <xf numFmtId="0" fontId="17" fillId="10" borderId="0" applyNumberFormat="0" applyBorder="0" applyAlignment="0" applyProtection="0"/>
    <xf numFmtId="0" fontId="18" fillId="11" borderId="0" applyNumberFormat="0" applyBorder="0" applyAlignment="0" applyProtection="0"/>
    <xf numFmtId="0" fontId="16" fillId="2" borderId="0" applyNumberFormat="0" applyBorder="0" applyAlignment="0" applyProtection="0"/>
    <xf numFmtId="0" fontId="17" fillId="12" borderId="0" applyNumberFormat="0" applyBorder="0" applyProtection="0">
      <alignment horizontal="left" vertical="center" indent="1"/>
    </xf>
    <xf numFmtId="0" fontId="17" fillId="13" borderId="0" applyNumberFormat="0" applyBorder="0" applyAlignment="0" applyProtection="0"/>
    <xf numFmtId="0" fontId="17" fillId="14" borderId="0" applyNumberFormat="0" applyBorder="0" applyAlignment="0" applyProtection="0"/>
    <xf numFmtId="1" fontId="16" fillId="0" borderId="0" applyFill="0" applyBorder="0" applyProtection="0">
      <alignment horizontal="center" vertical="center"/>
    </xf>
    <xf numFmtId="0" fontId="16" fillId="0" borderId="0" applyNumberFormat="0" applyFill="0" applyBorder="0">
      <alignment horizontal="left" vertical="center" wrapText="1" indent="2"/>
    </xf>
    <xf numFmtId="0" fontId="23" fillId="0" borderId="0">
      <alignment horizontal="center"/>
    </xf>
    <xf numFmtId="165" fontId="18" fillId="0" borderId="0" applyFont="0" applyFill="0" applyBorder="0" applyAlignment="0" applyProtection="0">
      <alignment vertical="center"/>
    </xf>
    <xf numFmtId="164" fontId="18" fillId="0" borderId="0" applyFont="0" applyFill="0" applyBorder="0" applyAlignment="0" applyProtection="0">
      <alignment vertical="center"/>
    </xf>
    <xf numFmtId="167" fontId="18" fillId="0" borderId="0" applyFont="0" applyFill="0" applyBorder="0" applyAlignment="0" applyProtection="0">
      <alignment vertical="center"/>
    </xf>
    <xf numFmtId="166" fontId="18" fillId="0" borderId="0" applyFont="0" applyFill="0" applyBorder="0" applyAlignment="0" applyProtection="0">
      <alignment vertical="center"/>
    </xf>
    <xf numFmtId="9" fontId="18" fillId="0" borderId="0" applyFont="0" applyFill="0" applyBorder="0" applyAlignment="0" applyProtection="0">
      <alignment vertical="center"/>
    </xf>
    <xf numFmtId="0" fontId="25" fillId="22" borderId="0" applyNumberFormat="0" applyBorder="0" applyAlignment="0" applyProtection="0">
      <alignment vertical="center"/>
    </xf>
    <xf numFmtId="0" fontId="20" fillId="23" borderId="0" applyNumberFormat="0" applyBorder="0" applyAlignment="0" applyProtection="0">
      <alignment vertical="center"/>
    </xf>
    <xf numFmtId="0" fontId="30" fillId="24" borderId="0" applyNumberFormat="0" applyBorder="0" applyAlignment="0" applyProtection="0">
      <alignment vertical="center"/>
    </xf>
    <xf numFmtId="0" fontId="28" fillId="25" borderId="5" applyNumberFormat="0" applyAlignment="0" applyProtection="0">
      <alignment vertical="center"/>
    </xf>
    <xf numFmtId="0" fontId="31" fillId="26" borderId="6" applyNumberFormat="0" applyAlignment="0" applyProtection="0">
      <alignment vertical="center"/>
    </xf>
    <xf numFmtId="0" fontId="21" fillId="26" borderId="5" applyNumberFormat="0" applyAlignment="0" applyProtection="0">
      <alignment vertical="center"/>
    </xf>
    <xf numFmtId="0" fontId="29" fillId="0" borderId="7" applyNumberFormat="0" applyFill="0" applyAlignment="0" applyProtection="0">
      <alignment vertical="center"/>
    </xf>
    <xf numFmtId="0" fontId="22" fillId="27" borderId="8" applyNumberFormat="0" applyAlignment="0" applyProtection="0">
      <alignment vertical="center"/>
    </xf>
    <xf numFmtId="0" fontId="33" fillId="0" borderId="0" applyNumberFormat="0" applyFill="0" applyBorder="0" applyAlignment="0" applyProtection="0">
      <alignment vertical="center"/>
    </xf>
    <xf numFmtId="0" fontId="18" fillId="28" borderId="9" applyNumberFormat="0" applyFont="0" applyAlignment="0" applyProtection="0">
      <alignment vertical="center"/>
    </xf>
    <xf numFmtId="0" fontId="24" fillId="0" borderId="0" applyNumberFormat="0" applyFill="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9" fillId="31" borderId="0" applyNumberFormat="0" applyBorder="0" applyAlignment="0" applyProtection="0">
      <alignment vertical="center"/>
    </xf>
    <xf numFmtId="0" fontId="15" fillId="32" borderId="0" applyNumberFormat="0" applyBorder="0" applyAlignment="0" applyProtection="0">
      <alignment vertical="center"/>
    </xf>
    <xf numFmtId="0" fontId="15" fillId="33" borderId="0" applyNumberFormat="0" applyBorder="0" applyAlignment="0" applyProtection="0">
      <alignment vertical="center"/>
    </xf>
    <xf numFmtId="0" fontId="2" fillId="0" borderId="0"/>
    <xf numFmtId="0" fontId="38" fillId="0" borderId="0" applyNumberFormat="0" applyFill="0" applyBorder="0" applyAlignment="0" applyProtection="0"/>
  </cellStyleXfs>
  <cellXfs count="73">
    <xf numFmtId="0" fontId="0" fillId="0" borderId="0" xfId="0">
      <alignment horizontal="left" vertical="center"/>
    </xf>
    <xf numFmtId="0" fontId="0" fillId="0" borderId="0" xfId="0" applyAlignment="1">
      <alignment horizontal="center" vertical="center"/>
    </xf>
    <xf numFmtId="0" fontId="16" fillId="0" borderId="0" xfId="26" applyFill="1" applyBorder="1">
      <alignment horizontal="left" vertical="center" wrapText="1" indent="2"/>
    </xf>
    <xf numFmtId="1" fontId="16" fillId="0" borderId="0" xfId="25" applyFill="1" applyBorder="1" applyProtection="1">
      <alignment horizontal="center" vertical="center"/>
    </xf>
    <xf numFmtId="168" fontId="0" fillId="0" borderId="0" xfId="0" applyNumberFormat="1" applyAlignment="1">
      <alignment horizontal="center" vertical="center"/>
    </xf>
    <xf numFmtId="0" fontId="0" fillId="0" borderId="0" xfId="0" applyAlignment="1">
      <alignment horizontal="left" vertical="center" indent="1"/>
    </xf>
    <xf numFmtId="0" fontId="27" fillId="0" borderId="0" xfId="3" applyFill="1" applyProtection="1">
      <alignment horizontal="center" vertical="center"/>
    </xf>
    <xf numFmtId="0" fontId="17" fillId="0" borderId="0" xfId="4" applyFill="1" applyAlignment="1" applyProtection="1">
      <alignment horizontal="left" vertical="center" indent="1"/>
    </xf>
    <xf numFmtId="0" fontId="0" fillId="0" borderId="1" xfId="0" applyBorder="1">
      <alignment horizontal="left" vertical="center"/>
    </xf>
    <xf numFmtId="0" fontId="32" fillId="0" borderId="2" xfId="1" applyBorder="1" applyAlignment="1" applyProtection="1">
      <alignment vertical="center"/>
    </xf>
    <xf numFmtId="0" fontId="0" fillId="0" borderId="2" xfId="0" applyBorder="1">
      <alignment horizontal="left" vertical="center"/>
    </xf>
    <xf numFmtId="0" fontId="0" fillId="0" borderId="0" xfId="0" applyAlignment="1">
      <alignment horizontal="left" vertical="top"/>
    </xf>
    <xf numFmtId="0" fontId="0" fillId="0" borderId="0" xfId="0" applyAlignment="1">
      <alignment horizontal="left" wrapText="1" indent="1"/>
    </xf>
    <xf numFmtId="0" fontId="0" fillId="0" borderId="0" xfId="0" applyAlignment="1">
      <alignment horizontal="left" indent="1"/>
    </xf>
    <xf numFmtId="0" fontId="0" fillId="0" borderId="3" xfId="0" applyBorder="1" applyAlignment="1">
      <alignment horizontal="left" indent="1"/>
    </xf>
    <xf numFmtId="0" fontId="0" fillId="0" borderId="4" xfId="0" applyBorder="1">
      <alignment horizontal="left" vertical="center"/>
    </xf>
    <xf numFmtId="0" fontId="23" fillId="0" borderId="4" xfId="27" applyBorder="1">
      <alignment horizontal="center"/>
    </xf>
    <xf numFmtId="168" fontId="7" fillId="9" borderId="0" xfId="8" applyNumberFormat="1" applyFont="1" applyAlignment="1" applyProtection="1">
      <alignment horizontal="center" vertical="center"/>
    </xf>
    <xf numFmtId="168" fontId="7" fillId="3" borderId="0" xfId="24" applyNumberFormat="1" applyFont="1" applyFill="1" applyAlignment="1" applyProtection="1">
      <alignment horizontal="center" vertical="center"/>
    </xf>
    <xf numFmtId="0" fontId="4" fillId="0" borderId="0" xfId="0" applyFont="1" applyAlignment="1">
      <alignment horizontal="center" vertical="center"/>
    </xf>
    <xf numFmtId="0" fontId="16" fillId="0" borderId="0" xfId="21" applyFill="1" applyBorder="1" applyAlignment="1" applyProtection="1">
      <alignment horizontal="left" vertical="center" indent="1"/>
    </xf>
    <xf numFmtId="0" fontId="3" fillId="0" borderId="0" xfId="0" applyFont="1" applyAlignment="1">
      <alignment horizontal="center" vertical="center"/>
    </xf>
    <xf numFmtId="0" fontId="16" fillId="21" borderId="0" xfId="21" applyFill="1" applyBorder="1" applyAlignment="1" applyProtection="1">
      <alignment horizontal="center" vertical="center"/>
    </xf>
    <xf numFmtId="0" fontId="8" fillId="0" borderId="0" xfId="3" applyFont="1" applyFill="1" applyAlignment="1" applyProtection="1">
      <alignment horizontal="left" vertical="top"/>
    </xf>
    <xf numFmtId="0" fontId="10" fillId="0" borderId="0" xfId="1" applyFont="1" applyAlignment="1" applyProtection="1">
      <alignment horizontal="left" indent="1"/>
    </xf>
    <xf numFmtId="0" fontId="11" fillId="0" borderId="0" xfId="3" applyFont="1" applyFill="1" applyAlignment="1" applyProtection="1">
      <alignment vertical="top"/>
    </xf>
    <xf numFmtId="0" fontId="11" fillId="0" borderId="0" xfId="3" applyFont="1" applyFill="1" applyAlignment="1" applyProtection="1">
      <alignment horizontal="left" vertical="top"/>
    </xf>
    <xf numFmtId="0" fontId="12" fillId="10" borderId="0" xfId="19" applyFont="1" applyAlignment="1" applyProtection="1">
      <alignment horizontal="center" vertical="center"/>
    </xf>
    <xf numFmtId="0" fontId="12" fillId="13" borderId="0" xfId="23" applyFont="1" applyAlignment="1" applyProtection="1">
      <alignment horizontal="center" vertical="center"/>
    </xf>
    <xf numFmtId="0" fontId="12" fillId="15" borderId="0" xfId="12" applyFont="1" applyAlignment="1" applyProtection="1">
      <alignment horizontal="center" vertical="center"/>
    </xf>
    <xf numFmtId="0" fontId="13" fillId="0" borderId="0" xfId="3" applyFont="1" applyFill="1" applyAlignment="1" applyProtection="1">
      <alignment horizontal="left" vertical="top"/>
    </xf>
    <xf numFmtId="0" fontId="14" fillId="0" borderId="0" xfId="3" applyFont="1" applyFill="1" applyAlignment="1" applyProtection="1">
      <alignment horizontal="left" vertical="top"/>
    </xf>
    <xf numFmtId="0" fontId="14" fillId="0" borderId="0" xfId="3" applyFont="1" applyFill="1" applyAlignment="1" applyProtection="1">
      <alignment vertical="top"/>
    </xf>
    <xf numFmtId="0" fontId="16" fillId="0" borderId="0" xfId="26">
      <alignment horizontal="left" vertical="center" wrapText="1" indent="2"/>
    </xf>
    <xf numFmtId="1" fontId="16" fillId="0" borderId="0" xfId="25">
      <alignment horizontal="center" vertical="center"/>
    </xf>
    <xf numFmtId="1" fontId="16" fillId="0" borderId="0" xfId="25" applyProtection="1">
      <alignment horizontal="center" vertical="center"/>
    </xf>
    <xf numFmtId="0" fontId="35" fillId="34" borderId="0" xfId="0" applyFont="1" applyFill="1" applyAlignment="1">
      <alignment horizontal="center" vertical="center"/>
    </xf>
    <xf numFmtId="1" fontId="4" fillId="0" borderId="0" xfId="25" applyFont="1" applyProtection="1">
      <alignment horizontal="center" vertical="center"/>
    </xf>
    <xf numFmtId="1" fontId="4" fillId="34" borderId="0" xfId="25" applyFont="1" applyFill="1" applyProtection="1">
      <alignment horizontal="center" vertical="center"/>
    </xf>
    <xf numFmtId="0" fontId="0" fillId="34" borderId="0" xfId="0" applyFill="1" applyAlignment="1">
      <alignment horizontal="center" vertical="center"/>
    </xf>
    <xf numFmtId="1" fontId="18" fillId="34" borderId="0" xfId="25" applyFont="1" applyFill="1" applyProtection="1">
      <alignment horizontal="center" vertical="center"/>
    </xf>
    <xf numFmtId="0" fontId="2" fillId="0" borderId="0" xfId="49"/>
    <xf numFmtId="0" fontId="16" fillId="0" borderId="0" xfId="26" applyFill="1">
      <alignment horizontal="left" vertical="center" wrapText="1" indent="2"/>
    </xf>
    <xf numFmtId="0" fontId="1" fillId="0" borderId="0" xfId="49" applyFont="1"/>
    <xf numFmtId="0" fontId="37" fillId="0" borderId="0" xfId="0" applyFont="1">
      <alignment horizontal="left" vertical="center"/>
    </xf>
    <xf numFmtId="0" fontId="41" fillId="0" borderId="10" xfId="49" applyFont="1" applyBorder="1" applyAlignment="1">
      <alignment horizontal="center"/>
    </xf>
    <xf numFmtId="0" fontId="2" fillId="0" borderId="0" xfId="49" applyAlignment="1">
      <alignment horizontal="center"/>
    </xf>
    <xf numFmtId="0" fontId="41" fillId="0" borderId="10" xfId="49" applyFont="1" applyBorder="1" applyAlignment="1">
      <alignment horizontal="center" vertical="center"/>
    </xf>
    <xf numFmtId="0" fontId="41" fillId="0" borderId="10" xfId="49" applyFont="1" applyBorder="1" applyAlignment="1">
      <alignment horizontal="left" vertical="center"/>
    </xf>
    <xf numFmtId="0" fontId="2" fillId="0" borderId="0" xfId="49" applyAlignment="1">
      <alignment horizontal="center" vertical="center"/>
    </xf>
    <xf numFmtId="0" fontId="2" fillId="0" borderId="0" xfId="49" applyAlignment="1">
      <alignment horizontal="left"/>
    </xf>
    <xf numFmtId="3" fontId="41" fillId="0" borderId="10" xfId="49" applyNumberFormat="1" applyFont="1" applyBorder="1" applyAlignment="1">
      <alignment horizontal="left" vertical="center"/>
    </xf>
    <xf numFmtId="14" fontId="41" fillId="0" borderId="10" xfId="49" applyNumberFormat="1" applyFont="1" applyBorder="1" applyAlignment="1">
      <alignment horizontal="left" vertical="center"/>
    </xf>
    <xf numFmtId="0" fontId="42" fillId="0" borderId="10" xfId="50" applyFont="1" applyBorder="1" applyAlignment="1">
      <alignment horizontal="left" vertical="center"/>
    </xf>
    <xf numFmtId="0" fontId="1" fillId="0" borderId="0" xfId="49" applyFont="1" applyAlignment="1">
      <alignment horizontal="left"/>
    </xf>
    <xf numFmtId="0" fontId="43" fillId="0" borderId="10" xfId="49" applyFont="1" applyBorder="1" applyAlignment="1">
      <alignment horizontal="center" vertical="center"/>
    </xf>
    <xf numFmtId="0" fontId="43" fillId="35" borderId="10" xfId="49" applyFont="1" applyFill="1" applyBorder="1" applyAlignment="1">
      <alignment horizontal="center"/>
    </xf>
    <xf numFmtId="0" fontId="43" fillId="35" borderId="10" xfId="49" applyFont="1" applyFill="1" applyBorder="1" applyAlignment="1">
      <alignment horizontal="left"/>
    </xf>
    <xf numFmtId="0" fontId="44" fillId="0" borderId="0" xfId="0" applyFont="1" applyAlignment="1">
      <alignment horizontal="center" vertical="center"/>
    </xf>
    <xf numFmtId="0" fontId="6" fillId="0" borderId="0" xfId="1" applyFont="1" applyAlignment="1" applyProtection="1">
      <alignment horizontal="left"/>
    </xf>
    <xf numFmtId="0" fontId="5" fillId="0" borderId="0" xfId="0" applyFont="1" applyAlignment="1">
      <alignment horizontal="left"/>
    </xf>
    <xf numFmtId="0" fontId="16" fillId="0" borderId="0" xfId="26" applyAlignment="1">
      <alignment horizontal="left" vertical="center" wrapText="1"/>
    </xf>
    <xf numFmtId="0" fontId="5" fillId="0" borderId="0" xfId="0" applyFont="1" applyAlignment="1">
      <alignment horizontal="left" indent="1"/>
    </xf>
    <xf numFmtId="0" fontId="16" fillId="0" borderId="0" xfId="26" applyFill="1" applyBorder="1" applyAlignment="1">
      <alignment horizontal="left" vertical="center" wrapText="1" indent="1"/>
    </xf>
    <xf numFmtId="0" fontId="16" fillId="0" borderId="0" xfId="26" applyAlignment="1">
      <alignment horizontal="left" vertical="center" wrapText="1" indent="1"/>
    </xf>
    <xf numFmtId="0" fontId="16" fillId="0" borderId="0" xfId="26" applyFill="1" applyAlignment="1">
      <alignment horizontal="left" vertical="center" wrapText="1" indent="1"/>
    </xf>
    <xf numFmtId="0" fontId="16" fillId="0" borderId="0" xfId="26" applyNumberFormat="1" applyFill="1" applyAlignment="1">
      <alignment horizontal="left" vertical="center" wrapText="1" indent="1"/>
    </xf>
    <xf numFmtId="0" fontId="27" fillId="0" borderId="0" xfId="3" applyFill="1" applyAlignment="1" applyProtection="1">
      <alignment horizontal="left" vertical="center"/>
    </xf>
    <xf numFmtId="0" fontId="16" fillId="0" borderId="0" xfId="21" applyFill="1" applyAlignment="1" applyProtection="1">
      <alignment horizontal="left" vertical="center" indent="1"/>
    </xf>
    <xf numFmtId="0" fontId="36" fillId="0" borderId="0" xfId="21" applyFont="1" applyFill="1" applyAlignment="1" applyProtection="1">
      <alignment horizontal="left" vertical="center" indent="1"/>
    </xf>
    <xf numFmtId="0" fontId="37" fillId="0" borderId="0" xfId="0" applyFont="1">
      <alignment horizontal="left" vertical="center"/>
    </xf>
    <xf numFmtId="17" fontId="8" fillId="0" borderId="0" xfId="3" applyNumberFormat="1" applyFont="1" applyFill="1" applyAlignment="1" applyProtection="1">
      <alignment horizontal="left" vertical="top"/>
    </xf>
    <xf numFmtId="0" fontId="8" fillId="0" borderId="0" xfId="3" applyNumberFormat="1" applyFont="1" applyFill="1" applyAlignment="1" applyProtection="1">
      <alignment horizontal="left" vertical="top"/>
    </xf>
  </cellXfs>
  <cellStyles count="51">
    <cellStyle name="20% - Énfasis1" xfId="15" builtinId="30" customBuiltin="1"/>
    <cellStyle name="20% - Énfasis2" xfId="44" builtinId="34" customBuiltin="1"/>
    <cellStyle name="20% - Énfasis3" xfId="21" builtinId="38" customBuiltin="1"/>
    <cellStyle name="20% - Énfasis4" xfId="7" builtinId="42" customBuiltin="1"/>
    <cellStyle name="20% - Énfasis5" xfId="47" builtinId="46" customBuiltin="1"/>
    <cellStyle name="20% - Énfasis6" xfId="11" builtinId="50" customBuiltin="1"/>
    <cellStyle name="40% - Énfasis1" xfId="16" builtinId="31" customBuiltin="1"/>
    <cellStyle name="40% - Énfasis2" xfId="19" builtinId="35" customBuiltin="1"/>
    <cellStyle name="40% - Énfasis3" xfId="22" builtinId="39" customBuiltin="1"/>
    <cellStyle name="40% - Énfasis4" xfId="8" builtinId="43" customBuiltin="1"/>
    <cellStyle name="40% - Énfasis5" xfId="24" builtinId="47" customBuiltin="1"/>
    <cellStyle name="40% - Énfasis6" xfId="12" builtinId="51" customBuiltin="1"/>
    <cellStyle name="60% - Énfasis1" xfId="17" builtinId="32" customBuiltin="1"/>
    <cellStyle name="60% - Énfasis2" xfId="45" builtinId="36" customBuiltin="1"/>
    <cellStyle name="60% - Énfasis3" xfId="23" builtinId="40" customBuiltin="1"/>
    <cellStyle name="60% - Énfasis4" xfId="9" builtinId="44" customBuiltin="1"/>
    <cellStyle name="60% - Énfasis5" xfId="48" builtinId="48" customBuiltin="1"/>
    <cellStyle name="60% - Énfasis6" xfId="13" builtinId="52" customBuiltin="1"/>
    <cellStyle name="Bueno" xfId="33" builtinId="26" customBuiltin="1"/>
    <cellStyle name="Cálculo" xfId="38" builtinId="22" customBuiltin="1"/>
    <cellStyle name="Celda de comprobación" xfId="40" builtinId="23" customBuiltin="1"/>
    <cellStyle name="Celda vinculada" xfId="39" builtinId="24" customBuiltin="1"/>
    <cellStyle name="Empleado" xfId="26" xr:uid="{00000000-0005-0000-0000-000013000000}"/>
    <cellStyle name="Encabezado 1" xfId="2" builtinId="16" customBuiltin="1"/>
    <cellStyle name="Encabezado 4" xfId="5" builtinId="19" customBuiltin="1"/>
    <cellStyle name="Énfasis1" xfId="14" builtinId="29" customBuiltin="1"/>
    <cellStyle name="Énfasis2" xfId="18" builtinId="33" customBuiltin="1"/>
    <cellStyle name="Énfasis3" xfId="20" builtinId="37" customBuiltin="1"/>
    <cellStyle name="Énfasis4" xfId="6" builtinId="41" customBuiltin="1"/>
    <cellStyle name="Énfasis5" xfId="46" builtinId="45" customBuiltin="1"/>
    <cellStyle name="Énfasis6" xfId="10" builtinId="49" customBuiltin="1"/>
    <cellStyle name="Entrada" xfId="36" builtinId="20" customBuiltin="1"/>
    <cellStyle name="Etiqueta" xfId="27" xr:uid="{00000000-0005-0000-0000-000018000000}"/>
    <cellStyle name="Hipervínculo 2" xfId="50" xr:uid="{DFFB9BD2-8802-4DBF-93CF-66AED831DC9E}"/>
    <cellStyle name="Incorrecto" xfId="34" builtinId="27" customBuiltin="1"/>
    <cellStyle name="Millares" xfId="28" builtinId="3" customBuiltin="1"/>
    <cellStyle name="Millares [0]" xfId="29" builtinId="6" customBuiltin="1"/>
    <cellStyle name="Moneda" xfId="30" builtinId="4" customBuiltin="1"/>
    <cellStyle name="Moneda [0]" xfId="31" builtinId="7" customBuiltin="1"/>
    <cellStyle name="Neutral" xfId="35" builtinId="28" customBuiltin="1"/>
    <cellStyle name="Normal" xfId="0" builtinId="0" customBuiltin="1"/>
    <cellStyle name="Normal 2" xfId="49" xr:uid="{71097200-DF8E-4529-8733-C970ADE6D011}"/>
    <cellStyle name="Notas" xfId="42" builtinId="10" customBuiltin="1"/>
    <cellStyle name="Porcentaje" xfId="32" builtinId="5" customBuiltin="1"/>
    <cellStyle name="Salida" xfId="37" builtinId="21" customBuiltin="1"/>
    <cellStyle name="Texto de advertencia" xfId="41" builtinId="11" customBuiltin="1"/>
    <cellStyle name="Texto explicativo" xfId="43" builtinId="53" customBuiltin="1"/>
    <cellStyle name="Título" xfId="1" builtinId="15" customBuiltin="1"/>
    <cellStyle name="Título 2" xfId="3" builtinId="17" customBuiltin="1"/>
    <cellStyle name="Título 3" xfId="4" builtinId="18" customBuiltin="1"/>
    <cellStyle name="Total" xfId="25" builtinId="25" customBuiltin="1"/>
  </cellStyles>
  <dxfs count="1239">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8" tint="0.59996337778862885"/>
        </patternFill>
      </fill>
    </dxf>
    <dxf>
      <font>
        <color theme="1"/>
      </font>
      <fill>
        <patternFill>
          <bgColor theme="7" tint="0.59996337778862885"/>
        </patternFill>
      </fill>
    </dxf>
    <dxf>
      <font>
        <color theme="1"/>
      </font>
      <fill>
        <patternFill>
          <bgColor theme="6" tint="0.39994506668294322"/>
        </patternFill>
      </fill>
    </dxf>
    <dxf>
      <font>
        <color theme="1"/>
      </font>
      <fill>
        <patternFill>
          <bgColor theme="5" tint="0.59996337778862885"/>
        </patternFill>
      </fill>
    </dxf>
    <dxf>
      <font>
        <color theme="1"/>
      </font>
      <fill>
        <patternFill>
          <bgColor theme="4" tint="0.39994506668294322"/>
        </patternFill>
      </fill>
    </dxf>
    <dxf>
      <font>
        <color theme="1"/>
      </font>
      <fill>
        <patternFill>
          <bgColor theme="8" tint="0.59996337778862885"/>
        </patternFill>
      </fill>
    </dxf>
    <dxf>
      <font>
        <color theme="1"/>
      </font>
      <fill>
        <patternFill>
          <bgColor theme="7" tint="0.59996337778862885"/>
        </patternFill>
      </fill>
    </dxf>
    <dxf>
      <font>
        <color theme="1"/>
      </font>
      <fill>
        <patternFill>
          <bgColor theme="6" tint="0.39994506668294322"/>
        </patternFill>
      </fill>
    </dxf>
    <dxf>
      <font>
        <color theme="1"/>
      </font>
      <fill>
        <patternFill>
          <bgColor theme="5" tint="0.59996337778862885"/>
        </patternFill>
      </fill>
    </dxf>
    <dxf>
      <font>
        <color theme="1"/>
      </font>
      <fill>
        <patternFill>
          <bgColor theme="4"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6" tint="0.39994506668294322"/>
        </patternFill>
      </fill>
    </dxf>
    <dxf>
      <font>
        <color theme="1"/>
      </font>
      <fill>
        <patternFill>
          <bgColor theme="5" tint="0.59996337778862885"/>
        </patternFill>
      </fill>
    </dxf>
    <dxf>
      <font>
        <color theme="1"/>
      </font>
      <fill>
        <patternFill>
          <bgColor theme="4" tint="0.39994506668294322"/>
        </patternFill>
      </fill>
    </dxf>
    <dxf>
      <font>
        <color theme="1"/>
      </font>
      <fill>
        <patternFill>
          <bgColor theme="8" tint="0.59996337778862885"/>
        </patternFill>
      </fill>
    </dxf>
    <dxf>
      <font>
        <color theme="1"/>
      </font>
      <fill>
        <patternFill>
          <bgColor theme="7" tint="0.59996337778862885"/>
        </patternFill>
      </fill>
    </dxf>
    <dxf>
      <font>
        <color theme="1"/>
      </font>
      <fill>
        <patternFill>
          <bgColor theme="6" tint="0.39994506668294322"/>
        </patternFill>
      </fill>
    </dxf>
    <dxf>
      <font>
        <color theme="1"/>
      </font>
      <fill>
        <patternFill>
          <bgColor theme="5"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8" tint="0.59996337778862885"/>
        </patternFill>
      </fill>
    </dxf>
    <dxf>
      <font>
        <color theme="1"/>
      </font>
      <fill>
        <patternFill>
          <bgColor theme="7" tint="0.59996337778862885"/>
        </patternFill>
      </fill>
    </dxf>
    <dxf>
      <font>
        <color theme="1"/>
      </font>
      <fill>
        <patternFill>
          <bgColor theme="6" tint="0.39994506668294322"/>
        </patternFill>
      </fill>
    </dxf>
    <dxf>
      <font>
        <color theme="1"/>
      </font>
      <fill>
        <patternFill>
          <bgColor theme="5" tint="0.59996337778862885"/>
        </patternFill>
      </fill>
    </dxf>
    <dxf>
      <font>
        <color theme="1"/>
      </font>
      <fill>
        <patternFill>
          <bgColor theme="4" tint="0.39994506668294322"/>
        </patternFill>
      </fill>
    </dxf>
    <dxf>
      <font>
        <color theme="1"/>
      </font>
      <fill>
        <patternFill>
          <bgColor theme="7" tint="0.59996337778862885"/>
        </patternFill>
      </fill>
    </dxf>
    <dxf>
      <font>
        <color theme="1"/>
      </font>
      <fill>
        <patternFill>
          <bgColor theme="6" tint="0.39994506668294322"/>
        </patternFill>
      </fill>
    </dxf>
    <dxf>
      <font>
        <color theme="1"/>
      </font>
      <fill>
        <patternFill>
          <bgColor theme="5" tint="0.59996337778862885"/>
        </patternFill>
      </fill>
    </dxf>
    <dxf>
      <font>
        <color theme="1"/>
      </font>
      <fill>
        <patternFill>
          <bgColor theme="4" tint="0.39994506668294322"/>
        </patternFill>
      </fill>
    </dxf>
    <dxf>
      <font>
        <color theme="1"/>
      </font>
      <fill>
        <patternFill>
          <bgColor theme="8" tint="0.59996337778862885"/>
        </patternFill>
      </fill>
    </dxf>
    <dxf>
      <font>
        <color theme="1"/>
      </font>
      <fill>
        <patternFill>
          <bgColor theme="8" tint="0.59996337778862885"/>
        </patternFill>
      </fill>
    </dxf>
    <dxf>
      <font>
        <color theme="1"/>
      </font>
      <fill>
        <patternFill>
          <bgColor theme="7" tint="0.59996337778862885"/>
        </patternFill>
      </fill>
    </dxf>
    <dxf>
      <font>
        <color theme="1"/>
      </font>
      <fill>
        <patternFill>
          <bgColor theme="6" tint="0.39994506668294322"/>
        </patternFill>
      </fill>
    </dxf>
    <dxf>
      <font>
        <color theme="1"/>
      </font>
      <fill>
        <patternFill>
          <bgColor theme="5" tint="0.59996337778862885"/>
        </patternFill>
      </fill>
    </dxf>
    <dxf>
      <font>
        <color theme="1"/>
      </font>
      <fill>
        <patternFill>
          <bgColor theme="4" tint="0.39994506668294322"/>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8" tint="0.59996337778862885"/>
        </patternFill>
      </fill>
    </dxf>
    <dxf>
      <font>
        <color theme="1"/>
      </font>
      <fill>
        <patternFill>
          <bgColor theme="7" tint="0.59996337778862885"/>
        </patternFill>
      </fill>
    </dxf>
    <dxf>
      <font>
        <color theme="1"/>
      </font>
      <fill>
        <patternFill>
          <bgColor theme="6" tint="0.39994506668294322"/>
        </patternFill>
      </fill>
    </dxf>
    <dxf>
      <font>
        <color theme="1"/>
      </font>
      <fill>
        <patternFill>
          <bgColor theme="5" tint="0.59996337778862885"/>
        </patternFill>
      </fill>
    </dxf>
    <dxf>
      <font>
        <color theme="1"/>
      </font>
      <fill>
        <patternFill>
          <bgColor theme="4" tint="0.39994506668294322"/>
        </patternFill>
      </fill>
    </dxf>
    <dxf>
      <font>
        <color theme="1"/>
      </font>
      <fill>
        <patternFill>
          <bgColor theme="8" tint="0.59996337778862885"/>
        </patternFill>
      </fill>
    </dxf>
    <dxf>
      <font>
        <color theme="1"/>
      </font>
      <fill>
        <patternFill>
          <bgColor theme="7" tint="0.59996337778862885"/>
        </patternFill>
      </fill>
    </dxf>
    <dxf>
      <font>
        <color theme="1"/>
      </font>
      <fill>
        <patternFill>
          <bgColor theme="6" tint="0.39994506668294322"/>
        </patternFill>
      </fill>
    </dxf>
    <dxf>
      <font>
        <color theme="1"/>
      </font>
      <fill>
        <patternFill>
          <bgColor theme="5" tint="0.59996337778862885"/>
        </patternFill>
      </fill>
    </dxf>
    <dxf>
      <font>
        <color theme="1"/>
      </font>
      <fill>
        <patternFill>
          <bgColor theme="4" tint="0.39994506668294322"/>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8" tint="0.59996337778862885"/>
        </patternFill>
      </fill>
    </dxf>
    <dxf>
      <font>
        <color theme="1"/>
      </font>
      <fill>
        <patternFill>
          <bgColor theme="7" tint="0.59996337778862885"/>
        </patternFill>
      </fill>
    </dxf>
    <dxf>
      <font>
        <color theme="1"/>
      </font>
      <fill>
        <patternFill>
          <bgColor theme="6" tint="0.39994506668294322"/>
        </patternFill>
      </fill>
    </dxf>
    <dxf>
      <font>
        <color theme="1"/>
      </font>
      <fill>
        <patternFill>
          <bgColor theme="5" tint="0.59996337778862885"/>
        </patternFill>
      </fill>
    </dxf>
    <dxf>
      <font>
        <color theme="1"/>
      </font>
      <fill>
        <patternFill>
          <bgColor theme="4" tint="0.39994506668294322"/>
        </patternFill>
      </fill>
    </dxf>
    <dxf>
      <font>
        <color theme="1"/>
      </font>
      <fill>
        <patternFill>
          <bgColor theme="8" tint="0.59996337778862885"/>
        </patternFill>
      </fill>
    </dxf>
    <dxf>
      <font>
        <color theme="1"/>
      </font>
      <fill>
        <patternFill>
          <bgColor theme="7" tint="0.59996337778862885"/>
        </patternFill>
      </fill>
    </dxf>
    <dxf>
      <font>
        <color theme="1"/>
      </font>
      <fill>
        <patternFill>
          <bgColor theme="6" tint="0.39994506668294322"/>
        </patternFill>
      </fill>
    </dxf>
    <dxf>
      <font>
        <color theme="1"/>
      </font>
      <fill>
        <patternFill>
          <bgColor theme="5" tint="0.59996337778862885"/>
        </patternFill>
      </fill>
    </dxf>
    <dxf>
      <font>
        <color theme="1"/>
      </font>
      <fill>
        <patternFill>
          <bgColor theme="4" tint="0.39994506668294322"/>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8" tint="0.59996337778862885"/>
        </patternFill>
      </fill>
    </dxf>
    <dxf>
      <font>
        <color theme="1"/>
      </font>
      <fill>
        <patternFill>
          <bgColor theme="7" tint="0.59996337778862885"/>
        </patternFill>
      </fill>
    </dxf>
    <dxf>
      <font>
        <color theme="1"/>
      </font>
      <fill>
        <patternFill>
          <bgColor theme="6" tint="0.39994506668294322"/>
        </patternFill>
      </fill>
    </dxf>
    <dxf>
      <font>
        <color theme="1"/>
      </font>
      <fill>
        <patternFill>
          <bgColor theme="5" tint="0.59996337778862885"/>
        </patternFill>
      </fill>
    </dxf>
    <dxf>
      <font>
        <color theme="1"/>
      </font>
      <fill>
        <patternFill>
          <bgColor theme="4" tint="0.39994506668294322"/>
        </patternFill>
      </fill>
    </dxf>
    <dxf>
      <font>
        <color theme="1"/>
      </font>
      <fill>
        <patternFill>
          <bgColor theme="8" tint="0.59996337778862885"/>
        </patternFill>
      </fill>
    </dxf>
    <dxf>
      <font>
        <color theme="1"/>
      </font>
      <fill>
        <patternFill>
          <bgColor theme="7" tint="0.59996337778862885"/>
        </patternFill>
      </fill>
    </dxf>
    <dxf>
      <font>
        <color theme="1"/>
      </font>
      <fill>
        <patternFill>
          <bgColor theme="6" tint="0.39994506668294322"/>
        </patternFill>
      </fill>
    </dxf>
    <dxf>
      <font>
        <color theme="1"/>
      </font>
      <fill>
        <patternFill>
          <bgColor theme="5" tint="0.59996337778862885"/>
        </patternFill>
      </fill>
    </dxf>
    <dxf>
      <font>
        <color theme="1"/>
      </font>
      <fill>
        <patternFill>
          <bgColor theme="4" tint="0.39994506668294322"/>
        </patternFill>
      </fill>
    </dxf>
    <dxf>
      <font>
        <color theme="1"/>
      </font>
      <fill>
        <patternFill>
          <bgColor theme="8" tint="0.59996337778862885"/>
        </patternFill>
      </fill>
    </dxf>
    <dxf>
      <font>
        <color theme="1"/>
      </font>
      <fill>
        <patternFill>
          <bgColor theme="7" tint="0.59996337778862885"/>
        </patternFill>
      </fill>
    </dxf>
    <dxf>
      <font>
        <color theme="1"/>
      </font>
      <fill>
        <patternFill>
          <bgColor theme="6" tint="0.39994506668294322"/>
        </patternFill>
      </fill>
    </dxf>
    <dxf>
      <font>
        <color theme="1"/>
      </font>
      <fill>
        <patternFill>
          <bgColor theme="5" tint="0.59996337778862885"/>
        </patternFill>
      </fill>
    </dxf>
    <dxf>
      <font>
        <color theme="1"/>
      </font>
      <fill>
        <patternFill>
          <bgColor theme="4" tint="0.39994506668294322"/>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b val="0"/>
        <i val="0"/>
        <color theme="3"/>
      </font>
      <border>
        <vertical/>
        <horizontal/>
      </border>
    </dxf>
    <dxf>
      <font>
        <color theme="0"/>
      </font>
      <border>
        <vertical/>
        <horizontal/>
      </border>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font>
        <color theme="1"/>
      </font>
      <fill>
        <patternFill>
          <bgColor theme="4" tint="0.39994506668294322"/>
        </patternFill>
      </fill>
    </dxf>
    <dxf>
      <font>
        <color theme="1"/>
      </font>
      <fill>
        <patternFill>
          <bgColor theme="5" tint="0.59996337778862885"/>
        </patternFill>
      </fill>
    </dxf>
    <dxf>
      <font>
        <color theme="1"/>
      </font>
      <fill>
        <patternFill>
          <bgColor theme="6" tint="0.39994506668294322"/>
        </patternFill>
      </fill>
    </dxf>
    <dxf>
      <font>
        <color theme="1"/>
      </font>
      <fill>
        <patternFill>
          <bgColor theme="7" tint="0.59996337778862885"/>
        </patternFill>
      </fill>
    </dxf>
    <dxf>
      <font>
        <color theme="1"/>
      </font>
      <fill>
        <patternFill>
          <bgColor theme="8" tint="0.59996337778862885"/>
        </patternFill>
      </fill>
    </dxf>
    <dxf>
      <alignment horizontal="left" textRotation="0" indent="0" justifyLastLine="0" shrinkToFit="0" readingOrder="0"/>
    </dxf>
    <dxf>
      <alignment horizontal="left" textRotation="0" indent="0" justifyLastLine="0" shrinkToFit="0" readingOrder="0"/>
    </dxf>
    <dxf>
      <alignment horizontal="left" textRotation="0" wrapText="0" indent="0" justifyLastLine="0" shrinkToFit="0" readingOrder="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alignment horizontal="left" textRotation="0" relativeIndent="1" justifyLastLine="0" shrinkToFit="0" readingOrder="0"/>
      <protection locked="1" hidden="0"/>
    </dxf>
    <dxf>
      <protection locked="1" hidden="0"/>
    </dxf>
    <dxf>
      <protection locked="1" hidden="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fill>
        <patternFill patternType="none">
          <fgColor indexed="64"/>
          <bgColor indexed="65"/>
        </patternFill>
      </fill>
      <alignment horizontal="left" vertical="center" textRotation="0" wrapText="1" relativeIndent="1" justifyLastLine="0" shrinkToFit="0" readingOrder="0"/>
    </dxf>
    <dxf>
      <protection locked="1" hidden="0"/>
    </dxf>
    <dxf>
      <protection locked="1" hidden="0"/>
    </dxf>
    <dxf>
      <alignment horizontal="center" vertical="center" textRotation="0" wrapText="0" indent="0" justifyLastLine="0" shrinkToFit="0" readingOrder="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fill>
        <patternFill patternType="none">
          <fgColor indexed="64"/>
          <bgColor indexed="65"/>
        </patternFill>
      </fill>
      <alignment horizontal="left" vertical="center" textRotation="0" wrapText="1" relativeIndent="1" justifyLastLine="0" shrinkToFit="0" readingOrder="0"/>
    </dxf>
    <dxf>
      <protection locked="1" hidden="0"/>
    </dxf>
    <dxf>
      <protection locked="1" hidden="0"/>
    </dxf>
    <dxf>
      <alignment horizontal="center" vertical="center" textRotation="0" wrapText="0" indent="0" justifyLastLine="0" shrinkToFit="0" readingOrder="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alignment horizontal="left" vertical="center" textRotation="0" wrapText="1" relativeIndent="1" justifyLastLine="0" shrinkToFit="0" readingOrder="0"/>
      <protection locked="1" hidden="0"/>
    </dxf>
    <dxf>
      <protection locked="1" hidden="0"/>
    </dxf>
    <dxf>
      <protection locked="1" hidden="0"/>
    </dxf>
    <dxf>
      <alignment horizontal="center" vertical="center" textRotation="0" wrapText="0" indent="0" justifyLastLine="0" shrinkToFit="0" readingOrder="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alignment horizontal="left" textRotation="0" relativeIndent="1" justifyLastLine="0" shrinkToFit="0" readingOrder="0"/>
      <protection locked="1" hidden="0"/>
    </dxf>
    <dxf>
      <protection locked="1" hidden="0"/>
    </dxf>
    <dxf>
      <protection locked="1" hidden="0"/>
    </dxf>
    <dxf>
      <alignment horizontal="center" vertical="center" textRotation="0" wrapText="0" indent="0" justifyLastLine="0" shrinkToFit="0" readingOrder="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alignment horizontal="left" textRotation="0" relativeIndent="1" justifyLastLine="0" shrinkToFit="0" readingOrder="0"/>
      <protection locked="1" hidden="0"/>
    </dxf>
    <dxf>
      <protection locked="1" hidden="0"/>
    </dxf>
    <dxf>
      <protection locked="1" hidden="0"/>
    </dxf>
    <dxf>
      <alignment horizontal="center" vertical="center" textRotation="0" wrapText="0" indent="0" justifyLastLine="0" shrinkToFit="0" readingOrder="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alignment horizontal="left" textRotation="0" relativeIndent="1" justifyLastLine="0" shrinkToFit="0" readingOrder="0"/>
      <protection locked="1" hidden="0"/>
    </dxf>
    <dxf>
      <protection locked="1" hidden="0"/>
    </dxf>
    <dxf>
      <protection locked="1" hidden="0"/>
    </dxf>
    <dxf>
      <alignment horizontal="center" vertical="center" textRotation="0" wrapText="0" indent="0" justifyLastLine="0" shrinkToFit="0" readingOrder="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alignment horizontal="left" textRotation="0" relativeIndent="1" justifyLastLine="0" shrinkToFit="0" readingOrder="0"/>
      <protection locked="1" hidden="0"/>
    </dxf>
    <dxf>
      <protection locked="1" hidden="0"/>
    </dxf>
    <dxf>
      <protection locked="1" hidden="0"/>
    </dxf>
    <dxf>
      <alignment horizontal="center" vertical="center" textRotation="0" wrapText="0" indent="0" justifyLastLine="0" shrinkToFit="0" readingOrder="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protection locked="1" hidden="0"/>
    </dxf>
    <dxf>
      <protection locked="1" hidden="0"/>
    </dxf>
    <dxf>
      <protection locked="1" hidden="0"/>
    </dxf>
    <dxf>
      <alignment horizontal="center" vertical="center" textRotation="0" wrapText="0" indent="0" justifyLastLine="0" shrinkToFit="0" readingOrder="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protection locked="1" hidden="0"/>
    </dxf>
    <dxf>
      <protection locked="1" hidden="0"/>
    </dxf>
    <dxf>
      <protection locked="1" hidden="0"/>
    </dxf>
    <dxf>
      <alignment horizontal="center" vertical="center" textRotation="0" wrapText="0" indent="0" justifyLastLine="0" shrinkToFit="0" readingOrder="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protection locked="1" hidden="0"/>
    </dxf>
    <dxf>
      <protection locked="1" hidden="0"/>
    </dxf>
    <dxf>
      <protection locked="1" hidden="0"/>
    </dxf>
    <dxf>
      <alignment horizontal="center" vertical="center" textRotation="0" wrapText="0" indent="0" justifyLastLine="0" shrinkToFit="0" readingOrder="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protection locked="1" hidden="0"/>
    </dxf>
    <dxf>
      <protection locked="1" hidden="0"/>
    </dxf>
    <dxf>
      <protection locked="1" hidden="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numFmt numFmtId="0" formatCode="General"/>
      <fill>
        <patternFill patternType="none">
          <fgColor indexed="64"/>
          <bgColor indexed="65"/>
        </patternFill>
      </fill>
      <protection locked="1" hidden="0"/>
    </dxf>
    <dxf>
      <protection locked="1" hidden="0"/>
    </dxf>
    <dxf>
      <protection locked="1" hidden="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numFmt numFmtId="168" formatCode="0;0;"/>
      <alignment horizontal="center" vertical="center" textRotation="0" wrapText="0" indent="0" justifyLastLine="0" shrinkToFit="0" readingOrder="0"/>
    </dxf>
    <dxf>
      <font>
        <b val="0"/>
        <i val="0"/>
        <strike val="0"/>
        <outline val="0"/>
        <shadow val="0"/>
        <u val="none"/>
        <vertAlign val="baseline"/>
        <sz val="11"/>
        <color theme="0"/>
        <name val="Calibri"/>
        <family val="2"/>
        <scheme val="minor"/>
      </font>
      <protection locked="1" hidden="0"/>
    </dxf>
    <dxf>
      <alignment horizontal="left" vertical="center" textRotation="0" wrapText="0" indent="1" justifyLastLine="0" shrinkToFit="0" readingOrder="0"/>
    </dxf>
    <dxf>
      <fill>
        <patternFill patternType="none">
          <fgColor indexed="64"/>
          <bgColor indexed="65"/>
        </patternFill>
      </fill>
      <protection locked="1" hidden="0"/>
    </dxf>
    <dxf>
      <protection locked="1" hidden="0"/>
    </dxf>
    <dxf>
      <protection locked="1" hidden="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numFmt numFmtId="168" formatCode="0;0;"/>
      <alignment horizontal="center" vertical="center" textRotation="0" wrapText="0" indent="0" justifyLastLine="0" shrinkToFit="0" readingOrder="0"/>
    </dxf>
    <dxf>
      <protection locked="1" hidden="0"/>
    </dxf>
    <dxf>
      <alignment horizontal="left" vertical="center" textRotation="0" wrapText="0" indent="1" justifyLastLine="0" shrinkToFit="0" readingOrder="0"/>
    </dxf>
    <dxf>
      <fill>
        <patternFill patternType="none">
          <fgColor indexed="64"/>
          <bgColor indexed="65"/>
        </patternFill>
      </fill>
    </dxf>
    <dxf>
      <protection locked="1" hidden="0"/>
    </dxf>
    <dxf>
      <protection locked="1" hidden="0"/>
    </dxf>
    <dxf>
      <alignment horizontal="center" vertical="center" textRotation="0" wrapText="0" indent="0" justifyLastLine="0" shrinkToFit="0" readingOrder="0"/>
    </dxf>
    <dxf>
      <fill>
        <patternFill patternType="solid">
          <bgColor theme="5" tint="0.39994506668294322"/>
        </patternFill>
      </fill>
      <border diagonalUp="0" diagonalDown="0">
        <left/>
        <right/>
        <top style="thin">
          <color theme="5" tint="0.59996337778862885"/>
        </top>
        <bottom style="thick">
          <color theme="5"/>
        </bottom>
        <vertical style="thick">
          <color theme="0"/>
        </vertical>
        <horizontal style="thin">
          <color theme="5" tint="0.59996337778862885"/>
        </horizontal>
      </border>
    </dxf>
    <dxf>
      <font>
        <color theme="1"/>
      </font>
      <fill>
        <patternFill patternType="solid">
          <bgColor theme="5" tint="0.39994506668294322"/>
        </patternFill>
      </fill>
      <border diagonalUp="0" diagonalDown="0">
        <left/>
        <right/>
        <top style="thin">
          <color theme="5" tint="0.59996337778862885"/>
        </top>
        <bottom style="thick">
          <color theme="5"/>
        </bottom>
        <vertical style="thick">
          <color theme="0"/>
        </vertical>
        <horizontal style="thin">
          <color theme="5" tint="0.59996337778862885"/>
        </horizontal>
      </border>
    </dxf>
    <dxf>
      <font>
        <color theme="1"/>
      </font>
      <fill>
        <patternFill patternType="solid">
          <bgColor theme="2"/>
        </patternFill>
      </fill>
      <border diagonalUp="0" diagonalDown="0">
        <left/>
        <right/>
        <top/>
        <bottom style="thin">
          <color theme="0" tint="-0.14996795556505021"/>
        </bottom>
        <vertical/>
        <horizontal/>
      </border>
    </dxf>
    <dxf>
      <font>
        <color theme="1"/>
      </font>
      <fill>
        <patternFill patternType="none">
          <bgColor auto="1"/>
        </patternFill>
      </fill>
      <border diagonalUp="0" diagonalDown="0">
        <left/>
        <right/>
        <top style="thin">
          <color theme="0" tint="-0.14996795556505021"/>
        </top>
        <bottom style="thin">
          <color theme="0" tint="-0.14993743705557422"/>
        </bottom>
        <vertical/>
        <horizontal/>
      </border>
    </dxf>
    <dxf>
      <fill>
        <patternFill>
          <bgColor theme="0" tint="-0.14996795556505021"/>
        </patternFill>
      </fill>
      <border>
        <left style="thin">
          <color theme="0"/>
        </left>
        <right style="thin">
          <color theme="0"/>
        </right>
        <vertical style="thin">
          <color theme="0"/>
        </vertical>
      </border>
    </dxf>
    <dxf>
      <fill>
        <patternFill>
          <bgColor theme="0" tint="-4.9989318521683403E-2"/>
        </patternFill>
      </fill>
      <border>
        <left style="thin">
          <color theme="0"/>
        </left>
        <right style="thin">
          <color theme="0"/>
        </right>
        <top style="thick">
          <color theme="5" tint="0.59996337778862885"/>
        </top>
        <bottom style="thick">
          <color theme="5" tint="0.59996337778862885"/>
        </bottom>
        <vertical style="thin">
          <color theme="0"/>
        </vertical>
        <horizontal style="thick">
          <color theme="5" tint="0.59996337778862885"/>
        </horizontal>
      </border>
    </dxf>
    <dxf>
      <fill>
        <patternFill>
          <bgColor theme="5" tint="0.79998168889431442"/>
        </patternFill>
      </fill>
      <border>
        <top style="thick">
          <color theme="0"/>
        </top>
        <bottom style="thick">
          <color theme="0"/>
        </bottom>
        <horizontal style="thick">
          <color theme="0"/>
        </horizontal>
      </border>
    </dxf>
    <dxf>
      <fill>
        <patternFill patternType="none">
          <fgColor auto="1"/>
          <bgColor auto="1"/>
        </patternFill>
      </fill>
      <border>
        <top style="thick">
          <color theme="0"/>
        </top>
        <bottom style="thick">
          <color theme="0"/>
        </bottom>
        <horizontal style="thick">
          <color theme="0"/>
        </horizontal>
      </border>
    </dxf>
    <dxf>
      <font>
        <b/>
        <i val="0"/>
        <color theme="1"/>
      </font>
      <fill>
        <patternFill patternType="none">
          <bgColor auto="1"/>
        </patternFill>
      </fill>
      <border diagonalUp="0" diagonalDown="0">
        <left/>
        <right/>
        <top style="thin">
          <color theme="5" tint="0.59996337778862885"/>
        </top>
        <bottom style="thin">
          <color theme="5" tint="0.59996337778862885"/>
        </bottom>
        <vertical/>
        <horizontal style="thin">
          <color theme="5" tint="0.59996337778862885"/>
        </horizontal>
      </border>
    </dxf>
    <dxf>
      <font>
        <color theme="1"/>
      </font>
      <fill>
        <patternFill patternType="none">
          <bgColor auto="1"/>
        </patternFill>
      </fill>
      <border>
        <left/>
        <right/>
        <top style="thin">
          <color theme="5" tint="0.59996337778862885"/>
        </top>
        <bottom style="thin">
          <color theme="5" tint="0.59996337778862885"/>
        </bottom>
        <vertical/>
        <horizontal style="thin">
          <color theme="5" tint="0.59996337778862885"/>
        </horizontal>
      </border>
    </dxf>
    <dxf>
      <font>
        <color theme="1"/>
      </font>
      <fill>
        <patternFill>
          <bgColor theme="5" tint="0.39994506668294322"/>
        </patternFill>
      </fill>
      <border diagonalUp="0" diagonalDown="0">
        <left style="thin">
          <color theme="0"/>
        </left>
        <right style="thin">
          <color theme="0"/>
        </right>
        <top style="thick">
          <color theme="0"/>
        </top>
        <bottom style="thick">
          <color theme="5"/>
        </bottom>
        <vertical style="thick">
          <color theme="0"/>
        </vertical>
        <horizontal/>
      </border>
    </dxf>
    <dxf>
      <font>
        <color theme="0"/>
      </font>
      <fill>
        <patternFill>
          <bgColor theme="5" tint="-0.24994659260841701"/>
        </patternFill>
      </fill>
      <border>
        <top style="thin">
          <color theme="5" tint="0.59996337778862885"/>
        </top>
        <bottom style="thin">
          <color theme="5" tint="0.59996337778862885"/>
        </bottom>
        <horizontal style="thin">
          <color theme="5" tint="0.59996337778862885"/>
        </horizontal>
      </border>
    </dxf>
    <dxf>
      <font>
        <b/>
        <i val="0"/>
        <color theme="0"/>
      </font>
      <border diagonalUp="0" diagonalDown="0">
        <left/>
        <right/>
        <top/>
        <bottom style="thick">
          <color theme="0"/>
        </bottom>
        <vertical style="thick">
          <color theme="0"/>
        </vertical>
        <horizontal style="thick">
          <color theme="0"/>
        </horizontal>
      </border>
    </dxf>
    <dxf>
      <fill>
        <patternFill patternType="solid">
          <fgColor theme="5" tint="0.39994506668294322"/>
          <bgColor theme="5" tint="0.39991454817346722"/>
        </patternFill>
      </fill>
      <border diagonalUp="0" diagonalDown="0">
        <left/>
        <right/>
        <top style="thin">
          <color theme="5" tint="0.59996337778862885"/>
        </top>
        <bottom style="thick">
          <color theme="5"/>
        </bottom>
        <vertical style="thick">
          <color theme="0"/>
        </vertical>
        <horizontal style="thin">
          <color theme="5" tint="0.59996337778862885"/>
        </horizontal>
      </border>
    </dxf>
    <dxf>
      <font>
        <color theme="1"/>
      </font>
      <fill>
        <patternFill patternType="solid">
          <fgColor theme="5" tint="0.39994506668294322"/>
          <bgColor theme="5" tint="0.39991454817346722"/>
        </patternFill>
      </fill>
      <border diagonalUp="0" diagonalDown="0">
        <left/>
        <right/>
        <top style="thin">
          <color theme="5" tint="0.59996337778862885"/>
        </top>
        <bottom style="thick">
          <color theme="5"/>
        </bottom>
        <vertical style="thick">
          <color theme="0"/>
        </vertical>
        <horizontal style="thin">
          <color theme="5" tint="0.59996337778862885"/>
        </horizontal>
      </border>
    </dxf>
    <dxf>
      <font>
        <color auto="1"/>
      </font>
      <fill>
        <patternFill patternType="none">
          <bgColor auto="1"/>
        </patternFill>
      </fill>
      <border diagonalUp="0" diagonalDown="0">
        <left/>
        <right/>
        <top style="thin">
          <color theme="5" tint="0.59996337778862885"/>
        </top>
        <bottom style="thin">
          <color theme="5" tint="0.59996337778862885"/>
        </bottom>
        <vertical/>
        <horizontal style="thin">
          <color theme="5" tint="0.59996337778862885"/>
        </horizontal>
      </border>
    </dxf>
    <dxf>
      <font>
        <color auto="1"/>
      </font>
      <fill>
        <patternFill patternType="none">
          <bgColor auto="1"/>
        </patternFill>
      </fill>
      <border diagonalUp="0" diagonalDown="0">
        <left/>
        <right/>
        <top style="thin">
          <color theme="5" tint="0.59996337778862885"/>
        </top>
        <bottom style="thin">
          <color theme="5" tint="0.59996337778862885"/>
        </bottom>
        <vertical/>
        <horizontal style="thin">
          <color theme="5" tint="0.59996337778862885"/>
        </horizontal>
      </border>
    </dxf>
    <dxf>
      <fill>
        <patternFill>
          <bgColor theme="5" tint="0.79998168889431442"/>
        </patternFill>
      </fill>
      <border>
        <top style="thick">
          <color theme="0"/>
        </top>
        <bottom style="thick">
          <color theme="0"/>
        </bottom>
        <horizontal style="thick">
          <color theme="0"/>
        </horizontal>
      </border>
    </dxf>
    <dxf>
      <fill>
        <patternFill patternType="none">
          <fgColor auto="1"/>
          <bgColor auto="1"/>
        </patternFill>
      </fill>
      <border>
        <top style="thick">
          <color theme="0"/>
        </top>
        <bottom style="thick">
          <color theme="0"/>
        </bottom>
        <horizontal style="thick">
          <color theme="0"/>
        </horizontal>
      </border>
    </dxf>
    <dxf>
      <font>
        <color auto="1"/>
      </font>
      <fill>
        <patternFill>
          <fgColor theme="5" tint="0.39994506668294322"/>
          <bgColor theme="5" tint="0.39991454817346722"/>
        </patternFill>
      </fill>
      <border diagonalUp="0" diagonalDown="0">
        <left style="thin">
          <color theme="0"/>
        </left>
        <right style="thin">
          <color theme="0"/>
        </right>
        <top style="thin">
          <color theme="5" tint="0.59996337778862885"/>
        </top>
        <bottom style="thick">
          <color theme="5"/>
        </bottom>
        <vertical style="thick">
          <color theme="0"/>
        </vertical>
        <horizontal style="thin">
          <color theme="5" tint="0.59996337778862885"/>
        </horizontal>
      </border>
    </dxf>
    <dxf>
      <font>
        <color theme="0"/>
      </font>
      <fill>
        <patternFill>
          <fgColor theme="5" tint="-0.24994659260841701"/>
          <bgColor theme="5" tint="-0.24994659260841701"/>
        </patternFill>
      </fill>
      <border>
        <top style="thin">
          <color theme="5" tint="0.59996337778862885"/>
        </top>
        <bottom style="thin">
          <color theme="5" tint="0.59996337778862885"/>
        </bottom>
        <horizontal style="thin">
          <color theme="5" tint="0.59996337778862885"/>
        </horizontal>
      </border>
    </dxf>
    <dxf>
      <font>
        <b/>
        <i val="0"/>
        <color auto="1"/>
      </font>
      <border diagonalUp="0" diagonalDown="0">
        <left style="thin">
          <color theme="0"/>
        </left>
        <right/>
        <top style="thin">
          <color theme="0"/>
        </top>
        <bottom style="thin">
          <color theme="0"/>
        </bottom>
        <vertical style="thick">
          <color theme="0"/>
        </vertical>
        <horizontal style="thick">
          <color theme="0"/>
        </horizontal>
      </border>
    </dxf>
  </dxfs>
  <tableStyles count="2" defaultPivotStyle="PivotStyleLight16">
    <tableStyle name="Tabla de ausencia del empleado" pivot="0" count="9" xr9:uid="{00000000-0011-0000-FFFF-FFFF00000000}">
      <tableStyleElement type="wholeTable" dxfId="1238"/>
      <tableStyleElement type="headerRow" dxfId="1237"/>
      <tableStyleElement type="totalRow" dxfId="1236"/>
      <tableStyleElement type="firstRowStripe" dxfId="1235"/>
      <tableStyleElement type="secondRowStripe" dxfId="1234"/>
      <tableStyleElement type="firstHeaderCell" dxfId="1233"/>
      <tableStyleElement type="lastHeaderCell" dxfId="1232"/>
      <tableStyleElement type="firstTotalCell" dxfId="1231"/>
      <tableStyleElement type="lastTotalCell" dxfId="1230"/>
    </tableStyle>
    <tableStyle name="Tabla 2 de ausencia del empleado" pivot="0" count="13" xr9:uid="{3374F2B5-EC6B-E245-A90B-F84953DFCF99}">
      <tableStyleElement type="wholeTable" dxfId="1229"/>
      <tableStyleElement type="headerRow" dxfId="1228"/>
      <tableStyleElement type="totalRow" dxfId="1227"/>
      <tableStyleElement type="firstColumn" dxfId="1226"/>
      <tableStyleElement type="lastColumn" dxfId="1225"/>
      <tableStyleElement type="firstRowStripe" dxfId="1224"/>
      <tableStyleElement type="secondRowStripe" dxfId="1223"/>
      <tableStyleElement type="firstColumnStripe" dxfId="1222"/>
      <tableStyleElement type="secondColumnStripe" dxfId="1221"/>
      <tableStyleElement type="firstHeaderCell" dxfId="1220"/>
      <tableStyleElement type="lastHeaderCell" dxfId="1219"/>
      <tableStyleElement type="firstTotalCell" dxfId="1218"/>
      <tableStyleElement type="lastTotalCell" dxfId="1217"/>
    </tableStyle>
  </tableStyles>
  <colors>
    <mruColors>
      <color rgb="FFFFFA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76200</xdr:colOff>
      <xdr:row>0</xdr:row>
      <xdr:rowOff>314325</xdr:rowOff>
    </xdr:from>
    <xdr:to>
      <xdr:col>25</xdr:col>
      <xdr:colOff>133350</xdr:colOff>
      <xdr:row>1</xdr:row>
      <xdr:rowOff>1089566</xdr:rowOff>
    </xdr:to>
    <xdr:pic>
      <xdr:nvPicPr>
        <xdr:cNvPr id="2" name="Imagen 1">
          <a:extLst>
            <a:ext uri="{FF2B5EF4-FFF2-40B4-BE49-F238E27FC236}">
              <a16:creationId xmlns:a16="http://schemas.microsoft.com/office/drawing/2014/main" id="{0BF538B8-1AA6-4B4F-8547-F17BC5617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76850" y="314325"/>
          <a:ext cx="4772025" cy="1403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152400</xdr:colOff>
      <xdr:row>0</xdr:row>
      <xdr:rowOff>381000</xdr:rowOff>
    </xdr:from>
    <xdr:to>
      <xdr:col>24</xdr:col>
      <xdr:colOff>209550</xdr:colOff>
      <xdr:row>1</xdr:row>
      <xdr:rowOff>1156241</xdr:rowOff>
    </xdr:to>
    <xdr:pic>
      <xdr:nvPicPr>
        <xdr:cNvPr id="4" name="Imagen 3">
          <a:extLst>
            <a:ext uri="{FF2B5EF4-FFF2-40B4-BE49-F238E27FC236}">
              <a16:creationId xmlns:a16="http://schemas.microsoft.com/office/drawing/2014/main" id="{A39869B1-810E-46A7-BCCC-7EA2ED0861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38725" y="381000"/>
          <a:ext cx="4772025" cy="1403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171450</xdr:colOff>
      <xdr:row>0</xdr:row>
      <xdr:rowOff>314325</xdr:rowOff>
    </xdr:from>
    <xdr:to>
      <xdr:col>24</xdr:col>
      <xdr:colOff>228600</xdr:colOff>
      <xdr:row>1</xdr:row>
      <xdr:rowOff>1089566</xdr:rowOff>
    </xdr:to>
    <xdr:pic>
      <xdr:nvPicPr>
        <xdr:cNvPr id="2" name="Imagen 1">
          <a:extLst>
            <a:ext uri="{FF2B5EF4-FFF2-40B4-BE49-F238E27FC236}">
              <a16:creationId xmlns:a16="http://schemas.microsoft.com/office/drawing/2014/main" id="{10A65B8C-D4C2-4199-A802-4D6D14F70F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57775" y="314325"/>
          <a:ext cx="4772025" cy="1403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104775</xdr:colOff>
      <xdr:row>0</xdr:row>
      <xdr:rowOff>304800</xdr:rowOff>
    </xdr:from>
    <xdr:to>
      <xdr:col>24</xdr:col>
      <xdr:colOff>161925</xdr:colOff>
      <xdr:row>1</xdr:row>
      <xdr:rowOff>1080041</xdr:rowOff>
    </xdr:to>
    <xdr:pic>
      <xdr:nvPicPr>
        <xdr:cNvPr id="5" name="Imagen 4">
          <a:extLst>
            <a:ext uri="{FF2B5EF4-FFF2-40B4-BE49-F238E27FC236}">
              <a16:creationId xmlns:a16="http://schemas.microsoft.com/office/drawing/2014/main" id="{98B3DAA3-15BF-4D28-9BAF-CFC3E758DC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91100" y="304800"/>
          <a:ext cx="4772025" cy="1403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10</xdr:col>
      <xdr:colOff>76200</xdr:colOff>
      <xdr:row>0</xdr:row>
      <xdr:rowOff>314325</xdr:rowOff>
    </xdr:from>
    <xdr:to>
      <xdr:col>25</xdr:col>
      <xdr:colOff>133350</xdr:colOff>
      <xdr:row>1</xdr:row>
      <xdr:rowOff>1089566</xdr:rowOff>
    </xdr:to>
    <xdr:pic>
      <xdr:nvPicPr>
        <xdr:cNvPr id="2" name="Imagen 1">
          <a:extLst>
            <a:ext uri="{FF2B5EF4-FFF2-40B4-BE49-F238E27FC236}">
              <a16:creationId xmlns:a16="http://schemas.microsoft.com/office/drawing/2014/main" id="{B213C715-D499-4733-AACA-1AF36AA55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73700" y="314325"/>
          <a:ext cx="4914900" cy="14102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10</xdr:col>
      <xdr:colOff>76200</xdr:colOff>
      <xdr:row>0</xdr:row>
      <xdr:rowOff>314325</xdr:rowOff>
    </xdr:from>
    <xdr:to>
      <xdr:col>25</xdr:col>
      <xdr:colOff>133350</xdr:colOff>
      <xdr:row>1</xdr:row>
      <xdr:rowOff>1089566</xdr:rowOff>
    </xdr:to>
    <xdr:pic>
      <xdr:nvPicPr>
        <xdr:cNvPr id="2" name="Imagen 1">
          <a:extLst>
            <a:ext uri="{FF2B5EF4-FFF2-40B4-BE49-F238E27FC236}">
              <a16:creationId xmlns:a16="http://schemas.microsoft.com/office/drawing/2014/main" id="{54018A0B-1DA1-45F8-B98B-A8A83B2B7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58050" y="314325"/>
          <a:ext cx="4914900" cy="14102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9</xdr:col>
      <xdr:colOff>228600</xdr:colOff>
      <xdr:row>0</xdr:row>
      <xdr:rowOff>285750</xdr:rowOff>
    </xdr:from>
    <xdr:to>
      <xdr:col>24</xdr:col>
      <xdr:colOff>285750</xdr:colOff>
      <xdr:row>1</xdr:row>
      <xdr:rowOff>1060991</xdr:rowOff>
    </xdr:to>
    <xdr:pic>
      <xdr:nvPicPr>
        <xdr:cNvPr id="2" name="Imagen 1">
          <a:extLst>
            <a:ext uri="{FF2B5EF4-FFF2-40B4-BE49-F238E27FC236}">
              <a16:creationId xmlns:a16="http://schemas.microsoft.com/office/drawing/2014/main" id="{92FC1BE1-34C6-4832-931E-BF092BB888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02250" y="285750"/>
          <a:ext cx="4914900" cy="14102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0</xdr:row>
      <xdr:rowOff>95251</xdr:rowOff>
    </xdr:from>
    <xdr:to>
      <xdr:col>1</xdr:col>
      <xdr:colOff>2726827</xdr:colOff>
      <xdr:row>0</xdr:row>
      <xdr:rowOff>895351</xdr:rowOff>
    </xdr:to>
    <xdr:pic>
      <xdr:nvPicPr>
        <xdr:cNvPr id="3" name="Imagen 2">
          <a:extLst>
            <a:ext uri="{FF2B5EF4-FFF2-40B4-BE49-F238E27FC236}">
              <a16:creationId xmlns:a16="http://schemas.microsoft.com/office/drawing/2014/main" id="{29A5AB26-84DC-4D1B-83B4-83981067BA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1" y="95251"/>
          <a:ext cx="2719654"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9525</xdr:colOff>
      <xdr:row>0</xdr:row>
      <xdr:rowOff>295275</xdr:rowOff>
    </xdr:from>
    <xdr:to>
      <xdr:col>25</xdr:col>
      <xdr:colOff>66675</xdr:colOff>
      <xdr:row>1</xdr:row>
      <xdr:rowOff>1070516</xdr:rowOff>
    </xdr:to>
    <xdr:pic>
      <xdr:nvPicPr>
        <xdr:cNvPr id="3" name="Imagen 2">
          <a:extLst>
            <a:ext uri="{FF2B5EF4-FFF2-40B4-BE49-F238E27FC236}">
              <a16:creationId xmlns:a16="http://schemas.microsoft.com/office/drawing/2014/main" id="{B3B6FC40-76A2-409E-8DC5-7DE19E8A80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10175" y="295275"/>
          <a:ext cx="4772025" cy="1403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228600</xdr:colOff>
      <xdr:row>0</xdr:row>
      <xdr:rowOff>285750</xdr:rowOff>
    </xdr:from>
    <xdr:to>
      <xdr:col>24</xdr:col>
      <xdr:colOff>285750</xdr:colOff>
      <xdr:row>1</xdr:row>
      <xdr:rowOff>1060991</xdr:rowOff>
    </xdr:to>
    <xdr:pic>
      <xdr:nvPicPr>
        <xdr:cNvPr id="2" name="Imagen 1">
          <a:extLst>
            <a:ext uri="{FF2B5EF4-FFF2-40B4-BE49-F238E27FC236}">
              <a16:creationId xmlns:a16="http://schemas.microsoft.com/office/drawing/2014/main" id="{862452E4-609E-43B6-8BB1-F58B0859A7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14925" y="285750"/>
          <a:ext cx="4772025" cy="1403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200025</xdr:colOff>
      <xdr:row>0</xdr:row>
      <xdr:rowOff>238125</xdr:rowOff>
    </xdr:from>
    <xdr:to>
      <xdr:col>24</xdr:col>
      <xdr:colOff>257175</xdr:colOff>
      <xdr:row>1</xdr:row>
      <xdr:rowOff>1013366</xdr:rowOff>
    </xdr:to>
    <xdr:pic>
      <xdr:nvPicPr>
        <xdr:cNvPr id="3" name="Imagen 2">
          <a:extLst>
            <a:ext uri="{FF2B5EF4-FFF2-40B4-BE49-F238E27FC236}">
              <a16:creationId xmlns:a16="http://schemas.microsoft.com/office/drawing/2014/main" id="{78A5638E-6C54-4E81-967A-5C1DABA41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86350" y="238125"/>
          <a:ext cx="4772025" cy="1403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152400</xdr:colOff>
      <xdr:row>0</xdr:row>
      <xdr:rowOff>276225</xdr:rowOff>
    </xdr:from>
    <xdr:to>
      <xdr:col>24</xdr:col>
      <xdr:colOff>209550</xdr:colOff>
      <xdr:row>1</xdr:row>
      <xdr:rowOff>1051466</xdr:rowOff>
    </xdr:to>
    <xdr:pic>
      <xdr:nvPicPr>
        <xdr:cNvPr id="3" name="Imagen 2">
          <a:extLst>
            <a:ext uri="{FF2B5EF4-FFF2-40B4-BE49-F238E27FC236}">
              <a16:creationId xmlns:a16="http://schemas.microsoft.com/office/drawing/2014/main" id="{D161CCEE-EC80-498B-B9B8-32E3D00CF5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38725" y="276225"/>
          <a:ext cx="4772025" cy="1403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200025</xdr:colOff>
      <xdr:row>0</xdr:row>
      <xdr:rowOff>323850</xdr:rowOff>
    </xdr:from>
    <xdr:to>
      <xdr:col>24</xdr:col>
      <xdr:colOff>257175</xdr:colOff>
      <xdr:row>1</xdr:row>
      <xdr:rowOff>1099091</xdr:rowOff>
    </xdr:to>
    <xdr:pic>
      <xdr:nvPicPr>
        <xdr:cNvPr id="2" name="Imagen 1">
          <a:extLst>
            <a:ext uri="{FF2B5EF4-FFF2-40B4-BE49-F238E27FC236}">
              <a16:creationId xmlns:a16="http://schemas.microsoft.com/office/drawing/2014/main" id="{6817DB28-9DC5-4421-A10F-86898476B8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86350" y="323850"/>
          <a:ext cx="4772025" cy="1403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152400</xdr:colOff>
      <xdr:row>0</xdr:row>
      <xdr:rowOff>304800</xdr:rowOff>
    </xdr:from>
    <xdr:to>
      <xdr:col>24</xdr:col>
      <xdr:colOff>209550</xdr:colOff>
      <xdr:row>1</xdr:row>
      <xdr:rowOff>1080041</xdr:rowOff>
    </xdr:to>
    <xdr:pic>
      <xdr:nvPicPr>
        <xdr:cNvPr id="2" name="Imagen 1">
          <a:extLst>
            <a:ext uri="{FF2B5EF4-FFF2-40B4-BE49-F238E27FC236}">
              <a16:creationId xmlns:a16="http://schemas.microsoft.com/office/drawing/2014/main" id="{B76BF931-86DB-411F-95BF-B191E08828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38725" y="304800"/>
          <a:ext cx="4772025" cy="1403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142875</xdr:colOff>
      <xdr:row>0</xdr:row>
      <xdr:rowOff>295275</xdr:rowOff>
    </xdr:from>
    <xdr:to>
      <xdr:col>24</xdr:col>
      <xdr:colOff>200025</xdr:colOff>
      <xdr:row>1</xdr:row>
      <xdr:rowOff>1070516</xdr:rowOff>
    </xdr:to>
    <xdr:pic>
      <xdr:nvPicPr>
        <xdr:cNvPr id="2" name="Imagen 1">
          <a:extLst>
            <a:ext uri="{FF2B5EF4-FFF2-40B4-BE49-F238E27FC236}">
              <a16:creationId xmlns:a16="http://schemas.microsoft.com/office/drawing/2014/main" id="{634E81CD-0DA7-4040-9769-29DD585850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29200" y="295275"/>
          <a:ext cx="4772025" cy="1403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38100</xdr:colOff>
      <xdr:row>0</xdr:row>
      <xdr:rowOff>285750</xdr:rowOff>
    </xdr:from>
    <xdr:to>
      <xdr:col>25</xdr:col>
      <xdr:colOff>95250</xdr:colOff>
      <xdr:row>1</xdr:row>
      <xdr:rowOff>1060991</xdr:rowOff>
    </xdr:to>
    <xdr:pic>
      <xdr:nvPicPr>
        <xdr:cNvPr id="3" name="Imagen 2">
          <a:extLst>
            <a:ext uri="{FF2B5EF4-FFF2-40B4-BE49-F238E27FC236}">
              <a16:creationId xmlns:a16="http://schemas.microsoft.com/office/drawing/2014/main" id="{656EDCB3-7C1E-423B-8F34-C280E8D86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38750" y="285750"/>
          <a:ext cx="4772025" cy="1403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Enero" displayName="Enero" ref="B8:AH28" totalsRowCount="1" headerRowDxfId="1216" dataDxfId="1215" totalsRowDxfId="1214">
  <autoFilter ref="B8:AH27"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autoFilter>
  <tableColumns count="33">
    <tableColumn id="1" xr3:uid="{00000000-0010-0000-0000-000001000000}" name="Nombre del empleado" totalsRowFunction="custom" dataDxfId="1213" totalsRowDxfId="1212" dataCellStyle="Empleado">
      <totalsRowFormula>MonthName&amp;" total"</totalsRowFormula>
    </tableColumn>
    <tableColumn id="2" xr3:uid="{00000000-0010-0000-0000-000002000000}" name="1" totalsRowFunction="custom" dataDxfId="1211" totalsRowDxfId="1210" dataCellStyle="Total">
      <totalsRowFormula>SUBTOTAL(103,Enero!$C$9:$C$27)</totalsRowFormula>
    </tableColumn>
    <tableColumn id="3" xr3:uid="{00000000-0010-0000-0000-000003000000}" name="2" totalsRowFunction="custom" dataDxfId="1209" totalsRowDxfId="1208" dataCellStyle="Total">
      <totalsRowFormula>SUBTOTAL(103,Enero!$D$9:$D$27)</totalsRowFormula>
    </tableColumn>
    <tableColumn id="4" xr3:uid="{00000000-0010-0000-0000-000004000000}" name="3" totalsRowFunction="custom" dataDxfId="1207" totalsRowDxfId="1206" dataCellStyle="Total">
      <totalsRowFormula>SUBTOTAL(103,Enero!$E$9:$E$27)</totalsRowFormula>
    </tableColumn>
    <tableColumn id="5" xr3:uid="{00000000-0010-0000-0000-000005000000}" name="4" totalsRowFunction="custom" dataDxfId="1205" totalsRowDxfId="1204" dataCellStyle="Total">
      <totalsRowFormula>SUBTOTAL(103,Enero!$F$9:$F$27)</totalsRowFormula>
    </tableColumn>
    <tableColumn id="6" xr3:uid="{00000000-0010-0000-0000-000006000000}" name="5" totalsRowFunction="custom" totalsRowDxfId="1203" dataCellStyle="Total">
      <totalsRowFormula>SUBTOTAL(103,Enero!$G$9:$G$27)</totalsRowFormula>
    </tableColumn>
    <tableColumn id="7" xr3:uid="{00000000-0010-0000-0000-000007000000}" name="6" totalsRowFunction="custom" dataDxfId="1202" totalsRowDxfId="1201" dataCellStyle="Total">
      <totalsRowFormula>SUBTOTAL(103,Enero!$H$9:$H$27)</totalsRowFormula>
    </tableColumn>
    <tableColumn id="8" xr3:uid="{00000000-0010-0000-0000-000008000000}" name="7" totalsRowFunction="custom" dataDxfId="1200" totalsRowDxfId="1199" dataCellStyle="Total">
      <totalsRowFormula>SUBTOTAL(103,Enero!$I$9:$I$27)</totalsRowFormula>
    </tableColumn>
    <tableColumn id="9" xr3:uid="{00000000-0010-0000-0000-000009000000}" name="8" totalsRowFunction="custom" dataDxfId="1198" totalsRowDxfId="1197" dataCellStyle="Total">
      <totalsRowFormula>SUBTOTAL(103,Enero!$J$9:$J$27)</totalsRowFormula>
    </tableColumn>
    <tableColumn id="10" xr3:uid="{00000000-0010-0000-0000-00000A000000}" name="9" totalsRowFunction="custom" dataDxfId="1196" totalsRowDxfId="1195" dataCellStyle="Total">
      <totalsRowFormula>SUBTOTAL(103,Enero!$K$9:$K$27)</totalsRowFormula>
    </tableColumn>
    <tableColumn id="11" xr3:uid="{00000000-0010-0000-0000-00000B000000}" name="10" totalsRowFunction="custom" dataDxfId="1194" totalsRowDxfId="1193" dataCellStyle="Total">
      <totalsRowFormula>SUBTOTAL(103,Enero!$L$9:$L$27)</totalsRowFormula>
    </tableColumn>
    <tableColumn id="12" xr3:uid="{00000000-0010-0000-0000-00000C000000}" name="11" totalsRowFunction="custom" dataDxfId="1192" totalsRowDxfId="1191" dataCellStyle="Total">
      <totalsRowFormula>SUBTOTAL(103,Enero!$M$9:$M$27)</totalsRowFormula>
    </tableColumn>
    <tableColumn id="13" xr3:uid="{00000000-0010-0000-0000-00000D000000}" name="12" totalsRowFunction="custom" dataDxfId="1190" totalsRowDxfId="1189" dataCellStyle="Total">
      <totalsRowFormula>SUBTOTAL(103,Enero!$N$9:$N$27)</totalsRowFormula>
    </tableColumn>
    <tableColumn id="14" xr3:uid="{00000000-0010-0000-0000-00000E000000}" name="13" totalsRowFunction="custom" dataDxfId="1188" totalsRowDxfId="1187" dataCellStyle="Total">
      <totalsRowFormula>SUBTOTAL(103,Enero!$O$9:$O$27)</totalsRowFormula>
    </tableColumn>
    <tableColumn id="15" xr3:uid="{00000000-0010-0000-0000-00000F000000}" name="14" totalsRowFunction="custom" dataDxfId="1186" totalsRowDxfId="1185" dataCellStyle="Total">
      <totalsRowFormula>SUBTOTAL(103,Enero!$P$9:$P$27)</totalsRowFormula>
    </tableColumn>
    <tableColumn id="16" xr3:uid="{00000000-0010-0000-0000-000010000000}" name="15" totalsRowFunction="custom" dataDxfId="1184" totalsRowDxfId="1183" dataCellStyle="Total">
      <totalsRowFormula>SUBTOTAL(103,Enero!$Q$9:$Q$27)</totalsRowFormula>
    </tableColumn>
    <tableColumn id="17" xr3:uid="{00000000-0010-0000-0000-000011000000}" name="16" totalsRowFunction="custom" dataDxfId="1182" totalsRowDxfId="1181" dataCellStyle="Total">
      <totalsRowFormula>SUBTOTAL(103,Enero!$R$9:$R$27)</totalsRowFormula>
    </tableColumn>
    <tableColumn id="18" xr3:uid="{00000000-0010-0000-0000-000012000000}" name="17" totalsRowFunction="custom" dataDxfId="1180" totalsRowDxfId="1179" dataCellStyle="Total">
      <totalsRowFormula>SUBTOTAL(103,Enero!$S$9:$S$27)</totalsRowFormula>
    </tableColumn>
    <tableColumn id="19" xr3:uid="{00000000-0010-0000-0000-000013000000}" name="18" totalsRowFunction="custom" dataDxfId="1178" totalsRowDxfId="1177" dataCellStyle="Total">
      <totalsRowFormula>SUBTOTAL(103,Enero!$T$9:$T$27)</totalsRowFormula>
    </tableColumn>
    <tableColumn id="20" xr3:uid="{00000000-0010-0000-0000-000014000000}" name="19" totalsRowFunction="custom" dataDxfId="1176" totalsRowDxfId="1175" dataCellStyle="Total">
      <totalsRowFormula>SUBTOTAL(103,Enero!$U$9:$U$27)</totalsRowFormula>
    </tableColumn>
    <tableColumn id="21" xr3:uid="{00000000-0010-0000-0000-000015000000}" name="20" totalsRowFunction="custom" dataDxfId="1174" totalsRowDxfId="1173" dataCellStyle="Total">
      <totalsRowFormula>SUBTOTAL(103,Enero!$V$9:$V$27)</totalsRowFormula>
    </tableColumn>
    <tableColumn id="22" xr3:uid="{00000000-0010-0000-0000-000016000000}" name="21" totalsRowFunction="custom" dataDxfId="1172" totalsRowDxfId="1171" dataCellStyle="Total">
      <totalsRowFormula>SUBTOTAL(103,Enero!$W$9:$W$27)</totalsRowFormula>
    </tableColumn>
    <tableColumn id="23" xr3:uid="{00000000-0010-0000-0000-000017000000}" name="22" totalsRowFunction="custom" dataDxfId="1170" totalsRowDxfId="1169" dataCellStyle="Total">
      <totalsRowFormula>SUBTOTAL(103,Enero!$X$9:$X$27)</totalsRowFormula>
    </tableColumn>
    <tableColumn id="24" xr3:uid="{00000000-0010-0000-0000-000018000000}" name="23" totalsRowFunction="custom" dataDxfId="1168" totalsRowDxfId="1167" dataCellStyle="Total">
      <totalsRowFormula>SUBTOTAL(103,Enero!$Y$9:$Y$27)</totalsRowFormula>
    </tableColumn>
    <tableColumn id="25" xr3:uid="{00000000-0010-0000-0000-000019000000}" name="24" totalsRowFunction="custom" dataDxfId="1166" totalsRowDxfId="1165" dataCellStyle="Total">
      <totalsRowFormula>SUBTOTAL(103,Enero!$Z$9:$Z$27)</totalsRowFormula>
    </tableColumn>
    <tableColumn id="26" xr3:uid="{00000000-0010-0000-0000-00001A000000}" name="25" totalsRowFunction="custom" dataDxfId="1164" totalsRowDxfId="1163" dataCellStyle="Total">
      <totalsRowFormula>SUBTOTAL(103,Enero!$AA$9:$AA$27)</totalsRowFormula>
    </tableColumn>
    <tableColumn id="27" xr3:uid="{00000000-0010-0000-0000-00001B000000}" name="26" totalsRowFunction="custom" dataDxfId="1162" totalsRowDxfId="1161" dataCellStyle="Total">
      <totalsRowFormula>SUBTOTAL(103,Enero!$AB$9:$AB$27)</totalsRowFormula>
    </tableColumn>
    <tableColumn id="28" xr3:uid="{00000000-0010-0000-0000-00001C000000}" name="27" totalsRowFunction="custom" dataDxfId="1160" totalsRowDxfId="1159" dataCellStyle="Total">
      <totalsRowFormula>SUBTOTAL(103,Enero!$AC$9:$AC$27)</totalsRowFormula>
    </tableColumn>
    <tableColumn id="29" xr3:uid="{00000000-0010-0000-0000-00001D000000}" name="28" totalsRowFunction="custom" dataDxfId="1158" totalsRowDxfId="1157" dataCellStyle="Total">
      <totalsRowFormula>SUBTOTAL(103,Enero!$AD$9:$AD$27)</totalsRowFormula>
    </tableColumn>
    <tableColumn id="30" xr3:uid="{00000000-0010-0000-0000-00001E000000}" name="29" totalsRowFunction="custom" dataDxfId="1156" totalsRowDxfId="1155" dataCellStyle="Total">
      <totalsRowFormula>SUBTOTAL(103,Enero!$AE$9:$AE$27)</totalsRowFormula>
    </tableColumn>
    <tableColumn id="31" xr3:uid="{00000000-0010-0000-0000-00001F000000}" name="30" totalsRowFunction="custom" dataDxfId="1154" totalsRowDxfId="1153" dataCellStyle="Total">
      <totalsRowFormula>SUBTOTAL(103,Enero!$AF$9:$AF$27)</totalsRowFormula>
    </tableColumn>
    <tableColumn id="32" xr3:uid="{00000000-0010-0000-0000-000020000000}" name="31" totalsRowFunction="custom" dataDxfId="1152" totalsRowDxfId="1151" dataCellStyle="Total">
      <totalsRowFormula>SUBTOTAL(103,Enero!$AG$9:$AG$27)</totalsRowFormula>
    </tableColumn>
    <tableColumn id="33" xr3:uid="{00000000-0010-0000-0000-000021000000}" name="Total de días" totalsRowFunction="sum" dataDxfId="1150" totalsRowDxfId="1149" dataCellStyle="Total">
      <calculatedColumnFormula>COUNTA(Enero!$C9:$AG9)</calculatedColumnFormula>
    </tableColumn>
  </tableColumns>
  <tableStyleInfo name="Tabla de ausencia del empleado" showFirstColumn="1" showLastColumn="1" showRowStripes="1" showColumnStripes="0"/>
  <extLst>
    <ext xmlns:x14="http://schemas.microsoft.com/office/spreadsheetml/2009/9/main" uri="{504A1905-F514-4f6f-8877-14C23A59335A}">
      <x14:table altTextSummary="Proporcione los nombres de los empleados y las fechas de ausencia. Registre el tipo de ausencia según su clave en la fila 12: V = vacaciones, E = enfermedad, P = personal y dos marcadores de posición para entradas personalizadas"/>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9000000}" name="Octubre" displayName="Octubre" ref="B8:AH29" totalsRowCount="1" headerRowDxfId="596" dataDxfId="595" totalsRowDxfId="594">
  <tableColumns count="33">
    <tableColumn id="1" xr3:uid="{00000000-0010-0000-0900-000001000000}" name="Nombre del empleado" totalsRowFunction="custom" dataDxfId="593" totalsRowDxfId="592" dataCellStyle="Empleado">
      <totalsRowFormula>MonthName&amp;" Total"</totalsRowFormula>
    </tableColumn>
    <tableColumn id="2" xr3:uid="{00000000-0010-0000-0900-000002000000}" name="1" totalsRowFunction="count" dataDxfId="591" totalsRowDxfId="590"/>
    <tableColumn id="3" xr3:uid="{00000000-0010-0000-0900-000003000000}" name="2" totalsRowFunction="count" dataDxfId="589" totalsRowDxfId="588"/>
    <tableColumn id="4" xr3:uid="{00000000-0010-0000-0900-000004000000}" name="3" totalsRowFunction="count" dataDxfId="587" totalsRowDxfId="586"/>
    <tableColumn id="5" xr3:uid="{00000000-0010-0000-0900-000005000000}" name="4" totalsRowFunction="count" dataDxfId="585" totalsRowDxfId="584"/>
    <tableColumn id="6" xr3:uid="{00000000-0010-0000-0900-000006000000}" name="5" totalsRowFunction="count" dataDxfId="583" totalsRowDxfId="582"/>
    <tableColumn id="7" xr3:uid="{00000000-0010-0000-0900-000007000000}" name="6" totalsRowFunction="count" dataDxfId="581" totalsRowDxfId="580"/>
    <tableColumn id="8" xr3:uid="{00000000-0010-0000-0900-000008000000}" name="7" totalsRowFunction="count" dataDxfId="579" totalsRowDxfId="578"/>
    <tableColumn id="9" xr3:uid="{00000000-0010-0000-0900-000009000000}" name="8" totalsRowFunction="count" dataDxfId="577" totalsRowDxfId="576"/>
    <tableColumn id="10" xr3:uid="{00000000-0010-0000-0900-00000A000000}" name="9" totalsRowFunction="count" dataDxfId="575" totalsRowDxfId="574"/>
    <tableColumn id="11" xr3:uid="{00000000-0010-0000-0900-00000B000000}" name="10" totalsRowFunction="count" dataDxfId="573" totalsRowDxfId="572"/>
    <tableColumn id="12" xr3:uid="{00000000-0010-0000-0900-00000C000000}" name="11" totalsRowFunction="count" dataDxfId="571" totalsRowDxfId="570"/>
    <tableColumn id="13" xr3:uid="{00000000-0010-0000-0900-00000D000000}" name="12" totalsRowFunction="count" dataDxfId="569" totalsRowDxfId="568"/>
    <tableColumn id="14" xr3:uid="{00000000-0010-0000-0900-00000E000000}" name="13" totalsRowFunction="count" dataDxfId="567" totalsRowDxfId="566"/>
    <tableColumn id="15" xr3:uid="{00000000-0010-0000-0900-00000F000000}" name="14" totalsRowFunction="count" dataDxfId="565" totalsRowDxfId="564"/>
    <tableColumn id="16" xr3:uid="{00000000-0010-0000-0900-000010000000}" name="15" totalsRowFunction="count" dataDxfId="563" totalsRowDxfId="562"/>
    <tableColumn id="17" xr3:uid="{00000000-0010-0000-0900-000011000000}" name="16" totalsRowFunction="count" dataDxfId="561" totalsRowDxfId="560"/>
    <tableColumn id="18" xr3:uid="{00000000-0010-0000-0900-000012000000}" name="17" totalsRowFunction="count" dataDxfId="559" totalsRowDxfId="558"/>
    <tableColumn id="19" xr3:uid="{00000000-0010-0000-0900-000013000000}" name="18" totalsRowFunction="count" dataDxfId="557" totalsRowDxfId="556"/>
    <tableColumn id="20" xr3:uid="{00000000-0010-0000-0900-000014000000}" name="19" totalsRowFunction="count" dataDxfId="555" totalsRowDxfId="554"/>
    <tableColumn id="21" xr3:uid="{00000000-0010-0000-0900-000015000000}" name="20" totalsRowFunction="count" dataDxfId="553" totalsRowDxfId="552"/>
    <tableColumn id="22" xr3:uid="{00000000-0010-0000-0900-000016000000}" name="21" totalsRowFunction="count" dataDxfId="551" totalsRowDxfId="550"/>
    <tableColumn id="23" xr3:uid="{00000000-0010-0000-0900-000017000000}" name="22" totalsRowFunction="count" dataDxfId="549" totalsRowDxfId="548"/>
    <tableColumn id="24" xr3:uid="{00000000-0010-0000-0900-000018000000}" name="23" totalsRowFunction="count" dataDxfId="547" totalsRowDxfId="546"/>
    <tableColumn id="25" xr3:uid="{00000000-0010-0000-0900-000019000000}" name="24" totalsRowFunction="count" dataDxfId="545" totalsRowDxfId="544"/>
    <tableColumn id="26" xr3:uid="{00000000-0010-0000-0900-00001A000000}" name="25" totalsRowFunction="count" dataDxfId="543" totalsRowDxfId="542"/>
    <tableColumn id="27" xr3:uid="{00000000-0010-0000-0900-00001B000000}" name="26" totalsRowFunction="count" dataDxfId="541" totalsRowDxfId="540"/>
    <tableColumn id="28" xr3:uid="{00000000-0010-0000-0900-00001C000000}" name="27" totalsRowFunction="count" dataDxfId="539" totalsRowDxfId="538"/>
    <tableColumn id="29" xr3:uid="{00000000-0010-0000-0900-00001D000000}" name="28" totalsRowFunction="count" dataDxfId="537" totalsRowDxfId="536"/>
    <tableColumn id="30" xr3:uid="{00000000-0010-0000-0900-00001E000000}" name="29" totalsRowFunction="count" dataDxfId="535" totalsRowDxfId="534"/>
    <tableColumn id="31" xr3:uid="{00000000-0010-0000-0900-00001F000000}" name="30" totalsRowFunction="sum" dataDxfId="533" totalsRowDxfId="532"/>
    <tableColumn id="32" xr3:uid="{00000000-0010-0000-0900-000020000000}" name="31" totalsRowFunction="sum" dataDxfId="531" totalsRowDxfId="530" dataCellStyle="Total"/>
    <tableColumn id="33" xr3:uid="{00000000-0010-0000-0900-000021000000}" name="Total de días" totalsRowFunction="sum" dataDxfId="529" totalsRowDxfId="528" dataCellStyle="Total">
      <calculatedColumnFormula>COUNTA(Octubre[[#This Row],[1]:[31]])</calculatedColumnFormula>
    </tableColumn>
  </tableColumns>
  <tableStyleInfo name="Tabla de ausencia del empleado" showFirstColumn="1" showLastColumn="1" showRowStripes="1" showColumnStripes="0"/>
  <extLst>
    <ext xmlns:x14="http://schemas.microsoft.com/office/spreadsheetml/2009/9/main" uri="{504A1905-F514-4f6f-8877-14C23A59335A}">
      <x14:table altTextSummary="Proporcione los nombres de los empleados y las fechas de ausencia. Registre el tipo de ausencia según su clave en la fila 12: V = vacaciones, E = enfermedad, P = personal y dos marcadores de posición para entradas personalizadas"/>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A000000}" name="Noviembre" displayName="Noviembre" ref="B8:AH28" totalsRowCount="1" headerRowDxfId="527" dataDxfId="526" totalsRowDxfId="525">
  <tableColumns count="33">
    <tableColumn id="1" xr3:uid="{00000000-0010-0000-0A00-000001000000}" name="Nombre del empleado" totalsRowFunction="custom" dataDxfId="524" totalsRowDxfId="523" dataCellStyle="Empleado">
      <totalsRowFormula>MonthName&amp;" Total"</totalsRowFormula>
    </tableColumn>
    <tableColumn id="2" xr3:uid="{00000000-0010-0000-0A00-000002000000}" name="1" totalsRowFunction="count" dataDxfId="522" totalsRowDxfId="521"/>
    <tableColumn id="3" xr3:uid="{00000000-0010-0000-0A00-000003000000}" name="2" totalsRowFunction="count" dataDxfId="520" totalsRowDxfId="519"/>
    <tableColumn id="4" xr3:uid="{00000000-0010-0000-0A00-000004000000}" name="3" totalsRowFunction="count" dataDxfId="518" totalsRowDxfId="517"/>
    <tableColumn id="5" xr3:uid="{00000000-0010-0000-0A00-000005000000}" name="4" totalsRowFunction="count" dataDxfId="516" totalsRowDxfId="515"/>
    <tableColumn id="6" xr3:uid="{00000000-0010-0000-0A00-000006000000}" name="5" totalsRowFunction="count" dataDxfId="514" totalsRowDxfId="513"/>
    <tableColumn id="7" xr3:uid="{00000000-0010-0000-0A00-000007000000}" name="6" totalsRowFunction="count" dataDxfId="512" totalsRowDxfId="511"/>
    <tableColumn id="8" xr3:uid="{00000000-0010-0000-0A00-000008000000}" name="7" totalsRowFunction="count" dataDxfId="510" totalsRowDxfId="509"/>
    <tableColumn id="9" xr3:uid="{00000000-0010-0000-0A00-000009000000}" name="8" totalsRowFunction="count" dataDxfId="508" totalsRowDxfId="507"/>
    <tableColumn id="10" xr3:uid="{00000000-0010-0000-0A00-00000A000000}" name="9" totalsRowFunction="count" dataDxfId="506" totalsRowDxfId="505"/>
    <tableColumn id="11" xr3:uid="{00000000-0010-0000-0A00-00000B000000}" name="10" totalsRowFunction="count" dataDxfId="504" totalsRowDxfId="503"/>
    <tableColumn id="12" xr3:uid="{00000000-0010-0000-0A00-00000C000000}" name="11" totalsRowFunction="count" dataDxfId="502" totalsRowDxfId="501"/>
    <tableColumn id="13" xr3:uid="{00000000-0010-0000-0A00-00000D000000}" name="12" totalsRowFunction="count" dataDxfId="500" totalsRowDxfId="499"/>
    <tableColumn id="14" xr3:uid="{00000000-0010-0000-0A00-00000E000000}" name="13" totalsRowFunction="count" dataDxfId="498" totalsRowDxfId="497"/>
    <tableColumn id="15" xr3:uid="{00000000-0010-0000-0A00-00000F000000}" name="14" totalsRowFunction="count" dataDxfId="496" totalsRowDxfId="495"/>
    <tableColumn id="16" xr3:uid="{00000000-0010-0000-0A00-000010000000}" name="15" totalsRowFunction="count" dataDxfId="494" totalsRowDxfId="493"/>
    <tableColumn id="17" xr3:uid="{00000000-0010-0000-0A00-000011000000}" name="16" totalsRowFunction="count" dataDxfId="492" totalsRowDxfId="491"/>
    <tableColumn id="18" xr3:uid="{00000000-0010-0000-0A00-000012000000}" name="17" totalsRowFunction="count" dataDxfId="490" totalsRowDxfId="489"/>
    <tableColumn id="19" xr3:uid="{00000000-0010-0000-0A00-000013000000}" name="18" totalsRowFunction="count" dataDxfId="488" totalsRowDxfId="487"/>
    <tableColumn id="20" xr3:uid="{00000000-0010-0000-0A00-000014000000}" name="19" totalsRowFunction="count" dataDxfId="486" totalsRowDxfId="485"/>
    <tableColumn id="21" xr3:uid="{00000000-0010-0000-0A00-000015000000}" name="20" totalsRowFunction="count" dataDxfId="484" totalsRowDxfId="483"/>
    <tableColumn id="22" xr3:uid="{00000000-0010-0000-0A00-000016000000}" name="21" totalsRowFunction="count" dataDxfId="482" totalsRowDxfId="481"/>
    <tableColumn id="23" xr3:uid="{00000000-0010-0000-0A00-000017000000}" name="22" totalsRowFunction="count" dataDxfId="480" totalsRowDxfId="479"/>
    <tableColumn id="24" xr3:uid="{00000000-0010-0000-0A00-000018000000}" name="23" totalsRowFunction="count" dataDxfId="478" totalsRowDxfId="477"/>
    <tableColumn id="25" xr3:uid="{00000000-0010-0000-0A00-000019000000}" name="24" totalsRowFunction="count" dataDxfId="476" totalsRowDxfId="475"/>
    <tableColumn id="26" xr3:uid="{00000000-0010-0000-0A00-00001A000000}" name="25" totalsRowFunction="count" dataDxfId="474" totalsRowDxfId="473"/>
    <tableColumn id="27" xr3:uid="{00000000-0010-0000-0A00-00001B000000}" name="26" totalsRowFunction="count" dataDxfId="472" totalsRowDxfId="471"/>
    <tableColumn id="28" xr3:uid="{00000000-0010-0000-0A00-00001C000000}" name="27" totalsRowFunction="count" dataDxfId="470" totalsRowDxfId="469"/>
    <tableColumn id="29" xr3:uid="{00000000-0010-0000-0A00-00001D000000}" name="28" totalsRowFunction="count" dataDxfId="468" totalsRowDxfId="467"/>
    <tableColumn id="30" xr3:uid="{00000000-0010-0000-0A00-00001E000000}" name="29" totalsRowFunction="count" dataDxfId="466" totalsRowDxfId="465"/>
    <tableColumn id="31" xr3:uid="{00000000-0010-0000-0A00-00001F000000}" name="30" totalsRowFunction="sum" dataDxfId="464" totalsRowDxfId="463"/>
    <tableColumn id="32" xr3:uid="{00000000-0010-0000-0A00-000020000000}" name=" " totalsRowFunction="sum" dataDxfId="462" totalsRowDxfId="461" dataCellStyle="Total"/>
    <tableColumn id="33" xr3:uid="{00000000-0010-0000-0A00-000021000000}" name="Total de días" totalsRowFunction="sum" dataDxfId="460" totalsRowDxfId="459" dataCellStyle="Total">
      <calculatedColumnFormula>COUNTA(Noviembre[[#This Row],[1]:[ ]])</calculatedColumnFormula>
    </tableColumn>
  </tableColumns>
  <tableStyleInfo name="Tabla de ausencia del empleado" showFirstColumn="1" showLastColumn="1" showRowStripes="1" showColumnStripes="0"/>
  <extLst>
    <ext xmlns:x14="http://schemas.microsoft.com/office/spreadsheetml/2009/9/main" uri="{504A1905-F514-4f6f-8877-14C23A59335A}">
      <x14:table altTextSummary="Proporcione los nombres de los empleados y las fechas de ausencia. Registre el tipo de ausencia según su clave en la fila 12: V = vacaciones, E = enfermedad, P = personal y dos marcadores de posición para entradas personalizadas"/>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Diciembre" displayName="Diciembre" ref="B8:AH28" totalsRowCount="1" headerRowDxfId="458" dataDxfId="457" totalsRowDxfId="456">
  <tableColumns count="33">
    <tableColumn id="1" xr3:uid="{00000000-0010-0000-0B00-000001000000}" name="Nombre del empleado" totalsRowFunction="custom" dataDxfId="455" totalsRowDxfId="454" dataCellStyle="Empleado">
      <totalsRowFormula>MonthName&amp;" Total"</totalsRowFormula>
    </tableColumn>
    <tableColumn id="2" xr3:uid="{00000000-0010-0000-0B00-000002000000}" name="1" totalsRowFunction="count" dataDxfId="453" totalsRowDxfId="452"/>
    <tableColumn id="3" xr3:uid="{00000000-0010-0000-0B00-000003000000}" name="2" totalsRowFunction="count" dataDxfId="451" totalsRowDxfId="450"/>
    <tableColumn id="4" xr3:uid="{00000000-0010-0000-0B00-000004000000}" name="3" totalsRowFunction="count" dataDxfId="449" totalsRowDxfId="448"/>
    <tableColumn id="5" xr3:uid="{00000000-0010-0000-0B00-000005000000}" name="4" totalsRowFunction="count" dataDxfId="447" totalsRowDxfId="446"/>
    <tableColumn id="6" xr3:uid="{00000000-0010-0000-0B00-000006000000}" name="5" totalsRowFunction="count" dataDxfId="445" totalsRowDxfId="444"/>
    <tableColumn id="7" xr3:uid="{00000000-0010-0000-0B00-000007000000}" name="6" totalsRowFunction="count" dataDxfId="443" totalsRowDxfId="442"/>
    <tableColumn id="8" xr3:uid="{00000000-0010-0000-0B00-000008000000}" name="7" totalsRowFunction="count" dataDxfId="441" totalsRowDxfId="440"/>
    <tableColumn id="9" xr3:uid="{00000000-0010-0000-0B00-000009000000}" name="8" totalsRowFunction="count" dataDxfId="439" totalsRowDxfId="438"/>
    <tableColumn id="10" xr3:uid="{00000000-0010-0000-0B00-00000A000000}" name="9" totalsRowFunction="count" dataDxfId="437" totalsRowDxfId="436"/>
    <tableColumn id="11" xr3:uid="{00000000-0010-0000-0B00-00000B000000}" name="10" totalsRowFunction="count" dataDxfId="435" totalsRowDxfId="434"/>
    <tableColumn id="12" xr3:uid="{00000000-0010-0000-0B00-00000C000000}" name="11" totalsRowFunction="count" dataDxfId="433" totalsRowDxfId="432"/>
    <tableColumn id="13" xr3:uid="{00000000-0010-0000-0B00-00000D000000}" name="12" totalsRowFunction="count" dataDxfId="431" totalsRowDxfId="430"/>
    <tableColumn id="14" xr3:uid="{00000000-0010-0000-0B00-00000E000000}" name="13" totalsRowFunction="count" dataDxfId="429" totalsRowDxfId="428"/>
    <tableColumn id="15" xr3:uid="{00000000-0010-0000-0B00-00000F000000}" name="14" totalsRowFunction="count" dataDxfId="427" totalsRowDxfId="426"/>
    <tableColumn id="16" xr3:uid="{00000000-0010-0000-0B00-000010000000}" name="15" totalsRowFunction="count" dataDxfId="425" totalsRowDxfId="424"/>
    <tableColumn id="17" xr3:uid="{00000000-0010-0000-0B00-000011000000}" name="16" totalsRowFunction="count" dataDxfId="423" totalsRowDxfId="422"/>
    <tableColumn id="18" xr3:uid="{00000000-0010-0000-0B00-000012000000}" name="17" totalsRowFunction="count" dataDxfId="421" totalsRowDxfId="420"/>
    <tableColumn id="19" xr3:uid="{00000000-0010-0000-0B00-000013000000}" name="18" totalsRowFunction="count" dataDxfId="419" totalsRowDxfId="418"/>
    <tableColumn id="20" xr3:uid="{00000000-0010-0000-0B00-000014000000}" name="19" totalsRowFunction="count" dataDxfId="417" totalsRowDxfId="416"/>
    <tableColumn id="21" xr3:uid="{00000000-0010-0000-0B00-000015000000}" name="20" totalsRowFunction="count" dataDxfId="415" totalsRowDxfId="414"/>
    <tableColumn id="22" xr3:uid="{00000000-0010-0000-0B00-000016000000}" name="21" totalsRowFunction="count" dataDxfId="413" totalsRowDxfId="412"/>
    <tableColumn id="23" xr3:uid="{00000000-0010-0000-0B00-000017000000}" name="22" totalsRowFunction="count" dataDxfId="411" totalsRowDxfId="410"/>
    <tableColumn id="24" xr3:uid="{00000000-0010-0000-0B00-000018000000}" name="23" totalsRowFunction="count" dataDxfId="409" totalsRowDxfId="408"/>
    <tableColumn id="25" xr3:uid="{00000000-0010-0000-0B00-000019000000}" name="24" totalsRowFunction="count" dataDxfId="407" totalsRowDxfId="406"/>
    <tableColumn id="26" xr3:uid="{00000000-0010-0000-0B00-00001A000000}" name="25" totalsRowFunction="count" dataDxfId="405" totalsRowDxfId="404"/>
    <tableColumn id="27" xr3:uid="{00000000-0010-0000-0B00-00001B000000}" name="26" totalsRowFunction="count" dataDxfId="403" totalsRowDxfId="402"/>
    <tableColumn id="28" xr3:uid="{00000000-0010-0000-0B00-00001C000000}" name="27" totalsRowFunction="count" dataDxfId="401" totalsRowDxfId="400"/>
    <tableColumn id="29" xr3:uid="{00000000-0010-0000-0B00-00001D000000}" name="28" totalsRowFunction="count" dataDxfId="399" totalsRowDxfId="398"/>
    <tableColumn id="30" xr3:uid="{00000000-0010-0000-0B00-00001E000000}" name="29" totalsRowFunction="count" dataDxfId="397" totalsRowDxfId="396"/>
    <tableColumn id="31" xr3:uid="{00000000-0010-0000-0B00-00001F000000}" name="30" totalsRowFunction="sum" dataDxfId="395" totalsRowDxfId="394"/>
    <tableColumn id="32" xr3:uid="{00000000-0010-0000-0B00-000020000000}" name="31" totalsRowFunction="sum" dataDxfId="393" totalsRowDxfId="392" dataCellStyle="Total"/>
    <tableColumn id="33" xr3:uid="{00000000-0010-0000-0B00-000021000000}" name="Total de días" totalsRowFunction="sum" dataDxfId="391" totalsRowDxfId="390" dataCellStyle="Total">
      <calculatedColumnFormula>COUNTA(Diciembre[[#This Row],[1]:[31]])</calculatedColumnFormula>
    </tableColumn>
  </tableColumns>
  <tableStyleInfo name="Tabla de ausencia del empleado" showFirstColumn="1" showLastColumn="1" showRowStripes="1" showColumnStripes="0"/>
  <extLst>
    <ext xmlns:x14="http://schemas.microsoft.com/office/spreadsheetml/2009/9/main" uri="{504A1905-F514-4f6f-8877-14C23A59335A}">
      <x14:table altTextSummary="Proporciona una lista de nombres y fechas del calendario para registrar las ausencias de los empleados y el tipo de ausencia específico, como V = vacaciones, E = baja por enfermedad, P = asuntos personales y dos marcadores de posición de entradas personalizadas"/>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E7EF9E1-9947-487D-B272-3FEDC0606ADD}" name="Enero6" displayName="Enero6" ref="B8:AH28" totalsRowCount="1" headerRowDxfId="389" dataDxfId="388" totalsRowDxfId="387">
  <autoFilter ref="B8:AH27"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autoFilter>
  <sortState xmlns:xlrd2="http://schemas.microsoft.com/office/spreadsheetml/2017/richdata2" ref="B9:AH27">
    <sortCondition ref="B8:B27"/>
  </sortState>
  <tableColumns count="33">
    <tableColumn id="1" xr3:uid="{7D97863B-982E-4030-8F73-EB71706CC9C0}" name="Nombre del empleado" totalsRowFunction="custom" dataDxfId="386" totalsRowDxfId="385" dataCellStyle="Empleado">
      <totalsRowFormula>MonthName&amp;" total"</totalsRowFormula>
    </tableColumn>
    <tableColumn id="2" xr3:uid="{2F036518-2C0C-45CE-BA1F-09DFC15B64F7}" name="1" totalsRowFunction="custom" dataDxfId="384" totalsRowDxfId="383" dataCellStyle="Total">
      <totalsRowFormula>SUBTOTAL(103,'Enero (2024)'!$C$9:$C$27)</totalsRowFormula>
    </tableColumn>
    <tableColumn id="3" xr3:uid="{BB95E9D0-6F65-41AE-8F78-1A638E9902CD}" name="2" totalsRowFunction="custom" dataDxfId="382" totalsRowDxfId="381" dataCellStyle="Total">
      <totalsRowFormula>SUBTOTAL(103,'Enero (2024)'!$D$9:$D$27)</totalsRowFormula>
    </tableColumn>
    <tableColumn id="4" xr3:uid="{3076C3F0-43B2-41C9-8C59-57D71BDF3586}" name="3" totalsRowFunction="custom" dataDxfId="380" totalsRowDxfId="379" dataCellStyle="Total">
      <totalsRowFormula>SUBTOTAL(103,'Enero (2024)'!$E$9:$E$27)</totalsRowFormula>
    </tableColumn>
    <tableColumn id="5" xr3:uid="{50B6254B-8BEF-4D7E-8E51-0DF8E34F3353}" name="4" totalsRowFunction="custom" dataDxfId="378" totalsRowDxfId="377" dataCellStyle="Total">
      <totalsRowFormula>SUBTOTAL(103,'Enero (2024)'!$F$9:$F$27)</totalsRowFormula>
    </tableColumn>
    <tableColumn id="6" xr3:uid="{AAA91DFF-AAB5-4255-B5F3-43AC10F5A6A7}" name="5" totalsRowFunction="custom" totalsRowDxfId="376" dataCellStyle="Total">
      <totalsRowFormula>SUBTOTAL(103,'Enero (2024)'!$G$9:$G$27)</totalsRowFormula>
    </tableColumn>
    <tableColumn id="7" xr3:uid="{B348D1E2-9360-4080-8201-3B4F090803F0}" name="6" totalsRowFunction="custom" dataDxfId="375" totalsRowDxfId="374" dataCellStyle="Total">
      <totalsRowFormula>SUBTOTAL(103,'Enero (2024)'!$H$9:$H$27)</totalsRowFormula>
    </tableColumn>
    <tableColumn id="8" xr3:uid="{74054782-8AF6-4AE9-B28F-CE02BDA730FA}" name="7" totalsRowFunction="custom" dataDxfId="373" totalsRowDxfId="372" dataCellStyle="Total">
      <totalsRowFormula>SUBTOTAL(103,'Enero (2024)'!$I$9:$I$27)</totalsRowFormula>
    </tableColumn>
    <tableColumn id="9" xr3:uid="{5F1ADB4E-AE86-44C6-ADFF-BA3F88163B67}" name="8" totalsRowFunction="custom" dataDxfId="371" totalsRowDxfId="370" dataCellStyle="Total">
      <totalsRowFormula>SUBTOTAL(103,'Enero (2024)'!$J$9:$J$27)</totalsRowFormula>
    </tableColumn>
    <tableColumn id="10" xr3:uid="{0BB92F38-32DA-4220-9376-B7F2C4315173}" name="9" totalsRowFunction="custom" dataDxfId="369" totalsRowDxfId="368" dataCellStyle="Total">
      <totalsRowFormula>SUBTOTAL(103,'Enero (2024)'!$K$9:$K$27)</totalsRowFormula>
    </tableColumn>
    <tableColumn id="11" xr3:uid="{96735ABF-2D8B-43AC-AD35-91DE97A694F8}" name="10" totalsRowFunction="custom" dataDxfId="367" totalsRowDxfId="366" dataCellStyle="Total">
      <totalsRowFormula>SUBTOTAL(103,'Enero (2024)'!$L$9:$L$27)</totalsRowFormula>
    </tableColumn>
    <tableColumn id="12" xr3:uid="{5EA1A20B-256A-4368-88EF-E9290061879F}" name="11" totalsRowFunction="custom" dataDxfId="365" totalsRowDxfId="364" dataCellStyle="Total">
      <totalsRowFormula>SUBTOTAL(103,'Enero (2024)'!$M$9:$M$27)</totalsRowFormula>
    </tableColumn>
    <tableColumn id="13" xr3:uid="{EE9664B9-7020-4CE2-BA00-499A9C9F49C4}" name="12" totalsRowFunction="custom" dataDxfId="363" totalsRowDxfId="362" dataCellStyle="Total">
      <totalsRowFormula>SUBTOTAL(103,'Enero (2024)'!$N$9:$N$27)</totalsRowFormula>
    </tableColumn>
    <tableColumn id="14" xr3:uid="{ECF2A274-D74B-4AE1-A1F7-9CB67799A222}" name="13" totalsRowFunction="custom" dataDxfId="361" totalsRowDxfId="360" dataCellStyle="Total">
      <totalsRowFormula>SUBTOTAL(103,'Enero (2024)'!$O$9:$O$27)</totalsRowFormula>
    </tableColumn>
    <tableColumn id="15" xr3:uid="{F63AEDB8-9295-4382-BD0D-40FA91746282}" name="14" totalsRowFunction="custom" dataDxfId="359" totalsRowDxfId="358" dataCellStyle="Total">
      <totalsRowFormula>SUBTOTAL(103,'Enero (2024)'!$P$9:$P$27)</totalsRowFormula>
    </tableColumn>
    <tableColumn id="16" xr3:uid="{79415F4B-579E-41BF-8D29-7F7B4428A7A1}" name="15" totalsRowFunction="custom" dataDxfId="357" totalsRowDxfId="356" dataCellStyle="Total">
      <totalsRowFormula>SUBTOTAL(103,'Enero (2024)'!$Q$9:$Q$27)</totalsRowFormula>
    </tableColumn>
    <tableColumn id="17" xr3:uid="{D9D7DA3B-9C76-45C7-93FB-0A0FCF1B16C3}" name="16" totalsRowFunction="custom" dataDxfId="355" totalsRowDxfId="354" dataCellStyle="Total">
      <totalsRowFormula>SUBTOTAL(103,'Enero (2024)'!$R$9:$R$27)</totalsRowFormula>
    </tableColumn>
    <tableColumn id="18" xr3:uid="{4DC55623-EB91-4631-A898-42D7426F06BD}" name="17" totalsRowFunction="custom" dataDxfId="353" totalsRowDxfId="352" dataCellStyle="Total">
      <totalsRowFormula>SUBTOTAL(103,'Enero (2024)'!$S$9:$S$27)</totalsRowFormula>
    </tableColumn>
    <tableColumn id="19" xr3:uid="{67072BA2-DD54-4186-9180-EC3654E1EAEB}" name="18" totalsRowFunction="custom" dataDxfId="351" totalsRowDxfId="350" dataCellStyle="Total">
      <totalsRowFormula>SUBTOTAL(103,'Enero (2024)'!$T$9:$T$27)</totalsRowFormula>
    </tableColumn>
    <tableColumn id="20" xr3:uid="{B5A2A92D-B409-4B76-BC59-E4B7CEBCA2F3}" name="19" totalsRowFunction="custom" dataDxfId="349" totalsRowDxfId="348" dataCellStyle="Total">
      <totalsRowFormula>SUBTOTAL(103,'Enero (2024)'!$U$9:$U$27)</totalsRowFormula>
    </tableColumn>
    <tableColumn id="21" xr3:uid="{83BA55C5-02F7-4020-827B-6FE102044568}" name="20" totalsRowFunction="custom" dataDxfId="347" totalsRowDxfId="346" dataCellStyle="Total">
      <totalsRowFormula>SUBTOTAL(103,'Enero (2024)'!$V$9:$V$27)</totalsRowFormula>
    </tableColumn>
    <tableColumn id="22" xr3:uid="{B8D0B302-559B-4200-8D95-68493E762EB1}" name="21" totalsRowFunction="custom" dataDxfId="345" totalsRowDxfId="344" dataCellStyle="Total">
      <totalsRowFormula>SUBTOTAL(103,'Enero (2024)'!$W$9:$W$27)</totalsRowFormula>
    </tableColumn>
    <tableColumn id="23" xr3:uid="{1E5C4A39-4C5E-402A-B4D2-FB4AEFB8CD1A}" name="22" totalsRowFunction="custom" dataDxfId="343" totalsRowDxfId="342" dataCellStyle="Total">
      <totalsRowFormula>SUBTOTAL(103,'Enero (2024)'!$X$9:$X$27)</totalsRowFormula>
    </tableColumn>
    <tableColumn id="24" xr3:uid="{F48F7F57-4B9A-4853-A2B0-7AD92AECB0E7}" name="23" totalsRowFunction="custom" dataDxfId="341" totalsRowDxfId="340" dataCellStyle="Total">
      <totalsRowFormula>SUBTOTAL(103,'Enero (2024)'!$Y$9:$Y$27)</totalsRowFormula>
    </tableColumn>
    <tableColumn id="25" xr3:uid="{727CC939-016C-4E14-8DB0-3510AC2571C5}" name="24" totalsRowFunction="custom" dataDxfId="339" totalsRowDxfId="338" dataCellStyle="Total">
      <totalsRowFormula>SUBTOTAL(103,'Enero (2024)'!$Z$9:$Z$27)</totalsRowFormula>
    </tableColumn>
    <tableColumn id="26" xr3:uid="{1F4C5863-F93A-439F-8D8A-D2844FBF6619}" name="25" totalsRowFunction="custom" dataDxfId="337" totalsRowDxfId="336" dataCellStyle="Total">
      <totalsRowFormula>SUBTOTAL(103,'Enero (2024)'!$AA$9:$AA$27)</totalsRowFormula>
    </tableColumn>
    <tableColumn id="27" xr3:uid="{5EB4A3D4-0915-48C4-AECE-686CEBEF8904}" name="26" totalsRowFunction="custom" dataDxfId="335" totalsRowDxfId="334" dataCellStyle="Total">
      <totalsRowFormula>SUBTOTAL(103,'Enero (2024)'!$AB$9:$AB$27)</totalsRowFormula>
    </tableColumn>
    <tableColumn id="28" xr3:uid="{FF86558A-E5B1-461B-A804-53DC438C53EA}" name="27" totalsRowFunction="custom" dataDxfId="333" totalsRowDxfId="332" dataCellStyle="Total">
      <totalsRowFormula>SUBTOTAL(103,'Enero (2024)'!$AC$9:$AC$27)</totalsRowFormula>
    </tableColumn>
    <tableColumn id="29" xr3:uid="{FF987AA4-566E-4B7F-96E8-F59ABDE09514}" name="28" totalsRowFunction="custom" dataDxfId="331" totalsRowDxfId="330" dataCellStyle="Total">
      <totalsRowFormula>SUBTOTAL(103,'Enero (2024)'!$AD$9:$AD$27)</totalsRowFormula>
    </tableColumn>
    <tableColumn id="30" xr3:uid="{A8FE6E19-D5FE-4857-8049-17B0662AF98A}" name="29" totalsRowFunction="custom" dataDxfId="329" totalsRowDxfId="328" dataCellStyle="Total">
      <totalsRowFormula>SUBTOTAL(103,'Enero (2024)'!$AE$9:$AE$27)</totalsRowFormula>
    </tableColumn>
    <tableColumn id="31" xr3:uid="{231F1B19-BAAA-45C3-801C-897BE8CBDFE3}" name="30" totalsRowFunction="custom" dataDxfId="327" totalsRowDxfId="326" dataCellStyle="Total">
      <totalsRowFormula>SUBTOTAL(103,'Enero (2024)'!$AF$9:$AF$27)</totalsRowFormula>
    </tableColumn>
    <tableColumn id="32" xr3:uid="{E711EDD6-F410-47E2-929B-74A6AABF0011}" name="31" totalsRowFunction="custom" dataDxfId="325" totalsRowDxfId="324" dataCellStyle="Total">
      <totalsRowFormula>SUBTOTAL(103,'Enero (2024)'!$AG$9:$AG$27)</totalsRowFormula>
    </tableColumn>
    <tableColumn id="33" xr3:uid="{75F34652-DF24-417B-86E9-36B91D3D0DB1}" name="Total de días" totalsRowFunction="sum" dataDxfId="323" totalsRowDxfId="322" dataCellStyle="Total">
      <calculatedColumnFormula>COUNTA('Enero (2024)'!$C9:$AG9)</calculatedColumnFormula>
    </tableColumn>
  </tableColumns>
  <tableStyleInfo name="Tabla de ausencia del empleado" showFirstColumn="1" showLastColumn="1" showRowStripes="1" showColumnStripes="0"/>
  <extLst>
    <ext xmlns:x14="http://schemas.microsoft.com/office/spreadsheetml/2009/9/main" uri="{504A1905-F514-4f6f-8877-14C23A59335A}">
      <x14:table altTextSummary="Proporcione los nombres de los empleados y las fechas de ausencia. Registre el tipo de ausencia según su clave en la fila 12: V = vacaciones, E = enfermedad, P = personal y dos marcadores de posición para entradas personalizadas"/>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31D7779-1EF6-4733-A60A-CAB70A278FC5}" name="Enero69" displayName="Enero69" ref="B8:AH28" totalsRowCount="1" headerRowDxfId="321" dataDxfId="320" totalsRowDxfId="319">
  <autoFilter ref="B8:AH27"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autoFilter>
  <sortState xmlns:xlrd2="http://schemas.microsoft.com/office/spreadsheetml/2017/richdata2" ref="B9:AH27">
    <sortCondition ref="B8:B27"/>
  </sortState>
  <tableColumns count="33">
    <tableColumn id="1" xr3:uid="{EB3F686C-7CCF-4A4F-BC40-0CA1299CBAFD}" name="Nombre del empleado" totalsRowFunction="custom" dataDxfId="318" totalsRowDxfId="317" dataCellStyle="Empleado">
      <totalsRowFormula>MonthName&amp;" total"</totalsRowFormula>
    </tableColumn>
    <tableColumn id="2" xr3:uid="{6EF57FA2-E333-46E2-B8D7-7FE978D16537}" name="1" totalsRowFunction="custom" dataDxfId="316" totalsRowDxfId="315" dataCellStyle="Total">
      <totalsRowFormula>SUBTOTAL(103,'Febrero (2024)'!$C$9:$C$27)</totalsRowFormula>
    </tableColumn>
    <tableColumn id="3" xr3:uid="{4B58B9F0-A751-41E5-B715-8CC96FB0FFAE}" name="2" totalsRowFunction="custom" dataDxfId="314" totalsRowDxfId="313" dataCellStyle="Total">
      <totalsRowFormula>SUBTOTAL(103,'Febrero (2024)'!$D$9:$D$27)</totalsRowFormula>
    </tableColumn>
    <tableColumn id="4" xr3:uid="{1470046D-614C-48FC-8F3A-3D424D394CFB}" name="3" totalsRowFunction="custom" dataDxfId="312" totalsRowDxfId="311" dataCellStyle="Total">
      <totalsRowFormula>SUBTOTAL(103,'Febrero (2024)'!$E$9:$E$27)</totalsRowFormula>
    </tableColumn>
    <tableColumn id="5" xr3:uid="{C47E6F67-B052-428D-B21E-C52951625899}" name="4" totalsRowFunction="custom" dataDxfId="310" totalsRowDxfId="309" dataCellStyle="Total">
      <totalsRowFormula>SUBTOTAL(103,'Febrero (2024)'!$F$9:$F$27)</totalsRowFormula>
    </tableColumn>
    <tableColumn id="6" xr3:uid="{FDEAF48D-F1CC-4A2A-9338-A7A986D3733D}" name="5" totalsRowFunction="custom" totalsRowDxfId="308" dataCellStyle="Total">
      <totalsRowFormula>SUBTOTAL(103,'Febrero (2024)'!$G$9:$G$27)</totalsRowFormula>
    </tableColumn>
    <tableColumn id="7" xr3:uid="{ADA90EF4-887F-44D6-B869-D46A56C01C19}" name="6" totalsRowFunction="custom" dataDxfId="307" totalsRowDxfId="306" dataCellStyle="Total">
      <totalsRowFormula>SUBTOTAL(103,'Febrero (2024)'!$H$9:$H$27)</totalsRowFormula>
    </tableColumn>
    <tableColumn id="8" xr3:uid="{0E4F22CE-5865-4395-8E0D-9B7B02BDCF6F}" name="7" totalsRowFunction="custom" dataDxfId="305" totalsRowDxfId="304" dataCellStyle="Total">
      <totalsRowFormula>SUBTOTAL(103,'Febrero (2024)'!$I$9:$I$27)</totalsRowFormula>
    </tableColumn>
    <tableColumn id="9" xr3:uid="{7D25309F-93B9-4F1C-845C-EB15150D7E30}" name="8" totalsRowFunction="custom" dataDxfId="303" totalsRowDxfId="302" dataCellStyle="Total">
      <totalsRowFormula>SUBTOTAL(103,'Febrero (2024)'!$J$9:$J$27)</totalsRowFormula>
    </tableColumn>
    <tableColumn id="10" xr3:uid="{0CA7AB63-C40F-4DC4-8350-BCBED39E06E8}" name="9" totalsRowFunction="custom" dataDxfId="301" totalsRowDxfId="300" dataCellStyle="Total">
      <totalsRowFormula>SUBTOTAL(103,'Febrero (2024)'!$K$9:$K$27)</totalsRowFormula>
    </tableColumn>
    <tableColumn id="11" xr3:uid="{C6557B76-95C6-4AF7-9C1A-A21491816E9F}" name="10" totalsRowFunction="custom" dataDxfId="299" totalsRowDxfId="298" dataCellStyle="Total">
      <totalsRowFormula>SUBTOTAL(103,'Febrero (2024)'!$L$9:$L$27)</totalsRowFormula>
    </tableColumn>
    <tableColumn id="12" xr3:uid="{D178D1EC-B50B-499B-8DE6-B5D0B9A52513}" name="11" totalsRowFunction="custom" dataDxfId="297" totalsRowDxfId="296" dataCellStyle="Total">
      <totalsRowFormula>SUBTOTAL(103,'Febrero (2024)'!$M$9:$M$27)</totalsRowFormula>
    </tableColumn>
    <tableColumn id="13" xr3:uid="{69FBEF40-1734-4ACF-A97D-66D77917E379}" name="12" totalsRowFunction="custom" dataDxfId="295" totalsRowDxfId="294" dataCellStyle="Total">
      <totalsRowFormula>SUBTOTAL(103,'Febrero (2024)'!$N$9:$N$27)</totalsRowFormula>
    </tableColumn>
    <tableColumn id="14" xr3:uid="{45C83651-5859-4ED2-813E-7B2F41B518A4}" name="13" totalsRowFunction="custom" dataDxfId="293" totalsRowDxfId="292" dataCellStyle="Total">
      <totalsRowFormula>SUBTOTAL(103,'Febrero (2024)'!$O$9:$O$27)</totalsRowFormula>
    </tableColumn>
    <tableColumn id="15" xr3:uid="{AA161B14-397F-4C58-8269-824BEBFD1D3A}" name="14" totalsRowFunction="custom" dataDxfId="291" totalsRowDxfId="290" dataCellStyle="Total">
      <totalsRowFormula>SUBTOTAL(103,'Febrero (2024)'!$P$9:$P$27)</totalsRowFormula>
    </tableColumn>
    <tableColumn id="16" xr3:uid="{2388E528-8E6F-49FE-9923-22846C1A448C}" name="15" totalsRowFunction="custom" dataDxfId="289" totalsRowDxfId="288" dataCellStyle="Total">
      <totalsRowFormula>SUBTOTAL(103,'Febrero (2024)'!$Q$9:$Q$27)</totalsRowFormula>
    </tableColumn>
    <tableColumn id="17" xr3:uid="{75DB9CD1-6F2B-434C-9C9A-80701A67DADA}" name="16" totalsRowFunction="custom" dataDxfId="287" totalsRowDxfId="286" dataCellStyle="Total">
      <totalsRowFormula>SUBTOTAL(103,'Febrero (2024)'!$R$9:$R$27)</totalsRowFormula>
    </tableColumn>
    <tableColumn id="18" xr3:uid="{E51CA858-1B8D-4C06-A17E-DD39570D785E}" name="17" totalsRowFunction="custom" dataDxfId="285" totalsRowDxfId="284" dataCellStyle="Total">
      <totalsRowFormula>SUBTOTAL(103,'Febrero (2024)'!$S$9:$S$27)</totalsRowFormula>
    </tableColumn>
    <tableColumn id="19" xr3:uid="{AAD108CF-DE9C-4C92-B90C-47B473A48F44}" name="18" totalsRowFunction="custom" dataDxfId="283" totalsRowDxfId="282" dataCellStyle="Total">
      <totalsRowFormula>SUBTOTAL(103,'Febrero (2024)'!$T$9:$T$27)</totalsRowFormula>
    </tableColumn>
    <tableColumn id="20" xr3:uid="{47B9748F-CC07-439B-9744-306994B78527}" name="19" totalsRowFunction="custom" dataDxfId="281" totalsRowDxfId="280" dataCellStyle="Total">
      <totalsRowFormula>SUBTOTAL(103,'Febrero (2024)'!$U$9:$U$27)</totalsRowFormula>
    </tableColumn>
    <tableColumn id="21" xr3:uid="{9CE64F90-AA07-4B61-A4FC-AEDB866D47C5}" name="20" totalsRowFunction="custom" dataDxfId="279" totalsRowDxfId="278" dataCellStyle="Total">
      <totalsRowFormula>SUBTOTAL(103,'Febrero (2024)'!$V$9:$V$27)</totalsRowFormula>
    </tableColumn>
    <tableColumn id="22" xr3:uid="{DFA15B0D-C210-4AE0-8F8B-BFCBF63E93C5}" name="21" totalsRowFunction="custom" dataDxfId="277" totalsRowDxfId="276" dataCellStyle="Total">
      <totalsRowFormula>SUBTOTAL(103,'Febrero (2024)'!$W$9:$W$27)</totalsRowFormula>
    </tableColumn>
    <tableColumn id="23" xr3:uid="{F2D7B012-9FF9-4CD0-94F9-704EF57C35C9}" name="22" totalsRowFunction="custom" dataDxfId="275" totalsRowDxfId="274" dataCellStyle="Total">
      <totalsRowFormula>SUBTOTAL(103,'Febrero (2024)'!$X$9:$X$27)</totalsRowFormula>
    </tableColumn>
    <tableColumn id="24" xr3:uid="{56A995F0-F780-4930-90C2-E8431CF5C1A3}" name="23" totalsRowFunction="custom" dataDxfId="273" totalsRowDxfId="272" dataCellStyle="Total">
      <totalsRowFormula>SUBTOTAL(103,'Febrero (2024)'!$Y$9:$Y$27)</totalsRowFormula>
    </tableColumn>
    <tableColumn id="25" xr3:uid="{5F221C97-73B6-4751-9433-9D35ACD7CF1B}" name="24" totalsRowFunction="custom" dataDxfId="271" totalsRowDxfId="270" dataCellStyle="Total">
      <totalsRowFormula>SUBTOTAL(103,'Febrero (2024)'!$Z$9:$Z$27)</totalsRowFormula>
    </tableColumn>
    <tableColumn id="26" xr3:uid="{0272A026-3F79-40CC-BC50-46CA7B1C59CC}" name="25" totalsRowFunction="custom" dataDxfId="269" totalsRowDxfId="268" dataCellStyle="Total">
      <totalsRowFormula>SUBTOTAL(103,'Febrero (2024)'!$AA$9:$AA$27)</totalsRowFormula>
    </tableColumn>
    <tableColumn id="27" xr3:uid="{F492ADD2-5E7E-4C12-9F46-1EA43EA467A1}" name="26" totalsRowFunction="custom" dataDxfId="267" totalsRowDxfId="266" dataCellStyle="Total">
      <totalsRowFormula>SUBTOTAL(103,'Febrero (2024)'!$AB$9:$AB$27)</totalsRowFormula>
    </tableColumn>
    <tableColumn id="28" xr3:uid="{30D2A44B-2ADD-4B89-A787-0B84CB8651E3}" name="27" totalsRowFunction="custom" dataDxfId="265" totalsRowDxfId="264" dataCellStyle="Total">
      <totalsRowFormula>SUBTOTAL(103,'Febrero (2024)'!$AC$9:$AC$27)</totalsRowFormula>
    </tableColumn>
    <tableColumn id="29" xr3:uid="{DB4FC265-DB1F-4521-81BB-6364E7C8CAC4}" name="28" totalsRowFunction="custom" dataDxfId="263" totalsRowDxfId="262" dataCellStyle="Total">
      <totalsRowFormula>SUBTOTAL(103,'Febrero (2024)'!$AD$9:$AD$27)</totalsRowFormula>
    </tableColumn>
    <tableColumn id="30" xr3:uid="{072CDEC8-11EE-4AC4-A8FC-71484D4534FE}" name="29" totalsRowFunction="custom" dataDxfId="261" totalsRowDxfId="260" dataCellStyle="Total">
      <totalsRowFormula>SUBTOTAL(103,'Febrero (2024)'!$AE$9:$AE$27)</totalsRowFormula>
    </tableColumn>
    <tableColumn id="31" xr3:uid="{81929C88-07DC-48C2-BE67-14B7E2A7F1A5}" name="30" totalsRowFunction="custom" dataDxfId="259" totalsRowDxfId="258" dataCellStyle="Total">
      <totalsRowFormula>SUBTOTAL(103,'Febrero (2024)'!$AF$9:$AF$27)</totalsRowFormula>
    </tableColumn>
    <tableColumn id="32" xr3:uid="{BA4FB835-A1F6-4375-9CA9-29E3CA91ACD2}" name="31" totalsRowFunction="custom" dataDxfId="257" totalsRowDxfId="256" dataCellStyle="Total">
      <totalsRowFormula>SUBTOTAL(103,'Febrero (2024)'!$AG$9:$AG$27)</totalsRowFormula>
    </tableColumn>
    <tableColumn id="33" xr3:uid="{CF21D4B2-2FF9-4E90-8996-C0BA5D24DFDE}" name="Total de días" totalsRowFunction="sum" dataDxfId="255" totalsRowDxfId="254" dataCellStyle="Total">
      <calculatedColumnFormula>COUNTA('Febrero (2024)'!$C9:$AG9)</calculatedColumnFormula>
    </tableColumn>
  </tableColumns>
  <tableStyleInfo name="Tabla de ausencia del empleado" showFirstColumn="1" showLastColumn="1" showRowStripes="1" showColumnStripes="0"/>
  <extLst>
    <ext xmlns:x14="http://schemas.microsoft.com/office/spreadsheetml/2009/9/main" uri="{504A1905-F514-4f6f-8877-14C23A59335A}">
      <x14:table altTextSummary="Proporcione los nombres de los empleados y las fechas de ausencia. Registre el tipo de ausencia según su clave en la fila 12: V = vacaciones, E = enfermedad, P = personal y dos marcadores de posición para entradas personalizadas"/>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2C8A142-EF52-4620-855A-E933C5A239C8}" name="Marzo7" displayName="Marzo7" ref="B8:AH28" totalsRowCount="1" headerRowDxfId="253" dataDxfId="252" totalsRowDxfId="251">
  <tableColumns count="33">
    <tableColumn id="1" xr3:uid="{5C3491A8-E0FC-41F0-A7AC-EEAF4A32F0B3}" name="Nombre del empleado" totalsRowFunction="custom" dataDxfId="250" totalsRowDxfId="249" dataCellStyle="Empleado">
      <totalsRowFormula>MonthName&amp;" Total"</totalsRowFormula>
    </tableColumn>
    <tableColumn id="2" xr3:uid="{40249350-7E23-4C55-AD41-3462EB7A48D1}" name="1" totalsRowFunction="count" dataDxfId="248" totalsRowDxfId="247"/>
    <tableColumn id="3" xr3:uid="{7257028E-8F70-4C27-B0BA-EF69F17B4BF6}" name="2" totalsRowFunction="count" dataDxfId="246" totalsRowDxfId="245"/>
    <tableColumn id="4" xr3:uid="{205CA186-2CB0-4BE8-86CB-2F71B269447C}" name="3" totalsRowFunction="count" dataDxfId="244" totalsRowDxfId="243"/>
    <tableColumn id="5" xr3:uid="{A3BBB308-AF5E-4AC3-87EE-909E01D16599}" name="4" totalsRowFunction="count" dataDxfId="242" totalsRowDxfId="241"/>
    <tableColumn id="6" xr3:uid="{9739BC56-0CE1-4D46-A68B-0B78AE8EAA1F}" name="5" totalsRowFunction="count" dataDxfId="240" totalsRowDxfId="239"/>
    <tableColumn id="7" xr3:uid="{DDEC5D28-C585-472B-B9F7-5FBCDFFEC088}" name="6" totalsRowFunction="count" dataDxfId="238" totalsRowDxfId="237"/>
    <tableColumn id="8" xr3:uid="{4E71FF2A-2F9E-438E-8E8B-2EFC106845F5}" name="7" totalsRowFunction="count" dataDxfId="236" totalsRowDxfId="235"/>
    <tableColumn id="9" xr3:uid="{DC98981C-7CF6-41BF-BF14-EEAB311B9580}" name="8" totalsRowFunction="count" dataDxfId="234" totalsRowDxfId="233"/>
    <tableColumn id="10" xr3:uid="{6F54A17C-1D06-44F0-9E79-12F2DD39E229}" name="9" totalsRowFunction="count" dataDxfId="232" totalsRowDxfId="231"/>
    <tableColumn id="11" xr3:uid="{7F5F0143-35CD-4D1F-A250-966A53ABF8D0}" name="10" totalsRowFunction="count" dataDxfId="230" totalsRowDxfId="229"/>
    <tableColumn id="12" xr3:uid="{3EE64B15-931C-41B4-A545-DE0F35AD8B77}" name="11" totalsRowFunction="count" dataDxfId="228" totalsRowDxfId="227"/>
    <tableColumn id="13" xr3:uid="{7E71CF48-2456-486C-A876-AD296167A524}" name="12" totalsRowFunction="count" dataDxfId="226" totalsRowDxfId="225"/>
    <tableColumn id="14" xr3:uid="{14DAF393-2F16-41D4-97CD-523816824F9E}" name="13" totalsRowFunction="count" dataDxfId="224" totalsRowDxfId="223"/>
    <tableColumn id="15" xr3:uid="{182FF27D-EC26-4BB3-B4A7-4733BB761E75}" name="14" totalsRowFunction="count" dataDxfId="222" totalsRowDxfId="221"/>
    <tableColumn id="16" xr3:uid="{F70B4206-9A57-4CF3-BA40-210834D72597}" name="15" totalsRowFunction="count" dataDxfId="220" totalsRowDxfId="219"/>
    <tableColumn id="17" xr3:uid="{429DDB4B-79CC-4EC7-892E-7BA8E87EB472}" name="16" totalsRowFunction="count" dataDxfId="218" totalsRowDxfId="217"/>
    <tableColumn id="18" xr3:uid="{2211951F-D17E-49C2-B4FD-DE0E6F0B7BCE}" name="17" totalsRowFunction="count" dataDxfId="216" totalsRowDxfId="215"/>
    <tableColumn id="19" xr3:uid="{E9CCEEE9-E3D6-43D0-BC33-9FAC617079CE}" name="18" totalsRowFunction="count" dataDxfId="214" totalsRowDxfId="213"/>
    <tableColumn id="20" xr3:uid="{A42A5984-1734-4701-9D94-FA8FD110B2AE}" name="19" totalsRowFunction="count" dataDxfId="212" totalsRowDxfId="211"/>
    <tableColumn id="21" xr3:uid="{2FEDE98B-7B3A-49E1-A6B1-2A8F7835860A}" name="20" totalsRowFunction="count" dataDxfId="210" totalsRowDxfId="209"/>
    <tableColumn id="22" xr3:uid="{86AB5AD1-CD01-40D0-9302-A379CA9053EA}" name="21" totalsRowFunction="count" dataDxfId="208" totalsRowDxfId="207"/>
    <tableColumn id="23" xr3:uid="{9DFE4F10-E631-41F4-8A5E-DB2D905C22C8}" name="22" totalsRowFunction="count" dataDxfId="206" totalsRowDxfId="205"/>
    <tableColumn id="24" xr3:uid="{D80A0071-48A6-4124-873A-A817EA4A4517}" name="23" totalsRowFunction="count" dataDxfId="204" totalsRowDxfId="203"/>
    <tableColumn id="25" xr3:uid="{076492A9-D1E9-45F6-B99D-80335EEF4C64}" name="24" totalsRowFunction="count" dataDxfId="202" totalsRowDxfId="201"/>
    <tableColumn id="26" xr3:uid="{CA7DACD5-E501-43ED-9A8C-BA3DDC422D22}" name="25" totalsRowFunction="count" dataDxfId="200" totalsRowDxfId="199"/>
    <tableColumn id="27" xr3:uid="{2DE82ED5-E5A2-474E-ACBD-21119B6C345A}" name="26" totalsRowFunction="count" dataDxfId="198" totalsRowDxfId="197"/>
    <tableColumn id="28" xr3:uid="{F510E0C8-3556-47F1-8741-E7B088612962}" name="27" totalsRowFunction="count" dataDxfId="196" totalsRowDxfId="195"/>
    <tableColumn id="29" xr3:uid="{BE1BB026-3C61-46E7-9721-EEAD4726549C}" name="28" totalsRowFunction="count" dataDxfId="194" totalsRowDxfId="193"/>
    <tableColumn id="30" xr3:uid="{1CA6274A-38E1-40AD-91DE-23E13FC3DBEB}" name="29" totalsRowFunction="count" dataDxfId="192" totalsRowDxfId="191"/>
    <tableColumn id="31" xr3:uid="{D94C8335-D176-42E5-B3D4-B29F4B1917C1}" name="30" totalsRowFunction="sum" dataDxfId="190" totalsRowDxfId="189"/>
    <tableColumn id="32" xr3:uid="{87FEC361-DE6D-471A-BB24-D1405709A379}" name="31" totalsRowFunction="sum" dataDxfId="188" totalsRowDxfId="187" dataCellStyle="Total"/>
    <tableColumn id="33" xr3:uid="{4BBB25DF-8485-4195-8EF4-B7875DE1CA44}" name="Total de días" totalsRowFunction="sum" dataDxfId="186" totalsRowDxfId="185" dataCellStyle="Total">
      <calculatedColumnFormula>COUNTA(Marzo7[[#This Row],[1]:[31]])</calculatedColumnFormula>
    </tableColumn>
  </tableColumns>
  <tableStyleInfo name="Tabla de ausencia del empleado" showFirstColumn="1" showLastColumn="1" showRowStripes="1" showColumnStripes="0"/>
  <extLst>
    <ext xmlns:x14="http://schemas.microsoft.com/office/spreadsheetml/2009/9/main" uri="{504A1905-F514-4f6f-8877-14C23A59335A}">
      <x14:table altTextSummary="Proporcione los nombres de los empleados y las fechas de ausencia. Registre el tipo de ausencia según su clave en la fila 12: V = vacaciones, E = enfermedad, P = personal y dos marcadores de posición para entradas personalizadas"/>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Nombre_del_empleado" displayName="Nombre_del_empleado" ref="B4:B23" totalsRowShown="0" headerRowDxfId="184" dataDxfId="183">
  <autoFilter ref="B4:B23" xr:uid="{00000000-0009-0000-0100-00000D000000}"/>
  <tableColumns count="1">
    <tableColumn id="1" xr3:uid="{00000000-0010-0000-0C00-000001000000}" name="Nombres de los empleados" dataDxfId="182" dataCellStyle="Empleado"/>
  </tableColumns>
  <tableStyleInfo name="Tabla de ausencia del empleado" showFirstColumn="1" showLastColumn="1" showRowStripes="1" showColumnStripes="0"/>
  <extLst>
    <ext xmlns:x14="http://schemas.microsoft.com/office/spreadsheetml/2009/9/main" uri="{504A1905-F514-4f6f-8877-14C23A59335A}">
      <x14:table altTextSummary="Escriba los nombres de los empleados en esta tabla. Estos nombres se usan como opciones en la columna B de la programación de ausencias de cada m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Febrero" displayName="Febrero" ref="B8:AH28" totalsRowCount="1" headerRowDxfId="1148" dataDxfId="1147" totalsRowDxfId="1146">
  <tableColumns count="33">
    <tableColumn id="1" xr3:uid="{00000000-0010-0000-0100-000001000000}" name="Nombre del empleado" totalsRowFunction="custom" dataDxfId="1145" totalsRowDxfId="1144" dataCellStyle="Empleado">
      <totalsRowFormula>MonthName&amp;" total"</totalsRowFormula>
    </tableColumn>
    <tableColumn id="2" xr3:uid="{00000000-0010-0000-0100-000002000000}" name="1" totalsRowFunction="count" dataDxfId="1143" totalsRowDxfId="1142" dataCellStyle="Total"/>
    <tableColumn id="3" xr3:uid="{00000000-0010-0000-0100-000003000000}" name="2" totalsRowFunction="count" dataDxfId="1141" totalsRowDxfId="1140" dataCellStyle="Total"/>
    <tableColumn id="4" xr3:uid="{00000000-0010-0000-0100-000004000000}" name="3" totalsRowFunction="count" dataDxfId="1139" totalsRowDxfId="1138" dataCellStyle="Total"/>
    <tableColumn id="5" xr3:uid="{00000000-0010-0000-0100-000005000000}" name="4" totalsRowFunction="count" dataDxfId="1137" totalsRowDxfId="1136" dataCellStyle="Total"/>
    <tableColumn id="6" xr3:uid="{00000000-0010-0000-0100-000006000000}" name="5" totalsRowFunction="count" dataDxfId="1135" totalsRowDxfId="1134" dataCellStyle="Total"/>
    <tableColumn id="7" xr3:uid="{00000000-0010-0000-0100-000007000000}" name="6" totalsRowFunction="count" dataDxfId="1133" totalsRowDxfId="1132" dataCellStyle="Total"/>
    <tableColumn id="8" xr3:uid="{00000000-0010-0000-0100-000008000000}" name="7" totalsRowFunction="count" dataDxfId="1131" totalsRowDxfId="1130" dataCellStyle="Total"/>
    <tableColumn id="9" xr3:uid="{00000000-0010-0000-0100-000009000000}" name="8" totalsRowFunction="count" dataDxfId="1129" totalsRowDxfId="1128" dataCellStyle="Total"/>
    <tableColumn id="10" xr3:uid="{00000000-0010-0000-0100-00000A000000}" name="9" totalsRowFunction="count" dataDxfId="1127" totalsRowDxfId="1126" dataCellStyle="Total"/>
    <tableColumn id="11" xr3:uid="{00000000-0010-0000-0100-00000B000000}" name="10" totalsRowFunction="count" dataDxfId="1125" totalsRowDxfId="1124" dataCellStyle="Total"/>
    <tableColumn id="12" xr3:uid="{00000000-0010-0000-0100-00000C000000}" name="11" totalsRowFunction="count" dataDxfId="1123" totalsRowDxfId="1122" dataCellStyle="Total"/>
    <tableColumn id="13" xr3:uid="{00000000-0010-0000-0100-00000D000000}" name="12" totalsRowFunction="count" dataDxfId="1121" totalsRowDxfId="1120" dataCellStyle="Total"/>
    <tableColumn id="14" xr3:uid="{00000000-0010-0000-0100-00000E000000}" name="13" totalsRowFunction="count" dataDxfId="1119" totalsRowDxfId="1118" dataCellStyle="Total"/>
    <tableColumn id="15" xr3:uid="{00000000-0010-0000-0100-00000F000000}" name="14" totalsRowFunction="count" dataDxfId="1117" totalsRowDxfId="1116" dataCellStyle="Total"/>
    <tableColumn id="16" xr3:uid="{00000000-0010-0000-0100-000010000000}" name="15" totalsRowFunction="count" dataDxfId="1115" totalsRowDxfId="1114" dataCellStyle="Total"/>
    <tableColumn id="17" xr3:uid="{00000000-0010-0000-0100-000011000000}" name="16" totalsRowFunction="count" dataDxfId="1113" totalsRowDxfId="1112" dataCellStyle="Total"/>
    <tableColumn id="18" xr3:uid="{00000000-0010-0000-0100-000012000000}" name="17" totalsRowFunction="count" dataDxfId="1111" totalsRowDxfId="1110" dataCellStyle="Total"/>
    <tableColumn id="19" xr3:uid="{00000000-0010-0000-0100-000013000000}" name="18" totalsRowFunction="count" dataDxfId="1109" totalsRowDxfId="1108" dataCellStyle="Total"/>
    <tableColumn id="20" xr3:uid="{00000000-0010-0000-0100-000014000000}" name="19" totalsRowFunction="count" dataDxfId="1107" totalsRowDxfId="1106" dataCellStyle="Total"/>
    <tableColumn id="21" xr3:uid="{00000000-0010-0000-0100-000015000000}" name="20" totalsRowFunction="count" dataDxfId="1105" totalsRowDxfId="1104" dataCellStyle="Total"/>
    <tableColumn id="22" xr3:uid="{00000000-0010-0000-0100-000016000000}" name="21" totalsRowFunction="count" dataDxfId="1103" totalsRowDxfId="1102" dataCellStyle="Total"/>
    <tableColumn id="23" xr3:uid="{00000000-0010-0000-0100-000017000000}" name="22" totalsRowFunction="count" dataDxfId="1101" totalsRowDxfId="1100" dataCellStyle="Total"/>
    <tableColumn id="24" xr3:uid="{00000000-0010-0000-0100-000018000000}" name="23" totalsRowFunction="count" dataDxfId="1099" totalsRowDxfId="1098" dataCellStyle="Total"/>
    <tableColumn id="25" xr3:uid="{00000000-0010-0000-0100-000019000000}" name="24" totalsRowFunction="count" dataDxfId="1097" totalsRowDxfId="1096" dataCellStyle="Total"/>
    <tableColumn id="26" xr3:uid="{00000000-0010-0000-0100-00001A000000}" name="25" totalsRowFunction="count" dataDxfId="1095" totalsRowDxfId="1094" dataCellStyle="Total"/>
    <tableColumn id="27" xr3:uid="{00000000-0010-0000-0100-00001B000000}" name="26" totalsRowFunction="count" dataDxfId="1093" totalsRowDxfId="1092" dataCellStyle="Total"/>
    <tableColumn id="28" xr3:uid="{00000000-0010-0000-0100-00001C000000}" name="27" totalsRowFunction="count" dataDxfId="1091" totalsRowDxfId="1090" dataCellStyle="Total"/>
    <tableColumn id="29" xr3:uid="{00000000-0010-0000-0100-00001D000000}" name="28" totalsRowFunction="count" dataDxfId="1089" totalsRowDxfId="1088" dataCellStyle="Total"/>
    <tableColumn id="30" xr3:uid="{00000000-0010-0000-0100-00001E000000}" name="29" totalsRowFunction="count" dataDxfId="1087" totalsRowDxfId="1086" dataCellStyle="Total"/>
    <tableColumn id="31" xr3:uid="{00000000-0010-0000-0100-00001F000000}" name=" " dataDxfId="1085" totalsRowDxfId="1084" dataCellStyle="Total"/>
    <tableColumn id="32" xr3:uid="{00000000-0010-0000-0100-000020000000}" name="  " dataDxfId="1083" totalsRowDxfId="1082" dataCellStyle="Total"/>
    <tableColumn id="33" xr3:uid="{00000000-0010-0000-0100-000021000000}" name="Total de días" totalsRowFunction="sum" dataDxfId="1081" totalsRowDxfId="1080" dataCellStyle="Total">
      <calculatedColumnFormula>COUNTA(Febrero[[#This Row],[1]:[29]])</calculatedColumnFormula>
    </tableColumn>
  </tableColumns>
  <tableStyleInfo name="Tabla de ausencia del empleado" showFirstColumn="1" showLastColumn="1" showRowStripes="1" showColumnStripes="0"/>
  <extLst>
    <ext xmlns:x14="http://schemas.microsoft.com/office/spreadsheetml/2009/9/main" uri="{504A1905-F514-4f6f-8877-14C23A59335A}">
      <x14:table altTextSummary="Proporcione los nombres de los empleados y las fechas de ausencia. Registre el tipo de ausencia según su clave en la fila 12: V = vacaciones, E = enfermedad, P = personal y dos marcadores de posición para entradas personalizada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2000000}" name="Marzo" displayName="Marzo" ref="B8:AH28" totalsRowCount="1" headerRowDxfId="1079" dataDxfId="1078" totalsRowDxfId="1077">
  <tableColumns count="33">
    <tableColumn id="1" xr3:uid="{00000000-0010-0000-0200-000001000000}" name="Nombre del empleado" totalsRowFunction="custom" dataDxfId="1076" totalsRowDxfId="1075" dataCellStyle="Empleado">
      <totalsRowFormula>MonthName&amp;" Total"</totalsRowFormula>
    </tableColumn>
    <tableColumn id="2" xr3:uid="{00000000-0010-0000-0200-000002000000}" name="1" totalsRowFunction="count" dataDxfId="1074" totalsRowDxfId="1073"/>
    <tableColumn id="3" xr3:uid="{00000000-0010-0000-0200-000003000000}" name="2" totalsRowFunction="count" dataDxfId="1072" totalsRowDxfId="1071"/>
    <tableColumn id="4" xr3:uid="{00000000-0010-0000-0200-000004000000}" name="3" totalsRowFunction="count" dataDxfId="1070" totalsRowDxfId="1069"/>
    <tableColumn id="5" xr3:uid="{00000000-0010-0000-0200-000005000000}" name="4" totalsRowFunction="count" dataDxfId="1068" totalsRowDxfId="1067"/>
    <tableColumn id="6" xr3:uid="{00000000-0010-0000-0200-000006000000}" name="5" totalsRowFunction="count" dataDxfId="1066" totalsRowDxfId="1065"/>
    <tableColumn id="7" xr3:uid="{00000000-0010-0000-0200-000007000000}" name="6" totalsRowFunction="count" dataDxfId="1064" totalsRowDxfId="1063"/>
    <tableColumn id="8" xr3:uid="{00000000-0010-0000-0200-000008000000}" name="7" totalsRowFunction="count" dataDxfId="1062" totalsRowDxfId="1061"/>
    <tableColumn id="9" xr3:uid="{00000000-0010-0000-0200-000009000000}" name="8" totalsRowFunction="count" dataDxfId="1060" totalsRowDxfId="1059"/>
    <tableColumn id="10" xr3:uid="{00000000-0010-0000-0200-00000A000000}" name="9" totalsRowFunction="count" dataDxfId="1058" totalsRowDxfId="1057"/>
    <tableColumn id="11" xr3:uid="{00000000-0010-0000-0200-00000B000000}" name="10" totalsRowFunction="count" dataDxfId="1056" totalsRowDxfId="1055"/>
    <tableColumn id="12" xr3:uid="{00000000-0010-0000-0200-00000C000000}" name="11" totalsRowFunction="count" dataDxfId="1054" totalsRowDxfId="1053"/>
    <tableColumn id="13" xr3:uid="{00000000-0010-0000-0200-00000D000000}" name="12" totalsRowFunction="count" dataDxfId="1052" totalsRowDxfId="1051"/>
    <tableColumn id="14" xr3:uid="{00000000-0010-0000-0200-00000E000000}" name="13" totalsRowFunction="count" dataDxfId="1050" totalsRowDxfId="1049"/>
    <tableColumn id="15" xr3:uid="{00000000-0010-0000-0200-00000F000000}" name="14" totalsRowFunction="count" dataDxfId="1048" totalsRowDxfId="1047"/>
    <tableColumn id="16" xr3:uid="{00000000-0010-0000-0200-000010000000}" name="15" totalsRowFunction="count" dataDxfId="1046" totalsRowDxfId="1045"/>
    <tableColumn id="17" xr3:uid="{00000000-0010-0000-0200-000011000000}" name="16" totalsRowFunction="count" dataDxfId="1044" totalsRowDxfId="1043"/>
    <tableColumn id="18" xr3:uid="{00000000-0010-0000-0200-000012000000}" name="17" totalsRowFunction="count" dataDxfId="1042" totalsRowDxfId="1041"/>
    <tableColumn id="19" xr3:uid="{00000000-0010-0000-0200-000013000000}" name="18" totalsRowFunction="count" dataDxfId="1040" totalsRowDxfId="1039"/>
    <tableColumn id="20" xr3:uid="{00000000-0010-0000-0200-000014000000}" name="19" totalsRowFunction="count" dataDxfId="1038" totalsRowDxfId="1037"/>
    <tableColumn id="21" xr3:uid="{00000000-0010-0000-0200-000015000000}" name="20" totalsRowFunction="count" dataDxfId="1036" totalsRowDxfId="1035"/>
    <tableColumn id="22" xr3:uid="{00000000-0010-0000-0200-000016000000}" name="21" totalsRowFunction="count" dataDxfId="1034" totalsRowDxfId="1033"/>
    <tableColumn id="23" xr3:uid="{00000000-0010-0000-0200-000017000000}" name="22" totalsRowFunction="count" dataDxfId="1032" totalsRowDxfId="1031"/>
    <tableColumn id="24" xr3:uid="{00000000-0010-0000-0200-000018000000}" name="23" totalsRowFunction="count" dataDxfId="1030" totalsRowDxfId="1029"/>
    <tableColumn id="25" xr3:uid="{00000000-0010-0000-0200-000019000000}" name="24" totalsRowFunction="count" dataDxfId="1028" totalsRowDxfId="1027"/>
    <tableColumn id="26" xr3:uid="{00000000-0010-0000-0200-00001A000000}" name="25" totalsRowFunction="count" dataDxfId="1026" totalsRowDxfId="1025"/>
    <tableColumn id="27" xr3:uid="{00000000-0010-0000-0200-00001B000000}" name="26" totalsRowFunction="count" dataDxfId="1024" totalsRowDxfId="1023"/>
    <tableColumn id="28" xr3:uid="{00000000-0010-0000-0200-00001C000000}" name="27" totalsRowFunction="count" dataDxfId="1022" totalsRowDxfId="1021"/>
    <tableColumn id="29" xr3:uid="{00000000-0010-0000-0200-00001D000000}" name="28" totalsRowFunction="count" dataDxfId="1020" totalsRowDxfId="1019"/>
    <tableColumn id="30" xr3:uid="{00000000-0010-0000-0200-00001E000000}" name="29" totalsRowFunction="count" dataDxfId="1018" totalsRowDxfId="1017"/>
    <tableColumn id="31" xr3:uid="{00000000-0010-0000-0200-00001F000000}" name="30" totalsRowFunction="sum" dataDxfId="1016" totalsRowDxfId="1015"/>
    <tableColumn id="32" xr3:uid="{00000000-0010-0000-0200-000020000000}" name="31" totalsRowFunction="sum" dataDxfId="1014" totalsRowDxfId="1013" dataCellStyle="Total"/>
    <tableColumn id="33" xr3:uid="{00000000-0010-0000-0200-000021000000}" name="Total de días" totalsRowFunction="sum" dataDxfId="1012" totalsRowDxfId="1011" dataCellStyle="Total">
      <calculatedColumnFormula>COUNTA(Marzo[[#This Row],[1]:[31]])</calculatedColumnFormula>
    </tableColumn>
  </tableColumns>
  <tableStyleInfo name="Tabla de ausencia del empleado" showFirstColumn="1" showLastColumn="1" showRowStripes="1" showColumnStripes="0"/>
  <extLst>
    <ext xmlns:x14="http://schemas.microsoft.com/office/spreadsheetml/2009/9/main" uri="{504A1905-F514-4f6f-8877-14C23A59335A}">
      <x14:table altTextSummary="Proporcione los nombres de los empleados y las fechas de ausencia. Registre el tipo de ausencia según su clave en la fila 12: V = vacaciones, E = enfermedad, P = personal y dos marcadores de posición para entradas personalizadas"/>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0214BC2-F1A9-794B-922E-B532EC6BBFDF}" name="March5" displayName="March5" ref="B8:AH28" totalsRowCount="1" headerRowDxfId="1010" dataDxfId="1009" totalsRowDxfId="1008">
  <tableColumns count="33">
    <tableColumn id="1" xr3:uid="{5251F992-E710-C643-B160-C37BB2131D31}" name="Nombre del empleado" totalsRowFunction="custom" dataDxfId="1007" totalsRowDxfId="1006" dataCellStyle="Empleado">
      <totalsRowFormula>MonthName&amp;" Total"</totalsRowFormula>
    </tableColumn>
    <tableColumn id="2" xr3:uid="{9AEC3AA3-9F0E-4B4E-A8ED-026BAE9C428F}" name="1" totalsRowFunction="count" dataDxfId="1005" totalsRowDxfId="1004"/>
    <tableColumn id="3" xr3:uid="{55750F7A-05DD-CB41-95C5-BE1F874725AE}" name="2" totalsRowFunction="count" dataDxfId="1003" totalsRowDxfId="1002"/>
    <tableColumn id="4" xr3:uid="{259912E4-C37B-5145-B99B-93F989E18A49}" name="3" totalsRowFunction="count" dataDxfId="1001" totalsRowDxfId="1000"/>
    <tableColumn id="5" xr3:uid="{44743504-4BFF-3B46-87DE-A0AE5C8C9FC0}" name="4" totalsRowFunction="count" dataDxfId="999" totalsRowDxfId="998"/>
    <tableColumn id="6" xr3:uid="{471BE969-F222-D642-8D1A-B386CCC29AB2}" name="5" totalsRowFunction="count" dataDxfId="997" totalsRowDxfId="996"/>
    <tableColumn id="7" xr3:uid="{35FEC3F2-5280-D342-A070-AB9A3C3BCF0A}" name="6" totalsRowFunction="count" dataDxfId="995" totalsRowDxfId="994"/>
    <tableColumn id="8" xr3:uid="{D4047C63-7046-5242-9483-0BC31BD18200}" name="7" totalsRowFunction="count" dataDxfId="993" totalsRowDxfId="992"/>
    <tableColumn id="9" xr3:uid="{79A2B7D0-444A-5942-9296-2BD32E471C66}" name="8" totalsRowFunction="count" dataDxfId="991" totalsRowDxfId="990"/>
    <tableColumn id="10" xr3:uid="{B46D113E-7D39-5A43-BAA4-11739C4AD0C2}" name="9" totalsRowFunction="count" dataDxfId="989" totalsRowDxfId="988"/>
    <tableColumn id="11" xr3:uid="{977EC8E9-AEB6-3E40-BE79-A406D4D3444D}" name="10" totalsRowFunction="count" dataDxfId="987" totalsRowDxfId="986"/>
    <tableColumn id="12" xr3:uid="{42883C66-F682-394E-8D72-6C0286CB27EA}" name="11" totalsRowFunction="count" dataDxfId="985" totalsRowDxfId="984"/>
    <tableColumn id="13" xr3:uid="{9A10401F-4CF0-8641-BCEB-2237315C8881}" name="12" totalsRowFunction="count" dataDxfId="983" totalsRowDxfId="982"/>
    <tableColumn id="14" xr3:uid="{9C8C4D04-BE8B-FB44-9666-B515D905B2D6}" name="13" totalsRowFunction="count" dataDxfId="981" totalsRowDxfId="980"/>
    <tableColumn id="15" xr3:uid="{E996717D-17EC-B048-A561-2AD987D342D0}" name="14" totalsRowFunction="count" dataDxfId="979" totalsRowDxfId="978"/>
    <tableColumn id="16" xr3:uid="{3BFEBF2B-F60F-A142-86F2-75C9DC96AFDB}" name="15" totalsRowFunction="count" dataDxfId="977" totalsRowDxfId="976"/>
    <tableColumn id="17" xr3:uid="{0C97EF54-1361-BE43-8F7F-1BCE23E1AB5A}" name="16" totalsRowFunction="count" dataDxfId="975" totalsRowDxfId="974"/>
    <tableColumn id="18" xr3:uid="{257791F4-E1CB-0642-BD3B-FB1B81C57DF1}" name="17" totalsRowFunction="count" dataDxfId="973" totalsRowDxfId="972"/>
    <tableColumn id="19" xr3:uid="{BB7AB6EF-7B76-5946-B53A-22DB3EB1F3FC}" name="18" totalsRowFunction="count" dataDxfId="971" totalsRowDxfId="970"/>
    <tableColumn id="20" xr3:uid="{85AEA6C3-1E60-234F-8E68-DD23536D850B}" name="19" totalsRowFunction="count" dataDxfId="969" totalsRowDxfId="968"/>
    <tableColumn id="21" xr3:uid="{A73B9507-91D4-9B42-8C0E-1E0FB67905F8}" name="20" totalsRowFunction="count" dataDxfId="967" totalsRowDxfId="966"/>
    <tableColumn id="22" xr3:uid="{5C7BDCBF-0A5A-4549-B80B-C8343893EAF7}" name="21" totalsRowFunction="count" dataDxfId="965" totalsRowDxfId="964"/>
    <tableColumn id="23" xr3:uid="{EC439ECF-E0C6-5D41-9DA2-07E3E82FF691}" name="22" totalsRowFunction="count" dataDxfId="963" totalsRowDxfId="962"/>
    <tableColumn id="24" xr3:uid="{97854A72-AEC9-604B-B1D4-06EC15436469}" name="23" totalsRowFunction="count" dataDxfId="961" totalsRowDxfId="960"/>
    <tableColumn id="25" xr3:uid="{F701FD79-E584-DF4B-83E9-A152532FDD15}" name="24" totalsRowFunction="count" dataDxfId="959" totalsRowDxfId="958"/>
    <tableColumn id="26" xr3:uid="{C662F6C1-F102-5942-8719-E32AD8792020}" name="25" totalsRowFunction="count" dataDxfId="957" totalsRowDxfId="956"/>
    <tableColumn id="27" xr3:uid="{50B9E2E5-9F39-0F45-AE9B-4555A77D295D}" name="26" totalsRowFunction="count" dataDxfId="955" totalsRowDxfId="954"/>
    <tableColumn id="28" xr3:uid="{3E4AF3CF-CB70-0842-B373-83CF59CBDA1D}" name="27" totalsRowFunction="count" dataDxfId="953" totalsRowDxfId="952"/>
    <tableColumn id="29" xr3:uid="{C5FCD875-31A1-4B41-AAF6-09E535D80C81}" name="28" totalsRowFunction="count" dataDxfId="951" totalsRowDxfId="950"/>
    <tableColumn id="30" xr3:uid="{84F06E67-080B-CA42-8EEC-59690B041A03}" name="29" totalsRowFunction="count" dataDxfId="949" totalsRowDxfId="948"/>
    <tableColumn id="31" xr3:uid="{284765D5-58F9-F440-84EA-ACE449176ACA}" name="30" totalsRowFunction="sum" dataDxfId="947" totalsRowDxfId="946"/>
    <tableColumn id="32" xr3:uid="{9C77C5AD-4E19-B843-B9BE-2909F268D667}" name=" " totalsRowFunction="sum" dataDxfId="945" totalsRowDxfId="944" dataCellStyle="Total"/>
    <tableColumn id="33" xr3:uid="{0DA7656D-8525-2046-AEDA-1F40E411BD0D}" name="Total de días" totalsRowFunction="sum" dataDxfId="943" totalsRowDxfId="942" dataCellStyle="Total">
      <calculatedColumnFormula>COUNTA(March5[[#This Row],[1]:[ ]])</calculatedColumnFormula>
    </tableColumn>
  </tableColumns>
  <tableStyleInfo name="Tabla de ausencia del empleado" showFirstColumn="1" showLastColumn="1" showRowStripes="1" showColumnStripes="0"/>
  <extLst>
    <ext xmlns:x14="http://schemas.microsoft.com/office/spreadsheetml/2009/9/main" uri="{504A1905-F514-4f6f-8877-14C23A59335A}">
      <x14:table altTextSummary="Proporcione los nombres de los empleados y las fechas de ausencia. Registre el tipo de ausencia según su clave en la fila 12: V = vacaciones, E = enfermedad, P = personal y dos marcadores de posición para entradas personalizadas"/>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E83FD69-EC79-6B43-9728-DBC90C3FDC77}" name="March58" displayName="March58" ref="B8:AH28" totalsRowCount="1" headerRowDxfId="941" dataDxfId="940" totalsRowDxfId="939">
  <tableColumns count="33">
    <tableColumn id="1" xr3:uid="{5910D0B6-76A8-1646-97A8-4AE2D1756125}" name="Nombre del empleado" totalsRowFunction="custom" dataDxfId="938" totalsRowDxfId="937" dataCellStyle="Empleado">
      <totalsRowFormula>MonthName&amp;" Total"</totalsRowFormula>
    </tableColumn>
    <tableColumn id="2" xr3:uid="{69C27970-12EA-0E42-AF5F-351BA83FD215}" name="1" totalsRowFunction="count" dataDxfId="936" totalsRowDxfId="935"/>
    <tableColumn id="3" xr3:uid="{2DB67051-6E13-964F-86B0-B00AA9A5BFAF}" name="2" totalsRowFunction="count" dataDxfId="934" totalsRowDxfId="933"/>
    <tableColumn id="4" xr3:uid="{CF201FDD-65B9-BE4B-BE51-45EFCA258036}" name="3" totalsRowFunction="count" dataDxfId="932" totalsRowDxfId="931"/>
    <tableColumn id="5" xr3:uid="{E03823B4-0CCA-7D47-BCFD-4BB07A97D88C}" name="4" totalsRowFunction="count" dataDxfId="930" totalsRowDxfId="929"/>
    <tableColumn id="6" xr3:uid="{5F39FD90-2520-0847-B186-6CA5B07A072F}" name="5" totalsRowFunction="count" dataDxfId="928" totalsRowDxfId="927"/>
    <tableColumn id="7" xr3:uid="{D7992C25-6255-D54A-8B77-C3032B2914E8}" name="6" totalsRowFunction="count" dataDxfId="926" totalsRowDxfId="925"/>
    <tableColumn id="8" xr3:uid="{161AB8A2-4451-FA40-9408-833AFFC6D7CD}" name="7" totalsRowFunction="count" dataDxfId="924" totalsRowDxfId="923"/>
    <tableColumn id="9" xr3:uid="{82432B13-145C-AC4E-A84F-0C211DED3AEE}" name="8" totalsRowFunction="count" dataDxfId="922" totalsRowDxfId="921"/>
    <tableColumn id="10" xr3:uid="{994E3A00-A93E-8A4C-A93F-5DF73DB59AA5}" name="9" totalsRowFunction="count" dataDxfId="920" totalsRowDxfId="919"/>
    <tableColumn id="11" xr3:uid="{ADA642AC-6B5D-4749-B631-64A63466A02A}" name="10" totalsRowFunction="count" dataDxfId="918" totalsRowDxfId="917"/>
    <tableColumn id="12" xr3:uid="{E1D9D052-9150-4B4A-873C-04B0C9F0EAA0}" name="11" totalsRowFunction="count" dataDxfId="916" totalsRowDxfId="915"/>
    <tableColumn id="13" xr3:uid="{7804DD46-EEB3-7047-A68F-A81094B2F0E0}" name="12" totalsRowFunction="count" dataDxfId="914" totalsRowDxfId="913"/>
    <tableColumn id="14" xr3:uid="{39F98B96-5BF4-7747-A3D2-F58049C2C331}" name="13" totalsRowFunction="count" dataDxfId="912" totalsRowDxfId="911"/>
    <tableColumn id="15" xr3:uid="{8908FF7E-1791-CA41-8CF3-4A9F971974C3}" name="14" totalsRowFunction="count" dataDxfId="910" totalsRowDxfId="909"/>
    <tableColumn id="16" xr3:uid="{773FDBBE-AB42-A546-8329-8BDAEF4D06C4}" name="15" totalsRowFunction="count" dataDxfId="908" totalsRowDxfId="907"/>
    <tableColumn id="17" xr3:uid="{01EE92EC-B490-AF40-BDB2-290F1B1C3C58}" name="16" totalsRowFunction="count" dataDxfId="906" totalsRowDxfId="905"/>
    <tableColumn id="18" xr3:uid="{DF22A54C-2BE2-1340-BC66-FDDF323ABBE0}" name="17" totalsRowFunction="count" dataDxfId="904" totalsRowDxfId="903"/>
    <tableColumn id="19" xr3:uid="{BB1CDCA3-E15B-8D4E-ABE5-0D5BE02A950E}" name="18" totalsRowFunction="count" dataDxfId="902" totalsRowDxfId="901"/>
    <tableColumn id="20" xr3:uid="{4D5E657B-D9D2-8C4A-A4EB-E29B4B8BCF70}" name="19" totalsRowFunction="count" dataDxfId="900" totalsRowDxfId="899"/>
    <tableColumn id="21" xr3:uid="{B5D1019E-86BD-A146-A976-653D87FAC02B}" name="20" totalsRowFunction="count" dataDxfId="898" totalsRowDxfId="897"/>
    <tableColumn id="22" xr3:uid="{D1F7F5A1-B363-AC44-9332-4BA33D6CCEA8}" name="21" totalsRowFunction="count" dataDxfId="896" totalsRowDxfId="895"/>
    <tableColumn id="23" xr3:uid="{0EEDA366-AE45-0947-A354-D1B1BEB67F28}" name="22" totalsRowFunction="count" dataDxfId="894" totalsRowDxfId="893"/>
    <tableColumn id="24" xr3:uid="{8DB56569-FE6B-4249-B364-D76AC1D9BE79}" name="23" totalsRowFunction="count" dataDxfId="892" totalsRowDxfId="891"/>
    <tableColumn id="25" xr3:uid="{5BECBC0C-925A-8245-AD6D-847781A68957}" name="24" totalsRowFunction="count" dataDxfId="890" totalsRowDxfId="889"/>
    <tableColumn id="26" xr3:uid="{7D745BDB-6C53-8B4B-BA72-5FBDCB5D9CCC}" name="25" totalsRowFunction="count" dataDxfId="888" totalsRowDxfId="887"/>
    <tableColumn id="27" xr3:uid="{FA6FFB4C-5E6D-DA4E-8F87-EEC900B26695}" name="26" totalsRowFunction="count" dataDxfId="886" totalsRowDxfId="885"/>
    <tableColumn id="28" xr3:uid="{A50BDA94-D72B-C043-A8B2-E1E178EA827F}" name="27" totalsRowFunction="count" dataDxfId="884" totalsRowDxfId="883"/>
    <tableColumn id="29" xr3:uid="{D68B12D0-F485-FF42-B2E6-30EC0E2C418D}" name="28" totalsRowFunction="count" dataDxfId="882" totalsRowDxfId="881"/>
    <tableColumn id="30" xr3:uid="{695C2584-A6A5-D742-A768-02D19E90DEBC}" name="29" totalsRowFunction="count" dataDxfId="880" totalsRowDxfId="879"/>
    <tableColumn id="31" xr3:uid="{0B002160-8CE9-4B4E-A7A4-CFE8C54F8781}" name="30" totalsRowFunction="sum" dataDxfId="878" totalsRowDxfId="877"/>
    <tableColumn id="32" xr3:uid="{9A241B27-F77F-9E49-9678-7978D0423F17}" name="31" totalsRowFunction="sum" dataDxfId="876" totalsRowDxfId="875" dataCellStyle="Total"/>
    <tableColumn id="33" xr3:uid="{C85EB010-29D3-FD4A-9882-B705BDC3D2EF}" name="Total de días" totalsRowFunction="sum" dataDxfId="874" totalsRowDxfId="873" dataCellStyle="Total">
      <calculatedColumnFormula>COUNTA(March58[[#This Row],[1]:[31]])</calculatedColumnFormula>
    </tableColumn>
  </tableColumns>
  <tableStyleInfo name="Tabla de ausencia del empleado" showFirstColumn="1" showLastColumn="1" showRowStripes="1" showColumnStripes="0"/>
  <extLst>
    <ext xmlns:x14="http://schemas.microsoft.com/office/spreadsheetml/2009/9/main" uri="{504A1905-F514-4f6f-8877-14C23A59335A}">
      <x14:table altTextSummary="Proporcione los nombres de los empleados y las fechas de ausencia. Registre el tipo de ausencia según su clave en la fila 12: V = vacaciones, E = enfermedad, P = personal y dos marcadores de posición para entradas personalizadas"/>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5000000}" name="Junio" displayName="Junio" ref="B8:AH28" totalsRowCount="1" headerRowDxfId="872" dataDxfId="871" totalsRowDxfId="870">
  <tableColumns count="33">
    <tableColumn id="1" xr3:uid="{00000000-0010-0000-0500-000001000000}" name="Nombre del empleado" totalsRowFunction="custom" dataDxfId="869" totalsRowDxfId="868" dataCellStyle="Empleado">
      <totalsRowFormula>MonthName&amp;" Total"</totalsRowFormula>
    </tableColumn>
    <tableColumn id="2" xr3:uid="{00000000-0010-0000-0500-000002000000}" name="1" totalsRowFunction="count" dataDxfId="867" totalsRowDxfId="866"/>
    <tableColumn id="3" xr3:uid="{00000000-0010-0000-0500-000003000000}" name="2" totalsRowFunction="count" dataDxfId="865" totalsRowDxfId="864"/>
    <tableColumn id="4" xr3:uid="{00000000-0010-0000-0500-000004000000}" name="3" totalsRowFunction="count" dataDxfId="863" totalsRowDxfId="862"/>
    <tableColumn id="5" xr3:uid="{00000000-0010-0000-0500-000005000000}" name="4" totalsRowFunction="count" dataDxfId="861" totalsRowDxfId="860"/>
    <tableColumn id="6" xr3:uid="{00000000-0010-0000-0500-000006000000}" name="5" totalsRowFunction="count" dataDxfId="859" totalsRowDxfId="858"/>
    <tableColumn id="7" xr3:uid="{00000000-0010-0000-0500-000007000000}" name="6" totalsRowFunction="count" dataDxfId="857" totalsRowDxfId="856"/>
    <tableColumn id="8" xr3:uid="{00000000-0010-0000-0500-000008000000}" name="7" totalsRowFunction="count" dataDxfId="855" totalsRowDxfId="854"/>
    <tableColumn id="9" xr3:uid="{00000000-0010-0000-0500-000009000000}" name="8" totalsRowFunction="count" dataDxfId="853" totalsRowDxfId="852"/>
    <tableColumn id="10" xr3:uid="{00000000-0010-0000-0500-00000A000000}" name="9" totalsRowFunction="count" dataDxfId="851" totalsRowDxfId="850"/>
    <tableColumn id="11" xr3:uid="{00000000-0010-0000-0500-00000B000000}" name="10" totalsRowFunction="count" dataDxfId="849" totalsRowDxfId="848"/>
    <tableColumn id="12" xr3:uid="{00000000-0010-0000-0500-00000C000000}" name="11" totalsRowFunction="count" dataDxfId="847" totalsRowDxfId="846"/>
    <tableColumn id="13" xr3:uid="{00000000-0010-0000-0500-00000D000000}" name="12" totalsRowFunction="count" dataDxfId="845" totalsRowDxfId="844"/>
    <tableColumn id="14" xr3:uid="{00000000-0010-0000-0500-00000E000000}" name="13" totalsRowFunction="count" dataDxfId="843" totalsRowDxfId="842"/>
    <tableColumn id="15" xr3:uid="{00000000-0010-0000-0500-00000F000000}" name="14" totalsRowFunction="count" dataDxfId="841" totalsRowDxfId="840"/>
    <tableColumn id="16" xr3:uid="{00000000-0010-0000-0500-000010000000}" name="15" totalsRowFunction="count" dataDxfId="839" totalsRowDxfId="838"/>
    <tableColumn id="17" xr3:uid="{00000000-0010-0000-0500-000011000000}" name="16" totalsRowFunction="count" dataDxfId="837" totalsRowDxfId="836"/>
    <tableColumn id="18" xr3:uid="{00000000-0010-0000-0500-000012000000}" name="17" totalsRowFunction="count" dataDxfId="835" totalsRowDxfId="834"/>
    <tableColumn id="19" xr3:uid="{00000000-0010-0000-0500-000013000000}" name="18" totalsRowFunction="count" dataDxfId="833" totalsRowDxfId="832"/>
    <tableColumn id="20" xr3:uid="{00000000-0010-0000-0500-000014000000}" name="19" totalsRowFunction="count" dataDxfId="831" totalsRowDxfId="830"/>
    <tableColumn id="21" xr3:uid="{00000000-0010-0000-0500-000015000000}" name="20" totalsRowFunction="count" dataDxfId="829" totalsRowDxfId="828"/>
    <tableColumn id="22" xr3:uid="{00000000-0010-0000-0500-000016000000}" name="21" totalsRowFunction="count" dataDxfId="827" totalsRowDxfId="826"/>
    <tableColumn id="23" xr3:uid="{00000000-0010-0000-0500-000017000000}" name="22" totalsRowFunction="count" dataDxfId="825" totalsRowDxfId="824"/>
    <tableColumn id="24" xr3:uid="{00000000-0010-0000-0500-000018000000}" name="23" totalsRowFunction="count" dataDxfId="823" totalsRowDxfId="822"/>
    <tableColumn id="25" xr3:uid="{00000000-0010-0000-0500-000019000000}" name="24" totalsRowFunction="count" dataDxfId="821" totalsRowDxfId="820"/>
    <tableColumn id="26" xr3:uid="{00000000-0010-0000-0500-00001A000000}" name="25" totalsRowFunction="count" dataDxfId="819" totalsRowDxfId="818"/>
    <tableColumn id="27" xr3:uid="{00000000-0010-0000-0500-00001B000000}" name="26" totalsRowFunction="count" dataDxfId="817" totalsRowDxfId="816"/>
    <tableColumn id="28" xr3:uid="{00000000-0010-0000-0500-00001C000000}" name="27" totalsRowFunction="count" dataDxfId="815" totalsRowDxfId="814"/>
    <tableColumn id="29" xr3:uid="{00000000-0010-0000-0500-00001D000000}" name="28" totalsRowFunction="count" dataDxfId="813" totalsRowDxfId="812"/>
    <tableColumn id="30" xr3:uid="{00000000-0010-0000-0500-00001E000000}" name="29" totalsRowFunction="count" dataDxfId="811" totalsRowDxfId="810"/>
    <tableColumn id="31" xr3:uid="{00000000-0010-0000-0500-00001F000000}" name="30" totalsRowFunction="sum" dataDxfId="809" totalsRowDxfId="808"/>
    <tableColumn id="32" xr3:uid="{00000000-0010-0000-0500-000020000000}" name=" " totalsRowFunction="sum" dataDxfId="807" totalsRowDxfId="806" dataCellStyle="Total"/>
    <tableColumn id="33" xr3:uid="{00000000-0010-0000-0500-000021000000}" name="Total de días" totalsRowFunction="sum" dataDxfId="805" totalsRowDxfId="804" dataCellStyle="Total">
      <calculatedColumnFormula>COUNTA(Junio[[#This Row],[1]:[ ]])</calculatedColumnFormula>
    </tableColumn>
  </tableColumns>
  <tableStyleInfo name="Tabla de ausencia del empleado" showFirstColumn="1" showLastColumn="1" showRowStripes="1" showColumnStripes="0"/>
  <extLst>
    <ext xmlns:x14="http://schemas.microsoft.com/office/spreadsheetml/2009/9/main" uri="{504A1905-F514-4f6f-8877-14C23A59335A}">
      <x14:table altTextSummary="Proporcione los nombres de los empleados y las fechas de ausencia. Registre el tipo de ausencia según su clave en la fila 12: V = vacaciones, E = enfermedad, P = personal y dos marcadores de posición para entradas personalizadas"/>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6000000}" name="Julio" displayName="Julio" ref="B8:AH28" totalsRowCount="1" headerRowDxfId="803" dataDxfId="802" totalsRowDxfId="801">
  <tableColumns count="33">
    <tableColumn id="1" xr3:uid="{00000000-0010-0000-0600-000001000000}" name="Nombre del empleado" totalsRowFunction="custom" dataDxfId="800" totalsRowDxfId="799" dataCellStyle="Empleado">
      <totalsRowFormula>MonthName&amp;" Total"</totalsRowFormula>
    </tableColumn>
    <tableColumn id="2" xr3:uid="{00000000-0010-0000-0600-000002000000}" name="1" totalsRowFunction="count" dataDxfId="798" totalsRowDxfId="797"/>
    <tableColumn id="3" xr3:uid="{00000000-0010-0000-0600-000003000000}" name="2" totalsRowFunction="count" dataDxfId="796" totalsRowDxfId="795"/>
    <tableColumn id="4" xr3:uid="{00000000-0010-0000-0600-000004000000}" name="3" totalsRowFunction="count" dataDxfId="794" totalsRowDxfId="793"/>
    <tableColumn id="5" xr3:uid="{00000000-0010-0000-0600-000005000000}" name="4" totalsRowFunction="count" dataDxfId="792" totalsRowDxfId="791"/>
    <tableColumn id="6" xr3:uid="{00000000-0010-0000-0600-000006000000}" name="5" totalsRowFunction="count" dataDxfId="790" totalsRowDxfId="789"/>
    <tableColumn id="7" xr3:uid="{00000000-0010-0000-0600-000007000000}" name="6" totalsRowFunction="count" dataDxfId="788" totalsRowDxfId="787"/>
    <tableColumn id="8" xr3:uid="{00000000-0010-0000-0600-000008000000}" name="7" totalsRowFunction="count" dataDxfId="786" totalsRowDxfId="785"/>
    <tableColumn id="9" xr3:uid="{00000000-0010-0000-0600-000009000000}" name="8" totalsRowFunction="count" dataDxfId="784" totalsRowDxfId="783"/>
    <tableColumn id="10" xr3:uid="{00000000-0010-0000-0600-00000A000000}" name="9" totalsRowFunction="count" dataDxfId="782" totalsRowDxfId="781"/>
    <tableColumn id="11" xr3:uid="{00000000-0010-0000-0600-00000B000000}" name="10" totalsRowFunction="count" dataDxfId="780" totalsRowDxfId="779"/>
    <tableColumn id="12" xr3:uid="{00000000-0010-0000-0600-00000C000000}" name="11" totalsRowFunction="count" dataDxfId="778" totalsRowDxfId="777"/>
    <tableColumn id="13" xr3:uid="{00000000-0010-0000-0600-00000D000000}" name="12" totalsRowFunction="count" dataDxfId="776" totalsRowDxfId="775"/>
    <tableColumn id="14" xr3:uid="{00000000-0010-0000-0600-00000E000000}" name="13" totalsRowFunction="count" dataDxfId="774" totalsRowDxfId="773"/>
    <tableColumn id="15" xr3:uid="{00000000-0010-0000-0600-00000F000000}" name="14" totalsRowFunction="count" dataDxfId="772" totalsRowDxfId="771"/>
    <tableColumn id="16" xr3:uid="{00000000-0010-0000-0600-000010000000}" name="15" totalsRowFunction="count" dataDxfId="770" totalsRowDxfId="769"/>
    <tableColumn id="17" xr3:uid="{00000000-0010-0000-0600-000011000000}" name="16" totalsRowFunction="count" dataDxfId="768" totalsRowDxfId="767"/>
    <tableColumn id="18" xr3:uid="{00000000-0010-0000-0600-000012000000}" name="17" totalsRowFunction="count" dataDxfId="766" totalsRowDxfId="765"/>
    <tableColumn id="19" xr3:uid="{00000000-0010-0000-0600-000013000000}" name="18" totalsRowFunction="count" dataDxfId="764" totalsRowDxfId="763"/>
    <tableColumn id="20" xr3:uid="{00000000-0010-0000-0600-000014000000}" name="19" totalsRowFunction="count" dataDxfId="762" totalsRowDxfId="761"/>
    <tableColumn id="21" xr3:uid="{00000000-0010-0000-0600-000015000000}" name="20" totalsRowFunction="count" dataDxfId="760" totalsRowDxfId="759"/>
    <tableColumn id="22" xr3:uid="{00000000-0010-0000-0600-000016000000}" name="21" totalsRowFunction="count" dataDxfId="758" totalsRowDxfId="757"/>
    <tableColumn id="23" xr3:uid="{00000000-0010-0000-0600-000017000000}" name="22" totalsRowFunction="count" dataDxfId="756" totalsRowDxfId="755"/>
    <tableColumn id="24" xr3:uid="{00000000-0010-0000-0600-000018000000}" name="23" totalsRowFunction="count" dataDxfId="754" totalsRowDxfId="753"/>
    <tableColumn id="25" xr3:uid="{00000000-0010-0000-0600-000019000000}" name="24" totalsRowFunction="count" dataDxfId="752" totalsRowDxfId="751"/>
    <tableColumn id="26" xr3:uid="{00000000-0010-0000-0600-00001A000000}" name="25" totalsRowFunction="count" dataDxfId="750" totalsRowDxfId="749"/>
    <tableColumn id="27" xr3:uid="{00000000-0010-0000-0600-00001B000000}" name="26" totalsRowFunction="count" dataDxfId="748" totalsRowDxfId="747"/>
    <tableColumn id="28" xr3:uid="{00000000-0010-0000-0600-00001C000000}" name="27" totalsRowFunction="count" dataDxfId="746" totalsRowDxfId="745"/>
    <tableColumn id="29" xr3:uid="{00000000-0010-0000-0600-00001D000000}" name="28" totalsRowFunction="count" dataDxfId="744" totalsRowDxfId="743"/>
    <tableColumn id="30" xr3:uid="{00000000-0010-0000-0600-00001E000000}" name="29" totalsRowFunction="count" dataDxfId="742" totalsRowDxfId="741"/>
    <tableColumn id="31" xr3:uid="{00000000-0010-0000-0600-00001F000000}" name="30" totalsRowFunction="sum" dataDxfId="740" totalsRowDxfId="739"/>
    <tableColumn id="32" xr3:uid="{00000000-0010-0000-0600-000020000000}" name="31" totalsRowFunction="sum" dataDxfId="738" totalsRowDxfId="737" dataCellStyle="Total"/>
    <tableColumn id="33" xr3:uid="{00000000-0010-0000-0600-000021000000}" name="Total de días" totalsRowFunction="sum" dataDxfId="736" totalsRowDxfId="735" dataCellStyle="Total">
      <calculatedColumnFormula>COUNTA(Julio[[#This Row],[1]:[31]])</calculatedColumnFormula>
    </tableColumn>
  </tableColumns>
  <tableStyleInfo name="Tabla de ausencia del empleado" showFirstColumn="1" showLastColumn="1" showRowStripes="1" showColumnStripes="0"/>
  <extLst>
    <ext xmlns:x14="http://schemas.microsoft.com/office/spreadsheetml/2009/9/main" uri="{504A1905-F514-4f6f-8877-14C23A59335A}">
      <x14:table altTextSummary="Proporcione los nombres de los empleados y las fechas de ausencia. Registre el tipo de ausencia según su clave en la fila 12: V = vacaciones, E = enfermedad, P = personal y dos marcadores de posición para entradas personalizadas"/>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7000000}" name="Agosto" displayName="Agosto" ref="B8:AH28" totalsRowCount="1" headerRowDxfId="734" dataDxfId="733" totalsRowDxfId="732">
  <tableColumns count="33">
    <tableColumn id="1" xr3:uid="{00000000-0010-0000-0700-000001000000}" name="Nombre del empleado" totalsRowFunction="custom" dataDxfId="731" totalsRowDxfId="730" dataCellStyle="Empleado">
      <totalsRowFormula>MonthName&amp;" Total"</totalsRowFormula>
    </tableColumn>
    <tableColumn id="2" xr3:uid="{00000000-0010-0000-0700-000002000000}" name="1" totalsRowFunction="count" dataDxfId="729" totalsRowDxfId="728"/>
    <tableColumn id="3" xr3:uid="{00000000-0010-0000-0700-000003000000}" name="2" totalsRowFunction="count" dataDxfId="727" totalsRowDxfId="726"/>
    <tableColumn id="4" xr3:uid="{00000000-0010-0000-0700-000004000000}" name="3" totalsRowFunction="count" dataDxfId="725" totalsRowDxfId="724"/>
    <tableColumn id="5" xr3:uid="{00000000-0010-0000-0700-000005000000}" name="4" totalsRowFunction="count" dataDxfId="723" totalsRowDxfId="722"/>
    <tableColumn id="6" xr3:uid="{00000000-0010-0000-0700-000006000000}" name="5" totalsRowFunction="count" dataDxfId="721" totalsRowDxfId="720"/>
    <tableColumn id="7" xr3:uid="{00000000-0010-0000-0700-000007000000}" name="6" totalsRowFunction="count" dataDxfId="719" totalsRowDxfId="718"/>
    <tableColumn id="8" xr3:uid="{00000000-0010-0000-0700-000008000000}" name="7" totalsRowFunction="count" dataDxfId="717" totalsRowDxfId="716"/>
    <tableColumn id="9" xr3:uid="{00000000-0010-0000-0700-000009000000}" name="8" totalsRowFunction="count" dataDxfId="715" totalsRowDxfId="714"/>
    <tableColumn id="10" xr3:uid="{00000000-0010-0000-0700-00000A000000}" name="9" totalsRowFunction="count" dataDxfId="713" totalsRowDxfId="712"/>
    <tableColumn id="11" xr3:uid="{00000000-0010-0000-0700-00000B000000}" name="10" totalsRowFunction="count" dataDxfId="711" totalsRowDxfId="710"/>
    <tableColumn id="12" xr3:uid="{00000000-0010-0000-0700-00000C000000}" name="11" totalsRowFunction="count" dataDxfId="709" totalsRowDxfId="708"/>
    <tableColumn id="13" xr3:uid="{00000000-0010-0000-0700-00000D000000}" name="12" totalsRowFunction="count" dataDxfId="707" totalsRowDxfId="706"/>
    <tableColumn id="14" xr3:uid="{00000000-0010-0000-0700-00000E000000}" name="13" totalsRowFunction="count" dataDxfId="705" totalsRowDxfId="704"/>
    <tableColumn id="15" xr3:uid="{00000000-0010-0000-0700-00000F000000}" name="14" totalsRowFunction="count" dataDxfId="703" totalsRowDxfId="702"/>
    <tableColumn id="16" xr3:uid="{00000000-0010-0000-0700-000010000000}" name="15" totalsRowFunction="count" dataDxfId="701" totalsRowDxfId="700"/>
    <tableColumn id="17" xr3:uid="{00000000-0010-0000-0700-000011000000}" name="16" totalsRowFunction="count" dataDxfId="699" totalsRowDxfId="698"/>
    <tableColumn id="18" xr3:uid="{00000000-0010-0000-0700-000012000000}" name="17" totalsRowFunction="count" dataDxfId="697" totalsRowDxfId="696"/>
    <tableColumn id="19" xr3:uid="{00000000-0010-0000-0700-000013000000}" name="18" totalsRowFunction="count" dataDxfId="695" totalsRowDxfId="694"/>
    <tableColumn id="20" xr3:uid="{00000000-0010-0000-0700-000014000000}" name="19" totalsRowFunction="count" dataDxfId="693" totalsRowDxfId="692"/>
    <tableColumn id="21" xr3:uid="{00000000-0010-0000-0700-000015000000}" name="20" totalsRowFunction="count" dataDxfId="691" totalsRowDxfId="690"/>
    <tableColumn id="22" xr3:uid="{00000000-0010-0000-0700-000016000000}" name="21" totalsRowFunction="count" dataDxfId="689" totalsRowDxfId="688"/>
    <tableColumn id="23" xr3:uid="{00000000-0010-0000-0700-000017000000}" name="22" totalsRowFunction="count" dataDxfId="687" totalsRowDxfId="686"/>
    <tableColumn id="24" xr3:uid="{00000000-0010-0000-0700-000018000000}" name="23" totalsRowFunction="count" dataDxfId="685" totalsRowDxfId="684"/>
    <tableColumn id="25" xr3:uid="{00000000-0010-0000-0700-000019000000}" name="24" totalsRowFunction="count" dataDxfId="683" totalsRowDxfId="682"/>
    <tableColumn id="26" xr3:uid="{00000000-0010-0000-0700-00001A000000}" name="25" totalsRowFunction="count" dataDxfId="681" totalsRowDxfId="680"/>
    <tableColumn id="27" xr3:uid="{00000000-0010-0000-0700-00001B000000}" name="26" totalsRowFunction="count" dataDxfId="679" totalsRowDxfId="678"/>
    <tableColumn id="28" xr3:uid="{00000000-0010-0000-0700-00001C000000}" name="27" totalsRowFunction="count" dataDxfId="677" totalsRowDxfId="676"/>
    <tableColumn id="29" xr3:uid="{00000000-0010-0000-0700-00001D000000}" name="28" totalsRowFunction="count" dataDxfId="675" totalsRowDxfId="674"/>
    <tableColumn id="30" xr3:uid="{00000000-0010-0000-0700-00001E000000}" name="29" totalsRowFunction="count" dataDxfId="673" totalsRowDxfId="672"/>
    <tableColumn id="31" xr3:uid="{00000000-0010-0000-0700-00001F000000}" name="30" totalsRowFunction="sum" dataDxfId="671" totalsRowDxfId="670"/>
    <tableColumn id="32" xr3:uid="{00000000-0010-0000-0700-000020000000}" name="31" totalsRowFunction="sum" dataDxfId="669" totalsRowDxfId="668" dataCellStyle="Total"/>
    <tableColumn id="33" xr3:uid="{00000000-0010-0000-0700-000021000000}" name="Total de días" totalsRowFunction="sum" dataDxfId="667" totalsRowDxfId="666" dataCellStyle="Total">
      <calculatedColumnFormula>COUNTA(Agosto[[#This Row],[1]:[31]])</calculatedColumnFormula>
    </tableColumn>
  </tableColumns>
  <tableStyleInfo name="Tabla de ausencia del empleado" showFirstColumn="1" showLastColumn="1" showRowStripes="1" showColumnStripes="0"/>
  <extLst>
    <ext xmlns:x14="http://schemas.microsoft.com/office/spreadsheetml/2009/9/main" uri="{504A1905-F514-4f6f-8877-14C23A59335A}">
      <x14:table altTextSummary="Proporcione los nombres de los empleados y las fechas de ausencia. Registre el tipo de ausencia según su clave en la fila 12: V = vacaciones, E = enfermedad, P = personal y dos marcadores de posición para entradas personalizadas"/>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Septiembre" displayName="Septiembre" ref="B8:AH28" totalsRowCount="1" headerRowDxfId="665" dataDxfId="664" totalsRowDxfId="663">
  <tableColumns count="33">
    <tableColumn id="1" xr3:uid="{00000000-0010-0000-0800-000001000000}" name="Nombre del empleado" totalsRowFunction="custom" dataDxfId="662" totalsRowDxfId="661" dataCellStyle="Empleado">
      <totalsRowFormula>MonthName&amp;" Total"</totalsRowFormula>
    </tableColumn>
    <tableColumn id="2" xr3:uid="{00000000-0010-0000-0800-000002000000}" name="1" totalsRowFunction="count" dataDxfId="660" totalsRowDxfId="659"/>
    <tableColumn id="3" xr3:uid="{00000000-0010-0000-0800-000003000000}" name="2" totalsRowFunction="count" dataDxfId="658" totalsRowDxfId="657"/>
    <tableColumn id="4" xr3:uid="{00000000-0010-0000-0800-000004000000}" name="3" totalsRowFunction="count" dataDxfId="656" totalsRowDxfId="655"/>
    <tableColumn id="5" xr3:uid="{00000000-0010-0000-0800-000005000000}" name="4" totalsRowFunction="count" dataDxfId="654" totalsRowDxfId="653"/>
    <tableColumn id="6" xr3:uid="{00000000-0010-0000-0800-000006000000}" name="5" totalsRowFunction="count" dataDxfId="652" totalsRowDxfId="651"/>
    <tableColumn id="7" xr3:uid="{00000000-0010-0000-0800-000007000000}" name="6" totalsRowFunction="count" dataDxfId="650" totalsRowDxfId="649"/>
    <tableColumn id="8" xr3:uid="{00000000-0010-0000-0800-000008000000}" name="7" totalsRowFunction="count" dataDxfId="648" totalsRowDxfId="647"/>
    <tableColumn id="9" xr3:uid="{00000000-0010-0000-0800-000009000000}" name="8" totalsRowFunction="count" dataDxfId="646" totalsRowDxfId="645"/>
    <tableColumn id="10" xr3:uid="{00000000-0010-0000-0800-00000A000000}" name="9" totalsRowFunction="count" dataDxfId="644" totalsRowDxfId="643"/>
    <tableColumn id="11" xr3:uid="{00000000-0010-0000-0800-00000B000000}" name="10" totalsRowFunction="count" dataDxfId="642" totalsRowDxfId="641"/>
    <tableColumn id="12" xr3:uid="{00000000-0010-0000-0800-00000C000000}" name="11" totalsRowFunction="count" dataDxfId="640" totalsRowDxfId="639"/>
    <tableColumn id="13" xr3:uid="{00000000-0010-0000-0800-00000D000000}" name="12" totalsRowFunction="count" dataDxfId="638" totalsRowDxfId="637"/>
    <tableColumn id="14" xr3:uid="{00000000-0010-0000-0800-00000E000000}" name="13" totalsRowFunction="count" dataDxfId="636" totalsRowDxfId="635"/>
    <tableColumn id="15" xr3:uid="{00000000-0010-0000-0800-00000F000000}" name="14" totalsRowFunction="count" dataDxfId="634" totalsRowDxfId="633"/>
    <tableColumn id="16" xr3:uid="{00000000-0010-0000-0800-000010000000}" name="15" totalsRowFunction="count" dataDxfId="632" totalsRowDxfId="631"/>
    <tableColumn id="17" xr3:uid="{00000000-0010-0000-0800-000011000000}" name="16" totalsRowFunction="count" dataDxfId="630" totalsRowDxfId="629"/>
    <tableColumn id="18" xr3:uid="{00000000-0010-0000-0800-000012000000}" name="17" totalsRowFunction="count" dataDxfId="628" totalsRowDxfId="627"/>
    <tableColumn id="19" xr3:uid="{00000000-0010-0000-0800-000013000000}" name="18" totalsRowFunction="count" dataDxfId="626" totalsRowDxfId="625"/>
    <tableColumn id="20" xr3:uid="{00000000-0010-0000-0800-000014000000}" name="19" totalsRowFunction="count" dataDxfId="624" totalsRowDxfId="623"/>
    <tableColumn id="21" xr3:uid="{00000000-0010-0000-0800-000015000000}" name="20" totalsRowFunction="count" dataDxfId="622" totalsRowDxfId="621"/>
    <tableColumn id="22" xr3:uid="{00000000-0010-0000-0800-000016000000}" name="21" totalsRowFunction="count" dataDxfId="620" totalsRowDxfId="619"/>
    <tableColumn id="23" xr3:uid="{00000000-0010-0000-0800-000017000000}" name="22" totalsRowFunction="count" dataDxfId="618" totalsRowDxfId="617"/>
    <tableColumn id="24" xr3:uid="{00000000-0010-0000-0800-000018000000}" name="23" totalsRowFunction="count" dataDxfId="616" totalsRowDxfId="615"/>
    <tableColumn id="25" xr3:uid="{00000000-0010-0000-0800-000019000000}" name="24" totalsRowFunction="count" dataDxfId="614" totalsRowDxfId="613"/>
    <tableColumn id="26" xr3:uid="{00000000-0010-0000-0800-00001A000000}" name="25" totalsRowFunction="count" dataDxfId="612" totalsRowDxfId="611"/>
    <tableColumn id="27" xr3:uid="{00000000-0010-0000-0800-00001B000000}" name="26" totalsRowFunction="count" dataDxfId="610" totalsRowDxfId="609"/>
    <tableColumn id="28" xr3:uid="{00000000-0010-0000-0800-00001C000000}" name="27" totalsRowFunction="count" dataDxfId="608" totalsRowDxfId="607"/>
    <tableColumn id="29" xr3:uid="{00000000-0010-0000-0800-00001D000000}" name="28" totalsRowFunction="count" dataDxfId="606" totalsRowDxfId="605"/>
    <tableColumn id="30" xr3:uid="{00000000-0010-0000-0800-00001E000000}" name="29" totalsRowFunction="count" dataDxfId="604" totalsRowDxfId="603"/>
    <tableColumn id="31" xr3:uid="{00000000-0010-0000-0800-00001F000000}" name="30" totalsRowFunction="sum" dataDxfId="602" totalsRowDxfId="601"/>
    <tableColumn id="32" xr3:uid="{00000000-0010-0000-0800-000020000000}" name=" " totalsRowFunction="sum" dataDxfId="600" totalsRowDxfId="599" dataCellStyle="Total"/>
    <tableColumn id="33" xr3:uid="{00000000-0010-0000-0800-000021000000}" name="Total de días" totalsRowFunction="sum" dataDxfId="598" totalsRowDxfId="597" dataCellStyle="Total">
      <calculatedColumnFormula>COUNTA(Septiembre[[#This Row],[1]:[ ]])</calculatedColumnFormula>
    </tableColumn>
  </tableColumns>
  <tableStyleInfo name="Tabla de ausencia del empleado" showFirstColumn="1" showLastColumn="1" showRowStripes="1" showColumnStripes="0"/>
  <extLst>
    <ext xmlns:x14="http://schemas.microsoft.com/office/spreadsheetml/2009/9/main" uri="{504A1905-F514-4f6f-8877-14C23A59335A}">
      <x14:table altTextSummary="Proporcione los nombres de los empleados y las fechas de ausencia. Registre el tipo de ausencia según su clave en la fila 12: V = vacaciones, E = enfermedad, P = personal y dos marcadores de posición para entradas personalizadas"/>
    </ext>
  </extLst>
</table>
</file>

<file path=xl/theme/theme1.xml><?xml version="1.0" encoding="utf-8"?>
<a:theme xmlns:a="http://schemas.openxmlformats.org/drawingml/2006/main" name="Office Theme">
  <a:themeElements>
    <a:clrScheme name="TM03987167">
      <a:dk1>
        <a:srgbClr val="000000"/>
      </a:dk1>
      <a:lt1>
        <a:srgbClr val="FFFFFF"/>
      </a:lt1>
      <a:dk2>
        <a:srgbClr val="44546A"/>
      </a:dk2>
      <a:lt2>
        <a:srgbClr val="E7E6E6"/>
      </a:lt2>
      <a:accent1>
        <a:srgbClr val="1F452F"/>
      </a:accent1>
      <a:accent2>
        <a:srgbClr val="709A97"/>
      </a:accent2>
      <a:accent3>
        <a:srgbClr val="1B417C"/>
      </a:accent3>
      <a:accent4>
        <a:srgbClr val="D8A141"/>
      </a:accent4>
      <a:accent5>
        <a:srgbClr val="CAAFF3"/>
      </a:accent5>
      <a:accent6>
        <a:srgbClr val="EF5C37"/>
      </a:accent6>
      <a:hlink>
        <a:srgbClr val="0563C1"/>
      </a:hlink>
      <a:folHlink>
        <a:srgbClr val="954F72"/>
      </a:folHlink>
    </a:clrScheme>
    <a:fontScheme name="Employee Absence Schedule">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openxmlformats.org/officeDocument/2006/relationships/comments" Target="../comments7.xml"/><Relationship Id="rId4"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11.bin"/><Relationship Id="rId5" Type="http://schemas.openxmlformats.org/officeDocument/2006/relationships/comments" Target="../comments8.xml"/><Relationship Id="rId4" Type="http://schemas.openxmlformats.org/officeDocument/2006/relationships/table" Target="../tables/table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2.xml"/><Relationship Id="rId1" Type="http://schemas.openxmlformats.org/officeDocument/2006/relationships/printerSettings" Target="../printerSettings/printerSettings12.bin"/><Relationship Id="rId5" Type="http://schemas.openxmlformats.org/officeDocument/2006/relationships/comments" Target="../comments9.xml"/><Relationship Id="rId4"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3.xml"/><Relationship Id="rId1" Type="http://schemas.openxmlformats.org/officeDocument/2006/relationships/printerSettings" Target="../printerSettings/printerSettings13.bin"/><Relationship Id="rId5" Type="http://schemas.openxmlformats.org/officeDocument/2006/relationships/comments" Target="../comments10.xml"/><Relationship Id="rId4" Type="http://schemas.openxmlformats.org/officeDocument/2006/relationships/table" Target="../tables/table13.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8" Type="http://schemas.openxmlformats.org/officeDocument/2006/relationships/hyperlink" Target="mailto:almacen@inderbu.gov.co" TargetMode="External"/><Relationship Id="rId13" Type="http://schemas.openxmlformats.org/officeDocument/2006/relationships/hyperlink" Target="mailto:juventud_operativo@inderbu.gov.co" TargetMode="External"/><Relationship Id="rId18" Type="http://schemas.openxmlformats.org/officeDocument/2006/relationships/hyperlink" Target="mailto:subdirector_admin_financiero@inderbu.gov.co" TargetMode="External"/><Relationship Id="rId3" Type="http://schemas.openxmlformats.org/officeDocument/2006/relationships/hyperlink" Target="mailto:asesor@inderbu.gov.co" TargetMode="External"/><Relationship Id="rId7" Type="http://schemas.openxmlformats.org/officeDocument/2006/relationships/hyperlink" Target="mailto:prensa@inderbu.gov.co" TargetMode="External"/><Relationship Id="rId12" Type="http://schemas.openxmlformats.org/officeDocument/2006/relationships/hyperlink" Target="mailto:auxiliartesoreria@inderbu.gov.co" TargetMode="External"/><Relationship Id="rId17" Type="http://schemas.openxmlformats.org/officeDocument/2006/relationships/hyperlink" Target="mailto:auxiliar_administrativo3@inderbu.gov.co" TargetMode="External"/><Relationship Id="rId2" Type="http://schemas.openxmlformats.org/officeDocument/2006/relationships/hyperlink" Target="mailto:subdirector_operativo_juventud@inderbu.gov.co" TargetMode="External"/><Relationship Id="rId16" Type="http://schemas.openxmlformats.org/officeDocument/2006/relationships/hyperlink" Target="mailto:juventud@inderbu.gov.co" TargetMode="External"/><Relationship Id="rId20" Type="http://schemas.openxmlformats.org/officeDocument/2006/relationships/printerSettings" Target="../printerSettings/printerSettings17.bin"/><Relationship Id="rId1" Type="http://schemas.openxmlformats.org/officeDocument/2006/relationships/hyperlink" Target="mailto:subdirector_tecnico@inderbu.gov.co" TargetMode="External"/><Relationship Id="rId6" Type="http://schemas.openxmlformats.org/officeDocument/2006/relationships/hyperlink" Target="mailto:secretarioejecutivo@inderbu.gov.co" TargetMode="External"/><Relationship Id="rId11" Type="http://schemas.openxmlformats.org/officeDocument/2006/relationships/hyperlink" Target="mailto:tesoreria@inderbu.gov.co" TargetMode="External"/><Relationship Id="rId5" Type="http://schemas.openxmlformats.org/officeDocument/2006/relationships/hyperlink" Target="mailto:jefe_juridica@inderbu.gov.co" TargetMode="External"/><Relationship Id="rId15" Type="http://schemas.openxmlformats.org/officeDocument/2006/relationships/hyperlink" Target="mailto:formacion@inderbu.gov.co" TargetMode="External"/><Relationship Id="rId10" Type="http://schemas.openxmlformats.org/officeDocument/2006/relationships/hyperlink" Target="mailto:auxiliar_administrativo2@inderbu.gov.co" TargetMode="External"/><Relationship Id="rId19" Type="http://schemas.openxmlformats.org/officeDocument/2006/relationships/hyperlink" Target="mailto:subdirector_admin_financiero@inderbu.gov.co" TargetMode="External"/><Relationship Id="rId4" Type="http://schemas.openxmlformats.org/officeDocument/2006/relationships/hyperlink" Target="mailto:control_interno@inderbu.gov.co" TargetMode="External"/><Relationship Id="rId9" Type="http://schemas.openxmlformats.org/officeDocument/2006/relationships/hyperlink" Target="mailto:auxiliar_administrativo1@inderbu.gov.co" TargetMode="External"/><Relationship Id="rId14" Type="http://schemas.openxmlformats.org/officeDocument/2006/relationships/hyperlink" Target="mailto:actividadfisicayrecreacion@inderbu.gov.co"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table" Target="../tables/table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table" Target="../tables/table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table" Target="../tables/table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table" Target="../tables/table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openxmlformats.org/officeDocument/2006/relationships/comments" Target="../comments6.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sheetPr>
  <dimension ref="A1:AH28"/>
  <sheetViews>
    <sheetView showGridLines="0" tabSelected="1" topLeftCell="A2" zoomScale="29" zoomScaleNormal="100" workbookViewId="0">
      <selection activeCell="AO26" sqref="AO26"/>
    </sheetView>
  </sheetViews>
  <sheetFormatPr baseColWidth="10" defaultColWidth="8.6328125" defaultRowHeight="30" customHeight="1"/>
  <cols>
    <col min="1" max="1" width="2.6328125" customWidth="1"/>
    <col min="2" max="2" width="37.54296875" customWidth="1"/>
    <col min="3" max="32" width="4.6328125" customWidth="1"/>
    <col min="33" max="33" width="5.1796875" bestFit="1" customWidth="1"/>
    <col min="34" max="34" width="18.26953125" bestFit="1" customWidth="1"/>
    <col min="35" max="35" width="2.6328125" customWidth="1"/>
  </cols>
  <sheetData>
    <row r="1" spans="1:34" s="13" customFormat="1" ht="50" customHeight="1">
      <c r="A1" s="12"/>
      <c r="B1" s="24" t="s">
        <v>0</v>
      </c>
    </row>
    <row r="2" spans="1:34" s="13" customFormat="1" ht="100.25" customHeight="1">
      <c r="A2"/>
      <c r="B2" s="23" t="s">
        <v>1</v>
      </c>
    </row>
    <row r="3" spans="1:34" s="13" customFormat="1" ht="15" customHeight="1">
      <c r="A3"/>
      <c r="B3" s="9"/>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4" ht="30" customHeight="1">
      <c r="B4" s="7" t="s">
        <v>2</v>
      </c>
      <c r="C4" s="29" t="s">
        <v>4</v>
      </c>
      <c r="D4" s="68" t="s">
        <v>7</v>
      </c>
      <c r="E4" s="68"/>
      <c r="F4" s="68"/>
      <c r="G4" s="27" t="s">
        <v>10</v>
      </c>
      <c r="H4" s="69" t="s">
        <v>77</v>
      </c>
      <c r="I4" s="69"/>
      <c r="J4" s="69"/>
      <c r="K4" s="28" t="s">
        <v>75</v>
      </c>
      <c r="L4" s="68" t="s">
        <v>76</v>
      </c>
      <c r="M4" s="68"/>
      <c r="N4" s="68"/>
      <c r="O4" s="17" t="s">
        <v>79</v>
      </c>
      <c r="P4" s="68" t="s">
        <v>160</v>
      </c>
      <c r="Q4" s="68"/>
      <c r="R4" s="68"/>
      <c r="S4" s="68"/>
      <c r="T4" s="18" t="s">
        <v>73</v>
      </c>
      <c r="U4" s="68" t="s">
        <v>74</v>
      </c>
      <c r="V4" s="68"/>
      <c r="W4" s="68"/>
      <c r="X4" s="68"/>
      <c r="Y4" s="36" t="s">
        <v>78</v>
      </c>
      <c r="Z4" s="70" t="s">
        <v>72</v>
      </c>
      <c r="AA4" s="70"/>
      <c r="AB4" s="70"/>
    </row>
    <row r="5" spans="1:34" ht="15" customHeight="1">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6"/>
    </row>
    <row r="6" spans="1:34" ht="50" customHeight="1">
      <c r="B6" s="6"/>
      <c r="C6" s="67" t="s">
        <v>5</v>
      </c>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
        <v>2023</v>
      </c>
    </row>
    <row r="7" spans="1:34" ht="30" customHeight="1">
      <c r="B7" s="6"/>
      <c r="C7" s="21" t="str">
        <f>TEXT(WEEKDAY(DATE(CalendarYear,1,1),1),"ddd")</f>
        <v>dom</v>
      </c>
      <c r="D7" s="21" t="str">
        <f>TEXT(WEEKDAY(DATE(CalendarYear,1,2),1),"ddd")</f>
        <v>lun</v>
      </c>
      <c r="E7" s="21" t="str">
        <f>TEXT(WEEKDAY(DATE(CalendarYear,1,3),1),"ddd")</f>
        <v>mar</v>
      </c>
      <c r="F7" s="21" t="str">
        <f>TEXT(WEEKDAY(DATE(CalendarYear,1,4),1),"ddd")</f>
        <v>mié</v>
      </c>
      <c r="G7" s="21" t="str">
        <f>TEXT(WEEKDAY(DATE(CalendarYear,1,5),1),"ddd")</f>
        <v>jue</v>
      </c>
      <c r="H7" s="21" t="str">
        <f>TEXT(WEEKDAY(DATE(CalendarYear,1,6),1),"ddd")</f>
        <v>vie</v>
      </c>
      <c r="I7" s="21" t="str">
        <f>TEXT(WEEKDAY(DATE(CalendarYear,1,7),1),"ddd")</f>
        <v>sáb</v>
      </c>
      <c r="J7" s="21" t="str">
        <f>TEXT(WEEKDAY(DATE(CalendarYear,1,8),1),"ddd")</f>
        <v>dom</v>
      </c>
      <c r="K7" s="21" t="str">
        <f>TEXT(WEEKDAY(DATE(CalendarYear,1,9),1),"ddd")</f>
        <v>lun</v>
      </c>
      <c r="L7" s="21" t="str">
        <f>TEXT(WEEKDAY(DATE(CalendarYear,1,10),1),"ddd")</f>
        <v>mar</v>
      </c>
      <c r="M7" s="21" t="str">
        <f>TEXT(WEEKDAY(DATE(CalendarYear,1,11),1),"ddd")</f>
        <v>mié</v>
      </c>
      <c r="N7" s="21" t="str">
        <f>TEXT(WEEKDAY(DATE(CalendarYear,1,12),1),"ddd")</f>
        <v>jue</v>
      </c>
      <c r="O7" s="21" t="str">
        <f>TEXT(WEEKDAY(DATE(CalendarYear,1,13),1),"ddd")</f>
        <v>vie</v>
      </c>
      <c r="P7" s="21" t="str">
        <f>TEXT(WEEKDAY(DATE(CalendarYear,1,14),1),"ddd")</f>
        <v>sáb</v>
      </c>
      <c r="Q7" s="21" t="str">
        <f>TEXT(WEEKDAY(DATE(CalendarYear,1,15),1),"ddd")</f>
        <v>dom</v>
      </c>
      <c r="R7" s="21" t="str">
        <f>TEXT(WEEKDAY(DATE(CalendarYear,1,16),1),"ddd")</f>
        <v>lun</v>
      </c>
      <c r="S7" s="21" t="str">
        <f>TEXT(WEEKDAY(DATE(CalendarYear,1,17),1),"ddd")</f>
        <v>mar</v>
      </c>
      <c r="T7" s="21" t="str">
        <f>TEXT(WEEKDAY(DATE(CalendarYear,1,18),1),"ddd")</f>
        <v>mié</v>
      </c>
      <c r="U7" s="21" t="str">
        <f>TEXT(WEEKDAY(DATE(CalendarYear,1,19),1),"ddd")</f>
        <v>jue</v>
      </c>
      <c r="V7" s="21" t="str">
        <f>TEXT(WEEKDAY(DATE(CalendarYear,1,20),1),"ddd")</f>
        <v>vie</v>
      </c>
      <c r="W7" s="21" t="str">
        <f>TEXT(WEEKDAY(DATE(CalendarYear,1,21),1),"ddd")</f>
        <v>sáb</v>
      </c>
      <c r="X7" s="21" t="str">
        <f>TEXT(WEEKDAY(DATE(CalendarYear,1,22),1),"ddd")</f>
        <v>dom</v>
      </c>
      <c r="Y7" s="21" t="str">
        <f>TEXT(WEEKDAY(DATE(CalendarYear,1,23),1),"ddd")</f>
        <v>lun</v>
      </c>
      <c r="Z7" s="21" t="str">
        <f>TEXT(WEEKDAY(DATE(CalendarYear,1,24),1),"ddd")</f>
        <v>mar</v>
      </c>
      <c r="AA7" s="21" t="str">
        <f>TEXT(WEEKDAY(DATE(CalendarYear,1,25),1),"ddd")</f>
        <v>mié</v>
      </c>
      <c r="AB7" s="21" t="str">
        <f>TEXT(WEEKDAY(DATE(CalendarYear,1,26),1),"ddd")</f>
        <v>jue</v>
      </c>
      <c r="AC7" s="21" t="str">
        <f>TEXT(WEEKDAY(DATE(CalendarYear,1,27),1),"ddd")</f>
        <v>vie</v>
      </c>
      <c r="AD7" s="21" t="str">
        <f>TEXT(WEEKDAY(DATE(CalendarYear,1,28),1),"ddd")</f>
        <v>sáb</v>
      </c>
      <c r="AE7" s="21" t="str">
        <f>TEXT(WEEKDAY(DATE(CalendarYear,1,29),1),"ddd")</f>
        <v>dom</v>
      </c>
      <c r="AF7" s="21" t="str">
        <f>TEXT(WEEKDAY(DATE(CalendarYear,1,30),1),"ddd")</f>
        <v>lun</v>
      </c>
      <c r="AG7" s="21" t="str">
        <f>TEXT(WEEKDAY(DATE(CalendarYear,1,31),1),"ddd")</f>
        <v>mar</v>
      </c>
      <c r="AH7" s="6"/>
    </row>
    <row r="8" spans="1:34" ht="30" customHeight="1">
      <c r="B8" s="20" t="s">
        <v>3</v>
      </c>
      <c r="C8" s="1" t="s">
        <v>6</v>
      </c>
      <c r="D8" s="1" t="s">
        <v>8</v>
      </c>
      <c r="E8" s="1" t="s">
        <v>9</v>
      </c>
      <c r="F8" s="1" t="s">
        <v>11</v>
      </c>
      <c r="G8" s="1" t="s">
        <v>12</v>
      </c>
      <c r="H8" s="1" t="s">
        <v>13</v>
      </c>
      <c r="I8" s="1" t="s">
        <v>14</v>
      </c>
      <c r="J8" s="1" t="s">
        <v>15</v>
      </c>
      <c r="K8" s="1" t="s">
        <v>16</v>
      </c>
      <c r="L8" s="1" t="s">
        <v>17</v>
      </c>
      <c r="M8" s="1" t="s">
        <v>18</v>
      </c>
      <c r="N8" s="1" t="s">
        <v>19</v>
      </c>
      <c r="O8" s="1" t="s">
        <v>20</v>
      </c>
      <c r="P8" s="1" t="s">
        <v>21</v>
      </c>
      <c r="Q8" s="1" t="s">
        <v>22</v>
      </c>
      <c r="R8" s="1" t="s">
        <v>23</v>
      </c>
      <c r="S8" s="1" t="s">
        <v>24</v>
      </c>
      <c r="T8" s="1" t="s">
        <v>25</v>
      </c>
      <c r="U8" s="1" t="s">
        <v>26</v>
      </c>
      <c r="V8" s="1" t="s">
        <v>27</v>
      </c>
      <c r="W8" s="1" t="s">
        <v>28</v>
      </c>
      <c r="X8" s="1" t="s">
        <v>29</v>
      </c>
      <c r="Y8" s="1" t="s">
        <v>30</v>
      </c>
      <c r="Z8" s="1" t="s">
        <v>31</v>
      </c>
      <c r="AA8" s="1" t="s">
        <v>32</v>
      </c>
      <c r="AB8" s="1" t="s">
        <v>33</v>
      </c>
      <c r="AC8" s="1" t="s">
        <v>34</v>
      </c>
      <c r="AD8" s="1" t="s">
        <v>35</v>
      </c>
      <c r="AE8" s="1" t="s">
        <v>36</v>
      </c>
      <c r="AF8" s="1" t="s">
        <v>37</v>
      </c>
      <c r="AG8" s="1" t="s">
        <v>38</v>
      </c>
      <c r="AH8" s="22" t="s">
        <v>39</v>
      </c>
    </row>
    <row r="9" spans="1:34" ht="30" customHeight="1">
      <c r="B9" s="2" t="s">
        <v>57</v>
      </c>
      <c r="C9" s="1"/>
      <c r="D9" s="1"/>
      <c r="E9" s="1"/>
      <c r="F9" s="1"/>
      <c r="G9" s="1"/>
      <c r="H9" s="1" t="s">
        <v>79</v>
      </c>
      <c r="I9" s="1"/>
      <c r="J9" s="1"/>
      <c r="K9" s="1"/>
      <c r="L9" s="1" t="s">
        <v>79</v>
      </c>
      <c r="M9" s="1" t="s">
        <v>79</v>
      </c>
      <c r="N9" s="1" t="s">
        <v>79</v>
      </c>
      <c r="O9" s="1" t="s">
        <v>79</v>
      </c>
      <c r="P9" s="1"/>
      <c r="Q9" s="1"/>
      <c r="R9" s="1"/>
      <c r="S9" s="1"/>
      <c r="T9" s="1"/>
      <c r="U9" s="1"/>
      <c r="V9" s="1"/>
      <c r="W9" s="1"/>
      <c r="X9" s="1"/>
      <c r="Y9" s="1"/>
      <c r="Z9" s="1"/>
      <c r="AA9" s="1"/>
      <c r="AB9" s="1"/>
      <c r="AC9" s="1"/>
      <c r="AD9" s="1"/>
      <c r="AE9" s="1"/>
      <c r="AF9" s="1"/>
      <c r="AG9" s="1"/>
      <c r="AH9" s="3">
        <f>COUNTA(Enero!$C9:$AG9)</f>
        <v>5</v>
      </c>
    </row>
    <row r="10" spans="1:34" ht="30" customHeight="1">
      <c r="B10" s="2" t="s">
        <v>56</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COUNTA(Enero!$C10:$AG10)</f>
        <v>0</v>
      </c>
    </row>
    <row r="11" spans="1:34" ht="30" customHeight="1">
      <c r="B11" s="2" t="s">
        <v>54</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COUNTA(Enero!$C11:$AG11)</f>
        <v>0</v>
      </c>
    </row>
    <row r="12" spans="1:34" ht="30" customHeight="1">
      <c r="B12" s="2" t="s">
        <v>58</v>
      </c>
      <c r="C12" s="35"/>
      <c r="D12" s="35"/>
      <c r="E12" s="35"/>
      <c r="F12" s="35"/>
      <c r="G12" s="34"/>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
        <f>COUNTA(Enero!$C12:$AG12)</f>
        <v>0</v>
      </c>
    </row>
    <row r="13" spans="1:34" ht="30" customHeight="1">
      <c r="B13" s="33" t="s">
        <v>59</v>
      </c>
      <c r="C13" s="35"/>
      <c r="D13" s="35"/>
      <c r="E13" s="35" t="s">
        <v>79</v>
      </c>
      <c r="F13" s="35" t="s">
        <v>79</v>
      </c>
      <c r="G13" s="34" t="s">
        <v>79</v>
      </c>
      <c r="H13" s="35" t="s">
        <v>79</v>
      </c>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
        <f>COUNTA(Enero!$C13:$AG13)</f>
        <v>4</v>
      </c>
    </row>
    <row r="14" spans="1:34" ht="30" customHeight="1">
      <c r="B14" s="33" t="s">
        <v>60</v>
      </c>
      <c r="C14" s="35"/>
      <c r="D14" s="35" t="s">
        <v>79</v>
      </c>
      <c r="E14" s="35"/>
      <c r="F14" s="35"/>
      <c r="G14" s="34" t="s">
        <v>79</v>
      </c>
      <c r="H14" s="35" t="s">
        <v>79</v>
      </c>
      <c r="I14" s="35"/>
      <c r="J14" s="35"/>
      <c r="K14" s="35"/>
      <c r="L14" s="35" t="s">
        <v>79</v>
      </c>
      <c r="M14" s="35"/>
      <c r="N14" s="35"/>
      <c r="O14" s="35"/>
      <c r="P14" s="35"/>
      <c r="Q14" s="35"/>
      <c r="R14" s="35"/>
      <c r="S14" s="35"/>
      <c r="T14" s="35"/>
      <c r="U14" s="35"/>
      <c r="V14" s="35"/>
      <c r="W14" s="35"/>
      <c r="X14" s="35"/>
      <c r="Y14" s="35"/>
      <c r="Z14" s="35"/>
      <c r="AA14" s="35"/>
      <c r="AB14" s="35"/>
      <c r="AC14" s="35"/>
      <c r="AD14" s="35"/>
      <c r="AE14" s="35"/>
      <c r="AF14" s="35"/>
      <c r="AG14" s="35"/>
      <c r="AH14" s="3">
        <f>COUNTA(Enero!$C14:$AG14)</f>
        <v>4</v>
      </c>
    </row>
    <row r="15" spans="1:34" ht="30" customHeight="1">
      <c r="B15" s="33" t="s">
        <v>61</v>
      </c>
      <c r="C15" s="35"/>
      <c r="D15" s="35"/>
      <c r="E15" s="35" t="s">
        <v>79</v>
      </c>
      <c r="F15" s="35" t="s">
        <v>79</v>
      </c>
      <c r="G15" s="35" t="s">
        <v>79</v>
      </c>
      <c r="H15" s="35" t="s">
        <v>79</v>
      </c>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
        <f>COUNTA(Enero!$C15:$AG15)</f>
        <v>4</v>
      </c>
    </row>
    <row r="16" spans="1:34" ht="30" customHeight="1">
      <c r="B16" s="33" t="s">
        <v>62</v>
      </c>
      <c r="C16" s="35"/>
      <c r="D16" s="35"/>
      <c r="E16" s="35"/>
      <c r="F16" s="35"/>
      <c r="G16" s="34"/>
      <c r="H16" s="35"/>
      <c r="I16" s="35"/>
      <c r="J16" s="35"/>
      <c r="K16" s="35"/>
      <c r="L16" s="35"/>
      <c r="M16" s="35"/>
      <c r="N16" s="35"/>
      <c r="O16" s="35"/>
      <c r="P16" s="35"/>
      <c r="Q16" s="35"/>
      <c r="R16" s="35" t="s">
        <v>79</v>
      </c>
      <c r="S16" s="35"/>
      <c r="T16" s="35"/>
      <c r="U16" s="35"/>
      <c r="V16" s="35" t="s">
        <v>4</v>
      </c>
      <c r="W16" s="35"/>
      <c r="X16" s="35"/>
      <c r="Y16" s="35"/>
      <c r="Z16" s="35"/>
      <c r="AA16" s="35"/>
      <c r="AB16" s="35"/>
      <c r="AC16" s="35"/>
      <c r="AD16" s="35"/>
      <c r="AE16" s="35"/>
      <c r="AF16" s="35"/>
      <c r="AG16" s="35"/>
      <c r="AH16" s="3">
        <f>COUNTA(Enero!$C16:$AG16)</f>
        <v>2</v>
      </c>
    </row>
    <row r="17" spans="2:34" ht="30" customHeight="1">
      <c r="B17" s="33" t="s">
        <v>63</v>
      </c>
      <c r="C17" s="35"/>
      <c r="D17" s="35" t="s">
        <v>79</v>
      </c>
      <c r="E17" s="35" t="s">
        <v>79</v>
      </c>
      <c r="F17" s="35" t="s">
        <v>73</v>
      </c>
      <c r="G17" s="34" t="s">
        <v>79</v>
      </c>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
        <f>COUNTA(Enero!$C17:$AG17)</f>
        <v>4</v>
      </c>
    </row>
    <row r="18" spans="2:34" ht="30" customHeight="1">
      <c r="B18" s="33" t="s">
        <v>64</v>
      </c>
      <c r="C18" s="35"/>
      <c r="D18" s="35"/>
      <c r="E18" s="35"/>
      <c r="F18" s="35"/>
      <c r="G18" s="34"/>
      <c r="H18" s="35"/>
      <c r="I18" s="35"/>
      <c r="J18" s="35"/>
      <c r="K18" s="35"/>
      <c r="L18" s="35"/>
      <c r="M18" s="35"/>
      <c r="N18" s="35"/>
      <c r="O18" s="35"/>
      <c r="P18" s="35"/>
      <c r="Q18" s="35"/>
      <c r="R18" s="35"/>
      <c r="S18" s="35"/>
      <c r="T18" s="35"/>
      <c r="U18" s="35"/>
      <c r="V18" s="35"/>
      <c r="W18" s="35"/>
      <c r="X18" s="35"/>
      <c r="Y18" s="35"/>
      <c r="Z18" s="35"/>
      <c r="AA18" s="35"/>
      <c r="AB18" s="35"/>
      <c r="AC18" s="40" t="s">
        <v>78</v>
      </c>
      <c r="AD18" s="35"/>
      <c r="AE18" s="35"/>
      <c r="AF18" s="35"/>
      <c r="AG18" s="35"/>
      <c r="AH18" s="3">
        <f>COUNTA(Enero!$C18:$AG18)</f>
        <v>1</v>
      </c>
    </row>
    <row r="19" spans="2:34" ht="30" customHeight="1">
      <c r="B19" s="33" t="s">
        <v>138</v>
      </c>
      <c r="C19" s="35"/>
      <c r="D19" s="35"/>
      <c r="E19" s="35" t="s">
        <v>4</v>
      </c>
      <c r="F19" s="35" t="s">
        <v>4</v>
      </c>
      <c r="G19" s="35" t="s">
        <v>4</v>
      </c>
      <c r="H19" s="35" t="s">
        <v>4</v>
      </c>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
        <f>COUNTA(Enero!$C19:$AG19)</f>
        <v>4</v>
      </c>
    </row>
    <row r="20" spans="2:34" ht="30" customHeight="1">
      <c r="B20" s="33" t="s">
        <v>66</v>
      </c>
      <c r="C20" s="35"/>
      <c r="D20" s="35"/>
      <c r="E20" s="35"/>
      <c r="F20" s="35"/>
      <c r="G20" s="34"/>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
        <f>COUNTA(Enero!$C20:$AG20)</f>
        <v>0</v>
      </c>
    </row>
    <row r="21" spans="2:34" ht="30" customHeight="1">
      <c r="B21" s="33" t="s">
        <v>67</v>
      </c>
      <c r="C21" s="35"/>
      <c r="D21" s="35" t="s">
        <v>79</v>
      </c>
      <c r="E21" s="35" t="s">
        <v>79</v>
      </c>
      <c r="F21" s="35" t="s">
        <v>79</v>
      </c>
      <c r="G21" s="34" t="s">
        <v>79</v>
      </c>
      <c r="H21" s="35" t="s">
        <v>79</v>
      </c>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
        <f>COUNTA(Enero!$C21:$AG21)</f>
        <v>5</v>
      </c>
    </row>
    <row r="22" spans="2:34" ht="30" customHeight="1">
      <c r="B22" s="33" t="s">
        <v>68</v>
      </c>
      <c r="C22" s="35"/>
      <c r="D22" s="35"/>
      <c r="E22" s="35"/>
      <c r="F22" s="35"/>
      <c r="G22" s="34"/>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
        <f>COUNTA(Enero!$C22:$AG22)</f>
        <v>0</v>
      </c>
    </row>
    <row r="23" spans="2:34" ht="30" customHeight="1">
      <c r="B23" s="33" t="s">
        <v>69</v>
      </c>
      <c r="C23" s="35"/>
      <c r="D23" s="35"/>
      <c r="E23" s="35"/>
      <c r="F23" s="35"/>
      <c r="G23" s="34"/>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
        <f>COUNTA(Enero!$C23:$AG23)</f>
        <v>0</v>
      </c>
    </row>
    <row r="24" spans="2:34" ht="30" customHeight="1">
      <c r="B24" s="33" t="s">
        <v>70</v>
      </c>
      <c r="C24" s="35"/>
      <c r="D24" s="35"/>
      <c r="E24" s="35"/>
      <c r="F24" s="35"/>
      <c r="G24" s="34"/>
      <c r="H24" s="35"/>
      <c r="I24" s="35"/>
      <c r="J24" s="35"/>
      <c r="K24" s="35"/>
      <c r="L24" s="35" t="s">
        <v>79</v>
      </c>
      <c r="M24" s="35" t="s">
        <v>79</v>
      </c>
      <c r="N24" s="35" t="s">
        <v>79</v>
      </c>
      <c r="O24" s="35" t="s">
        <v>79</v>
      </c>
      <c r="P24" s="35"/>
      <c r="Q24" s="35"/>
      <c r="R24" s="35"/>
      <c r="S24" s="35"/>
      <c r="T24" s="35"/>
      <c r="U24" s="35"/>
      <c r="V24" s="35"/>
      <c r="W24" s="35"/>
      <c r="X24" s="35"/>
      <c r="Y24" s="35"/>
      <c r="Z24" s="35"/>
      <c r="AA24" s="35"/>
      <c r="AB24" s="35"/>
      <c r="AC24" s="35"/>
      <c r="AD24" s="35"/>
      <c r="AE24" s="35"/>
      <c r="AF24" s="35"/>
      <c r="AG24" s="35"/>
      <c r="AH24" s="3">
        <f>COUNTA(Enero!$C24:$AG24)</f>
        <v>4</v>
      </c>
    </row>
    <row r="25" spans="2:34" ht="30" customHeight="1">
      <c r="B25" s="33" t="s">
        <v>71</v>
      </c>
      <c r="C25" s="35"/>
      <c r="D25" s="35"/>
      <c r="E25" s="35"/>
      <c r="F25" s="35"/>
      <c r="G25" s="34"/>
      <c r="H25" s="35"/>
      <c r="I25" s="35"/>
      <c r="J25" s="35"/>
      <c r="K25" s="35"/>
      <c r="L25" s="35"/>
      <c r="M25" s="35"/>
      <c r="N25" s="35"/>
      <c r="O25" s="35"/>
      <c r="P25" s="35"/>
      <c r="Q25" s="35"/>
      <c r="R25" s="35"/>
      <c r="S25" s="35"/>
      <c r="T25" s="35" t="s">
        <v>79</v>
      </c>
      <c r="U25" s="35"/>
      <c r="V25" s="35"/>
      <c r="W25" s="35"/>
      <c r="X25" s="35"/>
      <c r="Y25" s="35"/>
      <c r="Z25" s="35"/>
      <c r="AA25" s="35"/>
      <c r="AB25" s="35"/>
      <c r="AC25" s="35"/>
      <c r="AD25" s="35"/>
      <c r="AE25" s="35"/>
      <c r="AF25" s="35"/>
      <c r="AG25" s="35"/>
      <c r="AH25" s="3">
        <f>COUNTA(Enero!$C25:$AG25)</f>
        <v>1</v>
      </c>
    </row>
    <row r="26" spans="2:34" ht="30" customHeight="1">
      <c r="B26" s="42" t="s">
        <v>148</v>
      </c>
      <c r="C26" s="35"/>
      <c r="D26" s="35"/>
      <c r="E26" s="35"/>
      <c r="F26" s="35"/>
      <c r="G26" s="34"/>
      <c r="H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
        <f>COUNTA(Enero!$C26:$AG26)</f>
        <v>0</v>
      </c>
    </row>
    <row r="27" spans="2:34" ht="30" customHeight="1">
      <c r="B27" s="2"/>
      <c r="C27" s="35"/>
      <c r="D27" s="35"/>
      <c r="E27" s="35"/>
      <c r="F27" s="35"/>
      <c r="G27" s="34"/>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
        <f>COUNTA(Enero!$C27:$AG27)</f>
        <v>0</v>
      </c>
    </row>
    <row r="28" spans="2:34" ht="30" customHeight="1">
      <c r="B28" s="5" t="str">
        <f>MonthName&amp;" total"</f>
        <v>Enero total</v>
      </c>
      <c r="C28" s="4">
        <f>SUBTOTAL(103,Enero!$C$9:$C$27)</f>
        <v>0</v>
      </c>
      <c r="D28" s="4">
        <f>SUBTOTAL(103,Enero!$D$9:$D$27)</f>
        <v>3</v>
      </c>
      <c r="E28" s="4">
        <f>SUBTOTAL(103,Enero!$E$9:$E$27)</f>
        <v>5</v>
      </c>
      <c r="F28" s="4">
        <f>SUBTOTAL(103,Enero!$F$9:$F$27)</f>
        <v>5</v>
      </c>
      <c r="G28" s="4">
        <f>SUBTOTAL(103,Enero!$G$9:$G$27)</f>
        <v>6</v>
      </c>
      <c r="H28" s="4">
        <f>SUBTOTAL(103,Enero!$H$9:$H$27)</f>
        <v>6</v>
      </c>
      <c r="I28" s="4">
        <f>SUBTOTAL(103,Enero!$I$9:$I$27)</f>
        <v>0</v>
      </c>
      <c r="J28" s="4">
        <f>SUBTOTAL(103,Enero!$J$9:$J$27)</f>
        <v>0</v>
      </c>
      <c r="K28" s="4">
        <f>SUBTOTAL(103,Enero!$K$9:$K$27)</f>
        <v>0</v>
      </c>
      <c r="L28" s="4">
        <f>SUBTOTAL(103,Enero!$L$9:$L$27)</f>
        <v>3</v>
      </c>
      <c r="M28" s="4">
        <f>SUBTOTAL(103,Enero!$M$9:$M$27)</f>
        <v>2</v>
      </c>
      <c r="N28" s="4">
        <f>SUBTOTAL(103,Enero!$N$9:$N$27)</f>
        <v>2</v>
      </c>
      <c r="O28" s="4">
        <f>SUBTOTAL(103,Enero!$O$9:$O$27)</f>
        <v>2</v>
      </c>
      <c r="P28" s="4">
        <f>SUBTOTAL(103,Enero!$P$9:$P$27)</f>
        <v>0</v>
      </c>
      <c r="Q28" s="4">
        <f>SUBTOTAL(103,Enero!$Q$9:$Q$27)</f>
        <v>0</v>
      </c>
      <c r="R28" s="4">
        <f>SUBTOTAL(103,Enero!$R$9:$R$27)</f>
        <v>1</v>
      </c>
      <c r="S28" s="4">
        <f>SUBTOTAL(103,Enero!$S$9:$S$27)</f>
        <v>0</v>
      </c>
      <c r="T28" s="4">
        <f>SUBTOTAL(103,Enero!$T$9:$T$27)</f>
        <v>1</v>
      </c>
      <c r="U28" s="4">
        <f>SUBTOTAL(103,Enero!$U$9:$U$27)</f>
        <v>0</v>
      </c>
      <c r="V28" s="4">
        <f>SUBTOTAL(103,Enero!$V$9:$V$27)</f>
        <v>1</v>
      </c>
      <c r="W28" s="4">
        <f>SUBTOTAL(103,Enero!$W$9:$W$27)</f>
        <v>0</v>
      </c>
      <c r="X28" s="4">
        <f>SUBTOTAL(103,Enero!$X$9:$X$27)</f>
        <v>0</v>
      </c>
      <c r="Y28" s="4">
        <f>SUBTOTAL(103,Enero!$Y$9:$Y$27)</f>
        <v>0</v>
      </c>
      <c r="Z28" s="4">
        <f>SUBTOTAL(103,Enero!$Z$9:$Z$27)</f>
        <v>0</v>
      </c>
      <c r="AA28" s="4">
        <f>SUBTOTAL(103,Enero!$AA$9:$AA$27)</f>
        <v>0</v>
      </c>
      <c r="AB28" s="4">
        <f>SUBTOTAL(103,Enero!$AB$9:$AB$27)</f>
        <v>0</v>
      </c>
      <c r="AC28" s="4">
        <f>SUBTOTAL(103,Enero!$AC$9:$AC$27)</f>
        <v>1</v>
      </c>
      <c r="AD28" s="4">
        <f>SUBTOTAL(103,Enero!$AD$9:$AD$27)</f>
        <v>0</v>
      </c>
      <c r="AE28" s="4">
        <f>SUBTOTAL(103,Enero!$AE$9:$AE$27)</f>
        <v>0</v>
      </c>
      <c r="AF28" s="4">
        <f>SUBTOTAL(103,Enero!$AF$9:$AF$27)</f>
        <v>0</v>
      </c>
      <c r="AG28" s="4">
        <f>SUBTOTAL(103,Enero!$AG$9:$AG$27)</f>
        <v>0</v>
      </c>
      <c r="AH28" s="4">
        <f>SUBTOTAL(109,Enero[Total de días])</f>
        <v>38</v>
      </c>
    </row>
  </sheetData>
  <mergeCells count="7">
    <mergeCell ref="C6:AG6"/>
    <mergeCell ref="D4:F4"/>
    <mergeCell ref="H4:J4"/>
    <mergeCell ref="L4:N4"/>
    <mergeCell ref="P4:S4"/>
    <mergeCell ref="U4:X4"/>
    <mergeCell ref="Z4:AB4"/>
  </mergeCells>
  <phoneticPr fontId="34" type="noConversion"/>
  <conditionalFormatting sqref="C9:AG18 C19:K19 N19:AG19 C20:AG27">
    <cfRule type="expression" priority="3" stopIfTrue="1">
      <formula>C9=""</formula>
    </cfRule>
    <cfRule type="expression" dxfId="181" priority="8" stopIfTrue="1">
      <formula>C9=KeyCustom2</formula>
    </cfRule>
    <cfRule type="expression" dxfId="180" priority="9" stopIfTrue="1">
      <formula>C9=KeyCustom1</formula>
    </cfRule>
    <cfRule type="expression" dxfId="179" priority="10" stopIfTrue="1">
      <formula>C9=KeySick</formula>
    </cfRule>
    <cfRule type="expression" dxfId="178" priority="11" stopIfTrue="1">
      <formula>C9=KeyPersonal</formula>
    </cfRule>
    <cfRule type="expression" dxfId="177" priority="12" stopIfTrue="1">
      <formula>C9=KeyVacation</formula>
    </cfRule>
  </conditionalFormatting>
  <conditionalFormatting sqref="AH9:AH27">
    <cfRule type="dataBar" priority="170">
      <dataBar>
        <cfvo type="num" val="0"/>
        <cfvo type="num" val="31"/>
        <color theme="4"/>
      </dataBar>
      <extLst>
        <ext xmlns:x14="http://schemas.microsoft.com/office/spreadsheetml/2009/9/main" uri="{B025F937-C7B1-47D3-B67F-A62EFF666E3E}">
          <x14:id>{ECCE2C3C-1B01-4700-B60E-DAAAB19A9C1A}</x14:id>
        </ext>
      </extLst>
    </cfRule>
  </conditionalFormatting>
  <dataValidations count="16">
    <dataValidation allowBlank="1" showInputMessage="1" showErrorMessage="1" prompt="Los días del mes se generan automáticamente en esta fila. Especifique la ausencia del empleado y el tipo en cada columna para cada día del mes. En blanco significa que no hay ninguna ausencia" sqref="C8" xr:uid="{FAB55708-481E-2E48-9F66-3C8E8545F6B0}"/>
    <dataValidation allowBlank="1" showInputMessage="1" showErrorMessage="1" prompt="La letra “V” indica una ausencia por vacaciones" sqref="C4" xr:uid="{9058FE4E-B17F-E943-9A83-5582DE92BDB6}"/>
    <dataValidation allowBlank="1" showInputMessage="1" showErrorMessage="1" prompt="La letra “P” indica una ausencia por motivos personales" sqref="G4" xr:uid="{C4744D51-42B4-0342-B86A-BE9D6063B807}"/>
    <dataValidation allowBlank="1" showInputMessage="1" showErrorMessage="1" prompt="La letra “E” indica una ausencia por enfermedad" sqref="K4" xr:uid="{EBA2AA00-2D66-0547-8889-4D34A2A72241}"/>
    <dataValidation allowBlank="1" showInputMessage="1" showErrorMessage="1" prompt="Escriba una letra y personalice la etiqueta de la derecha para agregar otro elemento clave." sqref="O4 T4" xr:uid="{FEABEF84-83D3-7D42-BA7C-926AE09CBA1E}"/>
    <dataValidation allowBlank="1" showInputMessage="1" showErrorMessage="1" prompt="Escriba una etiqueta para describir la clave personalizada de la izquierda" sqref="U4 P4" xr:uid="{12884A59-5F75-0848-A6CD-363E691B1D2A}"/>
    <dataValidation allowBlank="1" showInputMessage="1" showErrorMessage="1" prompt="El plan de ausencias de los empleados realiza un seguimiento por día durante cada mes. Hay 13 hojas de cálculo, 12 para los meses y la última para los nombres de los empleados. Realice un seguimiento de las ausencias de enero en esta hoja de cálculo" sqref="A1" xr:uid="{00000000-0002-0000-0000-00000D000000}"/>
    <dataValidation allowBlank="1" showInputMessage="1" showErrorMessage="1" prompt="Escriba el año en la celda siguiente." sqref="AH5" xr:uid="{00000000-0002-0000-0000-00000E000000}"/>
    <dataValidation allowBlank="1" showInputMessage="1" showErrorMessage="1" prompt="El nombre del mes de este plan de ausencias está en esta celda. Los totales de las ausencias para este mes aparecen en la última celda de la tabla. Seleccione los nombres de los empleados en la columna B de la tabla" sqref="B2" xr:uid="{DF4494D1-42F6-BB47-AFAB-18021A3441AC}"/>
    <dataValidation allowBlank="1" showInputMessage="1" showErrorMessage="1" prompt="El título se actualiza automáticamente en esta celda. Para modificarlo, actualice la celda B1 en la hoja de cálculo de enero" sqref="B2" xr:uid="{20FFCBA6-5698-4E4B-9E75-1B2FD678A862}"/>
    <dataValidation errorStyle="warning" allowBlank="1" showInputMessage="1" showErrorMessage="1" error="Seleccione un nombre de la lista. Seleccione CANCELAR y, después, ALT+FLECHA ABAJO y ENTRAR para seleccionar un nombre" prompt="Escriba los nombres de los empleados en la hoja de cálculo Nombres de empleados y, después, seleccione uno de los nombres de la lista de esta columna. Presione ALT+FLECHA ABAJO y ENTRAR para seleccionar un nombre" sqref="B8" xr:uid="{FE3C1916-A13B-EF44-83B6-EF87C12834B2}"/>
    <dataValidation allowBlank="1" showInputMessage="1" showErrorMessage="1" prompt="Calcula automáticamente el número total de días que un empleado estuvo ausente este mes en esta columna" sqref="AH8" xr:uid="{17D68424-3ED0-774F-A440-37779B4905D7}"/>
    <dataValidation allowBlank="1" showInputMessage="1" showErrorMessage="1" prompt="Escriba el año en esta celda." sqref="AH6" xr:uid="{00000000-0002-0000-0000-000000000000}"/>
    <dataValidation allowBlank="1" showInputMessage="1" showErrorMessage="1" prompt="Los días laborables en esta fila se actualizan automáticamente durante el mes según el año en AH4. Cada día del mes es una columna para indicar la ausencia del empleado y el tipo de ausencia" sqref="C7" xr:uid="{F6CAA384-C773-F044-845D-980CB65F95B2}"/>
    <dataValidation allowBlank="1" showInputMessage="1" showErrorMessage="1" prompt="Esta fila define las claves que se usan en la tabla: la celda C4 es para vacaciones, la celda G4 es para asuntos personales y la celda K4 es baja por enfermedad. Las celdas N4 y R4 se pueden personalizar" sqref="B4" xr:uid="{254C5299-B8DC-4E28-AD10-F93B45AED253}"/>
    <dataValidation allowBlank="1" showInputMessage="1" showErrorMessage="1" prompt="Esta celda contiene el título de la hoja de cálculo. " sqref="B1" xr:uid="{F61E6882-FE5C-43CD-B756-4B881652736D}"/>
  </dataValidations>
  <pageMargins left="0.7" right="0.7" top="0.75" bottom="0.75" header="0.3" footer="0.3"/>
  <pageSetup paperSize="9" fitToHeight="0"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ECCE2C3C-1B01-4700-B60E-DAAAB19A9C1A}">
            <x14:dataBar minLength="0" maxLength="100" gradient="0">
              <x14:cfvo type="num">
                <xm:f>0</xm:f>
              </x14:cfvo>
              <x14:cfvo type="num">
                <xm:f>31</xm:f>
              </x14:cfvo>
              <x14:negativeFillColor rgb="FFFF0000"/>
              <x14:axisColor rgb="FF000000"/>
            </x14:dataBar>
          </x14:cfRule>
          <xm:sqref>AH9:AH27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F000000}">
          <x14:formula1>
            <xm:f>'Nombres de los empleados'!$B$5:$B$9</xm:f>
          </x14:formula1>
          <xm:sqref>B27 B9:B12</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sheetPr>
  <dimension ref="B1:AH29"/>
  <sheetViews>
    <sheetView showGridLines="0" zoomScale="60" zoomScaleNormal="60" workbookViewId="0">
      <selection activeCell="P4" sqref="P4:S4"/>
    </sheetView>
  </sheetViews>
  <sheetFormatPr baseColWidth="10" defaultColWidth="8.6328125" defaultRowHeight="30" customHeight="1"/>
  <cols>
    <col min="1" max="1" width="2.6328125" customWidth="1"/>
    <col min="2" max="2" width="37.54296875" customWidth="1"/>
    <col min="3" max="33" width="4.6328125" customWidth="1"/>
    <col min="34" max="34" width="13.453125" customWidth="1"/>
    <col min="35" max="35" width="2.6328125" customWidth="1"/>
  </cols>
  <sheetData>
    <row r="1" spans="2:34" ht="50" customHeight="1">
      <c r="B1" s="24" t="s">
        <v>0</v>
      </c>
    </row>
    <row r="2" spans="2:34" ht="100.25" customHeight="1">
      <c r="B2" s="30" t="s">
        <v>50</v>
      </c>
    </row>
    <row r="3" spans="2:34" ht="15" customHeight="1">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row>
    <row r="4" spans="2:34" ht="30" customHeight="1">
      <c r="B4" s="7" t="s">
        <v>2</v>
      </c>
      <c r="C4" s="29" t="s">
        <v>4</v>
      </c>
      <c r="D4" s="68" t="s">
        <v>7</v>
      </c>
      <c r="E4" s="68"/>
      <c r="F4" s="68"/>
      <c r="G4" s="27" t="s">
        <v>10</v>
      </c>
      <c r="H4" s="69" t="s">
        <v>77</v>
      </c>
      <c r="I4" s="69"/>
      <c r="J4" s="69"/>
      <c r="K4" s="28" t="s">
        <v>75</v>
      </c>
      <c r="L4" s="68" t="s">
        <v>76</v>
      </c>
      <c r="M4" s="68"/>
      <c r="N4" s="68"/>
      <c r="O4" s="17" t="s">
        <v>79</v>
      </c>
      <c r="P4" s="68" t="s">
        <v>160</v>
      </c>
      <c r="Q4" s="68"/>
      <c r="R4" s="68"/>
      <c r="S4" s="68"/>
      <c r="T4" s="18" t="s">
        <v>73</v>
      </c>
      <c r="U4" s="68" t="s">
        <v>74</v>
      </c>
      <c r="V4" s="68"/>
      <c r="W4" s="68"/>
      <c r="X4" s="68"/>
      <c r="Y4" s="36" t="s">
        <v>78</v>
      </c>
      <c r="Z4" s="70" t="s">
        <v>72</v>
      </c>
      <c r="AA4" s="70"/>
      <c r="AB4" s="70"/>
    </row>
    <row r="5" spans="2:34" ht="15" customHeight="1">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row>
    <row r="6" spans="2:34" ht="50" customHeight="1">
      <c r="B6" s="6"/>
      <c r="C6" s="67" t="s">
        <v>5</v>
      </c>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
        <f>CalendarYear</f>
        <v>2023</v>
      </c>
    </row>
    <row r="7" spans="2:34" ht="30" customHeight="1">
      <c r="B7" s="6"/>
      <c r="C7" s="21" t="str">
        <f>TEXT(WEEKDAY(DATE(CalendarYear,10,1),1),"ddd")</f>
        <v>dom</v>
      </c>
      <c r="D7" s="21" t="str">
        <f>TEXT(WEEKDAY(DATE(CalendarYear,10,2),1),"ddd")</f>
        <v>lun</v>
      </c>
      <c r="E7" s="21" t="str">
        <f>TEXT(WEEKDAY(DATE(CalendarYear,10,3),1),"ddd")</f>
        <v>mar</v>
      </c>
      <c r="F7" s="21" t="str">
        <f>TEXT(WEEKDAY(DATE(CalendarYear,10,4),1),"ddd")</f>
        <v>mié</v>
      </c>
      <c r="G7" s="21" t="str">
        <f>TEXT(WEEKDAY(DATE(CalendarYear,10,5),1),"ddd")</f>
        <v>jue</v>
      </c>
      <c r="H7" s="21" t="str">
        <f>TEXT(WEEKDAY(DATE(CalendarYear,10,6),1),"ddd")</f>
        <v>vie</v>
      </c>
      <c r="I7" s="21" t="str">
        <f>TEXT(WEEKDAY(DATE(CalendarYear,10,7),1),"ddd")</f>
        <v>sáb</v>
      </c>
      <c r="J7" s="21" t="str">
        <f>TEXT(WEEKDAY(DATE(CalendarYear,10,8),1),"ddd")</f>
        <v>dom</v>
      </c>
      <c r="K7" s="21" t="str">
        <f>TEXT(WEEKDAY(DATE(CalendarYear,10,9),1),"ddd")</f>
        <v>lun</v>
      </c>
      <c r="L7" s="21" t="str">
        <f>TEXT(WEEKDAY(DATE(CalendarYear,10,10),1),"ddd")</f>
        <v>mar</v>
      </c>
      <c r="M7" s="21" t="str">
        <f>TEXT(WEEKDAY(DATE(CalendarYear,10,11),1),"ddd")</f>
        <v>mié</v>
      </c>
      <c r="N7" s="21" t="str">
        <f>TEXT(WEEKDAY(DATE(CalendarYear,10,12),1),"ddd")</f>
        <v>jue</v>
      </c>
      <c r="O7" s="21" t="str">
        <f>TEXT(WEEKDAY(DATE(CalendarYear,10,13),1),"ddd")</f>
        <v>vie</v>
      </c>
      <c r="P7" s="21" t="str">
        <f>TEXT(WEEKDAY(DATE(CalendarYear,10,14),1),"ddd")</f>
        <v>sáb</v>
      </c>
      <c r="Q7" s="21" t="str">
        <f>TEXT(WEEKDAY(DATE(CalendarYear,10,15),1),"ddd")</f>
        <v>dom</v>
      </c>
      <c r="R7" s="21" t="str">
        <f>TEXT(WEEKDAY(DATE(CalendarYear,10,16),1),"ddd")</f>
        <v>lun</v>
      </c>
      <c r="S7" s="21" t="str">
        <f>TEXT(WEEKDAY(DATE(CalendarYear,10,17),1),"ddd")</f>
        <v>mar</v>
      </c>
      <c r="T7" s="21" t="str">
        <f>TEXT(WEEKDAY(DATE(CalendarYear,10,18),1),"ddd")</f>
        <v>mié</v>
      </c>
      <c r="U7" s="21" t="str">
        <f>TEXT(WEEKDAY(DATE(CalendarYear,10,19),1),"ddd")</f>
        <v>jue</v>
      </c>
      <c r="V7" s="21" t="str">
        <f>TEXT(WEEKDAY(DATE(CalendarYear,10,20),1),"ddd")</f>
        <v>vie</v>
      </c>
      <c r="W7" s="21" t="str">
        <f>TEXT(WEEKDAY(DATE(CalendarYear,10,21),1),"ddd")</f>
        <v>sáb</v>
      </c>
      <c r="X7" s="21" t="str">
        <f>TEXT(WEEKDAY(DATE(CalendarYear,10,22),1),"ddd")</f>
        <v>dom</v>
      </c>
      <c r="Y7" s="21" t="str">
        <f>TEXT(WEEKDAY(DATE(CalendarYear,10,23),1),"ddd")</f>
        <v>lun</v>
      </c>
      <c r="Z7" s="21" t="str">
        <f>TEXT(WEEKDAY(DATE(CalendarYear,10,24),1),"ddd")</f>
        <v>mar</v>
      </c>
      <c r="AA7" s="21" t="str">
        <f>TEXT(WEEKDAY(DATE(CalendarYear,10,25),1),"ddd")</f>
        <v>mié</v>
      </c>
      <c r="AB7" s="21" t="str">
        <f>TEXT(WEEKDAY(DATE(CalendarYear,10,26),1),"ddd")</f>
        <v>jue</v>
      </c>
      <c r="AC7" s="21" t="str">
        <f>TEXT(WEEKDAY(DATE(CalendarYear,10,27),1),"ddd")</f>
        <v>vie</v>
      </c>
      <c r="AD7" s="21" t="str">
        <f>TEXT(WEEKDAY(DATE(CalendarYear,10,28),1),"ddd")</f>
        <v>sáb</v>
      </c>
      <c r="AE7" s="21" t="str">
        <f>TEXT(WEEKDAY(DATE(CalendarYear,10,29),1),"ddd")</f>
        <v>dom</v>
      </c>
      <c r="AF7" s="21" t="str">
        <f>TEXT(WEEKDAY(DATE(CalendarYear,10,30),1),"ddd")</f>
        <v>lun</v>
      </c>
      <c r="AG7" s="21" t="str">
        <f>TEXT(WEEKDAY(DATE(CalendarYear,10,31),1),"ddd")</f>
        <v>mar</v>
      </c>
      <c r="AH7" s="6"/>
    </row>
    <row r="8" spans="2:34" ht="30" customHeight="1">
      <c r="B8" s="20" t="s">
        <v>3</v>
      </c>
      <c r="C8" s="1" t="s">
        <v>6</v>
      </c>
      <c r="D8" s="1" t="s">
        <v>8</v>
      </c>
      <c r="E8" s="1" t="s">
        <v>9</v>
      </c>
      <c r="F8" s="1" t="s">
        <v>11</v>
      </c>
      <c r="G8" s="1" t="s">
        <v>12</v>
      </c>
      <c r="H8" s="1" t="s">
        <v>13</v>
      </c>
      <c r="I8" s="1" t="s">
        <v>14</v>
      </c>
      <c r="J8" s="1" t="s">
        <v>15</v>
      </c>
      <c r="K8" s="1" t="s">
        <v>16</v>
      </c>
      <c r="L8" s="1" t="s">
        <v>17</v>
      </c>
      <c r="M8" s="1" t="s">
        <v>18</v>
      </c>
      <c r="N8" s="1" t="s">
        <v>19</v>
      </c>
      <c r="O8" s="1" t="s">
        <v>20</v>
      </c>
      <c r="P8" s="1" t="s">
        <v>21</v>
      </c>
      <c r="Q8" s="1" t="s">
        <v>22</v>
      </c>
      <c r="R8" s="1" t="s">
        <v>23</v>
      </c>
      <c r="S8" s="1" t="s">
        <v>24</v>
      </c>
      <c r="T8" s="1" t="s">
        <v>25</v>
      </c>
      <c r="U8" s="1" t="s">
        <v>26</v>
      </c>
      <c r="V8" s="1" t="s">
        <v>27</v>
      </c>
      <c r="W8" s="1" t="s">
        <v>28</v>
      </c>
      <c r="X8" s="1" t="s">
        <v>29</v>
      </c>
      <c r="Y8" s="1" t="s">
        <v>30</v>
      </c>
      <c r="Z8" s="1" t="s">
        <v>31</v>
      </c>
      <c r="AA8" s="1" t="s">
        <v>32</v>
      </c>
      <c r="AB8" s="1" t="s">
        <v>33</v>
      </c>
      <c r="AC8" s="1" t="s">
        <v>34</v>
      </c>
      <c r="AD8" s="1" t="s">
        <v>35</v>
      </c>
      <c r="AE8" s="1" t="s">
        <v>36</v>
      </c>
      <c r="AF8" s="1" t="s">
        <v>37</v>
      </c>
      <c r="AG8" s="1" t="s">
        <v>38</v>
      </c>
      <c r="AH8" s="22" t="s">
        <v>39</v>
      </c>
    </row>
    <row r="9" spans="2:34" ht="30" customHeight="1">
      <c r="B9" s="62" t="s">
        <v>158</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COUNTA(Octubre[[#This Row],[1]:[31]])</f>
        <v>0</v>
      </c>
    </row>
    <row r="10" spans="2:34" ht="30" customHeight="1">
      <c r="B10" s="63" t="s">
        <v>55</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COUNTA(Octubre[[#This Row],[1]:[31]])</f>
        <v>0</v>
      </c>
    </row>
    <row r="11" spans="2:34" ht="30" customHeight="1">
      <c r="B11" s="63" t="s">
        <v>56</v>
      </c>
      <c r="C11" s="1"/>
      <c r="D11" s="1"/>
      <c r="E11" s="1"/>
      <c r="F11" s="1"/>
      <c r="G11" s="1" t="s">
        <v>73</v>
      </c>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COUNTA(Octubre[[#This Row],[1]:[31]])</f>
        <v>1</v>
      </c>
    </row>
    <row r="12" spans="2:34" ht="30" customHeight="1">
      <c r="B12" s="63" t="s">
        <v>57</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COUNTA(Octubre[[#This Row],[1]:[31]])</f>
        <v>0</v>
      </c>
    </row>
    <row r="13" spans="2:34" ht="30" customHeight="1">
      <c r="B13" s="64" t="s">
        <v>58</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35"/>
      <c r="AH13" s="3">
        <f>COUNTA(Octubre[[#This Row],[1]:[31]])</f>
        <v>0</v>
      </c>
    </row>
    <row r="14" spans="2:34" ht="30" customHeight="1">
      <c r="B14" s="64" t="s">
        <v>59</v>
      </c>
      <c r="C14" s="1"/>
      <c r="D14" s="1"/>
      <c r="E14" s="1"/>
      <c r="F14" s="1"/>
      <c r="G14" s="1"/>
      <c r="H14" s="1"/>
      <c r="I14" s="1"/>
      <c r="J14" s="1"/>
      <c r="K14" s="1"/>
      <c r="L14" s="1" t="s">
        <v>73</v>
      </c>
      <c r="M14" s="1"/>
      <c r="N14" s="1"/>
      <c r="O14" s="1"/>
      <c r="P14" s="1"/>
      <c r="Q14" s="1"/>
      <c r="R14" s="1"/>
      <c r="S14" s="1"/>
      <c r="T14" s="1"/>
      <c r="U14" s="1"/>
      <c r="V14" s="1"/>
      <c r="W14" s="1"/>
      <c r="X14" s="1"/>
      <c r="Y14" s="1"/>
      <c r="Z14" s="1"/>
      <c r="AA14" s="1"/>
      <c r="AB14" s="1"/>
      <c r="AC14" s="1"/>
      <c r="AD14" s="1"/>
      <c r="AE14" s="1"/>
      <c r="AF14" s="1"/>
      <c r="AG14" s="35"/>
      <c r="AH14" s="3">
        <f>COUNTA(Octubre[[#This Row],[1]:[31]])</f>
        <v>1</v>
      </c>
    </row>
    <row r="15" spans="2:34" ht="30" customHeight="1">
      <c r="B15" s="64" t="s">
        <v>60</v>
      </c>
      <c r="C15" s="1" t="s">
        <v>75</v>
      </c>
      <c r="D15" s="1" t="s">
        <v>75</v>
      </c>
      <c r="E15" s="1"/>
      <c r="F15" s="1"/>
      <c r="G15" s="1"/>
      <c r="H15" s="1"/>
      <c r="I15" s="1"/>
      <c r="J15" s="1"/>
      <c r="K15" s="1"/>
      <c r="L15" s="1"/>
      <c r="M15" s="1"/>
      <c r="N15" s="1"/>
      <c r="O15" s="1"/>
      <c r="P15" s="1"/>
      <c r="Q15" s="1"/>
      <c r="R15" s="1"/>
      <c r="S15" s="1"/>
      <c r="T15" s="1"/>
      <c r="U15" s="1"/>
      <c r="V15" s="1"/>
      <c r="W15" s="1"/>
      <c r="X15" s="1"/>
      <c r="Y15" s="1"/>
      <c r="Z15" s="1"/>
      <c r="AA15" s="1"/>
      <c r="AB15" s="1"/>
      <c r="AC15" s="39" t="s">
        <v>78</v>
      </c>
      <c r="AD15" s="1"/>
      <c r="AE15" s="1"/>
      <c r="AF15" s="1"/>
      <c r="AG15" s="35"/>
      <c r="AH15" s="3">
        <f>COUNTA(Octubre[[#This Row],[1]:[31]])</f>
        <v>3</v>
      </c>
    </row>
    <row r="16" spans="2:34" ht="30" customHeight="1">
      <c r="B16" s="64" t="s">
        <v>61</v>
      </c>
      <c r="C16" s="1"/>
      <c r="D16" s="1"/>
      <c r="E16" s="1"/>
      <c r="F16" s="1"/>
      <c r="G16" s="1" t="s">
        <v>10</v>
      </c>
      <c r="H16" s="1"/>
      <c r="I16" s="1"/>
      <c r="J16" s="1"/>
      <c r="K16" s="1"/>
      <c r="L16" s="1"/>
      <c r="M16" s="1"/>
      <c r="N16" s="1"/>
      <c r="O16" s="1"/>
      <c r="P16" s="1"/>
      <c r="Q16" s="1"/>
      <c r="R16" s="1"/>
      <c r="S16" s="1"/>
      <c r="T16" s="1"/>
      <c r="U16" s="1"/>
      <c r="V16" s="1"/>
      <c r="W16" s="1"/>
      <c r="X16" s="1"/>
      <c r="Y16" s="1"/>
      <c r="Z16" s="1"/>
      <c r="AA16" s="1"/>
      <c r="AB16" s="1"/>
      <c r="AC16" s="1"/>
      <c r="AD16" s="1"/>
      <c r="AE16" s="1"/>
      <c r="AF16" s="1"/>
      <c r="AG16" s="35"/>
      <c r="AH16" s="3">
        <f>COUNTA(Octubre[[#This Row],[1]:[31]])</f>
        <v>1</v>
      </c>
    </row>
    <row r="17" spans="2:34" ht="30" customHeight="1">
      <c r="B17" s="64" t="s">
        <v>62</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35"/>
      <c r="AH17" s="3">
        <f>COUNTA(Octubre[[#This Row],[1]:[31]])</f>
        <v>0</v>
      </c>
    </row>
    <row r="18" spans="2:34" ht="30" customHeight="1">
      <c r="B18" s="64" t="s">
        <v>63</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35"/>
      <c r="AH18" s="3">
        <f>COUNTA(Octubre[[#This Row],[1]:[31]])</f>
        <v>0</v>
      </c>
    </row>
    <row r="19" spans="2:34" ht="30" customHeight="1">
      <c r="B19" s="64" t="s">
        <v>64</v>
      </c>
      <c r="C19" s="1"/>
      <c r="D19" s="1"/>
      <c r="E19" s="1"/>
      <c r="F19" s="1"/>
      <c r="G19" s="1"/>
      <c r="H19" s="1"/>
      <c r="I19" s="1"/>
      <c r="J19" s="1"/>
      <c r="K19" s="1"/>
      <c r="L19" s="1"/>
      <c r="M19" s="1"/>
      <c r="N19" s="1"/>
      <c r="O19" s="39" t="s">
        <v>78</v>
      </c>
      <c r="P19" s="1"/>
      <c r="Q19" s="1"/>
      <c r="R19" s="1"/>
      <c r="S19" s="1"/>
      <c r="T19" s="1"/>
      <c r="U19" s="1"/>
      <c r="V19" s="1"/>
      <c r="W19" s="1"/>
      <c r="X19" s="1"/>
      <c r="Y19" s="1"/>
      <c r="Z19" s="1"/>
      <c r="AA19" s="1"/>
      <c r="AB19" s="1"/>
      <c r="AC19" s="39" t="s">
        <v>78</v>
      </c>
      <c r="AD19" s="1"/>
      <c r="AE19" s="1"/>
      <c r="AF19" s="1"/>
      <c r="AG19" s="35"/>
      <c r="AH19" s="3">
        <f>COUNTA(Octubre[[#This Row],[1]:[31]])</f>
        <v>2</v>
      </c>
    </row>
    <row r="20" spans="2:34" ht="30" customHeight="1">
      <c r="B20" s="64" t="s">
        <v>138</v>
      </c>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35"/>
      <c r="AH20" s="3">
        <f>COUNTA(Octubre[[#This Row],[1]:[31]])</f>
        <v>0</v>
      </c>
    </row>
    <row r="21" spans="2:34" ht="30" customHeight="1">
      <c r="B21" s="64" t="s">
        <v>66</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35"/>
      <c r="AH21" s="3">
        <f>COUNTA(Octubre[[#This Row],[1]:[31]])</f>
        <v>0</v>
      </c>
    </row>
    <row r="22" spans="2:34" ht="30" customHeight="1">
      <c r="B22" s="64" t="s">
        <v>67</v>
      </c>
      <c r="C22" s="1"/>
      <c r="D22" s="1" t="s">
        <v>73</v>
      </c>
      <c r="E22" s="1" t="s">
        <v>79</v>
      </c>
      <c r="F22" s="1" t="s">
        <v>79</v>
      </c>
      <c r="G22" s="1"/>
      <c r="H22" s="1"/>
      <c r="I22" s="1"/>
      <c r="J22" s="1"/>
      <c r="K22" s="1"/>
      <c r="L22" s="1"/>
      <c r="M22" s="1"/>
      <c r="N22" s="1"/>
      <c r="O22" s="1"/>
      <c r="P22" s="1"/>
      <c r="Q22" s="1"/>
      <c r="R22" s="1"/>
      <c r="S22" s="1"/>
      <c r="T22" s="1"/>
      <c r="U22" s="1"/>
      <c r="V22" s="1"/>
      <c r="W22" s="1"/>
      <c r="X22" s="1"/>
      <c r="Y22" s="1"/>
      <c r="Z22" s="1"/>
      <c r="AA22" s="1"/>
      <c r="AB22" s="1"/>
      <c r="AC22" s="1"/>
      <c r="AD22" s="1"/>
      <c r="AE22" s="1"/>
      <c r="AF22" s="1"/>
      <c r="AG22" s="35"/>
      <c r="AH22" s="3">
        <f>COUNTA(Octubre[[#This Row],[1]:[31]])</f>
        <v>3</v>
      </c>
    </row>
    <row r="23" spans="2:34" ht="30" customHeight="1">
      <c r="B23" s="64" t="s">
        <v>68</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35"/>
      <c r="AH23" s="3">
        <f>COUNTA(Octubre[[#This Row],[1]:[31]])</f>
        <v>0</v>
      </c>
    </row>
    <row r="24" spans="2:34" ht="30" customHeight="1">
      <c r="B24" s="64" t="s">
        <v>69</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35"/>
      <c r="AH24" s="3">
        <f>COUNTA(Octubre[[#This Row],[1]:[31]])</f>
        <v>0</v>
      </c>
    </row>
    <row r="25" spans="2:34" ht="30" customHeight="1">
      <c r="B25" s="64" t="s">
        <v>70</v>
      </c>
      <c r="C25" s="1"/>
      <c r="D25" s="1" t="s">
        <v>79</v>
      </c>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35"/>
      <c r="AH25" s="3">
        <f>COUNTA(Octubre[[#This Row],[1]:[31]])</f>
        <v>1</v>
      </c>
    </row>
    <row r="26" spans="2:34" ht="30" customHeight="1">
      <c r="B26" s="64" t="s">
        <v>71</v>
      </c>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35"/>
      <c r="AH26" s="3">
        <f>COUNTA(Octubre[[#This Row],[1]:[31]])</f>
        <v>0</v>
      </c>
    </row>
    <row r="27" spans="2:34" ht="30" customHeight="1">
      <c r="B27" s="65" t="s">
        <v>148</v>
      </c>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35"/>
      <c r="AH27" s="3">
        <f>COUNTA(Octubre[[#This Row],[1]:[31]])</f>
        <v>0</v>
      </c>
    </row>
    <row r="28" spans="2:34" ht="30" customHeight="1">
      <c r="B28" s="66" t="s">
        <v>67</v>
      </c>
      <c r="C28" s="1"/>
      <c r="D28" s="1" t="s">
        <v>73</v>
      </c>
      <c r="E28" s="1" t="s">
        <v>79</v>
      </c>
      <c r="F28" s="1" t="s">
        <v>79</v>
      </c>
      <c r="G28" s="1"/>
      <c r="H28" s="1"/>
      <c r="I28" s="1"/>
      <c r="J28" s="1"/>
      <c r="K28" s="1"/>
      <c r="L28" s="1"/>
      <c r="M28" s="1"/>
      <c r="N28" s="1"/>
      <c r="O28" s="1"/>
      <c r="P28" s="1"/>
      <c r="Q28" s="1"/>
      <c r="R28" s="1"/>
      <c r="S28" s="1"/>
      <c r="T28" s="1"/>
      <c r="U28" s="1"/>
      <c r="V28" s="1"/>
      <c r="W28" s="1"/>
      <c r="X28" s="1"/>
      <c r="Y28" s="1"/>
      <c r="Z28" s="1"/>
      <c r="AA28" s="1"/>
      <c r="AB28" s="1"/>
      <c r="AC28" s="1"/>
      <c r="AD28" s="1"/>
      <c r="AE28" s="1"/>
      <c r="AF28" s="1"/>
      <c r="AG28" s="35"/>
      <c r="AH28" s="3">
        <f>COUNTA(Octubre[[#This Row],[1]:[31]])</f>
        <v>3</v>
      </c>
    </row>
    <row r="29" spans="2:34" ht="30" customHeight="1">
      <c r="B29" s="5" t="str">
        <f>MonthName&amp;" Total"</f>
        <v>Octubre Total</v>
      </c>
      <c r="C29" s="4">
        <f>SUBTOTAL(103,Octubre[1])</f>
        <v>1</v>
      </c>
      <c r="D29" s="4">
        <f>SUBTOTAL(103,Octubre[2])</f>
        <v>4</v>
      </c>
      <c r="E29" s="4">
        <f>SUBTOTAL(103,Octubre[3])</f>
        <v>2</v>
      </c>
      <c r="F29" s="4">
        <f>SUBTOTAL(103,Octubre[4])</f>
        <v>2</v>
      </c>
      <c r="G29" s="4">
        <f>SUBTOTAL(103,Octubre[5])</f>
        <v>2</v>
      </c>
      <c r="H29" s="4">
        <f>SUBTOTAL(103,Octubre[6])</f>
        <v>0</v>
      </c>
      <c r="I29" s="4">
        <f>SUBTOTAL(103,Octubre[7])</f>
        <v>0</v>
      </c>
      <c r="J29" s="4">
        <f>SUBTOTAL(103,Octubre[8])</f>
        <v>0</v>
      </c>
      <c r="K29" s="4">
        <f>SUBTOTAL(103,Octubre[9])</f>
        <v>0</v>
      </c>
      <c r="L29" s="4">
        <f>SUBTOTAL(103,Octubre[10])</f>
        <v>1</v>
      </c>
      <c r="M29" s="4">
        <f>SUBTOTAL(103,Octubre[11])</f>
        <v>0</v>
      </c>
      <c r="N29" s="4">
        <f>SUBTOTAL(103,Octubre[12])</f>
        <v>0</v>
      </c>
      <c r="O29" s="4">
        <f>SUBTOTAL(103,Octubre[13])</f>
        <v>1</v>
      </c>
      <c r="P29" s="4">
        <f>SUBTOTAL(103,Octubre[14])</f>
        <v>0</v>
      </c>
      <c r="Q29" s="4">
        <f>SUBTOTAL(103,Octubre[15])</f>
        <v>0</v>
      </c>
      <c r="R29" s="4">
        <f>SUBTOTAL(103,Octubre[16])</f>
        <v>0</v>
      </c>
      <c r="S29" s="4">
        <f>SUBTOTAL(103,Octubre[17])</f>
        <v>0</v>
      </c>
      <c r="T29" s="4">
        <f>SUBTOTAL(103,Octubre[18])</f>
        <v>0</v>
      </c>
      <c r="U29" s="4">
        <f>SUBTOTAL(103,Octubre[19])</f>
        <v>0</v>
      </c>
      <c r="V29" s="4">
        <f>SUBTOTAL(103,Octubre[20])</f>
        <v>0</v>
      </c>
      <c r="W29" s="4">
        <f>SUBTOTAL(103,Octubre[21])</f>
        <v>0</v>
      </c>
      <c r="X29" s="4">
        <f>SUBTOTAL(103,Octubre[22])</f>
        <v>0</v>
      </c>
      <c r="Y29" s="4">
        <f>SUBTOTAL(103,Octubre[23])</f>
        <v>0</v>
      </c>
      <c r="Z29" s="4">
        <f>SUBTOTAL(103,Octubre[24])</f>
        <v>0</v>
      </c>
      <c r="AA29" s="4">
        <f>SUBTOTAL(103,Octubre[25])</f>
        <v>0</v>
      </c>
      <c r="AB29" s="4">
        <f>SUBTOTAL(103,Octubre[26])</f>
        <v>0</v>
      </c>
      <c r="AC29" s="4">
        <f>SUBTOTAL(103,Octubre[27])</f>
        <v>2</v>
      </c>
      <c r="AD29" s="4">
        <f>SUBTOTAL(103,Octubre[28])</f>
        <v>0</v>
      </c>
      <c r="AE29" s="4">
        <f>SUBTOTAL(103,Octubre[29])</f>
        <v>0</v>
      </c>
      <c r="AF29" s="4">
        <f>SUBTOTAL(109,Octubre[30])</f>
        <v>0</v>
      </c>
      <c r="AG29" s="4">
        <f>SUBTOTAL(109,Octubre[31])</f>
        <v>0</v>
      </c>
      <c r="AH29" s="4">
        <f>SUBTOTAL(109,Octubre[Total de días])</f>
        <v>15</v>
      </c>
    </row>
  </sheetData>
  <mergeCells count="7">
    <mergeCell ref="C6:AG6"/>
    <mergeCell ref="D4:F4"/>
    <mergeCell ref="H4:J4"/>
    <mergeCell ref="L4:N4"/>
    <mergeCell ref="P4:S4"/>
    <mergeCell ref="U4:X4"/>
    <mergeCell ref="Z4:AB4"/>
  </mergeCells>
  <phoneticPr fontId="34" type="noConversion"/>
  <conditionalFormatting sqref="C9:AG24 C25 E25:AG25 C26:AG28">
    <cfRule type="expression" priority="13" stopIfTrue="1">
      <formula>C9=""</formula>
    </cfRule>
    <cfRule type="expression" dxfId="124" priority="14" stopIfTrue="1">
      <formula>C9=KeyCustom2</formula>
    </cfRule>
    <cfRule type="expression" dxfId="123" priority="15" stopIfTrue="1">
      <formula>C9=KeyCustom1</formula>
    </cfRule>
    <cfRule type="expression" dxfId="122" priority="16" stopIfTrue="1">
      <formula>C9=KeySick</formula>
    </cfRule>
    <cfRule type="expression" dxfId="121" priority="17" stopIfTrue="1">
      <formula>C9=KeyPersonal</formula>
    </cfRule>
    <cfRule type="expression" dxfId="120" priority="18" stopIfTrue="1">
      <formula>C9=KeyVacation</formula>
    </cfRule>
  </conditionalFormatting>
  <conditionalFormatting sqref="D25">
    <cfRule type="expression" priority="1" stopIfTrue="1">
      <formula>D25=""</formula>
    </cfRule>
    <cfRule type="expression" dxfId="119" priority="2" stopIfTrue="1">
      <formula>D25=KeyCustom2</formula>
    </cfRule>
    <cfRule type="expression" dxfId="118" priority="3" stopIfTrue="1">
      <formula>D25=KeyCustom1</formula>
    </cfRule>
    <cfRule type="expression" dxfId="117" priority="4" stopIfTrue="1">
      <formula>D25=KeySick</formula>
    </cfRule>
    <cfRule type="expression" dxfId="116" priority="5" stopIfTrue="1">
      <formula>D25=KeyPersonal</formula>
    </cfRule>
    <cfRule type="expression" dxfId="115" priority="6" stopIfTrue="1">
      <formula>D25=KeyVacation</formula>
    </cfRule>
  </conditionalFormatting>
  <conditionalFormatting sqref="AH9:AH28">
    <cfRule type="dataBar" priority="309">
      <dataBar>
        <cfvo type="min"/>
        <cfvo type="formula" val="DATEDIF(DATE(CalendarYear,2,1),DATE(CalendarYear,3,1),&quot;d&quot;)"/>
        <color theme="2" tint="-0.249977111117893"/>
      </dataBar>
      <extLst>
        <ext xmlns:x14="http://schemas.microsoft.com/office/spreadsheetml/2009/9/main" uri="{B025F937-C7B1-47D3-B67F-A62EFF666E3E}">
          <x14:id>{F32A08EA-50E8-4B5F-AB1F-5A7739FBC16C}</x14:id>
        </ext>
      </extLst>
    </cfRule>
  </conditionalFormatting>
  <dataValidations count="14">
    <dataValidation allowBlank="1" showInputMessage="1" showErrorMessage="1" prompt="Los días laborables en esta fila se actualizan automáticamente durante el mes según el año en AH4. Cada día del mes es una columna para indicar la ausencia del empleado y el tipo de ausencia" sqref="C7" xr:uid="{6C3B7250-7883-E447-A5BD-190F9EC85610}"/>
    <dataValidation allowBlank="1" showInputMessage="1" showErrorMessage="1" prompt="Año actualizado automáticamente en función del año introducido en la hoja de cálculo de enero" sqref="AH6" xr:uid="{856FAEF4-8645-3447-91CD-944E3DA437F4}"/>
    <dataValidation allowBlank="1" showInputMessage="1" showErrorMessage="1" prompt="Cálculo automático del número total de días que un empleado ha estado ausente este mes en esta columna" sqref="AH8" xr:uid="{460C2673-D90D-514F-89AA-D6D7BDC2B7D4}"/>
    <dataValidation allowBlank="1" showInputMessage="1" showErrorMessage="1" prompt="Realice un seguimiento de las ausencias de octubre en esta hoja de cálculo" sqref="A1" xr:uid="{00000000-0002-0000-0900-000003000000}"/>
    <dataValidation errorStyle="warning" allowBlank="1" showInputMessage="1" showErrorMessage="1" error="Seleccione un nombre de la lista. Seleccione CANCELAR y, después, ALT+FLECHA ABAJO y ENTRAR para seleccionar un nombre" prompt="Escriba los nombres de los empleados en la hoja de cálculo Nombres de empleados y, después, seleccione uno de los nombres de la lista de esta columna. Presione ALT+FLECHA ABAJO y ENTRAR para seleccionar un nombre" sqref="B8" xr:uid="{44EADDEC-C0C0-D348-A864-4940BC2D178C}"/>
    <dataValidation allowBlank="1" showInputMessage="1" showErrorMessage="1" prompt="La letra “V” indica una ausencia por vacaciones" sqref="C4" xr:uid="{F5A53DC3-7BD4-4124-A918-83F972508FAB}"/>
    <dataValidation allowBlank="1" showInputMessage="1" showErrorMessage="1" prompt="La letra “P” indica una ausencia por motivos personales" sqref="G4" xr:uid="{9A3B05CC-0FF6-4EED-B885-D5C99A11F6D5}"/>
    <dataValidation allowBlank="1" showInputMessage="1" showErrorMessage="1" prompt="La letra “E” indica una ausencia por enfermedad" sqref="K4" xr:uid="{D63BEA6D-D2D8-4F82-A2BC-9C99E28856D6}"/>
    <dataValidation allowBlank="1" showInputMessage="1" showErrorMessage="1" prompt="Escriba una letra y personalice la etiqueta de la derecha para agregar otro elemento clave." sqref="O4 T4" xr:uid="{DB7D5B32-7F76-403B-981E-D05CF7AFDA3E}"/>
    <dataValidation allowBlank="1" showInputMessage="1" showErrorMessage="1" prompt="El nombre del mes de este plan de ausencias está en esta celda. Los totales de las ausencias para este mes aparecen en la última celda de la tabla. Seleccione los nombres de los empleados en la columna B de la tabla" sqref="B2" xr:uid="{00000000-0002-0000-0900-00000C000000}"/>
    <dataValidation allowBlank="1" showInputMessage="1" showErrorMessage="1" prompt="Los días del mes se generan automáticamente en esta fila. Especifique la ausencia del empleado y el tipo en cada columna para cada día del mes. En blanco significa que no hay ninguna ausencia" sqref="C8" xr:uid="{E2589F34-72AD-7946-9C30-9FD4409BBCB4}"/>
    <dataValidation allowBlank="1" showInputMessage="1" showErrorMessage="1" prompt="Esta fila define las claves que se usan en la tabla: la celda C4 es para vacaciones, la celda G4 es para asuntos personales y la celda K4 es baja por enfermedad. Las celdas N4 y R4 se pueden personalizar" sqref="B4" xr:uid="{64951AAF-92FB-44AB-A8AD-B37C0B2DD08A}"/>
    <dataValidation allowBlank="1" showInputMessage="1" showErrorMessage="1" prompt="Esta celda contiene el título de la hoja de cálculo. " sqref="B1" xr:uid="{1C12649E-FD35-4288-A6DD-5F40186B166C}"/>
    <dataValidation allowBlank="1" showInputMessage="1" showErrorMessage="1" prompt="Escriba una etiqueta para describir la clave personalizada de la izquierda" sqref="U4 P4" xr:uid="{71AEAB2C-69D8-4391-9EB2-F2339BB30CA3}"/>
  </dataValidations>
  <pageMargins left="0.7" right="0.7" top="0.75" bottom="0.75" header="0.3" footer="0.3"/>
  <pageSetup paperSize="9" fitToHeight="0" orientation="portrait" verticalDpi="4294967293"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F32A08EA-50E8-4B5F-AB1F-5A7739FBC16C}">
            <x14:dataBar minLength="0" maxLength="100">
              <x14:cfvo type="autoMin"/>
              <x14:cfvo type="formula">
                <xm:f>DATEDIF(DATE(CalendarYear,2,1),DATE(CalendarYear,3,1),"d")</xm:f>
              </x14:cfvo>
              <x14:negativeFillColor rgb="FFFF0000"/>
              <x14:axisColor rgb="FF000000"/>
            </x14:dataBar>
          </x14:cfRule>
          <xm:sqref>AH9:AH28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E000000}">
          <x14:formula1>
            <xm:f>'Nombres de los empleados'!$B$5:$B$9</xm:f>
          </x14:formula1>
          <xm:sqref>B10:B12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sheetPr>
  <dimension ref="B1:AH28"/>
  <sheetViews>
    <sheetView showGridLines="0" zoomScale="42" zoomScaleNormal="100" workbookViewId="0">
      <selection activeCell="P4" sqref="P4:S4"/>
    </sheetView>
  </sheetViews>
  <sheetFormatPr baseColWidth="10" defaultColWidth="8.6328125" defaultRowHeight="30" customHeight="1"/>
  <cols>
    <col min="1" max="1" width="2.6328125" customWidth="1"/>
    <col min="2" max="2" width="37.54296875" customWidth="1"/>
    <col min="3" max="33" width="4.6328125" customWidth="1"/>
    <col min="34" max="34" width="13.453125" customWidth="1"/>
    <col min="35" max="35" width="2.6328125" customWidth="1"/>
  </cols>
  <sheetData>
    <row r="1" spans="2:34" ht="50" customHeight="1">
      <c r="B1" s="24" t="s">
        <v>0</v>
      </c>
    </row>
    <row r="2" spans="2:34" ht="100.25" customHeight="1">
      <c r="B2" s="30" t="s">
        <v>51</v>
      </c>
    </row>
    <row r="3" spans="2:34" ht="15" customHeight="1">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row>
    <row r="4" spans="2:34" ht="30" customHeight="1">
      <c r="B4" s="7" t="s">
        <v>2</v>
      </c>
      <c r="C4" s="29" t="s">
        <v>4</v>
      </c>
      <c r="D4" s="68" t="s">
        <v>7</v>
      </c>
      <c r="E4" s="68"/>
      <c r="F4" s="68"/>
      <c r="G4" s="27" t="s">
        <v>10</v>
      </c>
      <c r="H4" s="69" t="s">
        <v>77</v>
      </c>
      <c r="I4" s="69"/>
      <c r="J4" s="69"/>
      <c r="K4" s="28" t="s">
        <v>75</v>
      </c>
      <c r="L4" s="68" t="s">
        <v>76</v>
      </c>
      <c r="M4" s="68"/>
      <c r="N4" s="68"/>
      <c r="O4" s="17" t="s">
        <v>79</v>
      </c>
      <c r="P4" s="68" t="s">
        <v>160</v>
      </c>
      <c r="Q4" s="68"/>
      <c r="R4" s="68"/>
      <c r="S4" s="68"/>
      <c r="T4" s="18" t="s">
        <v>73</v>
      </c>
      <c r="U4" s="68" t="s">
        <v>74</v>
      </c>
      <c r="V4" s="68"/>
      <c r="W4" s="68"/>
      <c r="X4" s="68"/>
      <c r="Y4" s="36" t="s">
        <v>78</v>
      </c>
      <c r="Z4" s="70" t="s">
        <v>72</v>
      </c>
      <c r="AA4" s="70"/>
      <c r="AB4" s="70"/>
    </row>
    <row r="5" spans="2:34" ht="15" customHeight="1">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row>
    <row r="6" spans="2:34" ht="50" customHeight="1">
      <c r="B6" s="6"/>
      <c r="C6" s="67" t="s">
        <v>5</v>
      </c>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
        <f>CalendarYear</f>
        <v>2023</v>
      </c>
    </row>
    <row r="7" spans="2:34" ht="30" customHeight="1">
      <c r="B7" s="6"/>
      <c r="C7" s="21" t="str">
        <f>TEXT(WEEKDAY(DATE(CalendarYear,11,1),1),"ddd")</f>
        <v>mié</v>
      </c>
      <c r="D7" s="21" t="str">
        <f>TEXT(WEEKDAY(DATE(CalendarYear,11,2),1),"ddd")</f>
        <v>jue</v>
      </c>
      <c r="E7" s="21" t="str">
        <f>TEXT(WEEKDAY(DATE(CalendarYear,11,3),1),"ddd")</f>
        <v>vie</v>
      </c>
      <c r="F7" s="21" t="str">
        <f>TEXT(WEEKDAY(DATE(CalendarYear,11,4),1),"ddd")</f>
        <v>sáb</v>
      </c>
      <c r="G7" s="21" t="str">
        <f>TEXT(WEEKDAY(DATE(CalendarYear,11,5),1),"ddd")</f>
        <v>dom</v>
      </c>
      <c r="H7" s="21" t="str">
        <f>TEXT(WEEKDAY(DATE(CalendarYear,11,6),1),"ddd")</f>
        <v>lun</v>
      </c>
      <c r="I7" s="21" t="str">
        <f>TEXT(WEEKDAY(DATE(CalendarYear,11,7),1),"ddd")</f>
        <v>mar</v>
      </c>
      <c r="J7" s="21" t="str">
        <f>TEXT(WEEKDAY(DATE(CalendarYear,11,8),1),"ddd")</f>
        <v>mié</v>
      </c>
      <c r="K7" s="21" t="str">
        <f>TEXT(WEEKDAY(DATE(CalendarYear,11,9),1),"ddd")</f>
        <v>jue</v>
      </c>
      <c r="L7" s="21" t="str">
        <f>TEXT(WEEKDAY(DATE(CalendarYear,11,10),1),"ddd")</f>
        <v>vie</v>
      </c>
      <c r="M7" s="21" t="str">
        <f>TEXT(WEEKDAY(DATE(CalendarYear,11,11),1),"ddd")</f>
        <v>sáb</v>
      </c>
      <c r="N7" s="21" t="str">
        <f>TEXT(WEEKDAY(DATE(CalendarYear,11,12),1),"ddd")</f>
        <v>dom</v>
      </c>
      <c r="O7" s="21" t="str">
        <f>TEXT(WEEKDAY(DATE(CalendarYear,11,13),1),"ddd")</f>
        <v>lun</v>
      </c>
      <c r="P7" s="21" t="str">
        <f>TEXT(WEEKDAY(DATE(CalendarYear,11,14),1),"ddd")</f>
        <v>mar</v>
      </c>
      <c r="Q7" s="21" t="str">
        <f>TEXT(WEEKDAY(DATE(CalendarYear,11,15),1),"ddd")</f>
        <v>mié</v>
      </c>
      <c r="R7" s="21" t="str">
        <f>TEXT(WEEKDAY(DATE(CalendarYear,11,16),1),"ddd")</f>
        <v>jue</v>
      </c>
      <c r="S7" s="21" t="str">
        <f>TEXT(WEEKDAY(DATE(CalendarYear,11,17),1),"ddd")</f>
        <v>vie</v>
      </c>
      <c r="T7" s="21" t="str">
        <f>TEXT(WEEKDAY(DATE(CalendarYear,11,18),1),"ddd")</f>
        <v>sáb</v>
      </c>
      <c r="U7" s="21" t="str">
        <f>TEXT(WEEKDAY(DATE(CalendarYear,11,19),1),"ddd")</f>
        <v>dom</v>
      </c>
      <c r="V7" s="21" t="str">
        <f>TEXT(WEEKDAY(DATE(CalendarYear,11,20),1),"ddd")</f>
        <v>lun</v>
      </c>
      <c r="W7" s="21" t="str">
        <f>TEXT(WEEKDAY(DATE(CalendarYear,11,21),1),"ddd")</f>
        <v>mar</v>
      </c>
      <c r="X7" s="21" t="str">
        <f>TEXT(WEEKDAY(DATE(CalendarYear,11,22),1),"ddd")</f>
        <v>mié</v>
      </c>
      <c r="Y7" s="21" t="str">
        <f>TEXT(WEEKDAY(DATE(CalendarYear,11,23),1),"ddd")</f>
        <v>jue</v>
      </c>
      <c r="Z7" s="21" t="str">
        <f>TEXT(WEEKDAY(DATE(CalendarYear,11,24),1),"ddd")</f>
        <v>vie</v>
      </c>
      <c r="AA7" s="21" t="str">
        <f>TEXT(WEEKDAY(DATE(CalendarYear,11,25),1),"ddd")</f>
        <v>sáb</v>
      </c>
      <c r="AB7" s="21" t="str">
        <f>TEXT(WEEKDAY(DATE(CalendarYear,11,26),1),"ddd")</f>
        <v>dom</v>
      </c>
      <c r="AC7" s="21" t="str">
        <f>TEXT(WEEKDAY(DATE(CalendarYear,11,27),1),"ddd")</f>
        <v>lun</v>
      </c>
      <c r="AD7" s="21" t="str">
        <f>TEXT(WEEKDAY(DATE(CalendarYear,11,28),1),"ddd")</f>
        <v>mar</v>
      </c>
      <c r="AE7" s="21" t="str">
        <f>TEXT(WEEKDAY(DATE(CalendarYear,11,29),1),"ddd")</f>
        <v>mié</v>
      </c>
      <c r="AF7" s="21" t="str">
        <f>TEXT(WEEKDAY(DATE(CalendarYear,11,30),1),"ddd")</f>
        <v>jue</v>
      </c>
      <c r="AG7" s="21"/>
      <c r="AH7" s="6"/>
    </row>
    <row r="8" spans="2:34" ht="30" customHeight="1">
      <c r="B8" s="20" t="s">
        <v>3</v>
      </c>
      <c r="C8" s="1" t="s">
        <v>6</v>
      </c>
      <c r="D8" s="1" t="s">
        <v>8</v>
      </c>
      <c r="E8" s="1" t="s">
        <v>9</v>
      </c>
      <c r="F8" s="1" t="s">
        <v>11</v>
      </c>
      <c r="G8" s="1" t="s">
        <v>12</v>
      </c>
      <c r="H8" s="1" t="s">
        <v>13</v>
      </c>
      <c r="I8" s="1" t="s">
        <v>14</v>
      </c>
      <c r="J8" s="1" t="s">
        <v>15</v>
      </c>
      <c r="K8" s="1" t="s">
        <v>16</v>
      </c>
      <c r="L8" s="1" t="s">
        <v>17</v>
      </c>
      <c r="M8" s="1" t="s">
        <v>18</v>
      </c>
      <c r="N8" s="1" t="s">
        <v>19</v>
      </c>
      <c r="O8" s="1" t="s">
        <v>20</v>
      </c>
      <c r="P8" s="1" t="s">
        <v>21</v>
      </c>
      <c r="Q8" s="1" t="s">
        <v>22</v>
      </c>
      <c r="R8" s="1" t="s">
        <v>23</v>
      </c>
      <c r="S8" s="1" t="s">
        <v>24</v>
      </c>
      <c r="T8" s="1" t="s">
        <v>25</v>
      </c>
      <c r="U8" s="1" t="s">
        <v>26</v>
      </c>
      <c r="V8" s="1" t="s">
        <v>27</v>
      </c>
      <c r="W8" s="1" t="s">
        <v>28</v>
      </c>
      <c r="X8" s="1" t="s">
        <v>29</v>
      </c>
      <c r="Y8" s="1" t="s">
        <v>30</v>
      </c>
      <c r="Z8" s="1" t="s">
        <v>31</v>
      </c>
      <c r="AA8" s="1" t="s">
        <v>32</v>
      </c>
      <c r="AB8" s="1" t="s">
        <v>33</v>
      </c>
      <c r="AC8" s="1" t="s">
        <v>34</v>
      </c>
      <c r="AD8" s="1" t="s">
        <v>35</v>
      </c>
      <c r="AE8" s="1" t="s">
        <v>36</v>
      </c>
      <c r="AF8" s="1" t="s">
        <v>37</v>
      </c>
      <c r="AG8" s="1" t="s">
        <v>41</v>
      </c>
      <c r="AH8" s="22" t="s">
        <v>39</v>
      </c>
    </row>
    <row r="9" spans="2:34" ht="30" customHeight="1">
      <c r="B9" s="62" t="s">
        <v>158</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COUNTA(Noviembre[[#This Row],[1]:[ ]])</f>
        <v>0</v>
      </c>
    </row>
    <row r="10" spans="2:34" ht="30" customHeight="1">
      <c r="B10" s="63" t="s">
        <v>55</v>
      </c>
      <c r="C10" s="1"/>
      <c r="D10" s="1"/>
      <c r="E10" s="1"/>
      <c r="F10" s="1"/>
      <c r="G10" s="1"/>
      <c r="H10" s="1"/>
      <c r="I10" s="1"/>
      <c r="J10" s="1"/>
      <c r="K10" s="1"/>
      <c r="L10" s="1"/>
      <c r="M10" s="1"/>
      <c r="N10" s="1"/>
      <c r="O10" s="1"/>
      <c r="P10" s="1"/>
      <c r="Q10" s="1"/>
      <c r="R10" s="1" t="s">
        <v>79</v>
      </c>
      <c r="S10" s="1" t="s">
        <v>79</v>
      </c>
      <c r="T10" s="1"/>
      <c r="U10" s="1"/>
      <c r="V10" s="1"/>
      <c r="W10" s="1"/>
      <c r="X10" s="1"/>
      <c r="Y10" s="1"/>
      <c r="Z10" s="1"/>
      <c r="AA10" s="1"/>
      <c r="AB10" s="1"/>
      <c r="AC10" s="1"/>
      <c r="AD10" s="1"/>
      <c r="AE10" s="1"/>
      <c r="AF10" s="1"/>
      <c r="AG10" s="1"/>
      <c r="AH10" s="3">
        <f>COUNTA(Noviembre[[#This Row],[1]:[ ]])</f>
        <v>2</v>
      </c>
    </row>
    <row r="11" spans="2:34" ht="30" customHeight="1">
      <c r="B11" s="63" t="s">
        <v>56</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COUNTA(Noviembre[[#This Row],[1]:[ ]])</f>
        <v>0</v>
      </c>
    </row>
    <row r="12" spans="2:34" ht="30" customHeight="1">
      <c r="B12" s="63" t="s">
        <v>57</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COUNTA(Noviembre[[#This Row],[1]:[ ]])</f>
        <v>0</v>
      </c>
    </row>
    <row r="13" spans="2:34" ht="30" customHeight="1">
      <c r="B13" s="64" t="s">
        <v>58</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35"/>
      <c r="AH13" s="3">
        <f>COUNTA(Noviembre[[#This Row],[1]:[ ]])</f>
        <v>0</v>
      </c>
    </row>
    <row r="14" spans="2:34" ht="30" customHeight="1">
      <c r="B14" s="64" t="s">
        <v>59</v>
      </c>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35"/>
      <c r="AH14" s="3">
        <f>COUNTA(Noviembre[[#This Row],[1]:[ ]])</f>
        <v>0</v>
      </c>
    </row>
    <row r="15" spans="2:34" ht="30" customHeight="1">
      <c r="B15" s="64" t="s">
        <v>60</v>
      </c>
      <c r="C15" s="1"/>
      <c r="D15" s="1"/>
      <c r="E15" s="1"/>
      <c r="F15" s="1"/>
      <c r="G15" s="1"/>
      <c r="H15" s="1"/>
      <c r="I15" s="1"/>
      <c r="J15" s="1"/>
      <c r="K15" s="1" t="s">
        <v>156</v>
      </c>
      <c r="L15" s="1"/>
      <c r="M15" s="1"/>
      <c r="N15" s="1"/>
      <c r="O15" s="1"/>
      <c r="P15" s="1"/>
      <c r="Q15" s="1"/>
      <c r="R15" s="1"/>
      <c r="S15" s="1"/>
      <c r="T15" s="1"/>
      <c r="U15" s="1"/>
      <c r="V15" s="1"/>
      <c r="W15" s="1"/>
      <c r="X15" s="1"/>
      <c r="Y15" s="1"/>
      <c r="Z15" s="1"/>
      <c r="AA15" s="1"/>
      <c r="AB15" s="1"/>
      <c r="AC15" s="1"/>
      <c r="AD15" s="1"/>
      <c r="AE15" s="1"/>
      <c r="AF15" s="1"/>
      <c r="AG15" s="35"/>
      <c r="AH15" s="3">
        <f>COUNTA(Noviembre[[#This Row],[1]:[ ]])</f>
        <v>1</v>
      </c>
    </row>
    <row r="16" spans="2:34" ht="30" customHeight="1">
      <c r="B16" s="64" t="s">
        <v>61</v>
      </c>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35"/>
      <c r="AH16" s="3">
        <f>COUNTA(Noviembre[[#This Row],[1]:[ ]])</f>
        <v>0</v>
      </c>
    </row>
    <row r="17" spans="2:34" ht="30" customHeight="1">
      <c r="B17" s="64" t="s">
        <v>62</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35"/>
      <c r="AH17" s="3">
        <f>COUNTA(Noviembre[[#This Row],[1]:[ ]])</f>
        <v>0</v>
      </c>
    </row>
    <row r="18" spans="2:34" ht="30" customHeight="1">
      <c r="B18" s="64" t="s">
        <v>63</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35"/>
      <c r="AH18" s="3">
        <f>COUNTA(Noviembre[[#This Row],[1]:[ ]])</f>
        <v>0</v>
      </c>
    </row>
    <row r="19" spans="2:34" ht="30" customHeight="1">
      <c r="B19" s="64" t="s">
        <v>64</v>
      </c>
      <c r="C19" s="1"/>
      <c r="D19" s="1"/>
      <c r="E19" s="1"/>
      <c r="F19" s="1"/>
      <c r="G19" s="1"/>
      <c r="H19" s="1"/>
      <c r="I19" s="1"/>
      <c r="J19" s="1"/>
      <c r="K19" s="1"/>
      <c r="L19" s="39" t="s">
        <v>78</v>
      </c>
      <c r="M19" s="1"/>
      <c r="N19" s="1"/>
      <c r="O19" s="1"/>
      <c r="P19" s="1"/>
      <c r="Q19" s="1"/>
      <c r="R19" s="1"/>
      <c r="S19" s="1"/>
      <c r="T19" s="1"/>
      <c r="U19" s="1"/>
      <c r="V19" s="1"/>
      <c r="W19" s="1"/>
      <c r="X19" s="1"/>
      <c r="Y19" s="1"/>
      <c r="Z19" s="39" t="s">
        <v>78</v>
      </c>
      <c r="AA19" s="1"/>
      <c r="AB19" s="1"/>
      <c r="AC19" s="1"/>
      <c r="AD19" s="1"/>
      <c r="AE19" s="1"/>
      <c r="AF19" s="1"/>
      <c r="AG19" s="35"/>
      <c r="AH19" s="3">
        <f>COUNTA(Noviembre[[#This Row],[1]:[ ]])</f>
        <v>2</v>
      </c>
    </row>
    <row r="20" spans="2:34" ht="30" customHeight="1">
      <c r="B20" s="64" t="s">
        <v>138</v>
      </c>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35"/>
      <c r="AH20" s="3">
        <f>COUNTA(Noviembre[[#This Row],[1]:[ ]])</f>
        <v>0</v>
      </c>
    </row>
    <row r="21" spans="2:34" ht="30" customHeight="1">
      <c r="B21" s="64" t="s">
        <v>66</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35"/>
      <c r="AH21" s="3">
        <f>COUNTA(Noviembre[[#This Row],[1]:[ ]])</f>
        <v>0</v>
      </c>
    </row>
    <row r="22" spans="2:34" ht="30" customHeight="1">
      <c r="B22" s="64" t="s">
        <v>67</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35"/>
      <c r="AH22" s="3">
        <f>COUNTA(Noviembre[[#This Row],[1]:[ ]])</f>
        <v>0</v>
      </c>
    </row>
    <row r="23" spans="2:34" ht="30" customHeight="1">
      <c r="B23" s="64" t="s">
        <v>68</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35"/>
      <c r="AH23" s="3">
        <f>COUNTA(Noviembre[[#This Row],[1]:[ ]])</f>
        <v>0</v>
      </c>
    </row>
    <row r="24" spans="2:34" ht="30" customHeight="1">
      <c r="B24" s="64" t="s">
        <v>69</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35"/>
      <c r="AH24" s="3">
        <f>COUNTA(Noviembre[[#This Row],[1]:[ ]])</f>
        <v>0</v>
      </c>
    </row>
    <row r="25" spans="2:34" ht="30" customHeight="1">
      <c r="B25" s="64" t="s">
        <v>70</v>
      </c>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35"/>
      <c r="AH25" s="3">
        <f>COUNTA(Noviembre[[#This Row],[1]:[ ]])</f>
        <v>0</v>
      </c>
    </row>
    <row r="26" spans="2:34" ht="30" customHeight="1">
      <c r="B26" s="64" t="s">
        <v>71</v>
      </c>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35"/>
      <c r="AH26" s="3">
        <f>COUNTA(Noviembre[[#This Row],[1]:[ ]])</f>
        <v>0</v>
      </c>
    </row>
    <row r="27" spans="2:34" ht="30" customHeight="1">
      <c r="B27" s="65" t="s">
        <v>148</v>
      </c>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35"/>
      <c r="AH27" s="3">
        <f>COUNTA(Noviembre[[#This Row],[1]:[ ]])</f>
        <v>0</v>
      </c>
    </row>
    <row r="28" spans="2:34" ht="30" customHeight="1">
      <c r="B28" s="5" t="str">
        <f>MonthName&amp;" Total"</f>
        <v>Noviembre Total</v>
      </c>
      <c r="C28" s="4">
        <f>SUBTOTAL(103,Noviembre[1])</f>
        <v>0</v>
      </c>
      <c r="D28" s="4">
        <f>SUBTOTAL(103,Noviembre[2])</f>
        <v>0</v>
      </c>
      <c r="E28" s="4">
        <f>SUBTOTAL(103,Noviembre[3])</f>
        <v>0</v>
      </c>
      <c r="F28" s="4">
        <f>SUBTOTAL(103,Noviembre[4])</f>
        <v>0</v>
      </c>
      <c r="G28" s="4">
        <f>SUBTOTAL(103,Noviembre[5])</f>
        <v>0</v>
      </c>
      <c r="H28" s="4">
        <f>SUBTOTAL(103,Noviembre[6])</f>
        <v>0</v>
      </c>
      <c r="I28" s="4">
        <f>SUBTOTAL(103,Noviembre[7])</f>
        <v>0</v>
      </c>
      <c r="J28" s="4">
        <f>SUBTOTAL(103,Noviembre[8])</f>
        <v>0</v>
      </c>
      <c r="K28" s="4">
        <f>SUBTOTAL(103,Noviembre[9])</f>
        <v>1</v>
      </c>
      <c r="L28" s="4">
        <f>SUBTOTAL(103,Noviembre[10])</f>
        <v>1</v>
      </c>
      <c r="M28" s="4">
        <f>SUBTOTAL(103,Noviembre[11])</f>
        <v>0</v>
      </c>
      <c r="N28" s="4">
        <f>SUBTOTAL(103,Noviembre[12])</f>
        <v>0</v>
      </c>
      <c r="O28" s="4">
        <f>SUBTOTAL(103,Noviembre[13])</f>
        <v>0</v>
      </c>
      <c r="P28" s="4">
        <f>SUBTOTAL(103,Noviembre[14])</f>
        <v>0</v>
      </c>
      <c r="Q28" s="4">
        <f>SUBTOTAL(103,Noviembre[15])</f>
        <v>0</v>
      </c>
      <c r="R28" s="4">
        <f>SUBTOTAL(103,Noviembre[16])</f>
        <v>1</v>
      </c>
      <c r="S28" s="4">
        <f>SUBTOTAL(103,Noviembre[17])</f>
        <v>1</v>
      </c>
      <c r="T28" s="4">
        <f>SUBTOTAL(103,Noviembre[18])</f>
        <v>0</v>
      </c>
      <c r="U28" s="4">
        <f>SUBTOTAL(103,Noviembre[19])</f>
        <v>0</v>
      </c>
      <c r="V28" s="4">
        <f>SUBTOTAL(103,Noviembre[20])</f>
        <v>0</v>
      </c>
      <c r="W28" s="4">
        <f>SUBTOTAL(103,Noviembre[21])</f>
        <v>0</v>
      </c>
      <c r="X28" s="4">
        <f>SUBTOTAL(103,Noviembre[22])</f>
        <v>0</v>
      </c>
      <c r="Y28" s="4">
        <f>SUBTOTAL(103,Noviembre[23])</f>
        <v>0</v>
      </c>
      <c r="Z28" s="4">
        <f>SUBTOTAL(103,Noviembre[24])</f>
        <v>1</v>
      </c>
      <c r="AA28" s="4">
        <f>SUBTOTAL(103,Noviembre[25])</f>
        <v>0</v>
      </c>
      <c r="AB28" s="4">
        <f>SUBTOTAL(103,Noviembre[26])</f>
        <v>0</v>
      </c>
      <c r="AC28" s="4">
        <f>SUBTOTAL(103,Noviembre[27])</f>
        <v>0</v>
      </c>
      <c r="AD28" s="4">
        <f>SUBTOTAL(103,Noviembre[28])</f>
        <v>0</v>
      </c>
      <c r="AE28" s="4">
        <f>SUBTOTAL(103,Noviembre[29])</f>
        <v>0</v>
      </c>
      <c r="AF28" s="4">
        <f>SUBTOTAL(109,Noviembre[30])</f>
        <v>0</v>
      </c>
      <c r="AG28" s="4">
        <f>SUBTOTAL(109,Noviembre[[ ]])</f>
        <v>0</v>
      </c>
      <c r="AH28" s="4">
        <f>SUBTOTAL(109,Noviembre[Total de días])</f>
        <v>5</v>
      </c>
    </row>
  </sheetData>
  <mergeCells count="7">
    <mergeCell ref="C6:AG6"/>
    <mergeCell ref="D4:F4"/>
    <mergeCell ref="H4:J4"/>
    <mergeCell ref="L4:N4"/>
    <mergeCell ref="P4:S4"/>
    <mergeCell ref="U4:X4"/>
    <mergeCell ref="Z4:AB4"/>
  </mergeCells>
  <phoneticPr fontId="34" type="noConversion"/>
  <conditionalFormatting sqref="C9:AG27">
    <cfRule type="expression" priority="1" stopIfTrue="1">
      <formula>C9=""</formula>
    </cfRule>
    <cfRule type="expression" dxfId="114" priority="2" stopIfTrue="1">
      <formula>C9=KeyCustom2</formula>
    </cfRule>
    <cfRule type="expression" dxfId="113" priority="3" stopIfTrue="1">
      <formula>C9=KeyCustom1</formula>
    </cfRule>
    <cfRule type="expression" dxfId="112" priority="4" stopIfTrue="1">
      <formula>C9=KeySick</formula>
    </cfRule>
    <cfRule type="expression" dxfId="111" priority="5" stopIfTrue="1">
      <formula>C9=KeyPersonal</formula>
    </cfRule>
    <cfRule type="expression" dxfId="110" priority="6" stopIfTrue="1">
      <formula>C9=KeyVacation</formula>
    </cfRule>
  </conditionalFormatting>
  <conditionalFormatting sqref="AH9:AH27">
    <cfRule type="dataBar" priority="316">
      <dataBar>
        <cfvo type="min"/>
        <cfvo type="formula" val="DATEDIF(DATE(CalendarYear,2,1),DATE(CalendarYear,3,1),&quot;d&quot;)"/>
        <color theme="2" tint="-0.249977111117893"/>
      </dataBar>
      <extLst>
        <ext xmlns:x14="http://schemas.microsoft.com/office/spreadsheetml/2009/9/main" uri="{B025F937-C7B1-47D3-B67F-A62EFF666E3E}">
          <x14:id>{27D92E49-5CF1-46DF-AD7A-3A5E92F274F3}</x14:id>
        </ext>
      </extLst>
    </cfRule>
  </conditionalFormatting>
  <dataValidations count="15">
    <dataValidation allowBlank="1" showInputMessage="1" showErrorMessage="1" prompt="Los días del mes se generan automáticamente en esta fila. Especifique la ausencia del empleado y el tipo en cada columna para cada día del mes. En blanco significa que no hay ninguna ausencia" sqref="C8" xr:uid="{97706874-D6EF-7649-8BB0-992E1F25B736}"/>
    <dataValidation allowBlank="1" showInputMessage="1" showErrorMessage="1" prompt="El nombre del mes de este plan de ausencias está en esta celda. Los totales de las ausencias para este mes aparecen en la última celda de la tabla. Seleccione los nombres de los empleados en la columna B de la tabla" sqref="B2" xr:uid="{00000000-0002-0000-0A00-000001000000}"/>
    <dataValidation allowBlank="1" showInputMessage="1" showErrorMessage="1" prompt="Esta fila define las claves que se usan en la tabla: la celda C4 es para vacaciones, la celda G4 es para asuntos personales y la celda K4 es baja por enfermedad. Las celdas N4 y R4 se pueden personalizar" sqref="B4" xr:uid="{3113BD82-2D3E-8F4A-8BB6-5BEEE7BE0789}"/>
    <dataValidation allowBlank="1" showInputMessage="1" showErrorMessage="1" prompt="Escriba una letra y personalice la etiqueta de la derecha para agregar otro elemento clave." sqref="O4 T4" xr:uid="{D1F7F541-AC44-4EF4-9B58-0E3E8FFD2CA2}"/>
    <dataValidation allowBlank="1" showInputMessage="1" showErrorMessage="1" prompt="La letra “E” indica una ausencia por enfermedad" sqref="K4" xr:uid="{869C53C2-C295-48EE-94EF-882212766141}"/>
    <dataValidation allowBlank="1" showInputMessage="1" showErrorMessage="1" prompt="La letra “P” indica una ausencia por motivos personales" sqref="G4" xr:uid="{BAA936E7-DBD7-446A-89F4-FCA88C2A81CE}"/>
    <dataValidation allowBlank="1" showInputMessage="1" showErrorMessage="1" prompt="La letra “V” indica una ausencia por vacaciones" sqref="C4" xr:uid="{49F43567-7AE3-471A-9054-F2F30B20C8DB}"/>
    <dataValidation allowBlank="1" showInputMessage="1" showErrorMessage="1" prompt="El título se actualiza automáticamente en esta celda. Para modificarlo, actualice la celda B1 en la hoja de cálculo de enero" sqref="B2" xr:uid="{00000000-0002-0000-0A00-000008000000}"/>
    <dataValidation errorStyle="warning" allowBlank="1" showInputMessage="1" showErrorMessage="1" error="Seleccione un nombre de la lista. Seleccione CANCELAR y, después, ALT+FLECHA ABAJO y ENTRAR para seleccionar un nombre" prompt="Escriba los nombres de los empleados en la hoja de cálculo Nombres de empleados y, después, seleccione uno de los nombres de la lista de esta columna. Presione ALT+FLECHA ABAJO y ENTRAR para seleccionar un nombre" sqref="B8" xr:uid="{3B118AC1-307A-6645-A98D-9A80D2AE0EE3}"/>
    <dataValidation allowBlank="1" showInputMessage="1" showErrorMessage="1" prompt="Realice un seguimiento de las ausencias de noviembre en esta hoja de cálculo" sqref="A1" xr:uid="{00000000-0002-0000-0A00-00000A000000}"/>
    <dataValidation allowBlank="1" showInputMessage="1" showErrorMessage="1" prompt="Cálculo automático del número total de días que un empleado ha estado ausente este mes en esta columna" sqref="AH8" xr:uid="{689D502A-5D97-B44F-AA8E-4AB5A8802DDE}"/>
    <dataValidation allowBlank="1" showInputMessage="1" showErrorMessage="1" prompt="Año actualizado automáticamente en función del año introducido en la hoja de cálculo de enero" sqref="AH6" xr:uid="{CA024147-D189-C949-8452-0A51ECF8D4AA}"/>
    <dataValidation allowBlank="1" showInputMessage="1" showErrorMessage="1" prompt="Los días laborables en esta fila se actualizan automáticamente durante el mes según el año en AH4. Cada día del mes es una columna para indicar la ausencia del empleado y el tipo de ausencia" sqref="C7" xr:uid="{DEEC83F4-4C72-7D4D-B442-B00CC4990A25}"/>
    <dataValidation allowBlank="1" showInputMessage="1" showErrorMessage="1" prompt="Esta celda contiene el título de la hoja de cálculo. " sqref="B1" xr:uid="{C3B9D9EA-9B20-4756-B664-7AA7A0EDAD13}"/>
    <dataValidation allowBlank="1" showInputMessage="1" showErrorMessage="1" prompt="Escriba una etiqueta para describir la clave personalizada de la izquierda" sqref="U4 P4" xr:uid="{CFFE4BD1-44A2-4CB8-8A1F-C049AA145576}"/>
  </dataValidations>
  <pageMargins left="0.7" right="0.7" top="0.75" bottom="0.75" header="0.3" footer="0.3"/>
  <pageSetup paperSize="9" fitToHeight="0" orientation="portrait" verticalDpi="4294967293"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27D92E49-5CF1-46DF-AD7A-3A5E92F274F3}">
            <x14:dataBar minLength="0" maxLength="100">
              <x14:cfvo type="autoMin"/>
              <x14:cfvo type="formula">
                <xm:f>DATEDIF(DATE(CalendarYear,2,1),DATE(CalendarYear,3,1),"d")</xm:f>
              </x14:cfvo>
              <x14:negativeFillColor rgb="FFFF0000"/>
              <x14:axisColor rgb="FF000000"/>
            </x14:dataBar>
          </x14:cfRule>
          <xm:sqref>AH9:AH27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E000000}">
          <x14:formula1>
            <xm:f>'Nombres de los empleados'!$B$5:$B$9</xm:f>
          </x14:formula1>
          <xm:sqref>B10:B12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tint="-0.249977111117893"/>
  </sheetPr>
  <dimension ref="B1:AZ28"/>
  <sheetViews>
    <sheetView showGridLines="0" zoomScale="44" zoomScaleNormal="100" workbookViewId="0">
      <selection activeCell="P4" sqref="P4:S4"/>
    </sheetView>
  </sheetViews>
  <sheetFormatPr baseColWidth="10" defaultColWidth="8.6328125" defaultRowHeight="30" customHeight="1"/>
  <cols>
    <col min="1" max="1" width="2.6328125" customWidth="1"/>
    <col min="2" max="2" width="63.08984375" bestFit="1" customWidth="1"/>
    <col min="3" max="33" width="4.6328125" customWidth="1"/>
    <col min="34" max="34" width="13.453125" customWidth="1"/>
    <col min="35" max="35" width="2.6328125" customWidth="1"/>
  </cols>
  <sheetData>
    <row r="1" spans="2:52" ht="50" customHeight="1">
      <c r="B1" s="24" t="s">
        <v>0</v>
      </c>
    </row>
    <row r="2" spans="2:52" ht="100.25" customHeight="1">
      <c r="B2" s="23" t="s">
        <v>52</v>
      </c>
    </row>
    <row r="3" spans="2:52" ht="15" customHeight="1">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row>
    <row r="4" spans="2:52" ht="30" customHeight="1">
      <c r="B4" s="7" t="s">
        <v>2</v>
      </c>
      <c r="C4" s="29" t="s">
        <v>4</v>
      </c>
      <c r="D4" s="68" t="s">
        <v>7</v>
      </c>
      <c r="E4" s="68"/>
      <c r="F4" s="68"/>
      <c r="G4" s="27" t="s">
        <v>10</v>
      </c>
      <c r="H4" s="69" t="s">
        <v>77</v>
      </c>
      <c r="I4" s="69"/>
      <c r="J4" s="69"/>
      <c r="K4" s="28" t="s">
        <v>75</v>
      </c>
      <c r="L4" s="68" t="s">
        <v>76</v>
      </c>
      <c r="M4" s="68"/>
      <c r="N4" s="68"/>
      <c r="O4" s="17" t="s">
        <v>79</v>
      </c>
      <c r="P4" s="68" t="s">
        <v>160</v>
      </c>
      <c r="Q4" s="68"/>
      <c r="R4" s="68"/>
      <c r="S4" s="68"/>
      <c r="T4" s="18" t="s">
        <v>73</v>
      </c>
      <c r="U4" s="68" t="s">
        <v>74</v>
      </c>
      <c r="V4" s="68"/>
      <c r="W4" s="68"/>
      <c r="X4" s="68"/>
      <c r="Y4" s="36" t="s">
        <v>78</v>
      </c>
      <c r="Z4" s="70" t="s">
        <v>72</v>
      </c>
      <c r="AA4" s="70"/>
      <c r="AB4" s="70"/>
    </row>
    <row r="5" spans="2:52" ht="15" customHeight="1">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row>
    <row r="6" spans="2:52" ht="50" customHeight="1">
      <c r="B6" s="6"/>
      <c r="C6" s="67" t="s">
        <v>5</v>
      </c>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
        <f>CalendarYear</f>
        <v>2023</v>
      </c>
    </row>
    <row r="7" spans="2:52" ht="30" customHeight="1">
      <c r="B7" s="6"/>
      <c r="C7" s="21" t="str">
        <f>TEXT(WEEKDAY(DATE(CalendarYear,12,1),1),"ddd")</f>
        <v>vie</v>
      </c>
      <c r="D7" s="21" t="str">
        <f>TEXT(WEEKDAY(DATE(CalendarYear,12,2),1),"ddd")</f>
        <v>sáb</v>
      </c>
      <c r="E7" s="21" t="str">
        <f>TEXT(WEEKDAY(DATE(CalendarYear,12,3),1),"ddd")</f>
        <v>dom</v>
      </c>
      <c r="F7" s="21" t="str">
        <f>TEXT(WEEKDAY(DATE(CalendarYear,12,4),1),"ddd")</f>
        <v>lun</v>
      </c>
      <c r="G7" s="21" t="str">
        <f>TEXT(WEEKDAY(DATE(CalendarYear,12,5),1),"ddd")</f>
        <v>mar</v>
      </c>
      <c r="H7" s="21" t="str">
        <f>TEXT(WEEKDAY(DATE(CalendarYear,12,6),1),"ddd")</f>
        <v>mié</v>
      </c>
      <c r="I7" s="21" t="str">
        <f>TEXT(WEEKDAY(DATE(CalendarYear,12,7),1),"ddd")</f>
        <v>jue</v>
      </c>
      <c r="J7" s="21" t="str">
        <f>TEXT(WEEKDAY(DATE(CalendarYear,12,8),1),"ddd")</f>
        <v>vie</v>
      </c>
      <c r="K7" s="21" t="str">
        <f>TEXT(WEEKDAY(DATE(CalendarYear,12,9),1),"ddd")</f>
        <v>sáb</v>
      </c>
      <c r="L7" s="21" t="str">
        <f>TEXT(WEEKDAY(DATE(CalendarYear,12,10),1),"ddd")</f>
        <v>dom</v>
      </c>
      <c r="M7" s="21" t="str">
        <f>TEXT(WEEKDAY(DATE(CalendarYear,12,11),1),"ddd")</f>
        <v>lun</v>
      </c>
      <c r="N7" s="21" t="str">
        <f>TEXT(WEEKDAY(DATE(CalendarYear,12,12),1),"ddd")</f>
        <v>mar</v>
      </c>
      <c r="O7" s="21" t="str">
        <f>TEXT(WEEKDAY(DATE(CalendarYear,12,13),1),"ddd")</f>
        <v>mié</v>
      </c>
      <c r="P7" s="21" t="str">
        <f>TEXT(WEEKDAY(DATE(CalendarYear,12,14),1),"ddd")</f>
        <v>jue</v>
      </c>
      <c r="Q7" s="21" t="str">
        <f>TEXT(WEEKDAY(DATE(CalendarYear,12,15),1),"ddd")</f>
        <v>vie</v>
      </c>
      <c r="R7" s="21" t="str">
        <f>TEXT(WEEKDAY(DATE(CalendarYear,12,16),1),"ddd")</f>
        <v>sáb</v>
      </c>
      <c r="S7" s="21" t="str">
        <f>TEXT(WEEKDAY(DATE(CalendarYear,12,17),1),"ddd")</f>
        <v>dom</v>
      </c>
      <c r="T7" s="21" t="str">
        <f>TEXT(WEEKDAY(DATE(CalendarYear,12,18),1),"ddd")</f>
        <v>lun</v>
      </c>
      <c r="U7" s="21" t="str">
        <f>TEXT(WEEKDAY(DATE(CalendarYear,12,19),1),"ddd")</f>
        <v>mar</v>
      </c>
      <c r="V7" s="21" t="str">
        <f>TEXT(WEEKDAY(DATE(CalendarYear,12,20),1),"ddd")</f>
        <v>mié</v>
      </c>
      <c r="W7" s="21" t="str">
        <f>TEXT(WEEKDAY(DATE(CalendarYear,12,21),1),"ddd")</f>
        <v>jue</v>
      </c>
      <c r="X7" s="21" t="str">
        <f>TEXT(WEEKDAY(DATE(CalendarYear,12,22),1),"ddd")</f>
        <v>vie</v>
      </c>
      <c r="Y7" s="21" t="str">
        <f>TEXT(WEEKDAY(DATE(CalendarYear,12,23),1),"ddd")</f>
        <v>sáb</v>
      </c>
      <c r="Z7" s="21" t="str">
        <f>TEXT(WEEKDAY(DATE(CalendarYear,12,24),1),"ddd")</f>
        <v>dom</v>
      </c>
      <c r="AA7" s="21" t="str">
        <f>TEXT(WEEKDAY(DATE(CalendarYear,12,25),1),"ddd")</f>
        <v>lun</v>
      </c>
      <c r="AB7" s="21" t="str">
        <f>TEXT(WEEKDAY(DATE(CalendarYear,12,26),1),"ddd")</f>
        <v>mar</v>
      </c>
      <c r="AC7" s="21" t="str">
        <f>TEXT(WEEKDAY(DATE(CalendarYear,12,27),1),"ddd")</f>
        <v>mié</v>
      </c>
      <c r="AD7" s="21" t="str">
        <f>TEXT(WEEKDAY(DATE(CalendarYear,12,28),1),"ddd")</f>
        <v>jue</v>
      </c>
      <c r="AE7" s="21" t="str">
        <f>TEXT(WEEKDAY(DATE(CalendarYear,12,29),1),"ddd")</f>
        <v>vie</v>
      </c>
      <c r="AF7" s="21" t="str">
        <f>TEXT(WEEKDAY(DATE(CalendarYear,12,30),1),"ddd")</f>
        <v>sáb</v>
      </c>
      <c r="AG7" s="21" t="str">
        <f>TEXT(WEEKDAY(DATE(CalendarYear,12,31),1),"ddd")</f>
        <v>dom</v>
      </c>
      <c r="AH7" s="6"/>
    </row>
    <row r="8" spans="2:52" ht="30" customHeight="1">
      <c r="B8" s="20" t="s">
        <v>3</v>
      </c>
      <c r="C8" s="1" t="s">
        <v>6</v>
      </c>
      <c r="D8" s="1" t="s">
        <v>8</v>
      </c>
      <c r="E8" s="1" t="s">
        <v>9</v>
      </c>
      <c r="F8" s="1" t="s">
        <v>11</v>
      </c>
      <c r="G8" s="1" t="s">
        <v>12</v>
      </c>
      <c r="H8" s="1" t="s">
        <v>13</v>
      </c>
      <c r="I8" s="1" t="s">
        <v>14</v>
      </c>
      <c r="J8" s="1" t="s">
        <v>15</v>
      </c>
      <c r="K8" s="1" t="s">
        <v>16</v>
      </c>
      <c r="L8" s="1" t="s">
        <v>17</v>
      </c>
      <c r="M8" s="1" t="s">
        <v>18</v>
      </c>
      <c r="N8" s="1" t="s">
        <v>19</v>
      </c>
      <c r="O8" s="1" t="s">
        <v>20</v>
      </c>
      <c r="P8" s="1" t="s">
        <v>21</v>
      </c>
      <c r="Q8" s="1" t="s">
        <v>22</v>
      </c>
      <c r="R8" s="1" t="s">
        <v>23</v>
      </c>
      <c r="S8" s="1" t="s">
        <v>24</v>
      </c>
      <c r="T8" s="1" t="s">
        <v>25</v>
      </c>
      <c r="U8" s="1" t="s">
        <v>26</v>
      </c>
      <c r="V8" s="1" t="s">
        <v>27</v>
      </c>
      <c r="W8" s="1" t="s">
        <v>28</v>
      </c>
      <c r="X8" s="1" t="s">
        <v>29</v>
      </c>
      <c r="Y8" s="1" t="s">
        <v>30</v>
      </c>
      <c r="Z8" s="1" t="s">
        <v>31</v>
      </c>
      <c r="AA8" s="1" t="s">
        <v>32</v>
      </c>
      <c r="AB8" s="1" t="s">
        <v>33</v>
      </c>
      <c r="AC8" s="1" t="s">
        <v>34</v>
      </c>
      <c r="AD8" s="1" t="s">
        <v>35</v>
      </c>
      <c r="AE8" s="1" t="s">
        <v>36</v>
      </c>
      <c r="AF8" s="1" t="s">
        <v>37</v>
      </c>
      <c r="AG8" s="1" t="s">
        <v>38</v>
      </c>
      <c r="AH8" s="22" t="s">
        <v>39</v>
      </c>
    </row>
    <row r="9" spans="2:52" ht="30" customHeight="1">
      <c r="B9" s="62" t="s">
        <v>157</v>
      </c>
      <c r="C9" s="1"/>
      <c r="D9" s="1"/>
      <c r="E9" s="1"/>
      <c r="F9" s="1"/>
      <c r="G9" s="1"/>
      <c r="H9" s="1"/>
      <c r="I9" s="1" t="s">
        <v>79</v>
      </c>
      <c r="J9" s="1"/>
      <c r="K9" s="1"/>
      <c r="L9" s="1"/>
      <c r="M9" s="1"/>
      <c r="N9" s="1"/>
      <c r="O9" s="1"/>
      <c r="P9" s="1"/>
      <c r="Q9" s="1"/>
      <c r="R9" s="1"/>
      <c r="S9" s="1"/>
      <c r="T9" s="1"/>
      <c r="U9" s="1"/>
      <c r="V9" s="1"/>
      <c r="W9" s="1"/>
      <c r="X9" s="1"/>
      <c r="Y9" s="1"/>
      <c r="Z9" s="1"/>
      <c r="AA9" s="1"/>
      <c r="AB9" s="1"/>
      <c r="AC9" s="1"/>
      <c r="AD9" s="1"/>
      <c r="AE9" s="1" t="s">
        <v>79</v>
      </c>
      <c r="AF9" s="1"/>
      <c r="AG9" s="1"/>
      <c r="AH9" s="3">
        <f>COUNTA(Diciembre[[#This Row],[1]:[31]])</f>
        <v>2</v>
      </c>
    </row>
    <row r="10" spans="2:52" ht="30" customHeight="1">
      <c r="B10" s="62" t="s">
        <v>158</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COUNTA(Diciembre[[#This Row],[1]:[31]])</f>
        <v>0</v>
      </c>
      <c r="AZ10" s="44"/>
    </row>
    <row r="11" spans="2:52" ht="30" customHeight="1">
      <c r="B11" s="62" t="s">
        <v>55</v>
      </c>
      <c r="C11" s="1"/>
      <c r="D11" s="1"/>
      <c r="E11" s="1"/>
      <c r="F11" s="1"/>
      <c r="G11" s="1"/>
      <c r="H11" s="1" t="s">
        <v>79</v>
      </c>
      <c r="I11" s="1" t="s">
        <v>79</v>
      </c>
      <c r="J11" s="1"/>
      <c r="K11" s="1"/>
      <c r="L11" s="1"/>
      <c r="M11" s="1"/>
      <c r="N11" s="1"/>
      <c r="O11" s="1"/>
      <c r="P11" s="1"/>
      <c r="Q11" s="1"/>
      <c r="R11" s="1"/>
      <c r="S11" s="1"/>
      <c r="T11" s="1"/>
      <c r="U11" s="1"/>
      <c r="V11" s="1"/>
      <c r="W11" s="1"/>
      <c r="X11" s="1" t="s">
        <v>79</v>
      </c>
      <c r="Y11" s="1"/>
      <c r="Z11" s="1"/>
      <c r="AA11" s="1"/>
      <c r="AB11" s="1"/>
      <c r="AC11" s="1"/>
      <c r="AD11" s="1"/>
      <c r="AE11" s="1"/>
      <c r="AF11" s="1"/>
      <c r="AG11" s="1"/>
      <c r="AH11" s="3">
        <f>COUNTA(Diciembre[[#This Row],[1]:[31]])</f>
        <v>3</v>
      </c>
    </row>
    <row r="12" spans="2:52" ht="30" customHeight="1">
      <c r="B12" s="62" t="s">
        <v>56</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COUNTA(Diciembre[[#This Row],[1]:[31]])</f>
        <v>0</v>
      </c>
    </row>
    <row r="13" spans="2:52" ht="30" customHeight="1">
      <c r="B13" s="62" t="s">
        <v>57</v>
      </c>
      <c r="C13" s="1"/>
      <c r="D13" s="1"/>
      <c r="E13" s="1"/>
      <c r="F13" s="1"/>
      <c r="G13" s="1"/>
      <c r="H13" s="1" t="s">
        <v>79</v>
      </c>
      <c r="I13" s="1" t="s">
        <v>79</v>
      </c>
      <c r="J13" s="1"/>
      <c r="K13" s="1"/>
      <c r="L13" s="1"/>
      <c r="M13" s="1"/>
      <c r="N13" s="1"/>
      <c r="O13" s="1"/>
      <c r="P13" s="1"/>
      <c r="Q13" s="1"/>
      <c r="R13" s="1"/>
      <c r="S13" s="1"/>
      <c r="T13" s="1"/>
      <c r="U13" s="1"/>
      <c r="V13" s="1"/>
      <c r="W13" s="1"/>
      <c r="X13" s="1" t="s">
        <v>79</v>
      </c>
      <c r="Y13" s="1"/>
      <c r="Z13" s="1"/>
      <c r="AA13" s="1"/>
      <c r="AB13" s="1"/>
      <c r="AC13" s="1"/>
      <c r="AD13" s="1"/>
      <c r="AE13" s="1"/>
      <c r="AF13" s="1"/>
      <c r="AG13" s="35"/>
      <c r="AH13" s="3">
        <f>COUNTA(Diciembre[[#This Row],[1]:[31]])</f>
        <v>3</v>
      </c>
    </row>
    <row r="14" spans="2:52" ht="30" customHeight="1">
      <c r="B14" s="64" t="s">
        <v>58</v>
      </c>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35"/>
      <c r="AH14" s="3">
        <f>COUNTA(Diciembre[[#This Row],[1]:[31]])</f>
        <v>0</v>
      </c>
    </row>
    <row r="15" spans="2:52" ht="30" customHeight="1">
      <c r="B15" s="64" t="s">
        <v>59</v>
      </c>
      <c r="C15" s="1"/>
      <c r="D15" s="1"/>
      <c r="E15" s="1"/>
      <c r="F15" s="1"/>
      <c r="G15" s="1"/>
      <c r="H15" s="1"/>
      <c r="I15" s="18" t="s">
        <v>73</v>
      </c>
      <c r="J15" s="1"/>
      <c r="K15" s="1"/>
      <c r="L15" s="1"/>
      <c r="M15" s="1"/>
      <c r="N15" s="1"/>
      <c r="O15" s="1"/>
      <c r="P15" s="1"/>
      <c r="Q15" s="39" t="s">
        <v>78</v>
      </c>
      <c r="R15" s="1"/>
      <c r="S15" s="1"/>
      <c r="T15" s="1"/>
      <c r="U15" s="1"/>
      <c r="V15" s="1"/>
      <c r="W15" s="1"/>
      <c r="X15" s="1" t="s">
        <v>79</v>
      </c>
      <c r="Y15" s="1"/>
      <c r="Z15" s="1"/>
      <c r="AA15" s="1"/>
      <c r="AB15" s="1"/>
      <c r="AC15" s="1"/>
      <c r="AD15" s="1"/>
      <c r="AE15" s="1" t="s">
        <v>79</v>
      </c>
      <c r="AF15" s="1"/>
      <c r="AG15" s="35"/>
      <c r="AH15" s="3">
        <f>COUNTA(Diciembre[[#This Row],[1]:[31]])</f>
        <v>4</v>
      </c>
    </row>
    <row r="16" spans="2:52" ht="30" customHeight="1">
      <c r="B16" s="64" t="s">
        <v>60</v>
      </c>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35"/>
      <c r="AH16" s="3">
        <f>COUNTA(Diciembre[[#This Row],[1]:[31]])</f>
        <v>0</v>
      </c>
    </row>
    <row r="17" spans="2:34" ht="30" customHeight="1">
      <c r="B17" s="64" t="s">
        <v>61</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35"/>
      <c r="AH17" s="3">
        <f>COUNTA(Diciembre[[#This Row],[1]:[31]])</f>
        <v>0</v>
      </c>
    </row>
    <row r="18" spans="2:34" ht="30" customHeight="1">
      <c r="B18" s="64" t="s">
        <v>62</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35"/>
      <c r="AH18" s="3">
        <f>COUNTA(Diciembre[[#This Row],[1]:[31]])</f>
        <v>0</v>
      </c>
    </row>
    <row r="19" spans="2:34" ht="30" customHeight="1">
      <c r="B19" s="64" t="s">
        <v>63</v>
      </c>
      <c r="C19" s="1"/>
      <c r="D19" s="1"/>
      <c r="E19" s="1"/>
      <c r="F19" s="1"/>
      <c r="G19" s="1"/>
      <c r="H19" s="1"/>
      <c r="I19" s="1"/>
      <c r="J19" s="1"/>
      <c r="K19" s="1"/>
      <c r="L19" s="1"/>
      <c r="M19" s="1"/>
      <c r="N19" s="1"/>
      <c r="O19" s="1"/>
      <c r="P19" s="1"/>
      <c r="Q19" s="39" t="s">
        <v>78</v>
      </c>
      <c r="R19" s="1"/>
      <c r="S19" s="1"/>
      <c r="T19" s="1"/>
      <c r="U19" s="1"/>
      <c r="V19" s="1"/>
      <c r="W19" s="1"/>
      <c r="X19" s="1"/>
      <c r="Y19" s="1"/>
      <c r="Z19" s="1"/>
      <c r="AA19" s="1"/>
      <c r="AB19" s="1"/>
      <c r="AC19" s="1"/>
      <c r="AD19" s="1"/>
      <c r="AE19" s="1"/>
      <c r="AF19" s="1"/>
      <c r="AG19" s="35"/>
      <c r="AH19" s="3">
        <f>COUNTA(Diciembre[[#This Row],[1]:[31]])</f>
        <v>1</v>
      </c>
    </row>
    <row r="20" spans="2:34" ht="30" customHeight="1">
      <c r="B20" s="64" t="s">
        <v>64</v>
      </c>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35"/>
      <c r="AH20" s="3">
        <f>COUNTA(Diciembre[[#This Row],[1]:[31]])</f>
        <v>0</v>
      </c>
    </row>
    <row r="21" spans="2:34" ht="30" customHeight="1">
      <c r="B21" s="64" t="s">
        <v>65</v>
      </c>
      <c r="C21" s="1"/>
      <c r="D21" s="1"/>
      <c r="E21" s="1"/>
      <c r="F21" s="1"/>
      <c r="G21" s="1"/>
      <c r="H21" s="1"/>
      <c r="I21" s="1"/>
      <c r="J21" s="1"/>
      <c r="K21" s="1"/>
      <c r="L21" s="1"/>
      <c r="M21" s="1"/>
      <c r="N21" s="1"/>
      <c r="O21" s="1"/>
      <c r="P21" s="1"/>
      <c r="Q21" s="1"/>
      <c r="R21" s="1"/>
      <c r="S21" s="1"/>
      <c r="T21" s="1"/>
      <c r="U21" s="1"/>
      <c r="V21" s="1"/>
      <c r="W21" s="1"/>
      <c r="X21" s="1" t="s">
        <v>79</v>
      </c>
      <c r="Y21" s="1"/>
      <c r="Z21" s="1"/>
      <c r="AA21" s="1"/>
      <c r="AB21" s="1"/>
      <c r="AC21" s="1"/>
      <c r="AD21" s="1"/>
      <c r="AE21" s="1"/>
      <c r="AF21" s="1"/>
      <c r="AG21" s="35"/>
      <c r="AH21" s="3">
        <f>COUNTA(Diciembre[[#This Row],[1]:[31]])</f>
        <v>1</v>
      </c>
    </row>
    <row r="22" spans="2:34" ht="30" customHeight="1">
      <c r="B22" s="64" t="s">
        <v>66</v>
      </c>
      <c r="C22" s="1"/>
      <c r="D22" s="1"/>
      <c r="E22" s="1"/>
      <c r="F22" s="1"/>
      <c r="G22" s="1"/>
      <c r="H22" s="1"/>
      <c r="I22" s="1" t="s">
        <v>79</v>
      </c>
      <c r="J22" s="1"/>
      <c r="K22" s="1"/>
      <c r="L22" s="1"/>
      <c r="M22" s="1" t="s">
        <v>79</v>
      </c>
      <c r="N22" s="1"/>
      <c r="O22" s="1"/>
      <c r="P22" s="1"/>
      <c r="Q22" s="1"/>
      <c r="R22" s="1"/>
      <c r="S22" s="1"/>
      <c r="T22" s="1"/>
      <c r="U22" s="1"/>
      <c r="V22" s="1"/>
      <c r="W22" s="1"/>
      <c r="X22" s="1"/>
      <c r="Y22" s="1"/>
      <c r="Z22" s="1"/>
      <c r="AA22" s="1"/>
      <c r="AB22" s="1"/>
      <c r="AC22" s="1"/>
      <c r="AD22" s="1"/>
      <c r="AE22" s="1"/>
      <c r="AF22" s="1"/>
      <c r="AG22" s="35"/>
      <c r="AH22" s="3">
        <f>COUNTA(Diciembre[[#This Row],[1]:[31]])</f>
        <v>2</v>
      </c>
    </row>
    <row r="23" spans="2:34" ht="30" customHeight="1">
      <c r="B23" s="64" t="s">
        <v>67</v>
      </c>
      <c r="C23" s="1"/>
      <c r="D23" s="1"/>
      <c r="E23" s="1"/>
      <c r="F23" s="1"/>
      <c r="G23" s="1"/>
      <c r="H23" s="1"/>
      <c r="I23" s="1" t="s">
        <v>79</v>
      </c>
      <c r="J23" s="1"/>
      <c r="K23" s="1"/>
      <c r="L23" s="1"/>
      <c r="M23" s="1"/>
      <c r="N23" s="1"/>
      <c r="O23" s="1"/>
      <c r="P23" s="1"/>
      <c r="Q23" s="1"/>
      <c r="R23" s="1"/>
      <c r="S23" s="1"/>
      <c r="T23" s="1"/>
      <c r="U23" s="1"/>
      <c r="V23" s="1" t="s">
        <v>79</v>
      </c>
      <c r="W23" s="1" t="s">
        <v>79</v>
      </c>
      <c r="X23" s="1" t="s">
        <v>79</v>
      </c>
      <c r="Y23" s="1"/>
      <c r="Z23" s="1"/>
      <c r="AA23" s="1"/>
      <c r="AB23" s="1" t="s">
        <v>79</v>
      </c>
      <c r="AC23" s="1"/>
      <c r="AD23" s="1"/>
      <c r="AE23" s="1"/>
      <c r="AF23" s="1"/>
      <c r="AG23" s="35"/>
      <c r="AH23" s="3">
        <f>COUNTA(Diciembre[[#This Row],[1]:[31]])</f>
        <v>5</v>
      </c>
    </row>
    <row r="24" spans="2:34" ht="30" customHeight="1">
      <c r="B24" s="64" t="s">
        <v>68</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35"/>
      <c r="AH24" s="3">
        <f>COUNTA(Diciembre[[#This Row],[1]:[31]])</f>
        <v>0</v>
      </c>
    </row>
    <row r="25" spans="2:34" ht="30" customHeight="1">
      <c r="B25" s="64" t="s">
        <v>69</v>
      </c>
      <c r="C25" s="1"/>
      <c r="D25" s="1"/>
      <c r="E25" s="1"/>
      <c r="F25" s="1"/>
      <c r="G25" s="1"/>
      <c r="H25" s="1"/>
      <c r="I25" s="1"/>
      <c r="J25" s="1"/>
      <c r="K25" s="1"/>
      <c r="L25" s="1"/>
      <c r="M25" s="1"/>
      <c r="N25" s="1" t="s">
        <v>79</v>
      </c>
      <c r="O25" s="1" t="s">
        <v>79</v>
      </c>
      <c r="P25" s="1" t="s">
        <v>79</v>
      </c>
      <c r="Q25" s="1"/>
      <c r="R25" s="1"/>
      <c r="S25" s="1"/>
      <c r="T25" s="1"/>
      <c r="U25" s="1"/>
      <c r="V25" s="1"/>
      <c r="W25" s="1"/>
      <c r="X25" s="1"/>
      <c r="Y25" s="1"/>
      <c r="Z25" s="1"/>
      <c r="AA25" s="1"/>
      <c r="AB25" s="1"/>
      <c r="AC25" s="1"/>
      <c r="AD25" s="1"/>
      <c r="AE25" s="1"/>
      <c r="AF25" s="1"/>
      <c r="AG25" s="35"/>
      <c r="AH25" s="3">
        <f>COUNTA(Diciembre[[#This Row],[1]:[31]])</f>
        <v>3</v>
      </c>
    </row>
    <row r="26" spans="2:34" ht="30" customHeight="1">
      <c r="B26" s="64" t="s">
        <v>70</v>
      </c>
      <c r="C26" s="1"/>
      <c r="D26" s="1"/>
      <c r="E26" s="1"/>
      <c r="F26" s="1"/>
      <c r="G26" s="1"/>
      <c r="H26" s="1"/>
      <c r="I26" s="1"/>
      <c r="J26" s="1"/>
      <c r="K26" s="1"/>
      <c r="L26" s="1"/>
      <c r="M26" s="1"/>
      <c r="N26" s="1"/>
      <c r="O26" s="1"/>
      <c r="P26" s="1"/>
      <c r="Q26" s="1"/>
      <c r="R26" s="1"/>
      <c r="S26" s="1"/>
      <c r="T26" s="1"/>
      <c r="U26" s="1"/>
      <c r="V26" s="1"/>
      <c r="W26" s="1"/>
      <c r="X26" s="1"/>
      <c r="Y26" s="1"/>
      <c r="Z26" s="1"/>
      <c r="AA26" s="1"/>
      <c r="AB26" s="1"/>
      <c r="AC26" s="1" t="s">
        <v>79</v>
      </c>
      <c r="AD26" s="1" t="s">
        <v>79</v>
      </c>
      <c r="AE26" s="1" t="s">
        <v>79</v>
      </c>
      <c r="AF26" s="1"/>
      <c r="AG26" s="35"/>
      <c r="AH26" s="3">
        <f>COUNTA(Diciembre[[#This Row],[1]:[31]])</f>
        <v>3</v>
      </c>
    </row>
    <row r="27" spans="2:34" ht="30" customHeight="1">
      <c r="B27" s="64" t="s">
        <v>71</v>
      </c>
      <c r="C27" s="1"/>
      <c r="D27" s="1"/>
      <c r="E27" s="1"/>
      <c r="F27" s="1"/>
      <c r="G27" s="1"/>
      <c r="H27" s="1"/>
      <c r="I27" s="1" t="s">
        <v>79</v>
      </c>
      <c r="J27" s="1"/>
      <c r="K27" s="1"/>
      <c r="L27" s="1"/>
      <c r="M27" s="1"/>
      <c r="N27" s="1"/>
      <c r="O27" s="1"/>
      <c r="P27" s="1"/>
      <c r="Q27" s="1"/>
      <c r="R27" s="1"/>
      <c r="S27" s="1"/>
      <c r="T27" s="1"/>
      <c r="U27" s="1"/>
      <c r="V27" s="1"/>
      <c r="W27" s="1"/>
      <c r="X27" s="1"/>
      <c r="Y27" s="1"/>
      <c r="Z27" s="1"/>
      <c r="AA27" s="1"/>
      <c r="AB27" s="1"/>
      <c r="AC27" s="1"/>
      <c r="AD27" s="1"/>
      <c r="AE27" s="1"/>
      <c r="AF27" s="1"/>
      <c r="AG27" s="35"/>
      <c r="AH27" s="3">
        <f>COUNTA(Diciembre[[#This Row],[1]:[31]])</f>
        <v>1</v>
      </c>
    </row>
    <row r="28" spans="2:34" ht="30" customHeight="1">
      <c r="B28" s="5" t="str">
        <f>MonthName&amp;" Total"</f>
        <v>Diciembre Total</v>
      </c>
      <c r="C28" s="4">
        <f>SUBTOTAL(103,Diciembre[1])</f>
        <v>0</v>
      </c>
      <c r="D28" s="4">
        <f>SUBTOTAL(103,Diciembre[2])</f>
        <v>0</v>
      </c>
      <c r="E28" s="4">
        <f>SUBTOTAL(103,Diciembre[3])</f>
        <v>0</v>
      </c>
      <c r="F28" s="4">
        <f>SUBTOTAL(103,Diciembre[4])</f>
        <v>0</v>
      </c>
      <c r="G28" s="4">
        <f>SUBTOTAL(103,Diciembre[5])</f>
        <v>0</v>
      </c>
      <c r="H28" s="4">
        <f>SUBTOTAL(103,Diciembre[6])</f>
        <v>2</v>
      </c>
      <c r="I28" s="4">
        <f>SUBTOTAL(103,Diciembre[7])</f>
        <v>7</v>
      </c>
      <c r="J28" s="4">
        <f>SUBTOTAL(103,Diciembre[8])</f>
        <v>0</v>
      </c>
      <c r="K28" s="4">
        <f>SUBTOTAL(103,Diciembre[9])</f>
        <v>0</v>
      </c>
      <c r="L28" s="4">
        <f>SUBTOTAL(103,Diciembre[10])</f>
        <v>0</v>
      </c>
      <c r="M28" s="4">
        <f>SUBTOTAL(103,Diciembre[11])</f>
        <v>1</v>
      </c>
      <c r="N28" s="4">
        <f>SUBTOTAL(103,Diciembre[12])</f>
        <v>1</v>
      </c>
      <c r="O28" s="4">
        <f>SUBTOTAL(103,Diciembre[13])</f>
        <v>1</v>
      </c>
      <c r="P28" s="4">
        <f>SUBTOTAL(103,Diciembre[14])</f>
        <v>1</v>
      </c>
      <c r="Q28" s="4">
        <f>SUBTOTAL(103,Diciembre[15])</f>
        <v>2</v>
      </c>
      <c r="R28" s="4">
        <f>SUBTOTAL(103,Diciembre[16])</f>
        <v>0</v>
      </c>
      <c r="S28" s="4">
        <f>SUBTOTAL(103,Diciembre[17])</f>
        <v>0</v>
      </c>
      <c r="T28" s="4">
        <f>SUBTOTAL(103,Diciembre[18])</f>
        <v>0</v>
      </c>
      <c r="U28" s="4">
        <f>SUBTOTAL(103,Diciembre[19])</f>
        <v>0</v>
      </c>
      <c r="V28" s="4">
        <f>SUBTOTAL(103,Diciembre[20])</f>
        <v>1</v>
      </c>
      <c r="W28" s="4">
        <f>SUBTOTAL(103,Diciembre[21])</f>
        <v>1</v>
      </c>
      <c r="X28" s="4">
        <f>SUBTOTAL(103,Diciembre[22])</f>
        <v>5</v>
      </c>
      <c r="Y28" s="4">
        <f>SUBTOTAL(103,Diciembre[23])</f>
        <v>0</v>
      </c>
      <c r="Z28" s="4">
        <f>SUBTOTAL(103,Diciembre[24])</f>
        <v>0</v>
      </c>
      <c r="AA28" s="4">
        <f>SUBTOTAL(103,Diciembre[25])</f>
        <v>0</v>
      </c>
      <c r="AB28" s="4">
        <f>SUBTOTAL(103,Diciembre[26])</f>
        <v>1</v>
      </c>
      <c r="AC28" s="4">
        <f>SUBTOTAL(103,Diciembre[27])</f>
        <v>1</v>
      </c>
      <c r="AD28" s="4">
        <f>SUBTOTAL(103,Diciembre[28])</f>
        <v>1</v>
      </c>
      <c r="AE28" s="4">
        <f>SUBTOTAL(103,Diciembre[29])</f>
        <v>3</v>
      </c>
      <c r="AF28" s="4">
        <f>SUBTOTAL(109,Diciembre[30])</f>
        <v>0</v>
      </c>
      <c r="AG28" s="4">
        <f>SUBTOTAL(109,Diciembre[31])</f>
        <v>0</v>
      </c>
      <c r="AH28" s="4">
        <f>SUBTOTAL(109,Diciembre[Total de días])</f>
        <v>28</v>
      </c>
    </row>
  </sheetData>
  <mergeCells count="7">
    <mergeCell ref="C6:AG6"/>
    <mergeCell ref="D4:F4"/>
    <mergeCell ref="H4:J4"/>
    <mergeCell ref="L4:N4"/>
    <mergeCell ref="P4:S4"/>
    <mergeCell ref="U4:X4"/>
    <mergeCell ref="Z4:AB4"/>
  </mergeCells>
  <phoneticPr fontId="34" type="noConversion"/>
  <conditionalFormatting sqref="C9:AG14 C15:H15 J15:AG15 C16:AG20 C21:W21 Y21:AG21 C22:H22 J22:L22 N22:AD22 AF22:AG22 C23:AG25 C26:AB26 AF26:AG26 C27:AG27">
    <cfRule type="expression" dxfId="109" priority="48" stopIfTrue="1">
      <formula>C9=KeyVacation</formula>
    </cfRule>
    <cfRule type="expression" dxfId="108" priority="47" stopIfTrue="1">
      <formula>C9=KeyPersonal</formula>
    </cfRule>
    <cfRule type="expression" dxfId="107" priority="46" stopIfTrue="1">
      <formula>C9=KeySick</formula>
    </cfRule>
    <cfRule type="expression" dxfId="106" priority="45" stopIfTrue="1">
      <formula>C9=KeyCustom1</formula>
    </cfRule>
    <cfRule type="expression" dxfId="105" priority="44" stopIfTrue="1">
      <formula>C9=KeyCustom2</formula>
    </cfRule>
    <cfRule type="expression" priority="43" stopIfTrue="1">
      <formula>C9=""</formula>
    </cfRule>
  </conditionalFormatting>
  <conditionalFormatting sqref="I22">
    <cfRule type="expression" priority="37" stopIfTrue="1">
      <formula>I22=""</formula>
    </cfRule>
    <cfRule type="expression" dxfId="104" priority="42" stopIfTrue="1">
      <formula>I22=KeyVacation</formula>
    </cfRule>
    <cfRule type="expression" dxfId="103" priority="41" stopIfTrue="1">
      <formula>I22=KeyPersonal</formula>
    </cfRule>
    <cfRule type="expression" dxfId="102" priority="40" stopIfTrue="1">
      <formula>I22=KeySick</formula>
    </cfRule>
    <cfRule type="expression" dxfId="101" priority="39" stopIfTrue="1">
      <formula>I22=KeyCustom1</formula>
    </cfRule>
    <cfRule type="expression" dxfId="100" priority="38" stopIfTrue="1">
      <formula>I22=KeyCustom2</formula>
    </cfRule>
  </conditionalFormatting>
  <conditionalFormatting sqref="M22">
    <cfRule type="expression" priority="25" stopIfTrue="1">
      <formula>M22=""</formula>
    </cfRule>
    <cfRule type="expression" dxfId="99" priority="30" stopIfTrue="1">
      <formula>M22=KeyVacation</formula>
    </cfRule>
    <cfRule type="expression" dxfId="98" priority="29" stopIfTrue="1">
      <formula>M22=KeyPersonal</formula>
    </cfRule>
    <cfRule type="expression" dxfId="97" priority="28" stopIfTrue="1">
      <formula>M22=KeySick</formula>
    </cfRule>
    <cfRule type="expression" dxfId="96" priority="27" stopIfTrue="1">
      <formula>M22=KeyCustom1</formula>
    </cfRule>
    <cfRule type="expression" dxfId="95" priority="26" stopIfTrue="1">
      <formula>M22=KeyCustom2</formula>
    </cfRule>
  </conditionalFormatting>
  <conditionalFormatting sqref="X21">
    <cfRule type="expression" priority="19" stopIfTrue="1">
      <formula>X21=""</formula>
    </cfRule>
    <cfRule type="expression" dxfId="94" priority="20" stopIfTrue="1">
      <formula>X21=KeyCustom2</formula>
    </cfRule>
    <cfRule type="expression" dxfId="93" priority="21" stopIfTrue="1">
      <formula>X21=KeyCustom1</formula>
    </cfRule>
    <cfRule type="expression" dxfId="92" priority="22" stopIfTrue="1">
      <formula>X21=KeySick</formula>
    </cfRule>
    <cfRule type="expression" dxfId="91" priority="23" stopIfTrue="1">
      <formula>X21=KeyPersonal</formula>
    </cfRule>
    <cfRule type="expression" dxfId="90" priority="24" stopIfTrue="1">
      <formula>X21=KeyVacation</formula>
    </cfRule>
  </conditionalFormatting>
  <conditionalFormatting sqref="AC26">
    <cfRule type="expression" priority="13" stopIfTrue="1">
      <formula>AC26=""</formula>
    </cfRule>
    <cfRule type="expression" dxfId="89" priority="18" stopIfTrue="1">
      <formula>AC26=KeyVacation</formula>
    </cfRule>
    <cfRule type="expression" dxfId="88" priority="17" stopIfTrue="1">
      <formula>AC26=KeyPersonal</formula>
    </cfRule>
    <cfRule type="expression" dxfId="87" priority="16" stopIfTrue="1">
      <formula>AC26=KeySick</formula>
    </cfRule>
    <cfRule type="expression" dxfId="86" priority="15" stopIfTrue="1">
      <formula>AC26=KeyCustom1</formula>
    </cfRule>
    <cfRule type="expression" dxfId="85" priority="14" stopIfTrue="1">
      <formula>AC26=KeyCustom2</formula>
    </cfRule>
  </conditionalFormatting>
  <conditionalFormatting sqref="AD26">
    <cfRule type="expression" dxfId="84" priority="12" stopIfTrue="1">
      <formula>AD26=KeyVacation</formula>
    </cfRule>
    <cfRule type="expression" dxfId="83" priority="11" stopIfTrue="1">
      <formula>AD26=KeyPersonal</formula>
    </cfRule>
    <cfRule type="expression" dxfId="82" priority="10" stopIfTrue="1">
      <formula>AD26=KeySick</formula>
    </cfRule>
    <cfRule type="expression" dxfId="81" priority="9" stopIfTrue="1">
      <formula>AD26=KeyCustom1</formula>
    </cfRule>
    <cfRule type="expression" dxfId="80" priority="8" stopIfTrue="1">
      <formula>AD26=KeyCustom2</formula>
    </cfRule>
    <cfRule type="expression" priority="7" stopIfTrue="1">
      <formula>AD26=""</formula>
    </cfRule>
  </conditionalFormatting>
  <conditionalFormatting sqref="AE22">
    <cfRule type="expression" priority="31" stopIfTrue="1">
      <formula>AE22=""</formula>
    </cfRule>
    <cfRule type="expression" dxfId="79" priority="32" stopIfTrue="1">
      <formula>AE22=KeyCustom2</formula>
    </cfRule>
    <cfRule type="expression" dxfId="78" priority="33" stopIfTrue="1">
      <formula>AE22=KeyCustom1</formula>
    </cfRule>
    <cfRule type="expression" dxfId="77" priority="34" stopIfTrue="1">
      <formula>AE22=KeySick</formula>
    </cfRule>
    <cfRule type="expression" dxfId="76" priority="35" stopIfTrue="1">
      <formula>AE22=KeyPersonal</formula>
    </cfRule>
    <cfRule type="expression" dxfId="75" priority="36" stopIfTrue="1">
      <formula>AE22=KeyVacation</formula>
    </cfRule>
  </conditionalFormatting>
  <conditionalFormatting sqref="AE26">
    <cfRule type="expression" priority="1" stopIfTrue="1">
      <formula>AE26=""</formula>
    </cfRule>
    <cfRule type="expression" dxfId="74" priority="6" stopIfTrue="1">
      <formula>AE26=KeyVacation</formula>
    </cfRule>
    <cfRule type="expression" dxfId="73" priority="5" stopIfTrue="1">
      <formula>AE26=KeyPersonal</formula>
    </cfRule>
    <cfRule type="expression" dxfId="72" priority="4" stopIfTrue="1">
      <formula>AE26=KeySick</formula>
    </cfRule>
    <cfRule type="expression" dxfId="71" priority="3" stopIfTrue="1">
      <formula>AE26=KeyCustom1</formula>
    </cfRule>
    <cfRule type="expression" dxfId="70" priority="2" stopIfTrue="1">
      <formula>AE26=KeyCustom2</formula>
    </cfRule>
  </conditionalFormatting>
  <conditionalFormatting sqref="AH9:AH27">
    <cfRule type="dataBar" priority="323">
      <dataBar>
        <cfvo type="min"/>
        <cfvo type="formula" val="DATEDIF(DATE(CalendarYear,2,1),DATE(CalendarYear,3,1),&quot;d&quot;)"/>
        <color theme="2" tint="-0.249977111117893"/>
      </dataBar>
      <extLst>
        <ext xmlns:x14="http://schemas.microsoft.com/office/spreadsheetml/2009/9/main" uri="{B025F937-C7B1-47D3-B67F-A62EFF666E3E}">
          <x14:id>{17586780-365B-4F4C-BBB4-F5991705D361}</x14:id>
        </ext>
      </extLst>
    </cfRule>
  </conditionalFormatting>
  <dataValidations count="14">
    <dataValidation allowBlank="1" showInputMessage="1" showErrorMessage="1" prompt="Año actualizado de forma automática en función del año introducido en la hoja de cálculo de enero" sqref="AH6" xr:uid="{F939E1BE-E9C7-DD4A-972C-CB40EF785EA4}"/>
    <dataValidation allowBlank="1" showInputMessage="1" showErrorMessage="1" prompt="Cálculo automático del número total de días que un empleado ha estado ausente este mes en esta columna" sqref="AH8" xr:uid="{E810E773-697E-9042-BA14-6FFBF70DB80B}"/>
    <dataValidation allowBlank="1" showInputMessage="1" showErrorMessage="1" prompt="Realice un seguimiento de las ausencias de diciembre en esta hoja de cálculo." sqref="A1" xr:uid="{00000000-0002-0000-0B00-000002000000}"/>
    <dataValidation errorStyle="warning" allowBlank="1" showInputMessage="1" showErrorMessage="1" error="Seleccione un nombre de la lista. Seleccione CANCELAR y, después, ALT+FLECHA ABAJO y ENTRAR para seleccionar un nombre" prompt="Escriba los nombres de los empleados en la hoja de cálculo Nombres de empleados y, después, seleccione uno de los nombres de la lista de esta columna. Presione ALT+FLECHA ABAJO y ENTRAR para seleccionar un nombre" sqref="B8" xr:uid="{F25CB198-02E4-9141-B0E1-E7775C53D7BD}"/>
    <dataValidation allowBlank="1" showInputMessage="1" showErrorMessage="1" prompt="La letra “V” indica una ausencia por vacaciones" sqref="C4" xr:uid="{FA6C636C-924A-4E9C-8625-AE0090C1AF8B}"/>
    <dataValidation allowBlank="1" showInputMessage="1" showErrorMessage="1" prompt="La letra “P” indica una ausencia por motivos personales" sqref="G4" xr:uid="{DAFED160-7D45-436A-B350-DD41921ABE01}"/>
    <dataValidation allowBlank="1" showInputMessage="1" showErrorMessage="1" prompt="La letra “E” indica una ausencia por enfermedad" sqref="K4" xr:uid="{570795FD-B8B9-4881-840A-ACF944FDA668}"/>
    <dataValidation allowBlank="1" showInputMessage="1" showErrorMessage="1" prompt="Escriba una letra y personalice la etiqueta de la derecha para agregar otro elemento clave." sqref="O4 T4 I15" xr:uid="{D9B5EB44-C982-465D-98B1-10963E229724}"/>
    <dataValidation allowBlank="1" showInputMessage="1" showErrorMessage="1" prompt="El nombre del mes de este plan de ausencias está en esta celda. Los totales de las ausencias para este mes aparecen en la última celda de la tabla. Seleccione los nombres de los empleados en la columna B de la tabla" sqref="B2" xr:uid="{00000000-0002-0000-0B00-00000B000000}"/>
    <dataValidation allowBlank="1" showInputMessage="1" showErrorMessage="1" prompt="Los días del mes se generan automáticamente en esta fila. Especifique la ausencia del empleado y el tipo en cada columna para cada día del mes. En blanco significa que no hay ninguna ausencia" sqref="C8" xr:uid="{0482EFB3-0A55-4547-B0F2-69F4B25A0231}"/>
    <dataValidation allowBlank="1" showInputMessage="1" showErrorMessage="1" prompt="Esta celda contiene el título de la hoja de cálculo. " sqref="B1" xr:uid="{FDB263A1-B6DC-D444-9FD0-77187D984860}"/>
    <dataValidation allowBlank="1" showInputMessage="1" showErrorMessage="1" prompt="Los días laborables en esta fila se actualizan automáticamente durante el mes según el año en AH4. Cada día del mes es una columna para indicar la ausencia del empleado y el tipo de ausencia" sqref="C7" xr:uid="{CB1E42E3-65E1-5041-91B2-633C92F4BB63}"/>
    <dataValidation allowBlank="1" showInputMessage="1" showErrorMessage="1" prompt="Esta fila define las claves que se usan en la tabla: la celda C4 es para vacaciones, la celda G4 es para asuntos personales y la celda K4 es baja por enfermedad. Las celdas N4 y R4 se pueden personalizar" sqref="B4" xr:uid="{7C3D3AA3-51C0-46FC-A6A3-BE2B656A1D6B}"/>
    <dataValidation allowBlank="1" showInputMessage="1" showErrorMessage="1" prompt="Escriba una etiqueta para describir la clave personalizada de la izquierda" sqref="U4 P4" xr:uid="{F1F87929-9A98-44BA-AAEE-FAFA4A99927B}"/>
  </dataValidations>
  <pageMargins left="0.7" right="0.7" top="0.75" bottom="0.75" header="0.3" footer="0.3"/>
  <pageSetup paperSize="9" fitToHeight="0" orientation="portrait" verticalDpi="4294967293"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17586780-365B-4F4C-BBB4-F5991705D361}">
            <x14:dataBar minLength="0" maxLength="100">
              <x14:cfvo type="autoMin"/>
              <x14:cfvo type="formula">
                <xm:f>DATEDIF(DATE(CalendarYear,2,1),DATE(CalendarYear,3,1),"d")</xm:f>
              </x14:cfvo>
              <x14:negativeFillColor rgb="FFFF0000"/>
              <x14:axisColor rgb="FF000000"/>
            </x14:dataBar>
          </x14:cfRule>
          <xm:sqref>AH9:AH27</xm:sqref>
        </x14:conditionalFormatting>
      </x14:conditionalFormatting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95E93-5964-435C-AA3A-EE51B39BEEB4}">
  <sheetPr>
    <tabColor theme="9" tint="-0.249977111117893"/>
  </sheetPr>
  <dimension ref="A1:AH28"/>
  <sheetViews>
    <sheetView showGridLines="0" topLeftCell="B2" zoomScale="44" zoomScaleNormal="100" workbookViewId="0">
      <selection activeCell="P4" sqref="P4:S4"/>
    </sheetView>
  </sheetViews>
  <sheetFormatPr baseColWidth="10" defaultColWidth="8.6328125" defaultRowHeight="30" customHeight="1"/>
  <cols>
    <col min="1" max="1" width="2.6328125" customWidth="1"/>
    <col min="2" max="2" width="63.08984375" bestFit="1" customWidth="1"/>
    <col min="3" max="33" width="4.6328125" customWidth="1"/>
    <col min="34" max="34" width="16.453125" bestFit="1" customWidth="1"/>
    <col min="35" max="35" width="2.6328125" customWidth="1"/>
  </cols>
  <sheetData>
    <row r="1" spans="1:34" s="13" customFormat="1" ht="50" customHeight="1">
      <c r="A1" s="12"/>
      <c r="B1" s="24" t="s">
        <v>0</v>
      </c>
    </row>
    <row r="2" spans="1:34" s="13" customFormat="1" ht="100.25" customHeight="1">
      <c r="A2"/>
      <c r="B2" s="71" t="s">
        <v>1</v>
      </c>
      <c r="C2" s="72"/>
      <c r="D2" s="72"/>
      <c r="E2" s="72"/>
      <c r="F2" s="72"/>
      <c r="G2" s="72"/>
      <c r="H2" s="72"/>
    </row>
    <row r="3" spans="1:34" s="13" customFormat="1" ht="15" customHeight="1">
      <c r="A3"/>
      <c r="B3" s="9"/>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4" ht="30" customHeight="1">
      <c r="B4" s="7" t="s">
        <v>2</v>
      </c>
      <c r="C4" s="29" t="s">
        <v>4</v>
      </c>
      <c r="D4" s="68" t="s">
        <v>7</v>
      </c>
      <c r="E4" s="68"/>
      <c r="F4" s="68"/>
      <c r="G4" s="27" t="s">
        <v>10</v>
      </c>
      <c r="H4" s="69" t="s">
        <v>77</v>
      </c>
      <c r="I4" s="69"/>
      <c r="J4" s="69"/>
      <c r="K4" s="28" t="s">
        <v>75</v>
      </c>
      <c r="L4" s="68" t="s">
        <v>76</v>
      </c>
      <c r="M4" s="68"/>
      <c r="N4" s="68"/>
      <c r="O4" s="17" t="s">
        <v>79</v>
      </c>
      <c r="P4" s="68" t="s">
        <v>160</v>
      </c>
      <c r="Q4" s="68"/>
      <c r="R4" s="68"/>
      <c r="S4" s="68"/>
      <c r="T4" s="18" t="s">
        <v>73</v>
      </c>
      <c r="U4" s="68" t="s">
        <v>74</v>
      </c>
      <c r="V4" s="68"/>
      <c r="W4" s="68"/>
      <c r="X4" s="68"/>
      <c r="Y4" s="36" t="s">
        <v>78</v>
      </c>
      <c r="Z4" s="70" t="s">
        <v>72</v>
      </c>
      <c r="AA4" s="70"/>
      <c r="AB4" s="70"/>
    </row>
    <row r="5" spans="1:34" ht="15" customHeight="1">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6"/>
    </row>
    <row r="6" spans="1:34" ht="50" customHeight="1">
      <c r="B6" s="6"/>
      <c r="C6" s="67" t="s">
        <v>5</v>
      </c>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
        <v>2024</v>
      </c>
    </row>
    <row r="7" spans="1:34" ht="30" customHeight="1">
      <c r="B7" s="6"/>
      <c r="C7" s="21" t="str">
        <f>TEXT(WEEKDAY(DATE(CalendarYear,1,1),1),"ddd")</f>
        <v>lun</v>
      </c>
      <c r="D7" s="21" t="str">
        <f>TEXT(WEEKDAY(DATE(CalendarYear,1,2),1),"ddd")</f>
        <v>mar</v>
      </c>
      <c r="E7" s="21" t="str">
        <f>TEXT(WEEKDAY(DATE(CalendarYear,1,3),1),"ddd")</f>
        <v>mié</v>
      </c>
      <c r="F7" s="21" t="str">
        <f>TEXT(WEEKDAY(DATE(CalendarYear,1,4),1),"ddd")</f>
        <v>jue</v>
      </c>
      <c r="G7" s="21" t="str">
        <f>TEXT(WEEKDAY(DATE(CalendarYear,1,5),1),"ddd")</f>
        <v>vie</v>
      </c>
      <c r="H7" s="21" t="str">
        <f>TEXT(WEEKDAY(DATE(CalendarYear,1,6),1),"ddd")</f>
        <v>sáb</v>
      </c>
      <c r="I7" s="21" t="str">
        <f>TEXT(WEEKDAY(DATE(CalendarYear,1,7),1),"ddd")</f>
        <v>dom</v>
      </c>
      <c r="J7" s="21" t="str">
        <f>TEXT(WEEKDAY(DATE(CalendarYear,1,8),1),"ddd")</f>
        <v>lun</v>
      </c>
      <c r="K7" s="21" t="str">
        <f>TEXT(WEEKDAY(DATE(CalendarYear,1,9),1),"ddd")</f>
        <v>mar</v>
      </c>
      <c r="L7" s="21" t="str">
        <f>TEXT(WEEKDAY(DATE(CalendarYear,1,10),1),"ddd")</f>
        <v>mié</v>
      </c>
      <c r="M7" s="21" t="str">
        <f>TEXT(WEEKDAY(DATE(CalendarYear,1,11),1),"ddd")</f>
        <v>jue</v>
      </c>
      <c r="N7" s="21" t="str">
        <f>TEXT(WEEKDAY(DATE(CalendarYear,1,12),1),"ddd")</f>
        <v>vie</v>
      </c>
      <c r="O7" s="21" t="str">
        <f>TEXT(WEEKDAY(DATE(CalendarYear,1,13),1),"ddd")</f>
        <v>sáb</v>
      </c>
      <c r="P7" s="21" t="str">
        <f>TEXT(WEEKDAY(DATE(CalendarYear,1,14),1),"ddd")</f>
        <v>dom</v>
      </c>
      <c r="Q7" s="21" t="str">
        <f>TEXT(WEEKDAY(DATE(CalendarYear,1,15),1),"ddd")</f>
        <v>lun</v>
      </c>
      <c r="R7" s="21" t="str">
        <f>TEXT(WEEKDAY(DATE(CalendarYear,1,16),1),"ddd")</f>
        <v>mar</v>
      </c>
      <c r="S7" s="21" t="str">
        <f>TEXT(WEEKDAY(DATE(CalendarYear,1,17),1),"ddd")</f>
        <v>mié</v>
      </c>
      <c r="T7" s="21" t="str">
        <f>TEXT(WEEKDAY(DATE(CalendarYear,1,18),1),"ddd")</f>
        <v>jue</v>
      </c>
      <c r="U7" s="21" t="str">
        <f>TEXT(WEEKDAY(DATE(CalendarYear,1,19),1),"ddd")</f>
        <v>vie</v>
      </c>
      <c r="V7" s="21" t="str">
        <f>TEXT(WEEKDAY(DATE(CalendarYear,1,20),1),"ddd")</f>
        <v>sáb</v>
      </c>
      <c r="W7" s="21" t="str">
        <f>TEXT(WEEKDAY(DATE(CalendarYear,1,21),1),"ddd")</f>
        <v>dom</v>
      </c>
      <c r="X7" s="21" t="str">
        <f>TEXT(WEEKDAY(DATE(CalendarYear,1,22),1),"ddd")</f>
        <v>lun</v>
      </c>
      <c r="Y7" s="21" t="str">
        <f>TEXT(WEEKDAY(DATE(CalendarYear,1,23),1),"ddd")</f>
        <v>mar</v>
      </c>
      <c r="Z7" s="21" t="str">
        <f>TEXT(WEEKDAY(DATE(CalendarYear,1,24),1),"ddd")</f>
        <v>mié</v>
      </c>
      <c r="AA7" s="21" t="str">
        <f>TEXT(WEEKDAY(DATE(CalendarYear,1,25),1),"ddd")</f>
        <v>jue</v>
      </c>
      <c r="AB7" s="21" t="str">
        <f>TEXT(WEEKDAY(DATE(CalendarYear,1,26),1),"ddd")</f>
        <v>vie</v>
      </c>
      <c r="AC7" s="21" t="str">
        <f>TEXT(WEEKDAY(DATE(CalendarYear,1,27),1),"ddd")</f>
        <v>sáb</v>
      </c>
      <c r="AD7" s="21" t="str">
        <f>TEXT(WEEKDAY(DATE(CalendarYear,1,28),1),"ddd")</f>
        <v>dom</v>
      </c>
      <c r="AE7" s="21" t="str">
        <f>TEXT(WEEKDAY(DATE(CalendarYear,1,29),1),"ddd")</f>
        <v>lun</v>
      </c>
      <c r="AF7" s="21" t="str">
        <f>TEXT(WEEKDAY(DATE(CalendarYear,1,30),1),"ddd")</f>
        <v>mar</v>
      </c>
      <c r="AG7" s="21" t="str">
        <f>TEXT(WEEKDAY(DATE(CalendarYear,1,31),1),"ddd")</f>
        <v>mié</v>
      </c>
      <c r="AH7" s="6"/>
    </row>
    <row r="8" spans="1:34" ht="30" customHeight="1">
      <c r="B8" s="20" t="s">
        <v>3</v>
      </c>
      <c r="C8" s="1" t="s">
        <v>6</v>
      </c>
      <c r="D8" s="1" t="s">
        <v>8</v>
      </c>
      <c r="E8" s="1" t="s">
        <v>9</v>
      </c>
      <c r="F8" s="1" t="s">
        <v>11</v>
      </c>
      <c r="G8" s="1" t="s">
        <v>12</v>
      </c>
      <c r="H8" s="1" t="s">
        <v>13</v>
      </c>
      <c r="I8" s="1" t="s">
        <v>14</v>
      </c>
      <c r="J8" s="1" t="s">
        <v>15</v>
      </c>
      <c r="K8" s="1" t="s">
        <v>16</v>
      </c>
      <c r="L8" s="1" t="s">
        <v>17</v>
      </c>
      <c r="M8" s="1" t="s">
        <v>18</v>
      </c>
      <c r="N8" s="1" t="s">
        <v>19</v>
      </c>
      <c r="O8" s="1" t="s">
        <v>20</v>
      </c>
      <c r="P8" s="1" t="s">
        <v>21</v>
      </c>
      <c r="Q8" s="1" t="s">
        <v>22</v>
      </c>
      <c r="R8" s="1" t="s">
        <v>23</v>
      </c>
      <c r="S8" s="1" t="s">
        <v>24</v>
      </c>
      <c r="T8" s="1" t="s">
        <v>25</v>
      </c>
      <c r="U8" s="1" t="s">
        <v>26</v>
      </c>
      <c r="V8" s="1" t="s">
        <v>27</v>
      </c>
      <c r="W8" s="1" t="s">
        <v>28</v>
      </c>
      <c r="X8" s="1" t="s">
        <v>29</v>
      </c>
      <c r="Y8" s="1" t="s">
        <v>30</v>
      </c>
      <c r="Z8" s="1" t="s">
        <v>31</v>
      </c>
      <c r="AA8" s="1" t="s">
        <v>32</v>
      </c>
      <c r="AB8" s="1" t="s">
        <v>33</v>
      </c>
      <c r="AC8" s="1" t="s">
        <v>34</v>
      </c>
      <c r="AD8" s="1" t="s">
        <v>35</v>
      </c>
      <c r="AE8" s="1" t="s">
        <v>36</v>
      </c>
      <c r="AF8" s="1" t="s">
        <v>37</v>
      </c>
      <c r="AG8" s="1" t="s">
        <v>38</v>
      </c>
      <c r="AH8" s="22" t="s">
        <v>39</v>
      </c>
    </row>
    <row r="9" spans="1:34" ht="30" customHeight="1">
      <c r="B9" s="62" t="s">
        <v>157</v>
      </c>
      <c r="C9" s="35"/>
      <c r="D9" s="35"/>
      <c r="E9" s="35"/>
      <c r="F9" s="35"/>
      <c r="G9" s="34"/>
      <c r="H9" s="35"/>
      <c r="I9" s="35"/>
      <c r="J9" s="35"/>
      <c r="K9" s="35"/>
      <c r="L9" s="35"/>
      <c r="M9" s="35"/>
      <c r="N9" s="35"/>
      <c r="O9" s="35"/>
      <c r="P9" s="35"/>
      <c r="Q9" s="35"/>
      <c r="R9" s="35"/>
      <c r="S9" s="35"/>
      <c r="T9" s="35"/>
      <c r="U9" s="35"/>
      <c r="V9" s="35"/>
      <c r="W9" s="35"/>
      <c r="X9" s="35"/>
      <c r="Y9" s="35"/>
      <c r="Z9" s="35"/>
      <c r="AA9" s="35"/>
      <c r="AB9" s="35"/>
      <c r="AC9" s="35"/>
      <c r="AD9" s="35"/>
      <c r="AE9" s="35"/>
      <c r="AF9" s="35"/>
      <c r="AG9" s="35"/>
      <c r="AH9" s="3">
        <f>COUNTA('Enero (2024)'!$C25:$AG25)</f>
        <v>3</v>
      </c>
    </row>
    <row r="10" spans="1:34" ht="30" customHeight="1">
      <c r="B10" s="62" t="s">
        <v>158</v>
      </c>
      <c r="C10" s="35"/>
      <c r="D10" s="35"/>
      <c r="E10" s="35"/>
      <c r="F10" s="35"/>
      <c r="G10" s="34"/>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
        <f>COUNTA('Enero (2024)'!$C13:$AG13)</f>
        <v>0</v>
      </c>
    </row>
    <row r="11" spans="1:34" ht="30" customHeight="1">
      <c r="B11" s="62" t="s">
        <v>55</v>
      </c>
      <c r="C11" s="35"/>
      <c r="D11" s="1" t="s">
        <v>79</v>
      </c>
      <c r="E11" s="35"/>
      <c r="F11" s="35"/>
      <c r="G11" s="34"/>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
        <f>COUNTA('Enero (2024)'!$C19:$AG19)</f>
        <v>0</v>
      </c>
    </row>
    <row r="12" spans="1:34" ht="30" customHeight="1">
      <c r="B12" s="62" t="s">
        <v>56</v>
      </c>
      <c r="C12" s="35"/>
      <c r="D12" s="35"/>
      <c r="E12" s="35"/>
      <c r="F12" s="35"/>
      <c r="G12" s="34"/>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
        <f>COUNTA('Enero (2024)'!$C12:$AG12)</f>
        <v>0</v>
      </c>
    </row>
    <row r="13" spans="1:34" ht="30" customHeight="1">
      <c r="B13" s="62" t="s">
        <v>57</v>
      </c>
      <c r="C13" s="35"/>
      <c r="D13" s="35"/>
      <c r="E13" s="35"/>
      <c r="F13" s="35"/>
      <c r="G13" s="34"/>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
        <f>COUNTA('Enero (2024)'!$C16:$AG16)</f>
        <v>0</v>
      </c>
    </row>
    <row r="14" spans="1:34" ht="30" customHeight="1">
      <c r="B14" s="64" t="s">
        <v>58</v>
      </c>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
        <f>COUNTA('Enero (2024)'!$C21:$AG21)</f>
        <v>1</v>
      </c>
    </row>
    <row r="15" spans="1:34" ht="30" customHeight="1">
      <c r="B15" s="64" t="s">
        <v>59</v>
      </c>
      <c r="C15" s="1"/>
      <c r="D15" s="1"/>
      <c r="E15" s="1"/>
      <c r="F15" s="18" t="s">
        <v>73</v>
      </c>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3">
        <f>COUNTA('Enero (2024)'!#REF!)</f>
        <v>1</v>
      </c>
    </row>
    <row r="16" spans="1:34" ht="30" customHeight="1">
      <c r="B16" s="64" t="s">
        <v>60</v>
      </c>
      <c r="C16" s="35"/>
      <c r="D16" s="35"/>
      <c r="E16" s="35"/>
      <c r="F16" s="35"/>
      <c r="G16" s="34"/>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
        <f>COUNTA('Enero (2024)'!$C18:$AG18)</f>
        <v>0</v>
      </c>
    </row>
    <row r="17" spans="2:34" ht="30" customHeight="1">
      <c r="B17" s="64" t="s">
        <v>61</v>
      </c>
      <c r="C17" s="35"/>
      <c r="D17" s="35"/>
      <c r="E17" s="35"/>
      <c r="F17" s="35"/>
      <c r="G17" s="34"/>
      <c r="H17" s="35"/>
      <c r="I17" s="35"/>
      <c r="J17" s="1" t="s">
        <v>79</v>
      </c>
      <c r="K17" s="1" t="s">
        <v>79</v>
      </c>
      <c r="L17" s="1" t="s">
        <v>79</v>
      </c>
      <c r="M17" s="35"/>
      <c r="N17" s="35"/>
      <c r="O17" s="35"/>
      <c r="P17" s="35"/>
      <c r="Q17" s="35"/>
      <c r="R17" s="35"/>
      <c r="S17" s="35"/>
      <c r="T17" s="35"/>
      <c r="U17" s="35"/>
      <c r="V17" s="35"/>
      <c r="W17" s="35"/>
      <c r="X17" s="35"/>
      <c r="Y17" s="35"/>
      <c r="Z17" s="35"/>
      <c r="AA17" s="35"/>
      <c r="AB17" s="35"/>
      <c r="AC17" s="35"/>
      <c r="AD17" s="35"/>
      <c r="AE17" s="35"/>
      <c r="AF17" s="35"/>
      <c r="AG17" s="35"/>
      <c r="AH17" s="3">
        <f>COUNTA('Enero (2024)'!$C24:$AG24)</f>
        <v>0</v>
      </c>
    </row>
    <row r="18" spans="2:34" ht="30" customHeight="1">
      <c r="B18" s="64" t="s">
        <v>62</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3">
        <f>COUNTA('Enero (2024)'!#REF!)</f>
        <v>1</v>
      </c>
    </row>
    <row r="19" spans="2:34" ht="30" customHeight="1">
      <c r="B19" s="64" t="s">
        <v>63</v>
      </c>
      <c r="C19" s="35"/>
      <c r="D19" s="35"/>
      <c r="E19" s="35"/>
      <c r="F19" s="35"/>
      <c r="G19" s="34"/>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
        <f>COUNTA('Enero (2024)'!$C20:$AG20)</f>
        <v>0</v>
      </c>
    </row>
    <row r="20" spans="2:34" ht="30" customHeight="1">
      <c r="B20" s="64" t="s">
        <v>64</v>
      </c>
      <c r="C20" s="35"/>
      <c r="D20" s="35"/>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
        <f>COUNTA('Enero (2024)'!$C15:$AG15)</f>
        <v>1</v>
      </c>
    </row>
    <row r="21" spans="2:34" ht="30" customHeight="1">
      <c r="B21" s="64" t="s">
        <v>65</v>
      </c>
      <c r="C21" s="35"/>
      <c r="D21" s="1" t="s">
        <v>79</v>
      </c>
      <c r="E21" s="35"/>
      <c r="F21" s="35"/>
      <c r="G21" s="34"/>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
        <f>COUNTA('Enero (2024)'!$C14:$AG14)</f>
        <v>0</v>
      </c>
    </row>
    <row r="22" spans="2:34" ht="30" customHeight="1">
      <c r="B22" s="64" t="s">
        <v>66</v>
      </c>
      <c r="C22" s="35"/>
      <c r="D22" s="35"/>
      <c r="E22" s="35"/>
      <c r="F22" s="35"/>
      <c r="G22" s="1" t="s">
        <v>79</v>
      </c>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
        <f>COUNTA('Enero (2024)'!$C22:$AG22)</f>
        <v>1</v>
      </c>
    </row>
    <row r="23" spans="2:34" ht="30" customHeight="1">
      <c r="B23" s="64" t="s">
        <v>67</v>
      </c>
      <c r="C23" s="35"/>
      <c r="D23" s="35"/>
      <c r="E23" s="35"/>
      <c r="F23" s="35"/>
      <c r="G23" s="34"/>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
        <f>COUNTA('Enero (2024)'!$C23:$AG23)</f>
        <v>0</v>
      </c>
    </row>
    <row r="24" spans="2:34" ht="30" customHeight="1">
      <c r="B24" s="64" t="s">
        <v>68</v>
      </c>
      <c r="C24" s="35"/>
      <c r="D24" s="35"/>
      <c r="E24" s="35"/>
      <c r="F24" s="35"/>
      <c r="G24" s="34"/>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
        <f>COUNTA('Enero (2024)'!$C26:$AG26)</f>
        <v>0</v>
      </c>
    </row>
    <row r="25" spans="2:34" ht="30" customHeight="1">
      <c r="B25" s="64" t="s">
        <v>69</v>
      </c>
      <c r="C25" s="35"/>
      <c r="D25" s="35"/>
      <c r="E25" s="1" t="s">
        <v>79</v>
      </c>
      <c r="F25" s="1" t="s">
        <v>79</v>
      </c>
      <c r="G25" s="1" t="s">
        <v>79</v>
      </c>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
        <f>COUNTA('Enero (2024)'!$C17:$AG17)</f>
        <v>3</v>
      </c>
    </row>
    <row r="26" spans="2:34" ht="30" customHeight="1">
      <c r="B26" s="64" t="s">
        <v>70</v>
      </c>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3">
        <f>COUNTA('Enero (2024)'!$C10:$AG10)</f>
        <v>0</v>
      </c>
    </row>
    <row r="27" spans="2:34" ht="30" customHeight="1">
      <c r="B27" s="64" t="s">
        <v>71</v>
      </c>
      <c r="C27" s="35"/>
      <c r="D27" s="35"/>
      <c r="E27" s="35"/>
      <c r="F27" s="35"/>
      <c r="G27" s="34"/>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
        <f>COUNTA('Enero (2024)'!$C27:$AG27)</f>
        <v>0</v>
      </c>
    </row>
    <row r="28" spans="2:34" ht="30" customHeight="1">
      <c r="B28" s="5" t="str">
        <f>MonthName&amp;" total"</f>
        <v>Enero total</v>
      </c>
      <c r="C28" s="4">
        <f>SUBTOTAL(103,'Enero (2024)'!$C$9:$C$27)</f>
        <v>0</v>
      </c>
      <c r="D28" s="4">
        <f>SUBTOTAL(103,'Enero (2024)'!$D$9:$D$27)</f>
        <v>2</v>
      </c>
      <c r="E28" s="4">
        <f>SUBTOTAL(103,'Enero (2024)'!$E$9:$E$27)</f>
        <v>1</v>
      </c>
      <c r="F28" s="4">
        <f>SUBTOTAL(103,'Enero (2024)'!$F$9:$F$27)</f>
        <v>2</v>
      </c>
      <c r="G28" s="4">
        <f>SUBTOTAL(103,'Enero (2024)'!$G$9:$G$27)</f>
        <v>2</v>
      </c>
      <c r="H28" s="4">
        <f>SUBTOTAL(103,'Enero (2024)'!$H$9:$H$27)</f>
        <v>0</v>
      </c>
      <c r="I28" s="4">
        <f>SUBTOTAL(103,'Enero (2024)'!$I$9:$I$27)</f>
        <v>0</v>
      </c>
      <c r="J28" s="4">
        <f>SUBTOTAL(103,'Enero (2024)'!$J$9:$J$27)</f>
        <v>1</v>
      </c>
      <c r="K28" s="4">
        <f>SUBTOTAL(103,'Enero (2024)'!$K$9:$K$27)</f>
        <v>1</v>
      </c>
      <c r="L28" s="4">
        <f>SUBTOTAL(103,'Enero (2024)'!$L$9:$L$27)</f>
        <v>1</v>
      </c>
      <c r="M28" s="4">
        <f>SUBTOTAL(103,'Enero (2024)'!$M$9:$M$27)</f>
        <v>0</v>
      </c>
      <c r="N28" s="4">
        <f>SUBTOTAL(103,'Enero (2024)'!$N$9:$N$27)</f>
        <v>0</v>
      </c>
      <c r="O28" s="4">
        <f>SUBTOTAL(103,'Enero (2024)'!$O$9:$O$27)</f>
        <v>0</v>
      </c>
      <c r="P28" s="4">
        <f>SUBTOTAL(103,'Enero (2024)'!$P$9:$P$27)</f>
        <v>0</v>
      </c>
      <c r="Q28" s="4">
        <f>SUBTOTAL(103,'Enero (2024)'!$Q$9:$Q$27)</f>
        <v>0</v>
      </c>
      <c r="R28" s="4">
        <f>SUBTOTAL(103,'Enero (2024)'!$R$9:$R$27)</f>
        <v>0</v>
      </c>
      <c r="S28" s="4">
        <f>SUBTOTAL(103,'Enero (2024)'!$S$9:$S$27)</f>
        <v>0</v>
      </c>
      <c r="T28" s="4">
        <f>SUBTOTAL(103,'Enero (2024)'!$T$9:$T$27)</f>
        <v>0</v>
      </c>
      <c r="U28" s="4">
        <f>SUBTOTAL(103,'Enero (2024)'!$U$9:$U$27)</f>
        <v>0</v>
      </c>
      <c r="V28" s="4">
        <f>SUBTOTAL(103,'Enero (2024)'!$V$9:$V$27)</f>
        <v>0</v>
      </c>
      <c r="W28" s="4">
        <f>SUBTOTAL(103,'Enero (2024)'!$W$9:$W$27)</f>
        <v>0</v>
      </c>
      <c r="X28" s="4">
        <f>SUBTOTAL(103,'Enero (2024)'!$X$9:$X$27)</f>
        <v>0</v>
      </c>
      <c r="Y28" s="4">
        <f>SUBTOTAL(103,'Enero (2024)'!$Y$9:$Y$27)</f>
        <v>0</v>
      </c>
      <c r="Z28" s="4">
        <f>SUBTOTAL(103,'Enero (2024)'!$Z$9:$Z$27)</f>
        <v>0</v>
      </c>
      <c r="AA28" s="4">
        <f>SUBTOTAL(103,'Enero (2024)'!$AA$9:$AA$27)</f>
        <v>0</v>
      </c>
      <c r="AB28" s="4">
        <f>SUBTOTAL(103,'Enero (2024)'!$AB$9:$AB$27)</f>
        <v>0</v>
      </c>
      <c r="AC28" s="4">
        <f>SUBTOTAL(103,'Enero (2024)'!$AC$9:$AC$27)</f>
        <v>0</v>
      </c>
      <c r="AD28" s="4">
        <f>SUBTOTAL(103,'Enero (2024)'!$AD$9:$AD$27)</f>
        <v>0</v>
      </c>
      <c r="AE28" s="4">
        <f>SUBTOTAL(103,'Enero (2024)'!$AE$9:$AE$27)</f>
        <v>0</v>
      </c>
      <c r="AF28" s="4">
        <f>SUBTOTAL(103,'Enero (2024)'!$AF$9:$AF$27)</f>
        <v>0</v>
      </c>
      <c r="AG28" s="4">
        <f>SUBTOTAL(103,'Enero (2024)'!$AG$9:$AG$27)</f>
        <v>0</v>
      </c>
      <c r="AH28" s="4">
        <f>SUBTOTAL(109,Enero6[Total de días])</f>
        <v>11</v>
      </c>
    </row>
  </sheetData>
  <mergeCells count="8">
    <mergeCell ref="C6:AG6"/>
    <mergeCell ref="B2:H2"/>
    <mergeCell ref="D4:F4"/>
    <mergeCell ref="H4:J4"/>
    <mergeCell ref="L4:N4"/>
    <mergeCell ref="P4:S4"/>
    <mergeCell ref="U4:X4"/>
    <mergeCell ref="Z4:AB4"/>
  </mergeCells>
  <conditionalFormatting sqref="C17:L17 C9:AG10 C11 E11:AG11 C12:AG14 C15:E15 G15:AG15 C16:AG16 P17:AG17 C18:AG20 C21 E21:AG21 C22:F22 H22:AG22 C23:AG24 C25:D25 H25:AG25 C26:AG27">
    <cfRule type="expression" priority="85" stopIfTrue="1">
      <formula>C9=""</formula>
    </cfRule>
  </conditionalFormatting>
  <conditionalFormatting sqref="C9:AG10 C11 E11:AG11 C12:AG14 C15:E15 G15:AG15 C16:AG16 C17:L17 P17:AG17 C18:AG20 C21 E21:AG21 C22:F22 H22:AG22 C23:AG24 C25:D25 H25:AG25 C26:AG27">
    <cfRule type="expression" dxfId="69" priority="90" stopIfTrue="1">
      <formula>C9=KeyVacation</formula>
    </cfRule>
    <cfRule type="expression" dxfId="68" priority="89" stopIfTrue="1">
      <formula>C9=KeyPersonal</formula>
    </cfRule>
    <cfRule type="expression" dxfId="67" priority="88" stopIfTrue="1">
      <formula>C9=KeySick</formula>
    </cfRule>
    <cfRule type="expression" dxfId="66" priority="87" stopIfTrue="1">
      <formula>C9=KeyCustom1</formula>
    </cfRule>
    <cfRule type="expression" dxfId="65" priority="86" stopIfTrue="1">
      <formula>C9=KeyCustom2</formula>
    </cfRule>
  </conditionalFormatting>
  <conditionalFormatting sqref="D11">
    <cfRule type="expression" priority="19" stopIfTrue="1">
      <formula>D11=""</formula>
    </cfRule>
    <cfRule type="expression" dxfId="64" priority="20" stopIfTrue="1">
      <formula>D11=KeyCustom2</formula>
    </cfRule>
    <cfRule type="expression" dxfId="63" priority="21" stopIfTrue="1">
      <formula>D11=KeyCustom1</formula>
    </cfRule>
    <cfRule type="expression" dxfId="62" priority="22" stopIfTrue="1">
      <formula>D11=KeySick</formula>
    </cfRule>
    <cfRule type="expression" dxfId="61" priority="23" stopIfTrue="1">
      <formula>D11=KeyPersonal</formula>
    </cfRule>
    <cfRule type="expression" dxfId="60" priority="24" stopIfTrue="1">
      <formula>D11=KeyVacation</formula>
    </cfRule>
  </conditionalFormatting>
  <conditionalFormatting sqref="D21">
    <cfRule type="expression" dxfId="59" priority="48" stopIfTrue="1">
      <formula>D21=KeyVacation</formula>
    </cfRule>
    <cfRule type="expression" dxfId="58" priority="47" stopIfTrue="1">
      <formula>D21=KeyPersonal</formula>
    </cfRule>
    <cfRule type="expression" dxfId="57" priority="46" stopIfTrue="1">
      <formula>D21=KeySick</formula>
    </cfRule>
    <cfRule type="expression" dxfId="56" priority="45" stopIfTrue="1">
      <formula>D21=KeyCustom1</formula>
    </cfRule>
    <cfRule type="expression" dxfId="55" priority="44" stopIfTrue="1">
      <formula>D21=KeyCustom2</formula>
    </cfRule>
    <cfRule type="expression" priority="43" stopIfTrue="1">
      <formula>D21=""</formula>
    </cfRule>
  </conditionalFormatting>
  <conditionalFormatting sqref="E25">
    <cfRule type="expression" dxfId="54" priority="38" stopIfTrue="1">
      <formula>E25=KeyCustom2</formula>
    </cfRule>
    <cfRule type="expression" dxfId="53" priority="42" stopIfTrue="1">
      <formula>E25=KeyVacation</formula>
    </cfRule>
    <cfRule type="expression" dxfId="52" priority="41" stopIfTrue="1">
      <formula>E25=KeyPersonal</formula>
    </cfRule>
    <cfRule type="expression" dxfId="51" priority="40" stopIfTrue="1">
      <formula>E25=KeySick</formula>
    </cfRule>
    <cfRule type="expression" dxfId="50" priority="39" stopIfTrue="1">
      <formula>E25=KeyCustom1</formula>
    </cfRule>
    <cfRule type="expression" priority="37" stopIfTrue="1">
      <formula>E25=""</formula>
    </cfRule>
  </conditionalFormatting>
  <conditionalFormatting sqref="F25">
    <cfRule type="expression" priority="31" stopIfTrue="1">
      <formula>F25=""</formula>
    </cfRule>
    <cfRule type="expression" dxfId="49" priority="36" stopIfTrue="1">
      <formula>F25=KeyVacation</formula>
    </cfRule>
    <cfRule type="expression" dxfId="48" priority="35" stopIfTrue="1">
      <formula>F25=KeyPersonal</formula>
    </cfRule>
    <cfRule type="expression" dxfId="47" priority="34" stopIfTrue="1">
      <formula>F25=KeySick</formula>
    </cfRule>
    <cfRule type="expression" dxfId="46" priority="33" stopIfTrue="1">
      <formula>F25=KeyCustom1</formula>
    </cfRule>
    <cfRule type="expression" dxfId="45" priority="32" stopIfTrue="1">
      <formula>F25=KeyCustom2</formula>
    </cfRule>
  </conditionalFormatting>
  <conditionalFormatting sqref="G22">
    <cfRule type="expression" dxfId="44" priority="54" stopIfTrue="1">
      <formula>G22=KeyVacation</formula>
    </cfRule>
    <cfRule type="expression" priority="49" stopIfTrue="1">
      <formula>G22=""</formula>
    </cfRule>
    <cfRule type="expression" dxfId="43" priority="50" stopIfTrue="1">
      <formula>G22=KeyCustom2</formula>
    </cfRule>
    <cfRule type="expression" dxfId="42" priority="51" stopIfTrue="1">
      <formula>G22=KeyCustom1</formula>
    </cfRule>
    <cfRule type="expression" dxfId="41" priority="52" stopIfTrue="1">
      <formula>G22=KeySick</formula>
    </cfRule>
    <cfRule type="expression" dxfId="40" priority="53" stopIfTrue="1">
      <formula>G22=KeyPersonal</formula>
    </cfRule>
  </conditionalFormatting>
  <conditionalFormatting sqref="G25">
    <cfRule type="expression" priority="25" stopIfTrue="1">
      <formula>G25=""</formula>
    </cfRule>
    <cfRule type="expression" dxfId="39" priority="30" stopIfTrue="1">
      <formula>G25=KeyVacation</formula>
    </cfRule>
    <cfRule type="expression" dxfId="38" priority="29" stopIfTrue="1">
      <formula>G25=KeyPersonal</formula>
    </cfRule>
    <cfRule type="expression" dxfId="37" priority="28" stopIfTrue="1">
      <formula>G25=KeySick</formula>
    </cfRule>
    <cfRule type="expression" dxfId="36" priority="27" stopIfTrue="1">
      <formula>G25=KeyCustom1</formula>
    </cfRule>
    <cfRule type="expression" dxfId="35" priority="26" stopIfTrue="1">
      <formula>G25=KeyCustom2</formula>
    </cfRule>
  </conditionalFormatting>
  <conditionalFormatting sqref="J17">
    <cfRule type="expression" dxfId="34" priority="18" stopIfTrue="1">
      <formula>J17=KeyVacation</formula>
    </cfRule>
    <cfRule type="expression" dxfId="33" priority="17" stopIfTrue="1">
      <formula>J17=KeyPersonal</formula>
    </cfRule>
    <cfRule type="expression" dxfId="32" priority="16" stopIfTrue="1">
      <formula>J17=KeySick</formula>
    </cfRule>
    <cfRule type="expression" dxfId="31" priority="14" stopIfTrue="1">
      <formula>J17=KeyCustom2</formula>
    </cfRule>
    <cfRule type="expression" priority="13" stopIfTrue="1">
      <formula>J17=""</formula>
    </cfRule>
    <cfRule type="expression" dxfId="30" priority="15" stopIfTrue="1">
      <formula>J17=KeyCustom1</formula>
    </cfRule>
  </conditionalFormatting>
  <conditionalFormatting sqref="K17">
    <cfRule type="expression" dxfId="29" priority="12" stopIfTrue="1">
      <formula>K17=KeyVacation</formula>
    </cfRule>
    <cfRule type="expression" dxfId="28" priority="11" stopIfTrue="1">
      <formula>K17=KeyPersonal</formula>
    </cfRule>
    <cfRule type="expression" dxfId="27" priority="10" stopIfTrue="1">
      <formula>K17=KeySick</formula>
    </cfRule>
    <cfRule type="expression" dxfId="26" priority="9" stopIfTrue="1">
      <formula>K17=KeyCustom1</formula>
    </cfRule>
    <cfRule type="expression" priority="7" stopIfTrue="1">
      <formula>K17=""</formula>
    </cfRule>
    <cfRule type="expression" dxfId="25" priority="8" stopIfTrue="1">
      <formula>K17=KeyCustom2</formula>
    </cfRule>
  </conditionalFormatting>
  <conditionalFormatting sqref="L17">
    <cfRule type="expression" priority="1" stopIfTrue="1">
      <formula>L17=""</formula>
    </cfRule>
    <cfRule type="expression" dxfId="24" priority="6" stopIfTrue="1">
      <formula>L17=KeyVacation</formula>
    </cfRule>
    <cfRule type="expression" dxfId="23" priority="5" stopIfTrue="1">
      <formula>L17=KeyPersonal</formula>
    </cfRule>
    <cfRule type="expression" dxfId="22" priority="4" stopIfTrue="1">
      <formula>L17=KeySick</formula>
    </cfRule>
    <cfRule type="expression" dxfId="21" priority="3" stopIfTrue="1">
      <formula>L17=KeyCustom1</formula>
    </cfRule>
    <cfRule type="expression" dxfId="20" priority="2" stopIfTrue="1">
      <formula>L17=KeyCustom2</formula>
    </cfRule>
  </conditionalFormatting>
  <conditionalFormatting sqref="AH9:AH27">
    <cfRule type="dataBar" priority="91">
      <dataBar>
        <cfvo type="num" val="0"/>
        <cfvo type="num" val="31"/>
        <color theme="4"/>
      </dataBar>
      <extLst>
        <ext xmlns:x14="http://schemas.microsoft.com/office/spreadsheetml/2009/9/main" uri="{B025F937-C7B1-47D3-B67F-A62EFF666E3E}">
          <x14:id>{37382C04-00B2-4440-B0EA-500593754F77}</x14:id>
        </ext>
      </extLst>
    </cfRule>
  </conditionalFormatting>
  <dataValidations count="16">
    <dataValidation allowBlank="1" showInputMessage="1" showErrorMessage="1" prompt="Esta celda contiene el título de la hoja de cálculo. " sqref="B1" xr:uid="{E4665FC7-754C-4B87-A0B6-EFE07F412406}"/>
    <dataValidation allowBlank="1" showInputMessage="1" showErrorMessage="1" prompt="Esta fila define las claves que se usan en la tabla: la celda C4 es para vacaciones, la celda G4 es para asuntos personales y la celda K4 es baja por enfermedad. Las celdas N4 y R4 se pueden personalizar" sqref="B4" xr:uid="{21D73797-65E3-4936-BE55-D23006E718F4}"/>
    <dataValidation allowBlank="1" showInputMessage="1" showErrorMessage="1" prompt="Los días laborables en esta fila se actualizan automáticamente durante el mes según el año en AH4. Cada día del mes es una columna para indicar la ausencia del empleado y el tipo de ausencia" sqref="C7" xr:uid="{DFC33491-64DB-40C7-B53F-53FF6FE42821}"/>
    <dataValidation allowBlank="1" showInputMessage="1" showErrorMessage="1" prompt="Escriba el año en esta celda." sqref="AH6" xr:uid="{02FEB7D8-A8A2-473B-BA70-0D54BC419EC0}"/>
    <dataValidation allowBlank="1" showInputMessage="1" showErrorMessage="1" prompt="Calcula automáticamente el número total de días que un empleado estuvo ausente este mes en esta columna" sqref="AH8" xr:uid="{EDB3FF99-29B7-45EB-82D6-9FBAC7C9EED2}"/>
    <dataValidation errorStyle="warning" allowBlank="1" showInputMessage="1" showErrorMessage="1" error="Seleccione un nombre de la lista. Seleccione CANCELAR y, después, ALT+FLECHA ABAJO y ENTRAR para seleccionar un nombre" prompt="Escriba los nombres de los empleados en la hoja de cálculo Nombres de empleados y, después, seleccione uno de los nombres de la lista de esta columna. Presione ALT+FLECHA ABAJO y ENTRAR para seleccionar un nombre" sqref="B8" xr:uid="{FC7C86F5-273B-4E09-876F-D59F63E5D7B9}"/>
    <dataValidation allowBlank="1" showInputMessage="1" showErrorMessage="1" prompt="El título se actualiza automáticamente en esta celda. Para modificarlo, actualice la celda B1 en la hoja de cálculo de enero" sqref="B2" xr:uid="{4DD78778-91F1-4790-A816-4830B211B3C5}"/>
    <dataValidation allowBlank="1" showInputMessage="1" showErrorMessage="1" prompt="El nombre del mes de este plan de ausencias está en esta celda. Los totales de las ausencias para este mes aparecen en la última celda de la tabla. Seleccione los nombres de los empleados en la columna B de la tabla" sqref="B2" xr:uid="{BF95D655-E52D-4F58-B904-43292CAA75EC}"/>
    <dataValidation allowBlank="1" showInputMessage="1" showErrorMessage="1" prompt="Escriba el año en la celda siguiente." sqref="AH5" xr:uid="{B5964552-48E6-405C-BEB2-9B2E524B90F0}"/>
    <dataValidation allowBlank="1" showInputMessage="1" showErrorMessage="1" prompt="El plan de ausencias de los empleados realiza un seguimiento por día durante cada mes. Hay 13 hojas de cálculo, 12 para los meses y la última para los nombres de los empleados. Realice un seguimiento de las ausencias de enero en esta hoja de cálculo" sqref="A1" xr:uid="{00321CA1-AEC7-4884-9DA9-E6C88D79B55C}"/>
    <dataValidation allowBlank="1" showInputMessage="1" showErrorMessage="1" prompt="Escriba una etiqueta para describir la clave personalizada de la izquierda" sqref="U4 P4" xr:uid="{1F5ABADE-0108-40CA-8BA7-1C5F00555F41}"/>
    <dataValidation allowBlank="1" showInputMessage="1" showErrorMessage="1" prompt="Escriba una letra y personalice la etiqueta de la derecha para agregar otro elemento clave." sqref="O4 T4 F15" xr:uid="{D294B8EF-8FD8-44A6-8708-CD2BC2A92697}"/>
    <dataValidation allowBlank="1" showInputMessage="1" showErrorMessage="1" prompt="La letra “E” indica una ausencia por enfermedad" sqref="K4" xr:uid="{59D52DCE-F675-4B28-AC9C-6FA2E739DE7A}"/>
    <dataValidation allowBlank="1" showInputMessage="1" showErrorMessage="1" prompt="La letra “P” indica una ausencia por motivos personales" sqref="G4" xr:uid="{67F9A95C-41D7-42B0-A1B4-5A4465EE41B1}"/>
    <dataValidation allowBlank="1" showInputMessage="1" showErrorMessage="1" prompt="La letra “V” indica una ausencia por vacaciones" sqref="C4" xr:uid="{77DB9AC6-BEC1-4987-877C-AF037DB021AD}"/>
    <dataValidation allowBlank="1" showInputMessage="1" showErrorMessage="1" prompt="Los días del mes se generan automáticamente en esta fila. Especifique la ausencia del empleado y el tipo en cada columna para cada día del mes. En blanco significa que no hay ninguna ausencia" sqref="C8" xr:uid="{6CA84DDB-47C4-40CF-9011-2E3B13024933}"/>
  </dataValidations>
  <pageMargins left="0.7" right="0.7" top="0.75" bottom="0.75" header="0.3" footer="0.3"/>
  <pageSetup paperSize="9" fitToHeight="0" orientation="portrait"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37382C04-00B2-4440-B0EA-500593754F77}">
            <x14:dataBar minLength="0" maxLength="100" gradient="0">
              <x14:cfvo type="num">
                <xm:f>0</xm:f>
              </x14:cfvo>
              <x14:cfvo type="num">
                <xm:f>31</xm:f>
              </x14:cfvo>
              <x14:negativeFillColor rgb="FFFF0000"/>
              <x14:axisColor rgb="FF000000"/>
            </x14:dataBar>
          </x14:cfRule>
          <xm:sqref>AH9:AH27</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F774A-991C-4887-B591-BD097780B40C}">
  <sheetPr>
    <tabColor theme="9" tint="-0.249977111117893"/>
  </sheetPr>
  <dimension ref="A1:AH28"/>
  <sheetViews>
    <sheetView showGridLines="0" zoomScale="44" zoomScaleNormal="100" workbookViewId="0">
      <selection activeCell="P4" sqref="P4:S4"/>
    </sheetView>
  </sheetViews>
  <sheetFormatPr baseColWidth="10" defaultColWidth="8.6328125" defaultRowHeight="30" customHeight="1"/>
  <cols>
    <col min="1" max="1" width="2.6328125" customWidth="1"/>
    <col min="2" max="2" width="63.08984375" bestFit="1" customWidth="1"/>
    <col min="3" max="33" width="4.6328125" customWidth="1"/>
    <col min="34" max="34" width="16.453125" bestFit="1" customWidth="1"/>
    <col min="35" max="35" width="2.6328125" customWidth="1"/>
  </cols>
  <sheetData>
    <row r="1" spans="1:34" s="13" customFormat="1" ht="50" customHeight="1">
      <c r="A1" s="12"/>
      <c r="B1" s="24" t="s">
        <v>0</v>
      </c>
    </row>
    <row r="2" spans="1:34" s="13" customFormat="1" ht="100.25" customHeight="1">
      <c r="A2"/>
      <c r="B2" s="71" t="s">
        <v>40</v>
      </c>
      <c r="C2" s="72"/>
      <c r="D2" s="72"/>
      <c r="E2" s="72"/>
      <c r="F2" s="72"/>
      <c r="G2" s="72"/>
      <c r="H2" s="72"/>
    </row>
    <row r="3" spans="1:34" s="13" customFormat="1" ht="15" customHeight="1">
      <c r="A3"/>
      <c r="B3" s="9"/>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4" ht="30" customHeight="1">
      <c r="B4" s="7" t="s">
        <v>2</v>
      </c>
      <c r="C4" s="29" t="s">
        <v>4</v>
      </c>
      <c r="D4" s="68" t="s">
        <v>7</v>
      </c>
      <c r="E4" s="68"/>
      <c r="F4" s="68"/>
      <c r="G4" s="27" t="s">
        <v>10</v>
      </c>
      <c r="H4" s="69" t="s">
        <v>77</v>
      </c>
      <c r="I4" s="69"/>
      <c r="J4" s="69"/>
      <c r="K4" s="28" t="s">
        <v>75</v>
      </c>
      <c r="L4" s="68" t="s">
        <v>76</v>
      </c>
      <c r="M4" s="68"/>
      <c r="N4" s="68"/>
      <c r="O4" s="17" t="s">
        <v>79</v>
      </c>
      <c r="P4" s="68" t="s">
        <v>160</v>
      </c>
      <c r="Q4" s="68"/>
      <c r="R4" s="68"/>
      <c r="S4" s="68"/>
      <c r="T4" s="18" t="s">
        <v>73</v>
      </c>
      <c r="U4" s="68" t="s">
        <v>74</v>
      </c>
      <c r="V4" s="68"/>
      <c r="W4" s="68"/>
      <c r="X4" s="68"/>
      <c r="Y4" s="36" t="s">
        <v>78</v>
      </c>
      <c r="Z4" s="70" t="s">
        <v>72</v>
      </c>
      <c r="AA4" s="70"/>
      <c r="AB4" s="70"/>
    </row>
    <row r="5" spans="1:34" ht="15" customHeight="1">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6"/>
    </row>
    <row r="6" spans="1:34" ht="50" customHeight="1">
      <c r="B6" s="6"/>
      <c r="C6" s="67" t="s">
        <v>5</v>
      </c>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
        <v>2024</v>
      </c>
    </row>
    <row r="7" spans="1:34" ht="30" customHeight="1">
      <c r="B7" s="6"/>
      <c r="C7" s="21" t="str">
        <f>TEXT(WEEKDAY(DATE(CalendarYear,1,18),1),"ddd")</f>
        <v>jue</v>
      </c>
      <c r="D7" s="21" t="str">
        <f>TEXT(WEEKDAY(DATE(CalendarYear,1,19),1),"ddd")</f>
        <v>vie</v>
      </c>
      <c r="E7" s="21" t="str">
        <f>TEXT(WEEKDAY(DATE(CalendarYear,1,20),1),"ddd")</f>
        <v>sáb</v>
      </c>
      <c r="F7" s="21" t="str">
        <f>TEXT(WEEKDAY(DATE(CalendarYear,1,21),1),"ddd")</f>
        <v>dom</v>
      </c>
      <c r="G7" s="21" t="str">
        <f>TEXT(WEEKDAY(DATE(CalendarYear,1,8),1),"ddd")</f>
        <v>lun</v>
      </c>
      <c r="H7" s="21" t="str">
        <f>TEXT(WEEKDAY(DATE(CalendarYear,1,9),1),"ddd")</f>
        <v>mar</v>
      </c>
      <c r="I7" s="21" t="str">
        <f>TEXT(WEEKDAY(DATE(CalendarYear,1,10),1),"ddd")</f>
        <v>mié</v>
      </c>
      <c r="J7" s="21" t="str">
        <f>TEXT(WEEKDAY(DATE(CalendarYear,1,11),1),"ddd")</f>
        <v>jue</v>
      </c>
      <c r="K7" s="21" t="str">
        <f>TEXT(WEEKDAY(DATE(CalendarYear,1,12),1),"ddd")</f>
        <v>vie</v>
      </c>
      <c r="L7" s="21" t="str">
        <f>TEXT(WEEKDAY(DATE(CalendarYear,1,13),1),"ddd")</f>
        <v>sáb</v>
      </c>
      <c r="M7" s="21" t="str">
        <f>TEXT(WEEKDAY(DATE(CalendarYear,1,14),1),"ddd")</f>
        <v>dom</v>
      </c>
      <c r="N7" s="21" t="str">
        <f>TEXT(WEEKDAY(DATE(CalendarYear,1,15),1),"ddd")</f>
        <v>lun</v>
      </c>
      <c r="O7" s="21" t="str">
        <f>TEXT(WEEKDAY(DATE(CalendarYear,1,16),1),"ddd")</f>
        <v>mar</v>
      </c>
      <c r="P7" s="21" t="str">
        <f>TEXT(WEEKDAY(DATE(CalendarYear,1,17),1),"ddd")</f>
        <v>mié</v>
      </c>
      <c r="Q7" s="21" t="str">
        <f>TEXT(WEEKDAY(DATE(CalendarYear,1,18),1),"ddd")</f>
        <v>jue</v>
      </c>
      <c r="R7" s="21" t="str">
        <f>TEXT(WEEKDAY(DATE(CalendarYear,1,19),1),"ddd")</f>
        <v>vie</v>
      </c>
      <c r="S7" s="21" t="str">
        <f>TEXT(WEEKDAY(DATE(CalendarYear,1,20),1),"ddd")</f>
        <v>sáb</v>
      </c>
      <c r="T7" s="21" t="str">
        <f>TEXT(WEEKDAY(DATE(CalendarYear,1,21),1),"ddd")</f>
        <v>dom</v>
      </c>
      <c r="U7" s="21" t="str">
        <f>TEXT(WEEKDAY(DATE(CalendarYear,1,22),1),"ddd")</f>
        <v>lun</v>
      </c>
      <c r="V7" s="21" t="str">
        <f>TEXT(WEEKDAY(DATE(CalendarYear,1,23),1),"ddd")</f>
        <v>mar</v>
      </c>
      <c r="W7" s="21" t="str">
        <f>TEXT(WEEKDAY(DATE(CalendarYear,1,24),1),"ddd")</f>
        <v>mié</v>
      </c>
      <c r="X7" s="21" t="str">
        <f>TEXT(WEEKDAY(DATE(CalendarYear,1,25),1),"ddd")</f>
        <v>jue</v>
      </c>
      <c r="Y7" s="21" t="str">
        <f>TEXT(WEEKDAY(DATE(CalendarYear,1,26),1),"ddd")</f>
        <v>vie</v>
      </c>
      <c r="Z7" s="21" t="str">
        <f>TEXT(WEEKDAY(DATE(CalendarYear,1,27),1),"ddd")</f>
        <v>sáb</v>
      </c>
      <c r="AA7" s="21" t="str">
        <f>TEXT(WEEKDAY(DATE(CalendarYear,1,28),1),"ddd")</f>
        <v>dom</v>
      </c>
      <c r="AB7" s="21" t="str">
        <f>TEXT(WEEKDAY(DATE(CalendarYear,1,29),1),"ddd")</f>
        <v>lun</v>
      </c>
      <c r="AC7" s="21" t="str">
        <f>TEXT(WEEKDAY(DATE(CalendarYear,1,30),1),"ddd")</f>
        <v>mar</v>
      </c>
      <c r="AD7" s="21" t="str">
        <f>TEXT(WEEKDAY(DATE(CalendarYear,1,31),1),"ddd")</f>
        <v>mié</v>
      </c>
      <c r="AE7" s="21" t="str">
        <f>TEXT(WEEKDAY(DATE(CalendarYear,1,4),1),"ddd")</f>
        <v>jue</v>
      </c>
      <c r="AF7" s="21"/>
      <c r="AG7" s="21"/>
      <c r="AH7" s="21"/>
    </row>
    <row r="8" spans="1:34" ht="30" customHeight="1">
      <c r="B8" s="20" t="s">
        <v>3</v>
      </c>
      <c r="C8" s="1" t="s">
        <v>6</v>
      </c>
      <c r="D8" s="1" t="s">
        <v>8</v>
      </c>
      <c r="E8" s="1" t="s">
        <v>9</v>
      </c>
      <c r="F8" s="1" t="s">
        <v>11</v>
      </c>
      <c r="G8" s="1" t="s">
        <v>12</v>
      </c>
      <c r="H8" s="1" t="s">
        <v>13</v>
      </c>
      <c r="I8" s="1" t="s">
        <v>14</v>
      </c>
      <c r="J8" s="1" t="s">
        <v>15</v>
      </c>
      <c r="K8" s="1" t="s">
        <v>16</v>
      </c>
      <c r="L8" s="1" t="s">
        <v>17</v>
      </c>
      <c r="M8" s="1" t="s">
        <v>18</v>
      </c>
      <c r="N8" s="1" t="s">
        <v>19</v>
      </c>
      <c r="O8" s="1" t="s">
        <v>20</v>
      </c>
      <c r="P8" s="1" t="s">
        <v>21</v>
      </c>
      <c r="Q8" s="1" t="s">
        <v>22</v>
      </c>
      <c r="R8" s="1" t="s">
        <v>23</v>
      </c>
      <c r="S8" s="1" t="s">
        <v>24</v>
      </c>
      <c r="T8" s="1" t="s">
        <v>25</v>
      </c>
      <c r="U8" s="1" t="s">
        <v>26</v>
      </c>
      <c r="V8" s="1" t="s">
        <v>27</v>
      </c>
      <c r="W8" s="1" t="s">
        <v>28</v>
      </c>
      <c r="X8" s="1" t="s">
        <v>29</v>
      </c>
      <c r="Y8" s="1" t="s">
        <v>30</v>
      </c>
      <c r="Z8" s="1" t="s">
        <v>31</v>
      </c>
      <c r="AA8" s="1" t="s">
        <v>32</v>
      </c>
      <c r="AB8" s="1" t="s">
        <v>33</v>
      </c>
      <c r="AC8" s="1" t="s">
        <v>34</v>
      </c>
      <c r="AD8" s="1" t="s">
        <v>35</v>
      </c>
      <c r="AE8" s="1" t="s">
        <v>36</v>
      </c>
      <c r="AF8" s="58" t="s">
        <v>37</v>
      </c>
      <c r="AG8" s="58" t="s">
        <v>38</v>
      </c>
      <c r="AH8" s="22" t="s">
        <v>39</v>
      </c>
    </row>
    <row r="9" spans="1:34" ht="30" customHeight="1">
      <c r="B9" s="62" t="s">
        <v>157</v>
      </c>
      <c r="C9" s="35"/>
      <c r="D9" s="35"/>
      <c r="E9" s="35"/>
      <c r="F9" s="35"/>
      <c r="G9" s="34"/>
      <c r="H9" s="35"/>
      <c r="I9" s="35"/>
      <c r="J9" s="35"/>
      <c r="K9" s="35"/>
      <c r="L9" s="35"/>
      <c r="M9" s="35"/>
      <c r="N9" s="35"/>
      <c r="O9" s="35"/>
      <c r="P9" s="35"/>
      <c r="Q9" s="35"/>
      <c r="R9" s="35"/>
      <c r="S9" s="35"/>
      <c r="T9" s="35"/>
      <c r="U9" s="35"/>
      <c r="V9" s="35"/>
      <c r="W9" s="35"/>
      <c r="X9" s="35"/>
      <c r="Y9" s="35"/>
      <c r="Z9" s="35"/>
      <c r="AA9" s="35"/>
      <c r="AB9" s="35"/>
      <c r="AC9" s="35"/>
      <c r="AD9" s="35"/>
      <c r="AE9" s="35"/>
      <c r="AF9" s="35"/>
      <c r="AG9" s="35"/>
      <c r="AH9" s="3">
        <f>COUNTA('Febrero (2024)'!$C25:$AG25)</f>
        <v>0</v>
      </c>
    </row>
    <row r="10" spans="1:34" ht="30" customHeight="1">
      <c r="B10" s="62" t="s">
        <v>158</v>
      </c>
      <c r="C10" s="35"/>
      <c r="D10" s="35"/>
      <c r="E10" s="35"/>
      <c r="F10" s="35"/>
      <c r="G10" s="34"/>
      <c r="H10" s="35"/>
      <c r="I10" s="35"/>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3">
        <f>COUNTA('Febrero (2024)'!$C13:$AG13)</f>
        <v>0</v>
      </c>
    </row>
    <row r="11" spans="1:34" ht="30" customHeight="1">
      <c r="B11" s="62" t="s">
        <v>55</v>
      </c>
      <c r="C11" s="35"/>
      <c r="D11" s="35"/>
      <c r="E11" s="35"/>
      <c r="F11" s="35"/>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
        <f>COUNTA('Febrero (2024)'!$C19:$AG19)</f>
        <v>3</v>
      </c>
    </row>
    <row r="12" spans="1:34" ht="30" customHeight="1">
      <c r="B12" s="62" t="s">
        <v>56</v>
      </c>
      <c r="C12" s="35"/>
      <c r="D12" s="35"/>
      <c r="E12" s="35"/>
      <c r="F12" s="35"/>
      <c r="G12" s="34"/>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
        <f>COUNTA('Febrero (2024)'!$C12:$AG12)</f>
        <v>0</v>
      </c>
    </row>
    <row r="13" spans="1:34" ht="30" customHeight="1">
      <c r="B13" s="62" t="s">
        <v>57</v>
      </c>
      <c r="C13" s="35"/>
      <c r="D13" s="35"/>
      <c r="E13" s="35"/>
      <c r="F13" s="35"/>
      <c r="G13" s="34"/>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
        <f>COUNTA('Febrero (2024)'!$C16:$AG16)</f>
        <v>0</v>
      </c>
    </row>
    <row r="14" spans="1:34" ht="30" customHeight="1">
      <c r="B14" s="64" t="s">
        <v>58</v>
      </c>
      <c r="C14" s="35"/>
      <c r="D14" s="35"/>
      <c r="E14" s="35"/>
      <c r="F14" s="35"/>
      <c r="G14" s="35"/>
      <c r="H14" s="35"/>
      <c r="I14" s="36" t="s">
        <v>78</v>
      </c>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
        <f>COUNTA('Febrero (2024)'!$C21:$AG21)</f>
        <v>0</v>
      </c>
    </row>
    <row r="15" spans="1:34" ht="30" customHeight="1">
      <c r="B15" s="64" t="s">
        <v>59</v>
      </c>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3">
        <f>COUNTA('Febrero (2024)'!#REF!)</f>
        <v>1</v>
      </c>
    </row>
    <row r="16" spans="1:34" ht="30" customHeight="1">
      <c r="B16" s="64" t="s">
        <v>60</v>
      </c>
      <c r="C16" s="35"/>
      <c r="D16" s="35"/>
      <c r="E16" s="35"/>
      <c r="F16" s="35"/>
      <c r="G16" s="34"/>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
        <f>COUNTA('Febrero (2024)'!$C18:$AG18)</f>
        <v>0</v>
      </c>
    </row>
    <row r="17" spans="2:34" ht="30" customHeight="1">
      <c r="B17" s="64" t="s">
        <v>61</v>
      </c>
      <c r="C17" s="35"/>
      <c r="D17" s="35"/>
      <c r="E17" s="35"/>
      <c r="F17" s="35"/>
      <c r="G17" s="34"/>
      <c r="H17" s="35"/>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
        <f>COUNTA('Febrero (2024)'!$C24:$AG24)</f>
        <v>0</v>
      </c>
    </row>
    <row r="18" spans="2:34" ht="30" customHeight="1">
      <c r="B18" s="64" t="s">
        <v>62</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3">
        <f>COUNTA('Febrero (2024)'!#REF!)</f>
        <v>1</v>
      </c>
    </row>
    <row r="19" spans="2:34" ht="30" customHeight="1">
      <c r="B19" s="64" t="s">
        <v>63</v>
      </c>
      <c r="C19" s="35"/>
      <c r="D19" s="35"/>
      <c r="E19" s="35"/>
      <c r="F19" s="35"/>
      <c r="G19" s="34"/>
      <c r="H19" s="35"/>
      <c r="I19" s="35"/>
      <c r="J19" s="35"/>
      <c r="K19" s="35"/>
      <c r="L19" s="35"/>
      <c r="M19" s="35"/>
      <c r="N19" s="35"/>
      <c r="O19" s="35"/>
      <c r="P19" s="35"/>
      <c r="Q19" s="35"/>
      <c r="R19" s="35"/>
      <c r="S19" s="35"/>
      <c r="T19" s="35"/>
      <c r="U19" s="35"/>
      <c r="V19" s="35"/>
      <c r="W19" s="28" t="s">
        <v>75</v>
      </c>
      <c r="X19" s="28" t="s">
        <v>75</v>
      </c>
      <c r="Y19" s="28" t="s">
        <v>75</v>
      </c>
      <c r="Z19" s="35"/>
      <c r="AA19" s="35"/>
      <c r="AB19" s="35"/>
      <c r="AC19" s="35"/>
      <c r="AD19" s="35"/>
      <c r="AE19" s="35"/>
      <c r="AF19" s="35"/>
      <c r="AG19" s="35"/>
      <c r="AH19" s="3">
        <f>COUNTA('Febrero (2024)'!$C20:$AG20)</f>
        <v>1</v>
      </c>
    </row>
    <row r="20" spans="2:34" ht="30" customHeight="1">
      <c r="B20" s="64" t="s">
        <v>64</v>
      </c>
      <c r="C20" s="35"/>
      <c r="D20" s="35"/>
      <c r="E20" s="35"/>
      <c r="F20" s="35"/>
      <c r="G20" s="35"/>
      <c r="H20" s="35"/>
      <c r="I20" s="35"/>
      <c r="J20" s="35"/>
      <c r="K20" s="35"/>
      <c r="L20" s="35"/>
      <c r="M20" s="35"/>
      <c r="N20" s="35"/>
      <c r="O20" s="35"/>
      <c r="P20" s="35"/>
      <c r="Q20" s="35"/>
      <c r="R20" s="35"/>
      <c r="S20" s="35"/>
      <c r="T20" s="35"/>
      <c r="U20" s="35"/>
      <c r="V20" s="36" t="s">
        <v>78</v>
      </c>
      <c r="W20" s="35"/>
      <c r="X20" s="35"/>
      <c r="Y20" s="35"/>
      <c r="Z20" s="35"/>
      <c r="AA20" s="35"/>
      <c r="AB20" s="35"/>
      <c r="AC20" s="35"/>
      <c r="AD20" s="35"/>
      <c r="AE20" s="35"/>
      <c r="AF20" s="35"/>
      <c r="AG20" s="35"/>
      <c r="AH20" s="3">
        <f>COUNTA('Febrero (2024)'!$C15:$AG15)</f>
        <v>0</v>
      </c>
    </row>
    <row r="21" spans="2:34" ht="30" customHeight="1">
      <c r="B21" s="64" t="s">
        <v>65</v>
      </c>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35"/>
      <c r="AG21" s="35"/>
      <c r="AH21" s="3">
        <f>COUNTA('Febrero (2024)'!$C14:$AG14)</f>
        <v>1</v>
      </c>
    </row>
    <row r="22" spans="2:34" ht="30" customHeight="1">
      <c r="B22" s="64" t="s">
        <v>66</v>
      </c>
      <c r="C22" s="35"/>
      <c r="D22" s="35"/>
      <c r="E22" s="35"/>
      <c r="F22" s="35"/>
      <c r="G22" s="35"/>
      <c r="H22" s="35"/>
      <c r="I22" s="35"/>
      <c r="J22" s="35"/>
      <c r="K22" s="35"/>
      <c r="L22" s="35"/>
      <c r="M22" s="35"/>
      <c r="N22" s="35"/>
      <c r="O22" s="35"/>
      <c r="P22" s="35"/>
      <c r="Q22" s="35"/>
      <c r="R22" s="35"/>
      <c r="S22" s="35"/>
      <c r="T22" s="35"/>
      <c r="U22" s="35"/>
      <c r="V22" s="35"/>
      <c r="W22" s="35"/>
      <c r="X22" s="35"/>
      <c r="Y22" s="35"/>
      <c r="Z22" s="35"/>
      <c r="AA22" s="35"/>
      <c r="AB22" s="35"/>
      <c r="AC22" s="35"/>
      <c r="AD22" s="35"/>
      <c r="AE22" s="35"/>
      <c r="AF22" s="35"/>
      <c r="AG22" s="35"/>
      <c r="AH22" s="3">
        <f>COUNTA('Febrero (2024)'!$C22:$AG22)</f>
        <v>0</v>
      </c>
    </row>
    <row r="23" spans="2:34" ht="30" customHeight="1">
      <c r="B23" s="64" t="s">
        <v>67</v>
      </c>
      <c r="C23" s="35"/>
      <c r="D23" s="35"/>
      <c r="E23" s="35"/>
      <c r="F23" s="35"/>
      <c r="G23" s="34"/>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5"/>
      <c r="AH23" s="3">
        <f>COUNTA('Febrero (2024)'!$C23:$AG23)</f>
        <v>0</v>
      </c>
    </row>
    <row r="24" spans="2:34" ht="30" customHeight="1">
      <c r="B24" s="64" t="s">
        <v>68</v>
      </c>
      <c r="C24" s="35"/>
      <c r="D24" s="35"/>
      <c r="E24" s="35"/>
      <c r="F24" s="35"/>
      <c r="G24" s="34"/>
      <c r="H24" s="35"/>
      <c r="I24" s="35"/>
      <c r="J24" s="35"/>
      <c r="K24" s="35"/>
      <c r="L24" s="35"/>
      <c r="M24" s="35"/>
      <c r="N24" s="35"/>
      <c r="O24" s="35"/>
      <c r="P24" s="35"/>
      <c r="Q24" s="35"/>
      <c r="R24" s="35"/>
      <c r="S24" s="35"/>
      <c r="T24" s="35"/>
      <c r="U24" s="35"/>
      <c r="V24" s="35"/>
      <c r="W24" s="35"/>
      <c r="X24" s="35"/>
      <c r="Y24" s="35"/>
      <c r="Z24" s="35"/>
      <c r="AA24" s="35"/>
      <c r="AB24" s="35"/>
      <c r="AC24" s="35"/>
      <c r="AD24" s="35"/>
      <c r="AE24" s="35"/>
      <c r="AF24" s="35"/>
      <c r="AG24" s="35"/>
      <c r="AH24" s="3">
        <f>COUNTA('Febrero (2024)'!$C26:$AG26)</f>
        <v>0</v>
      </c>
    </row>
    <row r="25" spans="2:34" ht="30" customHeight="1">
      <c r="B25" s="64" t="s">
        <v>69</v>
      </c>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
        <f>COUNTA('Febrero (2024)'!$C17:$AG17)</f>
        <v>0</v>
      </c>
    </row>
    <row r="26" spans="2:34" ht="30" customHeight="1">
      <c r="B26" s="64" t="s">
        <v>70</v>
      </c>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3">
        <f>COUNTA('Febrero (2024)'!$C10:$AG10)</f>
        <v>0</v>
      </c>
    </row>
    <row r="27" spans="2:34" ht="30" customHeight="1">
      <c r="B27" s="64" t="s">
        <v>71</v>
      </c>
      <c r="C27" s="35"/>
      <c r="D27" s="35"/>
      <c r="E27" s="35"/>
      <c r="F27" s="35"/>
      <c r="G27" s="34"/>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
        <f>COUNTA('Febrero (2024)'!$C27:$AG27)</f>
        <v>0</v>
      </c>
    </row>
    <row r="28" spans="2:34" ht="30" customHeight="1">
      <c r="B28" s="5" t="str">
        <f>MonthName&amp;" total"</f>
        <v>Febrero total</v>
      </c>
      <c r="C28" s="4">
        <f>SUBTOTAL(103,'Febrero (2024)'!$C$9:$C$27)</f>
        <v>0</v>
      </c>
      <c r="D28" s="4">
        <f>SUBTOTAL(103,'Febrero (2024)'!$D$9:$D$27)</f>
        <v>0</v>
      </c>
      <c r="E28" s="4">
        <f>SUBTOTAL(103,'Febrero (2024)'!$E$9:$E$27)</f>
        <v>0</v>
      </c>
      <c r="F28" s="4">
        <f>SUBTOTAL(103,'Febrero (2024)'!$F$9:$F$27)</f>
        <v>0</v>
      </c>
      <c r="G28" s="4">
        <f>SUBTOTAL(103,'Febrero (2024)'!$G$9:$G$27)</f>
        <v>0</v>
      </c>
      <c r="H28" s="4">
        <f>SUBTOTAL(103,'Febrero (2024)'!$H$9:$H$27)</f>
        <v>0</v>
      </c>
      <c r="I28" s="4">
        <f>SUBTOTAL(103,'Febrero (2024)'!$I$9:$I$27)</f>
        <v>1</v>
      </c>
      <c r="J28" s="4">
        <f>SUBTOTAL(103,'Febrero (2024)'!$J$9:$J$27)</f>
        <v>0</v>
      </c>
      <c r="K28" s="4">
        <f>SUBTOTAL(103,'Febrero (2024)'!$K$9:$K$27)</f>
        <v>0</v>
      </c>
      <c r="L28" s="4">
        <f>SUBTOTAL(103,'Febrero (2024)'!$L$9:$L$27)</f>
        <v>0</v>
      </c>
      <c r="M28" s="4">
        <f>SUBTOTAL(103,'Febrero (2024)'!$M$9:$M$27)</f>
        <v>0</v>
      </c>
      <c r="N28" s="4">
        <f>SUBTOTAL(103,'Febrero (2024)'!$N$9:$N$27)</f>
        <v>0</v>
      </c>
      <c r="O28" s="4">
        <f>SUBTOTAL(103,'Febrero (2024)'!$O$9:$O$27)</f>
        <v>0</v>
      </c>
      <c r="P28" s="4">
        <f>SUBTOTAL(103,'Febrero (2024)'!$P$9:$P$27)</f>
        <v>0</v>
      </c>
      <c r="Q28" s="4">
        <f>SUBTOTAL(103,'Febrero (2024)'!$Q$9:$Q$27)</f>
        <v>0</v>
      </c>
      <c r="R28" s="4">
        <f>SUBTOTAL(103,'Febrero (2024)'!$R$9:$R$27)</f>
        <v>0</v>
      </c>
      <c r="S28" s="4">
        <f>SUBTOTAL(103,'Febrero (2024)'!$S$9:$S$27)</f>
        <v>0</v>
      </c>
      <c r="T28" s="4">
        <f>SUBTOTAL(103,'Febrero (2024)'!$T$9:$T$27)</f>
        <v>0</v>
      </c>
      <c r="U28" s="4">
        <f>SUBTOTAL(103,'Febrero (2024)'!$U$9:$U$27)</f>
        <v>0</v>
      </c>
      <c r="V28" s="4">
        <f>SUBTOTAL(103,'Febrero (2024)'!$V$9:$V$27)</f>
        <v>1</v>
      </c>
      <c r="W28" s="4">
        <f>SUBTOTAL(103,'Febrero (2024)'!$W$9:$W$27)</f>
        <v>1</v>
      </c>
      <c r="X28" s="4">
        <f>SUBTOTAL(103,'Febrero (2024)'!$X$9:$X$27)</f>
        <v>1</v>
      </c>
      <c r="Y28" s="4">
        <f>SUBTOTAL(103,'Febrero (2024)'!$Y$9:$Y$27)</f>
        <v>1</v>
      </c>
      <c r="Z28" s="4">
        <f>SUBTOTAL(103,'Febrero (2024)'!$Z$9:$Z$27)</f>
        <v>0</v>
      </c>
      <c r="AA28" s="4">
        <f>SUBTOTAL(103,'Febrero (2024)'!$AA$9:$AA$27)</f>
        <v>0</v>
      </c>
      <c r="AB28" s="4">
        <f>SUBTOTAL(103,'Febrero (2024)'!$AB$9:$AB$27)</f>
        <v>0</v>
      </c>
      <c r="AC28" s="4">
        <f>SUBTOTAL(103,'Febrero (2024)'!$AC$9:$AC$27)</f>
        <v>0</v>
      </c>
      <c r="AD28" s="4">
        <f>SUBTOTAL(103,'Febrero (2024)'!$AD$9:$AD$27)</f>
        <v>0</v>
      </c>
      <c r="AE28" s="4">
        <f>SUBTOTAL(103,'Febrero (2024)'!$AE$9:$AE$27)</f>
        <v>0</v>
      </c>
      <c r="AF28" s="4">
        <f>SUBTOTAL(103,'Febrero (2024)'!$AF$9:$AF$27)</f>
        <v>0</v>
      </c>
      <c r="AG28" s="4">
        <f>SUBTOTAL(103,'Febrero (2024)'!$AG$9:$AG$27)</f>
        <v>0</v>
      </c>
      <c r="AH28" s="4">
        <f>SUBTOTAL(109,Enero69[Total de días])</f>
        <v>7</v>
      </c>
    </row>
  </sheetData>
  <mergeCells count="8">
    <mergeCell ref="Z4:AB4"/>
    <mergeCell ref="C6:AG6"/>
    <mergeCell ref="B2:H2"/>
    <mergeCell ref="D4:F4"/>
    <mergeCell ref="H4:J4"/>
    <mergeCell ref="L4:N4"/>
    <mergeCell ref="P4:S4"/>
    <mergeCell ref="U4:X4"/>
  </mergeCells>
  <conditionalFormatting sqref="C9:AG13 C14:H14 J14:AG14 C15:AG18 C19:V19 Z19:AG19 C20:U20 W20:AG20 C21:AG27">
    <cfRule type="expression" dxfId="19" priority="38" stopIfTrue="1">
      <formula>C9=KeyCustom2</formula>
    </cfRule>
    <cfRule type="expression" dxfId="18" priority="39" stopIfTrue="1">
      <formula>C9=KeyCustom1</formula>
    </cfRule>
    <cfRule type="expression" dxfId="17" priority="40" stopIfTrue="1">
      <formula>C9=KeySick</formula>
    </cfRule>
    <cfRule type="expression" dxfId="16" priority="41" stopIfTrue="1">
      <formula>C9=KeyPersonal</formula>
    </cfRule>
    <cfRule type="expression" dxfId="15" priority="42" stopIfTrue="1">
      <formula>C9=KeyVacation</formula>
    </cfRule>
  </conditionalFormatting>
  <conditionalFormatting sqref="C21:AG27 C9:AG13 C14:H14 J14:AG14 C15:AG18 C19:V19 Z19:AG19 C20:U20 W20:AG20">
    <cfRule type="expression" priority="37" stopIfTrue="1">
      <formula>C9=""</formula>
    </cfRule>
  </conditionalFormatting>
  <conditionalFormatting sqref="D11">
    <cfRule type="expression" priority="1" stopIfTrue="1">
      <formula>D11=""</formula>
    </cfRule>
    <cfRule type="expression" dxfId="14" priority="2" stopIfTrue="1">
      <formula>D11=KeyCustom2</formula>
    </cfRule>
    <cfRule type="expression" dxfId="13" priority="3" stopIfTrue="1">
      <formula>D11=KeyCustom1</formula>
    </cfRule>
    <cfRule type="expression" dxfId="12" priority="4" stopIfTrue="1">
      <formula>D11=KeySick</formula>
    </cfRule>
    <cfRule type="expression" dxfId="11" priority="5" stopIfTrue="1">
      <formula>D11=KeyPersonal</formula>
    </cfRule>
    <cfRule type="expression" dxfId="10" priority="6" stopIfTrue="1">
      <formula>D11=KeyVacation</formula>
    </cfRule>
  </conditionalFormatting>
  <conditionalFormatting sqref="D21">
    <cfRule type="expression" priority="25" stopIfTrue="1">
      <formula>D21=""</formula>
    </cfRule>
    <cfRule type="expression" dxfId="9" priority="26" stopIfTrue="1">
      <formula>D21=KeyCustom2</formula>
    </cfRule>
    <cfRule type="expression" dxfId="8" priority="27" stopIfTrue="1">
      <formula>D21=KeyCustom1</formula>
    </cfRule>
    <cfRule type="expression" dxfId="7" priority="28" stopIfTrue="1">
      <formula>D21=KeySick</formula>
    </cfRule>
    <cfRule type="expression" dxfId="6" priority="29" stopIfTrue="1">
      <formula>D21=KeyPersonal</formula>
    </cfRule>
    <cfRule type="expression" dxfId="5" priority="30" stopIfTrue="1">
      <formula>D21=KeyVacation</formula>
    </cfRule>
  </conditionalFormatting>
  <conditionalFormatting sqref="AH9:AH27">
    <cfRule type="dataBar" priority="43">
      <dataBar>
        <cfvo type="num" val="0"/>
        <cfvo type="num" val="31"/>
        <color theme="4"/>
      </dataBar>
      <extLst>
        <ext xmlns:x14="http://schemas.microsoft.com/office/spreadsheetml/2009/9/main" uri="{B025F937-C7B1-47D3-B67F-A62EFF666E3E}">
          <x14:id>{A56EA1C4-2107-451E-B74D-6D5DCA86FD96}</x14:id>
        </ext>
      </extLst>
    </cfRule>
  </conditionalFormatting>
  <dataValidations count="15">
    <dataValidation allowBlank="1" showInputMessage="1" showErrorMessage="1" prompt="Los días del mes se generan automáticamente en esta fila. Especifique la ausencia del empleado y el tipo en cada columna para cada día del mes. En blanco significa que no hay ninguna ausencia" sqref="C8" xr:uid="{E38BEE41-D4A7-48D8-B014-42C2460FD8C0}"/>
    <dataValidation allowBlank="1" showInputMessage="1" showErrorMessage="1" prompt="La letra “V” indica una ausencia por vacaciones" sqref="C4" xr:uid="{A9A58E5C-F0D2-4C27-8723-24C252234938}"/>
    <dataValidation allowBlank="1" showInputMessage="1" showErrorMessage="1" prompt="La letra “P” indica una ausencia por motivos personales" sqref="G4" xr:uid="{D633DE6E-3656-45D0-A795-7844A84D8711}"/>
    <dataValidation allowBlank="1" showInputMessage="1" showErrorMessage="1" prompt="La letra “E” indica una ausencia por enfermedad" sqref="K4 W19:Y19" xr:uid="{4BAA8206-8BBA-471E-95F3-0B8DA8B98517}"/>
    <dataValidation allowBlank="1" showInputMessage="1" showErrorMessage="1" prompt="Escriba una letra y personalice la etiqueta de la derecha para agregar otro elemento clave." sqref="O4 T4" xr:uid="{4A11FC12-658C-4777-B40C-B2CBDCB9D922}"/>
    <dataValidation allowBlank="1" showInputMessage="1" showErrorMessage="1" prompt="Escriba una etiqueta para describir la clave personalizada de la izquierda" sqref="U4 P4" xr:uid="{CDCBE95A-C611-443B-A8B7-C240265DF374}"/>
    <dataValidation allowBlank="1" showInputMessage="1" showErrorMessage="1" prompt="El plan de ausencias de los empleados realiza un seguimiento por día durante cada mes. Hay 13 hojas de cálculo, 12 para los meses y la última para los nombres de los empleados. Realice un seguimiento de las ausencias de enero en esta hoja de cálculo" sqref="A1" xr:uid="{B8A3D184-554C-4E37-8060-40E6736F1EAB}"/>
    <dataValidation allowBlank="1" showInputMessage="1" showErrorMessage="1" prompt="Escriba el año en la celda siguiente." sqref="AH5" xr:uid="{C6136376-1735-4BF5-A8F8-4814044861B9}"/>
    <dataValidation allowBlank="1" showInputMessage="1" showErrorMessage="1" prompt="El nombre del mes de este plan de ausencias está en esta celda. Los totales de las ausencias para este mes aparecen en la última celda de la tabla. Seleccione los nombres de los empleados en la columna B de la tabla" sqref="B2" xr:uid="{66A1C010-6E2E-460C-87A3-3419A84A1E69}"/>
    <dataValidation allowBlank="1" showInputMessage="1" showErrorMessage="1" prompt="El título se actualiza automáticamente en esta celda. Para modificarlo, actualice la celda B1 en la hoja de cálculo de enero" sqref="B2" xr:uid="{2B042B6D-FC18-41A0-B8EC-45ED6C41FDF9}"/>
    <dataValidation errorStyle="warning" allowBlank="1" showInputMessage="1" showErrorMessage="1" error="Seleccione un nombre de la lista. Seleccione CANCELAR y, después, ALT+FLECHA ABAJO y ENTRAR para seleccionar un nombre" prompt="Escriba los nombres de los empleados en la hoja de cálculo Nombres de empleados y, después, seleccione uno de los nombres de la lista de esta columna. Presione ALT+FLECHA ABAJO y ENTRAR para seleccionar un nombre" sqref="B8" xr:uid="{667B3E3A-49D9-4460-9928-635C8D68AE70}"/>
    <dataValidation allowBlank="1" showInputMessage="1" showErrorMessage="1" prompt="Calcula automáticamente el número total de días que un empleado estuvo ausente este mes en esta columna" sqref="AH8" xr:uid="{A0025EDC-62F3-400D-A3E0-AAE030D916C4}"/>
    <dataValidation allowBlank="1" showInputMessage="1" showErrorMessage="1" prompt="Escriba el año en esta celda." sqref="AH6" xr:uid="{1B61A06B-A739-4B38-8B92-1D4C476AD420}"/>
    <dataValidation allowBlank="1" showInputMessage="1" showErrorMessage="1" prompt="Esta fila define las claves que se usan en la tabla: la celda C4 es para vacaciones, la celda G4 es para asuntos personales y la celda K4 es baja por enfermedad. Las celdas N4 y R4 se pueden personalizar" sqref="B4" xr:uid="{5D558AF8-4300-443A-9147-C858565CADF3}"/>
    <dataValidation allowBlank="1" showInputMessage="1" showErrorMessage="1" prompt="Esta celda contiene el título de la hoja de cálculo. " sqref="B1" xr:uid="{C3D62D98-C440-4E1A-9067-5AAC67CB7E3D}"/>
  </dataValidations>
  <pageMargins left="0.7" right="0.7" top="0.75" bottom="0.75" header="0.3" footer="0.3"/>
  <pageSetup paperSize="9" fitToHeight="0"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A56EA1C4-2107-451E-B74D-6D5DCA86FD96}">
            <x14:dataBar minLength="0" maxLength="100" gradient="0">
              <x14:cfvo type="num">
                <xm:f>0</xm:f>
              </x14:cfvo>
              <x14:cfvo type="num">
                <xm:f>31</xm:f>
              </x14:cfvo>
              <x14:negativeFillColor rgb="FFFF0000"/>
              <x14:axisColor rgb="FF000000"/>
            </x14:dataBar>
          </x14:cfRule>
          <xm:sqref>AH9:AH27</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B0FE3-9059-47CC-A3D7-3129B516E0D4}">
  <sheetPr>
    <tabColor theme="9" tint="-0.249977111117893"/>
  </sheetPr>
  <dimension ref="B1:AH28"/>
  <sheetViews>
    <sheetView showGridLines="0" topLeftCell="A10" zoomScale="55" zoomScaleNormal="55" workbookViewId="0">
      <selection activeCell="AQ10" sqref="AQ10"/>
    </sheetView>
  </sheetViews>
  <sheetFormatPr baseColWidth="10" defaultColWidth="8.6328125" defaultRowHeight="30" customHeight="1"/>
  <cols>
    <col min="1" max="1" width="2.6328125" customWidth="1"/>
    <col min="2" max="2" width="37.54296875" customWidth="1"/>
    <col min="3" max="33" width="4.6328125" customWidth="1"/>
    <col min="34" max="34" width="13.453125" customWidth="1"/>
    <col min="35" max="35" width="2.6328125" customWidth="1"/>
  </cols>
  <sheetData>
    <row r="1" spans="2:34" ht="50" customHeight="1">
      <c r="B1" s="24" t="s">
        <v>0</v>
      </c>
    </row>
    <row r="2" spans="2:34" ht="100.25" customHeight="1">
      <c r="B2" s="25" t="s">
        <v>43</v>
      </c>
    </row>
    <row r="3" spans="2:34" ht="15" customHeight="1">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row>
    <row r="4" spans="2:34" ht="30" customHeight="1">
      <c r="B4" s="7" t="s">
        <v>2</v>
      </c>
      <c r="C4" s="29" t="s">
        <v>4</v>
      </c>
      <c r="D4" s="68" t="s">
        <v>7</v>
      </c>
      <c r="E4" s="68"/>
      <c r="F4" s="68"/>
      <c r="G4" s="27" t="s">
        <v>10</v>
      </c>
      <c r="H4" s="69" t="s">
        <v>77</v>
      </c>
      <c r="I4" s="69"/>
      <c r="J4" s="69"/>
      <c r="K4" s="28" t="s">
        <v>75</v>
      </c>
      <c r="L4" s="68" t="s">
        <v>76</v>
      </c>
      <c r="M4" s="68"/>
      <c r="N4" s="68"/>
      <c r="O4" s="17" t="s">
        <v>79</v>
      </c>
      <c r="P4" s="68" t="s">
        <v>160</v>
      </c>
      <c r="Q4" s="68"/>
      <c r="R4" s="68"/>
      <c r="S4" s="68"/>
      <c r="T4" s="18" t="s">
        <v>73</v>
      </c>
      <c r="U4" s="68" t="s">
        <v>74</v>
      </c>
      <c r="V4" s="68"/>
      <c r="W4" s="68"/>
      <c r="X4" s="68"/>
      <c r="Y4" s="36" t="s">
        <v>78</v>
      </c>
      <c r="Z4" s="70" t="s">
        <v>72</v>
      </c>
      <c r="AA4" s="70"/>
      <c r="AB4" s="70"/>
    </row>
    <row r="5" spans="2:34" ht="15" customHeight="1">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row>
    <row r="6" spans="2:34" ht="50" customHeight="1">
      <c r="B6" s="6"/>
      <c r="C6" s="67" t="s">
        <v>5</v>
      </c>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
        <v>2024</v>
      </c>
    </row>
    <row r="7" spans="2:34" ht="30" customHeight="1">
      <c r="B7" s="6"/>
      <c r="C7" s="21" t="str">
        <f>TEXT(WEEKDAY(DATE(CalendarYear,3,3),1),"ddd")</f>
        <v>vie</v>
      </c>
      <c r="D7" s="21" t="str">
        <f>TEXT(WEEKDAY(DATE(CalendarYear,3,4),1),"ddd")</f>
        <v>sáb</v>
      </c>
      <c r="E7" s="21" t="str">
        <f>TEXT(WEEKDAY(DATE(CalendarYear,3,5),1),"ddd")</f>
        <v>dom</v>
      </c>
      <c r="F7" s="21" t="str">
        <f>TEXT(WEEKDAY(DATE(CalendarYear,3,6),1),"ddd")</f>
        <v>lun</v>
      </c>
      <c r="G7" s="21" t="str">
        <f>TEXT(WEEKDAY(DATE(CalendarYear,3,7),1),"ddd")</f>
        <v>mar</v>
      </c>
      <c r="H7" s="21" t="str">
        <f>TEXT(WEEKDAY(DATE(CalendarYear,3,8),1),"ddd")</f>
        <v>mié</v>
      </c>
      <c r="I7" s="21" t="str">
        <f>TEXT(WEEKDAY(DATE(CalendarYear,3,9),1),"ddd")</f>
        <v>jue</v>
      </c>
      <c r="J7" s="21" t="str">
        <f>TEXT(WEEKDAY(DATE(CalendarYear,3,10),1),"ddd")</f>
        <v>vie</v>
      </c>
      <c r="K7" s="21" t="str">
        <f>TEXT(WEEKDAY(DATE(CalendarYear,3,11),1),"ddd")</f>
        <v>sáb</v>
      </c>
      <c r="L7" s="21" t="str">
        <f>TEXT(WEEKDAY(DATE(CalendarYear,3,12),1),"ddd")</f>
        <v>dom</v>
      </c>
      <c r="M7" s="21" t="str">
        <f>TEXT(WEEKDAY(DATE(CalendarYear,3,13),1),"ddd")</f>
        <v>lun</v>
      </c>
      <c r="N7" s="21" t="str">
        <f>TEXT(WEEKDAY(DATE(CalendarYear,3,14),1),"ddd")</f>
        <v>mar</v>
      </c>
      <c r="O7" s="21" t="str">
        <f>TEXT(WEEKDAY(DATE(CalendarYear,3,15),1),"ddd")</f>
        <v>mié</v>
      </c>
      <c r="P7" s="21" t="str">
        <f>TEXT(WEEKDAY(DATE(CalendarYear,3,16),1),"ddd")</f>
        <v>jue</v>
      </c>
      <c r="Q7" s="21" t="str">
        <f>TEXT(WEEKDAY(DATE(CalendarYear,3,17),1),"ddd")</f>
        <v>vie</v>
      </c>
      <c r="R7" s="21" t="str">
        <f>TEXT(WEEKDAY(DATE(CalendarYear,3,18),1),"ddd")</f>
        <v>sáb</v>
      </c>
      <c r="S7" s="21" t="str">
        <f>TEXT(WEEKDAY(DATE(CalendarYear,3,19),1),"ddd")</f>
        <v>dom</v>
      </c>
      <c r="T7" s="21" t="str">
        <f>TEXT(WEEKDAY(DATE(CalendarYear,3,20),1),"ddd")</f>
        <v>lun</v>
      </c>
      <c r="U7" s="21" t="str">
        <f>TEXT(WEEKDAY(DATE(CalendarYear,3,21),1),"ddd")</f>
        <v>mar</v>
      </c>
      <c r="V7" s="21" t="str">
        <f>TEXT(WEEKDAY(DATE(CalendarYear,3,22),1),"ddd")</f>
        <v>mié</v>
      </c>
      <c r="W7" s="21" t="str">
        <f>TEXT(WEEKDAY(DATE(CalendarYear,3,23),1),"ddd")</f>
        <v>jue</v>
      </c>
      <c r="X7" s="21" t="str">
        <f>TEXT(WEEKDAY(DATE(CalendarYear,3,24),1),"ddd")</f>
        <v>vie</v>
      </c>
      <c r="Y7" s="21" t="str">
        <f>TEXT(WEEKDAY(DATE(CalendarYear,3,25),1),"ddd")</f>
        <v>sáb</v>
      </c>
      <c r="Z7" s="21" t="str">
        <f>TEXT(WEEKDAY(DATE(CalendarYear,3,26),1),"ddd")</f>
        <v>dom</v>
      </c>
      <c r="AA7" s="21" t="str">
        <f>TEXT(WEEKDAY(DATE(CalendarYear,3,27),1),"ddd")</f>
        <v>lun</v>
      </c>
      <c r="AB7" s="21" t="str">
        <f>TEXT(WEEKDAY(DATE(CalendarYear,3,28),1),"ddd")</f>
        <v>mar</v>
      </c>
      <c r="AC7" s="21" t="str">
        <f>TEXT(WEEKDAY(DATE(CalendarYear,3,29),1),"ddd")</f>
        <v>mié</v>
      </c>
      <c r="AD7" s="21" t="str">
        <f>TEXT(WEEKDAY(DATE(CalendarYear,3,30),1),"ddd")</f>
        <v>jue</v>
      </c>
      <c r="AE7" s="21" t="str">
        <f>TEXT(WEEKDAY(DATE(CalendarYear,3,31),1),"ddd")</f>
        <v>vie</v>
      </c>
      <c r="AF7" s="21" t="str">
        <f>TEXT(WEEKDAY(DATE(CalendarYear,3,25),1),"ddd")</f>
        <v>sáb</v>
      </c>
      <c r="AG7" s="21" t="str">
        <f>TEXT(WEEKDAY(DATE(CalendarYear,3,26),1),"ddd")</f>
        <v>dom</v>
      </c>
      <c r="AH7" s="6"/>
    </row>
    <row r="8" spans="2:34" ht="30" customHeight="1">
      <c r="B8" s="20" t="s">
        <v>3</v>
      </c>
      <c r="C8" s="1" t="s">
        <v>6</v>
      </c>
      <c r="D8" s="1" t="s">
        <v>8</v>
      </c>
      <c r="E8" s="1" t="s">
        <v>9</v>
      </c>
      <c r="F8" s="1" t="s">
        <v>11</v>
      </c>
      <c r="G8" s="1" t="s">
        <v>12</v>
      </c>
      <c r="H8" s="1" t="s">
        <v>13</v>
      </c>
      <c r="I8" s="1" t="s">
        <v>14</v>
      </c>
      <c r="J8" s="1" t="s">
        <v>15</v>
      </c>
      <c r="K8" s="1" t="s">
        <v>16</v>
      </c>
      <c r="L8" s="1" t="s">
        <v>17</v>
      </c>
      <c r="M8" s="1" t="s">
        <v>18</v>
      </c>
      <c r="N8" s="1" t="s">
        <v>19</v>
      </c>
      <c r="O8" s="1" t="s">
        <v>20</v>
      </c>
      <c r="P8" s="1" t="s">
        <v>21</v>
      </c>
      <c r="Q8" s="1" t="s">
        <v>22</v>
      </c>
      <c r="R8" s="1" t="s">
        <v>23</v>
      </c>
      <c r="S8" s="1" t="s">
        <v>24</v>
      </c>
      <c r="T8" s="1" t="s">
        <v>25</v>
      </c>
      <c r="U8" s="1" t="s">
        <v>26</v>
      </c>
      <c r="V8" s="1" t="s">
        <v>27</v>
      </c>
      <c r="W8" s="1" t="s">
        <v>28</v>
      </c>
      <c r="X8" s="1" t="s">
        <v>29</v>
      </c>
      <c r="Y8" s="1" t="s">
        <v>30</v>
      </c>
      <c r="Z8" s="1" t="s">
        <v>31</v>
      </c>
      <c r="AA8" s="1" t="s">
        <v>32</v>
      </c>
      <c r="AB8" s="1" t="s">
        <v>33</v>
      </c>
      <c r="AC8" s="1" t="s">
        <v>34</v>
      </c>
      <c r="AD8" s="1" t="s">
        <v>35</v>
      </c>
      <c r="AE8" s="1" t="s">
        <v>36</v>
      </c>
      <c r="AF8" s="1" t="s">
        <v>37</v>
      </c>
      <c r="AG8" s="1" t="s">
        <v>38</v>
      </c>
      <c r="AH8" s="22" t="s">
        <v>39</v>
      </c>
    </row>
    <row r="9" spans="2:34" ht="30" customHeight="1">
      <c r="B9" s="62" t="s">
        <v>157</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COUNTA(Marzo7[[#This Row],[1]:[31]])</f>
        <v>0</v>
      </c>
    </row>
    <row r="10" spans="2:34" ht="30" customHeight="1">
      <c r="B10" s="62" t="s">
        <v>158</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COUNTA(Marzo7[[#This Row],[1]:[31]])</f>
        <v>0</v>
      </c>
    </row>
    <row r="11" spans="2:34" ht="30" customHeight="1">
      <c r="B11" s="62" t="s">
        <v>55</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COUNTA(Marzo7[[#This Row],[1]:[31]])</f>
        <v>0</v>
      </c>
    </row>
    <row r="12" spans="2:34" ht="30" customHeight="1">
      <c r="B12" s="62" t="s">
        <v>56</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COUNTA(Marzo7[[#This Row],[1]:[31]])</f>
        <v>0</v>
      </c>
    </row>
    <row r="13" spans="2:34" ht="30" customHeight="1">
      <c r="B13" s="62" t="s">
        <v>57</v>
      </c>
      <c r="C13" s="1"/>
      <c r="D13" s="1"/>
      <c r="E13" s="1"/>
      <c r="F13" s="1"/>
      <c r="G13" s="1"/>
      <c r="H13" s="27" t="s">
        <v>10</v>
      </c>
      <c r="I13" s="27" t="s">
        <v>10</v>
      </c>
      <c r="J13" s="27" t="s">
        <v>10</v>
      </c>
      <c r="K13" s="1"/>
      <c r="L13" s="1"/>
      <c r="M13" s="1"/>
      <c r="N13" s="1"/>
      <c r="O13" s="1"/>
      <c r="P13" s="1"/>
      <c r="Q13" s="1"/>
      <c r="R13" s="1"/>
      <c r="S13" s="1"/>
      <c r="T13" s="1"/>
      <c r="U13" s="1"/>
      <c r="V13" s="1"/>
      <c r="W13" s="1"/>
      <c r="X13" s="1"/>
      <c r="Y13" s="1"/>
      <c r="Z13" s="1"/>
      <c r="AA13" s="1"/>
      <c r="AB13" s="1"/>
      <c r="AC13" s="1"/>
      <c r="AD13" s="1"/>
      <c r="AE13" s="1"/>
      <c r="AF13" s="1"/>
      <c r="AG13" s="1"/>
      <c r="AH13" s="3">
        <f>COUNTA(Marzo7[[#This Row],[1]:[31]])</f>
        <v>3</v>
      </c>
    </row>
    <row r="14" spans="2:34" ht="30" customHeight="1">
      <c r="B14" s="64" t="s">
        <v>58</v>
      </c>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35"/>
      <c r="AH14" s="3">
        <f>COUNTA(Marzo7[[#This Row],[1]:[31]])</f>
        <v>0</v>
      </c>
    </row>
    <row r="15" spans="2:34" ht="30" customHeight="1">
      <c r="B15" s="64" t="s">
        <v>59</v>
      </c>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35"/>
      <c r="AH15" s="3">
        <f>COUNTA(Marzo7[[#This Row],[1]:[31]])</f>
        <v>0</v>
      </c>
    </row>
    <row r="16" spans="2:34" ht="30" customHeight="1">
      <c r="B16" s="64" t="s">
        <v>60</v>
      </c>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35"/>
      <c r="AH16" s="3">
        <f>COUNTA(Marzo7[[#This Row],[1]:[31]])</f>
        <v>0</v>
      </c>
    </row>
    <row r="17" spans="2:34" ht="30" customHeight="1">
      <c r="B17" s="64" t="s">
        <v>61</v>
      </c>
      <c r="C17" s="1"/>
      <c r="D17" s="1"/>
      <c r="E17" s="1"/>
      <c r="F17" s="1"/>
      <c r="G17" s="1"/>
      <c r="H17" s="1"/>
      <c r="I17" s="1"/>
      <c r="J17" s="1"/>
      <c r="K17" s="1"/>
      <c r="L17" s="1"/>
      <c r="M17" s="17" t="s">
        <v>79</v>
      </c>
      <c r="N17" s="17" t="s">
        <v>79</v>
      </c>
      <c r="O17" s="1"/>
      <c r="P17" s="1"/>
      <c r="Q17" s="1"/>
      <c r="R17" s="1"/>
      <c r="S17" s="1"/>
      <c r="T17" s="1"/>
      <c r="U17" s="1"/>
      <c r="V17" s="1"/>
      <c r="W17" s="1"/>
      <c r="X17" s="1"/>
      <c r="Y17" s="1"/>
      <c r="Z17" s="1"/>
      <c r="AA17" s="1"/>
      <c r="AB17" s="1"/>
      <c r="AC17" s="1"/>
      <c r="AD17" s="1"/>
      <c r="AE17" s="1"/>
      <c r="AF17" s="1"/>
      <c r="AG17" s="35"/>
      <c r="AH17" s="3">
        <f>COUNTA(Marzo7[[#This Row],[1]:[31]])</f>
        <v>2</v>
      </c>
    </row>
    <row r="18" spans="2:34" ht="30" customHeight="1">
      <c r="B18" s="64" t="s">
        <v>62</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35"/>
      <c r="AH18" s="3">
        <f>COUNTA(Marzo7[[#This Row],[1]:[31]])</f>
        <v>0</v>
      </c>
    </row>
    <row r="19" spans="2:34" ht="30" customHeight="1">
      <c r="B19" s="64" t="s">
        <v>63</v>
      </c>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35"/>
      <c r="AH19" s="3">
        <f>COUNTA(Marzo7[[#This Row],[1]:[31]])</f>
        <v>0</v>
      </c>
    </row>
    <row r="20" spans="2:34" ht="30" customHeight="1">
      <c r="B20" s="64" t="s">
        <v>64</v>
      </c>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35"/>
      <c r="AH20" s="3">
        <f>COUNTA(Marzo7[[#This Row],[1]:[31]])</f>
        <v>0</v>
      </c>
    </row>
    <row r="21" spans="2:34" ht="30" customHeight="1">
      <c r="B21" s="64" t="s">
        <v>65</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35"/>
      <c r="AH21" s="3">
        <f>COUNTA(Marzo7[[#This Row],[1]:[31]])</f>
        <v>0</v>
      </c>
    </row>
    <row r="22" spans="2:34" ht="30" customHeight="1">
      <c r="B22" s="64" t="s">
        <v>66</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35"/>
      <c r="AH22" s="3">
        <f>COUNTA(Marzo7[[#This Row],[1]:[31]])</f>
        <v>0</v>
      </c>
    </row>
    <row r="23" spans="2:34" ht="30" customHeight="1">
      <c r="B23" s="64" t="s">
        <v>67</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35"/>
      <c r="AH23" s="3">
        <f>COUNTA(Marzo7[[#This Row],[1]:[31]])</f>
        <v>0</v>
      </c>
    </row>
    <row r="24" spans="2:34" ht="30" customHeight="1">
      <c r="B24" s="64" t="s">
        <v>68</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35"/>
      <c r="AH24" s="3">
        <f>COUNTA(Marzo7[[#This Row],[1]:[31]])</f>
        <v>0</v>
      </c>
    </row>
    <row r="25" spans="2:34" ht="30" customHeight="1">
      <c r="B25" s="64" t="s">
        <v>69</v>
      </c>
      <c r="C25" s="1"/>
      <c r="D25" s="1"/>
      <c r="E25" s="1"/>
      <c r="F25" s="17" t="s">
        <v>79</v>
      </c>
      <c r="G25" s="1"/>
      <c r="H25" s="1"/>
      <c r="I25" s="1"/>
      <c r="J25" s="1"/>
      <c r="K25" s="1"/>
      <c r="L25" s="1"/>
      <c r="M25" s="1"/>
      <c r="N25" s="1"/>
      <c r="O25" s="1"/>
      <c r="P25" s="1"/>
      <c r="Q25" s="1"/>
      <c r="R25" s="1"/>
      <c r="S25" s="1"/>
      <c r="T25" s="1"/>
      <c r="U25" s="1"/>
      <c r="V25" s="1"/>
      <c r="W25" s="1"/>
      <c r="X25" s="1"/>
      <c r="Y25" s="1"/>
      <c r="Z25" s="1"/>
      <c r="AA25" s="1"/>
      <c r="AB25" s="1"/>
      <c r="AC25" s="1"/>
      <c r="AD25" s="1"/>
      <c r="AE25" s="1"/>
      <c r="AF25" s="1"/>
      <c r="AG25" s="35"/>
      <c r="AH25" s="3">
        <f>COUNTA(Marzo7[[#This Row],[1]:[31]])</f>
        <v>1</v>
      </c>
    </row>
    <row r="26" spans="2:34" ht="30" customHeight="1">
      <c r="B26" s="64" t="s">
        <v>70</v>
      </c>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35"/>
      <c r="AH26" s="3">
        <f>COUNTA(Marzo7[[#This Row],[1]:[31]])</f>
        <v>0</v>
      </c>
    </row>
    <row r="27" spans="2:34" ht="30" customHeight="1">
      <c r="B27" s="64" t="s">
        <v>71</v>
      </c>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35"/>
      <c r="AH27" s="3">
        <f>COUNTA(Marzo7[[#This Row],[1]:[31]])</f>
        <v>0</v>
      </c>
    </row>
    <row r="28" spans="2:34" ht="30" customHeight="1">
      <c r="B28" s="5" t="str">
        <f>MonthName&amp;" Total"</f>
        <v>Marzo Total</v>
      </c>
      <c r="C28" s="4">
        <f>SUBTOTAL(103,Marzo7[1])</f>
        <v>0</v>
      </c>
      <c r="D28" s="4">
        <f>SUBTOTAL(103,Marzo7[2])</f>
        <v>0</v>
      </c>
      <c r="E28" s="4">
        <f>SUBTOTAL(103,Marzo7[3])</f>
        <v>0</v>
      </c>
      <c r="F28" s="4">
        <f>SUBTOTAL(103,Marzo7[4])</f>
        <v>1</v>
      </c>
      <c r="G28" s="4">
        <f>SUBTOTAL(103,Marzo7[5])</f>
        <v>0</v>
      </c>
      <c r="H28" s="4">
        <f>SUBTOTAL(103,Marzo7[6])</f>
        <v>1</v>
      </c>
      <c r="I28" s="4">
        <f>SUBTOTAL(103,Marzo7[7])</f>
        <v>1</v>
      </c>
      <c r="J28" s="4">
        <f>SUBTOTAL(103,Marzo7[8])</f>
        <v>1</v>
      </c>
      <c r="K28" s="4">
        <f>SUBTOTAL(103,Marzo7[9])</f>
        <v>0</v>
      </c>
      <c r="L28" s="4">
        <f>SUBTOTAL(103,Marzo7[10])</f>
        <v>0</v>
      </c>
      <c r="M28" s="4">
        <f>SUBTOTAL(103,Marzo7[11])</f>
        <v>1</v>
      </c>
      <c r="N28" s="4">
        <f>SUBTOTAL(103,Marzo7[12])</f>
        <v>1</v>
      </c>
      <c r="O28" s="4">
        <f>SUBTOTAL(103,Marzo7[13])</f>
        <v>0</v>
      </c>
      <c r="P28" s="4">
        <f>SUBTOTAL(103,Marzo7[14])</f>
        <v>0</v>
      </c>
      <c r="Q28" s="4">
        <f>SUBTOTAL(103,Marzo7[15])</f>
        <v>0</v>
      </c>
      <c r="R28" s="4">
        <f>SUBTOTAL(103,Marzo7[16])</f>
        <v>0</v>
      </c>
      <c r="S28" s="4">
        <f>SUBTOTAL(103,Marzo7[17])</f>
        <v>0</v>
      </c>
      <c r="T28" s="4">
        <f>SUBTOTAL(103,Marzo7[18])</f>
        <v>0</v>
      </c>
      <c r="U28" s="4">
        <f>SUBTOTAL(103,Marzo7[19])</f>
        <v>0</v>
      </c>
      <c r="V28" s="4">
        <f>SUBTOTAL(103,Marzo7[20])</f>
        <v>0</v>
      </c>
      <c r="W28" s="4">
        <f>SUBTOTAL(103,Marzo7[21])</f>
        <v>0</v>
      </c>
      <c r="X28" s="4">
        <f>SUBTOTAL(103,Marzo7[22])</f>
        <v>0</v>
      </c>
      <c r="Y28" s="4">
        <f>SUBTOTAL(103,Marzo7[23])</f>
        <v>0</v>
      </c>
      <c r="Z28" s="4">
        <f>SUBTOTAL(103,Marzo7[24])</f>
        <v>0</v>
      </c>
      <c r="AA28" s="4">
        <f>SUBTOTAL(103,Marzo7[25])</f>
        <v>0</v>
      </c>
      <c r="AB28" s="4">
        <f>SUBTOTAL(103,Marzo7[26])</f>
        <v>0</v>
      </c>
      <c r="AC28" s="4">
        <f>SUBTOTAL(103,Marzo7[27])</f>
        <v>0</v>
      </c>
      <c r="AD28" s="4">
        <f>SUBTOTAL(103,Marzo7[28])</f>
        <v>0</v>
      </c>
      <c r="AE28" s="4">
        <f>SUBTOTAL(103,Marzo7[29])</f>
        <v>0</v>
      </c>
      <c r="AF28" s="4">
        <f>SUBTOTAL(109,Marzo7[30])</f>
        <v>0</v>
      </c>
      <c r="AG28" s="4">
        <f>SUBTOTAL(109,Marzo7[31])</f>
        <v>0</v>
      </c>
      <c r="AH28" s="4">
        <f>SUBTOTAL(109,Marzo7[Total de días])</f>
        <v>6</v>
      </c>
    </row>
  </sheetData>
  <mergeCells count="7">
    <mergeCell ref="C6:AG6"/>
    <mergeCell ref="D4:F4"/>
    <mergeCell ref="H4:J4"/>
    <mergeCell ref="L4:N4"/>
    <mergeCell ref="P4:S4"/>
    <mergeCell ref="U4:X4"/>
    <mergeCell ref="Z4:AB4"/>
  </mergeCells>
  <conditionalFormatting sqref="C9:AG12 C13:G13 K13:AG13 C14:AG16 C17:L17 O17:AG17 C18:AG24 C25:E25 G25:AG25 C26:AG27">
    <cfRule type="expression" priority="1" stopIfTrue="1">
      <formula>C9=""</formula>
    </cfRule>
    <cfRule type="expression" dxfId="4" priority="2" stopIfTrue="1">
      <formula>C9=KeyCustom2</formula>
    </cfRule>
    <cfRule type="expression" dxfId="3" priority="3" stopIfTrue="1">
      <formula>C9=KeyCustom1</formula>
    </cfRule>
    <cfRule type="expression" dxfId="2" priority="4" stopIfTrue="1">
      <formula>C9=KeySick</formula>
    </cfRule>
    <cfRule type="expression" dxfId="1" priority="5" stopIfTrue="1">
      <formula>C9=KeyPersonal</formula>
    </cfRule>
    <cfRule type="expression" dxfId="0" priority="6" stopIfTrue="1">
      <formula>C9=KeyVacation</formula>
    </cfRule>
  </conditionalFormatting>
  <conditionalFormatting sqref="AH9:AH27">
    <cfRule type="dataBar" priority="324">
      <dataBar>
        <cfvo type="min"/>
        <cfvo type="formula" val="DATEDIF(DATE(CalendarYear,2,1),DATE(CalendarYear,3,1),&quot;d&quot;)"/>
        <color theme="2" tint="-0.249977111117893"/>
      </dataBar>
      <extLst>
        <ext xmlns:x14="http://schemas.microsoft.com/office/spreadsheetml/2009/9/main" uri="{B025F937-C7B1-47D3-B67F-A62EFF666E3E}">
          <x14:id>{9CA00A6E-E4E5-485E-996A-C65A59849A74}</x14:id>
        </ext>
      </extLst>
    </cfRule>
  </conditionalFormatting>
  <dataValidations count="14">
    <dataValidation allowBlank="1" showInputMessage="1" showErrorMessage="1" prompt="Escriba una etiqueta para describir la clave personalizada de la izquierda" sqref="U4 P4" xr:uid="{45BBE2BC-950F-41EA-9EB5-3974F68F2992}"/>
    <dataValidation allowBlank="1" showInputMessage="1" showErrorMessage="1" prompt="Esta celda contiene el título de la hoja de cálculo. " sqref="B1" xr:uid="{8CE69FA8-0153-482F-BAF3-C26E5C8A534F}"/>
    <dataValidation allowBlank="1" showInputMessage="1" showErrorMessage="1" prompt="Esta fila define las claves que se usan en la tabla: la celda C4 es para vacaciones, la celda G4 es para asuntos personales y la celda K4 es baja por enfermedad. Las celdas N4 y R4 se pueden personalizar" sqref="B4" xr:uid="{AA578719-CBFB-49AD-9EB9-C5D5645A0923}"/>
    <dataValidation allowBlank="1" showInputMessage="1" showErrorMessage="1" prompt="El nombre del mes de este plan de ausencias está en esta celda. Los totales de las ausencias para este mes aparecen en la última celda de la tabla. Seleccione los nombres de los empleados en la columna B de la tabla" sqref="B2" xr:uid="{14ACA987-8A22-4B5D-B226-1FA8263A41FB}"/>
    <dataValidation allowBlank="1" showInputMessage="1" showErrorMessage="1" prompt="Año actualizado automáticamente en función del año introducido en la hoja de cálculo de enero" sqref="AH6" xr:uid="{104E06AD-351B-4C9F-8104-C2B648BC4C73}"/>
    <dataValidation allowBlank="1" showInputMessage="1" showErrorMessage="1" prompt="Cálculo automático del número total de días que un empleado ha estado ausente este mes en esta columna" sqref="AH8" xr:uid="{722ACE3B-FCD5-4366-B177-B84790D4193D}"/>
    <dataValidation allowBlank="1" showInputMessage="1" showErrorMessage="1" prompt="Realice un seguimiento de las ausencias de marzo en esta hoja de cálculo." sqref="A1" xr:uid="{4F03DAB9-090C-479E-91A3-E978AFF43CC9}"/>
    <dataValidation errorStyle="warning" allowBlank="1" showInputMessage="1" showErrorMessage="1" error="Seleccione un nombre de la lista. Seleccione CANCELAR y, después, ALT+FLECHA ABAJO y ENTRAR para seleccionar un nombre" prompt="Escriba los nombres de los empleados en la hoja de cálculo Nombres de empleados y, después, seleccione uno de los nombres de la lista de esta columna. Presione ALT+FLECHA ABAJO y ENTRAR para seleccionar un nombre" sqref="B8" xr:uid="{F372497E-350B-497F-AFA6-36A2D09F4F91}"/>
    <dataValidation allowBlank="1" showInputMessage="1" showErrorMessage="1" prompt="El título se actualiza automáticamente en esta celda. Para modificarlo, actualice la celda B1 en la hoja de cálculo de enero" sqref="B2" xr:uid="{AFD2AC52-3023-40F1-B05F-EBEE7DEE2407}"/>
    <dataValidation allowBlank="1" showInputMessage="1" showErrorMessage="1" prompt="La letra “V” indica una ausencia por vacaciones" sqref="C4" xr:uid="{791B5E66-BADA-442A-A1D8-7A5485F4F8F3}"/>
    <dataValidation allowBlank="1" showInputMessage="1" showErrorMessage="1" prompt="La letra “P” indica una ausencia por motivos personales" sqref="G4 H13:J13" xr:uid="{8462021A-31B8-4281-A4A9-1D8DEFF4D451}"/>
    <dataValidation allowBlank="1" showInputMessage="1" showErrorMessage="1" prompt="La letra “E” indica una ausencia por enfermedad" sqref="K4" xr:uid="{D55F072A-E72F-42DA-9387-FA7479C3C447}"/>
    <dataValidation allowBlank="1" showInputMessage="1" showErrorMessage="1" prompt="Escriba una letra y personalice la etiqueta de la derecha para agregar otro elemento clave." sqref="O4 T4 M17:N17 F25" xr:uid="{B9EEBCD4-6548-468A-AE99-A0B89B876DB1}"/>
    <dataValidation allowBlank="1" showInputMessage="1" showErrorMessage="1" prompt="Los días del mes se generan automáticamente en esta fila. Especifique la ausencia del empleado y el tipo en cada columna para cada día del mes. En blanco significa que no hay ninguna ausencia" sqref="C8" xr:uid="{4A739267-8756-45AA-94C8-3F708A1D4052}"/>
  </dataValidations>
  <pageMargins left="0.7" right="0.7" top="0.75" bottom="0.75" header="0.3" footer="0.3"/>
  <pageSetup paperSize="9" fitToHeight="0" orientation="portrait" verticalDpi="4294967293"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9CA00A6E-E4E5-485E-996A-C65A59849A74}">
            <x14:dataBar minLength="0" maxLength="100">
              <x14:cfvo type="autoMin"/>
              <x14:cfvo type="formula">
                <xm:f>DATEDIF(DATE(CalendarYear,2,1),DATE(CalendarYear,3,1),"d")</xm:f>
              </x14:cfvo>
              <x14:negativeFillColor rgb="FFFF0000"/>
              <x14:axisColor rgb="FF000000"/>
            </x14:dataBar>
          </x14:cfRule>
          <xm:sqref>AH9:AH27</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1"/>
  </sheetPr>
  <dimension ref="B1:B23"/>
  <sheetViews>
    <sheetView showGridLines="0" topLeftCell="A8" zoomScale="54" workbookViewId="0">
      <selection activeCell="B5" sqref="B5:B23"/>
    </sheetView>
  </sheetViews>
  <sheetFormatPr baseColWidth="10" defaultColWidth="8.6328125" defaultRowHeight="30" customHeight="1"/>
  <cols>
    <col min="2" max="2" width="41.90625" style="1" customWidth="1"/>
  </cols>
  <sheetData>
    <row r="1" spans="2:2" ht="72" customHeight="1"/>
    <row r="2" spans="2:2" ht="31.5" customHeight="1">
      <c r="B2" s="59" t="s">
        <v>53</v>
      </c>
    </row>
    <row r="3" spans="2:2" ht="15" customHeight="1">
      <c r="B3"/>
    </row>
    <row r="4" spans="2:2" ht="30" customHeight="1">
      <c r="B4" t="s">
        <v>53</v>
      </c>
    </row>
    <row r="5" spans="2:2" ht="30" customHeight="1">
      <c r="B5" s="60" t="s">
        <v>157</v>
      </c>
    </row>
    <row r="6" spans="2:2" ht="30" customHeight="1">
      <c r="B6" s="60" t="s">
        <v>158</v>
      </c>
    </row>
    <row r="7" spans="2:2" ht="30" customHeight="1">
      <c r="B7" s="60" t="s">
        <v>55</v>
      </c>
    </row>
    <row r="8" spans="2:2" ht="30" customHeight="1">
      <c r="B8" s="60" t="s">
        <v>56</v>
      </c>
    </row>
    <row r="9" spans="2:2" ht="30" customHeight="1">
      <c r="B9" s="60" t="s">
        <v>57</v>
      </c>
    </row>
    <row r="10" spans="2:2" ht="30" customHeight="1">
      <c r="B10" s="61" t="s">
        <v>58</v>
      </c>
    </row>
    <row r="11" spans="2:2" ht="30" customHeight="1">
      <c r="B11" s="61" t="s">
        <v>59</v>
      </c>
    </row>
    <row r="12" spans="2:2" ht="30" customHeight="1">
      <c r="B12" s="61" t="s">
        <v>60</v>
      </c>
    </row>
    <row r="13" spans="2:2" ht="30" customHeight="1">
      <c r="B13" s="61" t="s">
        <v>61</v>
      </c>
    </row>
    <row r="14" spans="2:2" ht="30" customHeight="1">
      <c r="B14" s="61" t="s">
        <v>62</v>
      </c>
    </row>
    <row r="15" spans="2:2" ht="30" customHeight="1">
      <c r="B15" s="61" t="s">
        <v>63</v>
      </c>
    </row>
    <row r="16" spans="2:2" ht="30" customHeight="1">
      <c r="B16" s="61" t="s">
        <v>64</v>
      </c>
    </row>
    <row r="17" spans="2:2" ht="30" customHeight="1">
      <c r="B17" s="61" t="s">
        <v>65</v>
      </c>
    </row>
    <row r="18" spans="2:2" ht="30" customHeight="1">
      <c r="B18" s="61" t="s">
        <v>66</v>
      </c>
    </row>
    <row r="19" spans="2:2" ht="30" customHeight="1">
      <c r="B19" s="61" t="s">
        <v>67</v>
      </c>
    </row>
    <row r="20" spans="2:2" ht="30" customHeight="1">
      <c r="B20" s="61" t="s">
        <v>68</v>
      </c>
    </row>
    <row r="21" spans="2:2" ht="30" customHeight="1">
      <c r="B21" s="61" t="s">
        <v>69</v>
      </c>
    </row>
    <row r="22" spans="2:2" ht="30" customHeight="1">
      <c r="B22" s="61" t="s">
        <v>70</v>
      </c>
    </row>
    <row r="23" spans="2:2" ht="30" customHeight="1">
      <c r="B23" s="61" t="s">
        <v>71</v>
      </c>
    </row>
  </sheetData>
  <phoneticPr fontId="34" type="noConversion"/>
  <dataValidations count="1">
    <dataValidation allowBlank="1" showInputMessage="1" showErrorMessage="1" prompt="Escriba los nombres de los empleados en esta columna" sqref="B4" xr:uid="{00000000-0002-0000-0C00-000002000000}"/>
  </dataValidations>
  <pageMargins left="0.7" right="0.7" top="0.75" bottom="0.75" header="0.3" footer="0.3"/>
  <pageSetup paperSize="9" orientation="portrait" horizontalDpi="200" verticalDpi="200" r:id="rId1"/>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291FE-0B25-4ED9-8BE3-9DE3EB01C5E7}">
  <dimension ref="B4:M27"/>
  <sheetViews>
    <sheetView showGridLines="0" zoomScale="31" workbookViewId="0">
      <selection activeCell="M5" sqref="M5"/>
    </sheetView>
  </sheetViews>
  <sheetFormatPr baseColWidth="10" defaultColWidth="11.453125" defaultRowHeight="14.5"/>
  <cols>
    <col min="1" max="1" width="11.453125" style="41"/>
    <col min="2" max="2" width="11.453125" style="46"/>
    <col min="3" max="3" width="18.26953125" style="41" customWidth="1"/>
    <col min="4" max="4" width="50.6328125" style="50" customWidth="1"/>
    <col min="5" max="5" width="19.36328125" style="50" customWidth="1"/>
    <col min="6" max="6" width="31.81640625" style="50" bestFit="1" customWidth="1"/>
    <col min="7" max="7" width="25.26953125" style="50" bestFit="1" customWidth="1"/>
    <col min="8" max="8" width="15.36328125" style="50" customWidth="1"/>
    <col min="9" max="9" width="15.36328125" style="50" bestFit="1" customWidth="1"/>
    <col min="10" max="10" width="27.08984375" style="50" bestFit="1" customWidth="1"/>
    <col min="11" max="11" width="42.453125" style="50" bestFit="1" customWidth="1"/>
    <col min="12" max="12" width="51.36328125" style="50" bestFit="1" customWidth="1"/>
    <col min="13" max="13" width="96.453125" style="50" bestFit="1" customWidth="1"/>
    <col min="14" max="16384" width="11.453125" style="41"/>
  </cols>
  <sheetData>
    <row r="4" spans="2:13" ht="15.5">
      <c r="B4" s="45"/>
      <c r="C4" s="56" t="s">
        <v>141</v>
      </c>
      <c r="D4" s="57" t="s">
        <v>80</v>
      </c>
      <c r="E4" s="57" t="s">
        <v>81</v>
      </c>
      <c r="F4" s="57" t="s">
        <v>82</v>
      </c>
      <c r="G4" s="57" t="s">
        <v>144</v>
      </c>
      <c r="H4" s="57" t="s">
        <v>83</v>
      </c>
      <c r="I4" s="57" t="s">
        <v>84</v>
      </c>
      <c r="J4" s="57" t="s">
        <v>85</v>
      </c>
      <c r="K4" s="57" t="s">
        <v>86</v>
      </c>
      <c r="L4" s="57" t="s">
        <v>87</v>
      </c>
      <c r="M4" s="57" t="s">
        <v>159</v>
      </c>
    </row>
    <row r="5" spans="2:13" s="49" customFormat="1" ht="29.5" customHeight="1">
      <c r="B5" s="55">
        <v>1</v>
      </c>
      <c r="C5" s="47" t="s">
        <v>142</v>
      </c>
      <c r="D5" s="48" t="s">
        <v>90</v>
      </c>
      <c r="E5" s="51">
        <v>63531365</v>
      </c>
      <c r="F5" s="52">
        <v>30121</v>
      </c>
      <c r="G5" s="48" t="s">
        <v>145</v>
      </c>
      <c r="H5" s="48">
        <v>3016043978</v>
      </c>
      <c r="I5" s="48" t="s">
        <v>91</v>
      </c>
      <c r="J5" s="48" t="s">
        <v>92</v>
      </c>
      <c r="K5" s="48" t="s">
        <v>89</v>
      </c>
      <c r="L5" s="53" t="s">
        <v>94</v>
      </c>
      <c r="M5" s="48" t="s">
        <v>147</v>
      </c>
    </row>
    <row r="6" spans="2:13" s="49" customFormat="1" ht="29.5" customHeight="1">
      <c r="B6" s="55">
        <v>2</v>
      </c>
      <c r="C6" s="47" t="s">
        <v>142</v>
      </c>
      <c r="D6" s="48" t="s">
        <v>68</v>
      </c>
      <c r="E6" s="51">
        <v>63545997</v>
      </c>
      <c r="F6" s="52">
        <v>30700</v>
      </c>
      <c r="G6" s="48" t="s">
        <v>145</v>
      </c>
      <c r="H6" s="48">
        <v>3212204062</v>
      </c>
      <c r="I6" s="48" t="s">
        <v>95</v>
      </c>
      <c r="J6" s="48" t="s">
        <v>96</v>
      </c>
      <c r="K6" s="48" t="s">
        <v>97</v>
      </c>
      <c r="L6" s="53" t="s">
        <v>98</v>
      </c>
      <c r="M6" s="48" t="s">
        <v>149</v>
      </c>
    </row>
    <row r="7" spans="2:13" s="49" customFormat="1" ht="29.5" customHeight="1">
      <c r="B7" s="55">
        <v>3</v>
      </c>
      <c r="C7" s="47" t="s">
        <v>143</v>
      </c>
      <c r="D7" s="48" t="s">
        <v>55</v>
      </c>
      <c r="E7" s="51">
        <v>1098638470</v>
      </c>
      <c r="F7" s="52">
        <v>31977</v>
      </c>
      <c r="G7" s="48" t="s">
        <v>145</v>
      </c>
      <c r="H7" s="48">
        <v>3106080767</v>
      </c>
      <c r="I7" s="48" t="s">
        <v>99</v>
      </c>
      <c r="J7" s="48" t="s">
        <v>96</v>
      </c>
      <c r="K7" s="48" t="s">
        <v>100</v>
      </c>
      <c r="L7" s="53" t="s">
        <v>101</v>
      </c>
      <c r="M7" s="48" t="s">
        <v>147</v>
      </c>
    </row>
    <row r="8" spans="2:13" s="49" customFormat="1" ht="29.5" customHeight="1">
      <c r="B8" s="55">
        <v>4</v>
      </c>
      <c r="C8" s="47" t="s">
        <v>142</v>
      </c>
      <c r="D8" s="48" t="s">
        <v>102</v>
      </c>
      <c r="E8" s="48">
        <v>63391811</v>
      </c>
      <c r="F8" s="52">
        <v>23425</v>
      </c>
      <c r="G8" s="48" t="s">
        <v>145</v>
      </c>
      <c r="H8" s="48">
        <v>3153774856</v>
      </c>
      <c r="I8" s="48" t="s">
        <v>103</v>
      </c>
      <c r="J8" s="48" t="s">
        <v>104</v>
      </c>
      <c r="K8" s="48" t="s">
        <v>105</v>
      </c>
      <c r="L8" s="53" t="s">
        <v>106</v>
      </c>
      <c r="M8" s="48" t="s">
        <v>147</v>
      </c>
    </row>
    <row r="9" spans="2:13" s="49" customFormat="1" ht="29.5" customHeight="1">
      <c r="B9" s="55">
        <v>5</v>
      </c>
      <c r="C9" s="47" t="s">
        <v>142</v>
      </c>
      <c r="D9" s="48" t="s">
        <v>58</v>
      </c>
      <c r="E9" s="51">
        <v>63526725</v>
      </c>
      <c r="F9" s="52">
        <v>29993</v>
      </c>
      <c r="G9" s="48" t="s">
        <v>145</v>
      </c>
      <c r="H9" s="48">
        <v>3157295085</v>
      </c>
      <c r="I9" s="48" t="s">
        <v>107</v>
      </c>
      <c r="J9" s="48" t="s">
        <v>108</v>
      </c>
      <c r="K9" s="48" t="s">
        <v>109</v>
      </c>
      <c r="L9" s="53" t="s">
        <v>110</v>
      </c>
      <c r="M9" s="48" t="s">
        <v>150</v>
      </c>
    </row>
    <row r="10" spans="2:13" s="49" customFormat="1" ht="29.5" customHeight="1">
      <c r="B10" s="55">
        <v>6</v>
      </c>
      <c r="C10" s="47" t="s">
        <v>143</v>
      </c>
      <c r="D10" s="48" t="s">
        <v>54</v>
      </c>
      <c r="E10" s="51">
        <v>91592165</v>
      </c>
      <c r="F10" s="48" t="s">
        <v>111</v>
      </c>
      <c r="G10" s="48" t="s">
        <v>145</v>
      </c>
      <c r="H10" s="48">
        <v>3188659686</v>
      </c>
      <c r="I10" s="48" t="s">
        <v>91</v>
      </c>
      <c r="J10" s="48" t="s">
        <v>104</v>
      </c>
      <c r="K10" s="48" t="s">
        <v>112</v>
      </c>
      <c r="L10" s="53" t="s">
        <v>113</v>
      </c>
      <c r="M10" s="48" t="s">
        <v>147</v>
      </c>
    </row>
    <row r="11" spans="2:13" s="49" customFormat="1" ht="29.5" customHeight="1">
      <c r="B11" s="55">
        <v>7</v>
      </c>
      <c r="C11" s="47" t="s">
        <v>143</v>
      </c>
      <c r="D11" s="48" t="s">
        <v>114</v>
      </c>
      <c r="E11" s="51">
        <v>5736318</v>
      </c>
      <c r="F11" s="52">
        <v>23971</v>
      </c>
      <c r="G11" s="48" t="s">
        <v>146</v>
      </c>
      <c r="H11" s="48">
        <v>3238123610</v>
      </c>
      <c r="I11" s="48" t="s">
        <v>115</v>
      </c>
      <c r="J11" s="48" t="s">
        <v>104</v>
      </c>
      <c r="K11" s="48" t="s">
        <v>116</v>
      </c>
      <c r="L11" s="53" t="s">
        <v>117</v>
      </c>
      <c r="M11" s="48" t="s">
        <v>147</v>
      </c>
    </row>
    <row r="12" spans="2:13" s="49" customFormat="1" ht="29.5" customHeight="1">
      <c r="B12" s="55">
        <v>8</v>
      </c>
      <c r="C12" s="47" t="s">
        <v>142</v>
      </c>
      <c r="D12" s="48" t="s">
        <v>118</v>
      </c>
      <c r="E12" s="51">
        <v>63489864</v>
      </c>
      <c r="F12" s="52">
        <v>27029</v>
      </c>
      <c r="G12" s="48" t="s">
        <v>145</v>
      </c>
      <c r="H12" s="48">
        <v>3013111826</v>
      </c>
      <c r="I12" s="48" t="s">
        <v>107</v>
      </c>
      <c r="J12" s="48" t="s">
        <v>104</v>
      </c>
      <c r="K12" s="48" t="s">
        <v>119</v>
      </c>
      <c r="L12" s="53" t="s">
        <v>120</v>
      </c>
      <c r="M12" s="48" t="s">
        <v>147</v>
      </c>
    </row>
    <row r="13" spans="2:13" s="49" customFormat="1" ht="29.5" customHeight="1">
      <c r="B13" s="55">
        <v>9</v>
      </c>
      <c r="C13" s="47" t="s">
        <v>142</v>
      </c>
      <c r="D13" s="48" t="s">
        <v>60</v>
      </c>
      <c r="E13" s="51">
        <v>28334936</v>
      </c>
      <c r="F13" s="52">
        <v>24813</v>
      </c>
      <c r="G13" s="48" t="s">
        <v>145</v>
      </c>
      <c r="H13" s="48">
        <v>3108789318</v>
      </c>
      <c r="I13" s="48" t="s">
        <v>107</v>
      </c>
      <c r="J13" s="48" t="s">
        <v>92</v>
      </c>
      <c r="K13" s="48" t="s">
        <v>121</v>
      </c>
      <c r="L13" s="53" t="s">
        <v>122</v>
      </c>
      <c r="M13" s="48" t="s">
        <v>147</v>
      </c>
    </row>
    <row r="14" spans="2:13" s="49" customFormat="1" ht="29.5" customHeight="1">
      <c r="B14" s="55">
        <v>10</v>
      </c>
      <c r="C14" s="47" t="s">
        <v>142</v>
      </c>
      <c r="D14" s="48" t="s">
        <v>67</v>
      </c>
      <c r="E14" s="51">
        <v>30333539</v>
      </c>
      <c r="F14" s="52">
        <v>26914</v>
      </c>
      <c r="G14" s="48" t="s">
        <v>145</v>
      </c>
      <c r="H14" s="48">
        <v>3108310394</v>
      </c>
      <c r="I14" s="48" t="s">
        <v>123</v>
      </c>
      <c r="J14" s="48" t="s">
        <v>88</v>
      </c>
      <c r="K14" s="48" t="s">
        <v>124</v>
      </c>
      <c r="L14" s="53" t="s">
        <v>125</v>
      </c>
      <c r="M14" s="48" t="s">
        <v>147</v>
      </c>
    </row>
    <row r="15" spans="2:13" s="49" customFormat="1" ht="29.5" customHeight="1">
      <c r="B15" s="55">
        <v>11</v>
      </c>
      <c r="C15" s="47" t="s">
        <v>142</v>
      </c>
      <c r="D15" s="48" t="s">
        <v>126</v>
      </c>
      <c r="E15" s="51">
        <v>30334350</v>
      </c>
      <c r="F15" s="52">
        <v>27391</v>
      </c>
      <c r="G15" s="48" t="s">
        <v>145</v>
      </c>
      <c r="H15" s="48">
        <v>3136510160</v>
      </c>
      <c r="I15" s="48" t="s">
        <v>107</v>
      </c>
      <c r="J15" s="48" t="s">
        <v>104</v>
      </c>
      <c r="K15" s="48" t="s">
        <v>124</v>
      </c>
      <c r="L15" s="53" t="s">
        <v>127</v>
      </c>
      <c r="M15" s="48" t="s">
        <v>147</v>
      </c>
    </row>
    <row r="16" spans="2:13" s="49" customFormat="1" ht="29.5" customHeight="1">
      <c r="B16" s="55">
        <v>12</v>
      </c>
      <c r="C16" s="47" t="s">
        <v>142</v>
      </c>
      <c r="D16" s="48" t="s">
        <v>128</v>
      </c>
      <c r="E16" s="51">
        <v>52307856</v>
      </c>
      <c r="F16" s="52">
        <v>27640</v>
      </c>
      <c r="G16" s="48" t="s">
        <v>145</v>
      </c>
      <c r="H16" s="48">
        <v>317177367</v>
      </c>
      <c r="I16" s="48" t="s">
        <v>99</v>
      </c>
      <c r="J16" s="48" t="s">
        <v>92</v>
      </c>
      <c r="K16" s="48" t="s">
        <v>129</v>
      </c>
      <c r="L16" s="53" t="s">
        <v>130</v>
      </c>
      <c r="M16" s="48" t="s">
        <v>147</v>
      </c>
    </row>
    <row r="17" spans="2:13" s="49" customFormat="1" ht="29.5" customHeight="1">
      <c r="B17" s="55">
        <v>13</v>
      </c>
      <c r="C17" s="47" t="s">
        <v>143</v>
      </c>
      <c r="D17" s="48" t="s">
        <v>59</v>
      </c>
      <c r="E17" s="51">
        <v>91241542</v>
      </c>
      <c r="F17" s="52">
        <v>23986</v>
      </c>
      <c r="G17" s="48" t="s">
        <v>145</v>
      </c>
      <c r="H17" s="48">
        <v>3112816427</v>
      </c>
      <c r="I17" s="48" t="s">
        <v>107</v>
      </c>
      <c r="J17" s="48" t="s">
        <v>104</v>
      </c>
      <c r="K17" s="48" t="s">
        <v>131</v>
      </c>
      <c r="L17" s="53" t="s">
        <v>132</v>
      </c>
      <c r="M17" s="48" t="s">
        <v>147</v>
      </c>
    </row>
    <row r="18" spans="2:13" s="49" customFormat="1" ht="29.5" customHeight="1">
      <c r="B18" s="55">
        <v>14</v>
      </c>
      <c r="C18" s="47" t="s">
        <v>143</v>
      </c>
      <c r="D18" s="48" t="s">
        <v>62</v>
      </c>
      <c r="E18" s="51">
        <v>91247478</v>
      </c>
      <c r="F18" s="52">
        <v>24228</v>
      </c>
      <c r="G18" s="48" t="s">
        <v>146</v>
      </c>
      <c r="H18" s="48">
        <v>3044738775</v>
      </c>
      <c r="I18" s="48" t="s">
        <v>115</v>
      </c>
      <c r="J18" s="48" t="s">
        <v>104</v>
      </c>
      <c r="K18" s="48" t="s">
        <v>129</v>
      </c>
      <c r="L18" s="53" t="s">
        <v>133</v>
      </c>
      <c r="M18" s="48" t="s">
        <v>147</v>
      </c>
    </row>
    <row r="19" spans="2:13" s="49" customFormat="1" ht="29.5" customHeight="1">
      <c r="B19" s="55">
        <v>15</v>
      </c>
      <c r="C19" s="47" t="s">
        <v>143</v>
      </c>
      <c r="D19" s="48" t="s">
        <v>56</v>
      </c>
      <c r="E19" s="51">
        <v>91213199</v>
      </c>
      <c r="F19" s="52">
        <v>22194</v>
      </c>
      <c r="G19" s="48" t="s">
        <v>146</v>
      </c>
      <c r="H19" s="48">
        <v>3168115078</v>
      </c>
      <c r="I19" s="48" t="s">
        <v>99</v>
      </c>
      <c r="J19" s="48" t="s">
        <v>104</v>
      </c>
      <c r="K19" s="48" t="s">
        <v>124</v>
      </c>
      <c r="L19" s="53" t="s">
        <v>134</v>
      </c>
      <c r="M19" s="48" t="s">
        <v>147</v>
      </c>
    </row>
    <row r="20" spans="2:13" s="49" customFormat="1" ht="29.5" customHeight="1">
      <c r="B20" s="55">
        <v>16</v>
      </c>
      <c r="C20" s="47" t="s">
        <v>143</v>
      </c>
      <c r="D20" s="48" t="s">
        <v>66</v>
      </c>
      <c r="E20" s="51">
        <v>1098602417</v>
      </c>
      <c r="F20" s="52">
        <v>31048</v>
      </c>
      <c r="G20" s="48" t="s">
        <v>146</v>
      </c>
      <c r="H20" s="48">
        <v>3016425534</v>
      </c>
      <c r="I20" s="48" t="s">
        <v>99</v>
      </c>
      <c r="J20" s="48" t="s">
        <v>104</v>
      </c>
      <c r="K20" s="48" t="s">
        <v>129</v>
      </c>
      <c r="L20" s="53" t="s">
        <v>135</v>
      </c>
      <c r="M20" s="48" t="s">
        <v>147</v>
      </c>
    </row>
    <row r="21" spans="2:13" s="49" customFormat="1" ht="29.5" customHeight="1">
      <c r="B21" s="55">
        <v>17</v>
      </c>
      <c r="C21" s="47" t="s">
        <v>143</v>
      </c>
      <c r="D21" s="48" t="s">
        <v>71</v>
      </c>
      <c r="E21" s="51">
        <v>1098718590</v>
      </c>
      <c r="F21" s="52">
        <v>33655</v>
      </c>
      <c r="G21" s="48" t="s">
        <v>145</v>
      </c>
      <c r="H21" s="48">
        <v>3004860570</v>
      </c>
      <c r="I21" s="48" t="s">
        <v>107</v>
      </c>
      <c r="J21" s="48" t="s">
        <v>108</v>
      </c>
      <c r="K21" s="48" t="s">
        <v>136</v>
      </c>
      <c r="L21" s="53" t="s">
        <v>137</v>
      </c>
      <c r="M21" s="48" t="s">
        <v>147</v>
      </c>
    </row>
    <row r="22" spans="2:13" s="49" customFormat="1" ht="29.5" customHeight="1">
      <c r="B22" s="55">
        <v>18</v>
      </c>
      <c r="C22" s="47" t="s">
        <v>143</v>
      </c>
      <c r="D22" s="48" t="s">
        <v>138</v>
      </c>
      <c r="E22" s="51">
        <v>91262018</v>
      </c>
      <c r="F22" s="52">
        <v>25165</v>
      </c>
      <c r="G22" s="48" t="s">
        <v>146</v>
      </c>
      <c r="H22" s="48">
        <v>3004588882</v>
      </c>
      <c r="I22" s="48" t="s">
        <v>139</v>
      </c>
      <c r="J22" s="48" t="s">
        <v>96</v>
      </c>
      <c r="K22" s="48" t="s">
        <v>136</v>
      </c>
      <c r="L22" s="53" t="s">
        <v>140</v>
      </c>
      <c r="M22" s="48" t="s">
        <v>147</v>
      </c>
    </row>
    <row r="23" spans="2:13" s="49" customFormat="1" ht="29.5" customHeight="1">
      <c r="B23" s="55">
        <v>19</v>
      </c>
      <c r="C23" s="47" t="s">
        <v>142</v>
      </c>
      <c r="D23" s="48" t="s">
        <v>148</v>
      </c>
      <c r="E23" s="51">
        <v>37514927</v>
      </c>
      <c r="F23" s="52">
        <v>25059</v>
      </c>
      <c r="G23" s="48" t="s">
        <v>145</v>
      </c>
      <c r="H23" s="48">
        <v>3020312401</v>
      </c>
      <c r="I23" s="48" t="s">
        <v>107</v>
      </c>
      <c r="J23" s="48" t="s">
        <v>104</v>
      </c>
      <c r="K23" s="48" t="s">
        <v>93</v>
      </c>
      <c r="L23" s="53" t="s">
        <v>94</v>
      </c>
      <c r="M23" s="48" t="s">
        <v>147</v>
      </c>
    </row>
    <row r="25" spans="2:13">
      <c r="C25" s="43" t="s">
        <v>151</v>
      </c>
    </row>
    <row r="26" spans="2:13">
      <c r="C26" s="43" t="s">
        <v>152</v>
      </c>
      <c r="E26" s="54" t="s">
        <v>154</v>
      </c>
    </row>
    <row r="27" spans="2:13">
      <c r="C27" s="43" t="s">
        <v>153</v>
      </c>
      <c r="E27" s="54" t="s">
        <v>155</v>
      </c>
    </row>
  </sheetData>
  <sheetProtection algorithmName="SHA-512" hashValue="RjlCaW45fBKMnXbgSxNkblIipP2JIKYxyG5oV76c17HtaqUXiCtZ0R+s+qS+YLF1iJMDVeHrmGDR6JjCZxutqQ==" saltValue="bKmfete84zSVtlIHyWRHLw==" spinCount="100000" sheet="1" objects="1" scenarios="1" selectLockedCells="1" selectUnlockedCells="1"/>
  <hyperlinks>
    <hyperlink ref="L6" r:id="rId1" xr:uid="{CC5FEE91-DFF0-46AC-9D7C-6C81BDE5AEA8}"/>
    <hyperlink ref="L7" r:id="rId2" xr:uid="{E9A91BEF-7488-4FFF-BB3F-26BD51EA7C35}"/>
    <hyperlink ref="L8" r:id="rId3" xr:uid="{597F8D76-DF8D-4220-B61E-CD20E4748359}"/>
    <hyperlink ref="L9" r:id="rId4" xr:uid="{C84F2DBB-EF7A-4D88-A25D-D45E8DBF10E9}"/>
    <hyperlink ref="L10" r:id="rId5" xr:uid="{CF74E866-2695-4212-A26D-8530C395605D}"/>
    <hyperlink ref="L11" r:id="rId6" xr:uid="{EA6A2EE3-18C9-4A0F-970D-81EC2A57973E}"/>
    <hyperlink ref="L12" r:id="rId7" xr:uid="{D2EFCB51-7370-4D07-8703-C9A805E85A21}"/>
    <hyperlink ref="L13" r:id="rId8" xr:uid="{F0BB6CD7-59AE-466F-BFCC-9188558867F3}"/>
    <hyperlink ref="L20" r:id="rId9" xr:uid="{92248B30-370F-4437-BBA6-52B496EE64EA}"/>
    <hyperlink ref="L16" r:id="rId10" xr:uid="{A1F6DE28-D21D-4D64-AC12-1D6DB2915EC4}"/>
    <hyperlink ref="L17" r:id="rId11" xr:uid="{F2EF407C-AF3A-45AD-B9EF-89899BC20636}"/>
    <hyperlink ref="L18" r:id="rId12" xr:uid="{AF54DA09-8594-4AAD-BB8D-EDC26ABAC1CD}"/>
    <hyperlink ref="L21" r:id="rId13" xr:uid="{E3DC6015-A6F0-4AF8-8F8D-8878D90312F6}"/>
    <hyperlink ref="L14" r:id="rId14" xr:uid="{B071AD24-FCB9-4463-A92F-2D5234463D3B}"/>
    <hyperlink ref="L15" r:id="rId15" xr:uid="{5C92DC23-0979-4209-9C62-BD0A5CA7B4EB}"/>
    <hyperlink ref="L19" r:id="rId16" xr:uid="{755B1023-C193-48AC-A90C-830358DC4330}"/>
    <hyperlink ref="L22" r:id="rId17" xr:uid="{A16FE0FB-2A1D-4D5B-80D8-1B412A710C9E}"/>
    <hyperlink ref="L5" r:id="rId18" xr:uid="{13604258-526B-4343-B16F-765004F63985}"/>
    <hyperlink ref="L23" r:id="rId19" xr:uid="{B9F79F6A-2131-43F9-B17D-259EF1E19787}"/>
  </hyperlinks>
  <pageMargins left="0.7" right="0.7" top="0.75" bottom="0.75" header="0.3" footer="0.3"/>
  <pageSetup orientation="portrait" r:id="rId2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sheetPr>
  <dimension ref="A1:AH28"/>
  <sheetViews>
    <sheetView showGridLines="0" topLeftCell="A2" zoomScale="34" zoomScaleNormal="100" workbookViewId="0">
      <selection activeCell="P4" sqref="P4:S4"/>
    </sheetView>
  </sheetViews>
  <sheetFormatPr baseColWidth="10" defaultColWidth="9.08984375" defaultRowHeight="30" customHeight="1"/>
  <cols>
    <col min="1" max="1" width="2.6328125" customWidth="1"/>
    <col min="2" max="2" width="37.54296875" customWidth="1"/>
    <col min="3" max="33" width="4.6328125" customWidth="1"/>
    <col min="34" max="34" width="13.453125" customWidth="1"/>
    <col min="35" max="35" width="2.6328125" customWidth="1"/>
  </cols>
  <sheetData>
    <row r="1" spans="1:34" ht="50" customHeight="1">
      <c r="B1" s="24" t="s">
        <v>0</v>
      </c>
    </row>
    <row r="2" spans="1:34" s="11" customFormat="1" ht="100.25" customHeight="1">
      <c r="A2"/>
      <c r="B2" s="23" t="s">
        <v>40</v>
      </c>
    </row>
    <row r="3" spans="1:34" ht="15" customHeight="1">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row>
    <row r="4" spans="1:34" ht="30" customHeight="1">
      <c r="B4" s="7" t="s">
        <v>2</v>
      </c>
      <c r="C4" s="29" t="s">
        <v>4</v>
      </c>
      <c r="D4" s="68" t="s">
        <v>7</v>
      </c>
      <c r="E4" s="68"/>
      <c r="F4" s="68"/>
      <c r="G4" s="27" t="s">
        <v>10</v>
      </c>
      <c r="H4" s="69" t="s">
        <v>77</v>
      </c>
      <c r="I4" s="69"/>
      <c r="J4" s="69"/>
      <c r="K4" s="28" t="s">
        <v>75</v>
      </c>
      <c r="L4" s="68" t="s">
        <v>76</v>
      </c>
      <c r="M4" s="68"/>
      <c r="N4" s="68"/>
      <c r="O4" s="17" t="s">
        <v>79</v>
      </c>
      <c r="P4" s="68" t="s">
        <v>160</v>
      </c>
      <c r="Q4" s="68"/>
      <c r="R4" s="68"/>
      <c r="S4" s="68"/>
      <c r="T4" s="18" t="s">
        <v>73</v>
      </c>
      <c r="U4" s="68" t="s">
        <v>74</v>
      </c>
      <c r="V4" s="68"/>
      <c r="W4" s="68"/>
      <c r="X4" s="68"/>
      <c r="Y4" s="36" t="s">
        <v>78</v>
      </c>
      <c r="Z4" s="70" t="s">
        <v>72</v>
      </c>
      <c r="AA4" s="70"/>
      <c r="AB4" s="70"/>
    </row>
    <row r="5" spans="1:34" ht="15" customHeight="1">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row>
    <row r="6" spans="1:34" ht="50" customHeight="1">
      <c r="B6" s="6"/>
      <c r="C6" s="67" t="s">
        <v>5</v>
      </c>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
        <v>2023</v>
      </c>
    </row>
    <row r="7" spans="1:34" ht="30" customHeight="1">
      <c r="B7" s="6"/>
      <c r="C7" s="21" t="str">
        <f>TEXT(WEEKDAY(DATE(CalendarYear,2,1),1),"ddd")</f>
        <v>mié</v>
      </c>
      <c r="D7" s="21" t="str">
        <f>TEXT(WEEKDAY(DATE(CalendarYear,2,2),1),"ddd")</f>
        <v>jue</v>
      </c>
      <c r="E7" s="21" t="str">
        <f>TEXT(WEEKDAY(DATE(CalendarYear,2,3),1),"ddd")</f>
        <v>vie</v>
      </c>
      <c r="F7" s="21" t="str">
        <f>TEXT(WEEKDAY(DATE(CalendarYear,2,4),1),"ddd")</f>
        <v>sáb</v>
      </c>
      <c r="G7" s="21" t="str">
        <f>TEXT(WEEKDAY(DATE(CalendarYear,2,5),1),"ddd")</f>
        <v>dom</v>
      </c>
      <c r="H7" s="21" t="str">
        <f>TEXT(WEEKDAY(DATE(CalendarYear,2,6),1),"ddd")</f>
        <v>lun</v>
      </c>
      <c r="I7" s="21" t="str">
        <f>TEXT(WEEKDAY(DATE(CalendarYear,2,7),1),"ddd")</f>
        <v>mar</v>
      </c>
      <c r="J7" s="21" t="str">
        <f>TEXT(WEEKDAY(DATE(CalendarYear,2,8),1),"ddd")</f>
        <v>mié</v>
      </c>
      <c r="K7" s="21" t="str">
        <f>TEXT(WEEKDAY(DATE(CalendarYear,2,9),1),"ddd")</f>
        <v>jue</v>
      </c>
      <c r="L7" s="21" t="str">
        <f>TEXT(WEEKDAY(DATE(CalendarYear,2,10),1),"ddd")</f>
        <v>vie</v>
      </c>
      <c r="M7" s="21" t="str">
        <f>TEXT(WEEKDAY(DATE(CalendarYear,2,11),1),"ddd")</f>
        <v>sáb</v>
      </c>
      <c r="N7" s="21" t="str">
        <f>TEXT(WEEKDAY(DATE(CalendarYear,2,12),1),"ddd")</f>
        <v>dom</v>
      </c>
      <c r="O7" s="21" t="str">
        <f>TEXT(WEEKDAY(DATE(CalendarYear,2,13),1),"ddd")</f>
        <v>lun</v>
      </c>
      <c r="P7" s="21" t="str">
        <f>TEXT(WEEKDAY(DATE(CalendarYear,2,14),1),"ddd")</f>
        <v>mar</v>
      </c>
      <c r="Q7" s="21" t="str">
        <f>TEXT(WEEKDAY(DATE(CalendarYear,2,15),1),"ddd")</f>
        <v>mié</v>
      </c>
      <c r="R7" s="21" t="str">
        <f>TEXT(WEEKDAY(DATE(CalendarYear,2,16),1),"ddd")</f>
        <v>jue</v>
      </c>
      <c r="S7" s="21" t="str">
        <f>TEXT(WEEKDAY(DATE(CalendarYear,2,17),1),"ddd")</f>
        <v>vie</v>
      </c>
      <c r="T7" s="21" t="str">
        <f>TEXT(WEEKDAY(DATE(CalendarYear,2,18),1),"ddd")</f>
        <v>sáb</v>
      </c>
      <c r="U7" s="21" t="str">
        <f>TEXT(WEEKDAY(DATE(CalendarYear,2,19),1),"ddd")</f>
        <v>dom</v>
      </c>
      <c r="V7" s="21" t="str">
        <f>TEXT(WEEKDAY(DATE(CalendarYear,2,20),1),"ddd")</f>
        <v>lun</v>
      </c>
      <c r="W7" s="21" t="str">
        <f>TEXT(WEEKDAY(DATE(CalendarYear,2,21),1),"ddd")</f>
        <v>mar</v>
      </c>
      <c r="X7" s="21" t="str">
        <f>TEXT(WEEKDAY(DATE(CalendarYear,2,22),1),"ddd")</f>
        <v>mié</v>
      </c>
      <c r="Y7" s="21" t="str">
        <f>TEXT(WEEKDAY(DATE(CalendarYear,2,23),1),"ddd")</f>
        <v>jue</v>
      </c>
      <c r="Z7" s="21" t="str">
        <f>TEXT(WEEKDAY(DATE(CalendarYear,2,24),1),"ddd")</f>
        <v>vie</v>
      </c>
      <c r="AA7" s="21" t="str">
        <f>TEXT(WEEKDAY(DATE(CalendarYear,2,25),1),"ddd")</f>
        <v>sáb</v>
      </c>
      <c r="AB7" s="21" t="str">
        <f>TEXT(WEEKDAY(DATE(CalendarYear,2,26),1),"ddd")</f>
        <v>dom</v>
      </c>
      <c r="AC7" s="21" t="str">
        <f>TEXT(WEEKDAY(DATE(CalendarYear,2,27),1),"ddd")</f>
        <v>lun</v>
      </c>
      <c r="AD7" s="21" t="str">
        <f>TEXT(WEEKDAY(DATE(CalendarYear,2,28),1),"ddd")</f>
        <v>mar</v>
      </c>
      <c r="AE7" s="21" t="str">
        <f>TEXT(WEEKDAY(DATE(CalendarYear,2,29),1),"ddd")</f>
        <v>mié</v>
      </c>
      <c r="AF7" s="21"/>
      <c r="AG7" s="21"/>
      <c r="AH7" s="6"/>
    </row>
    <row r="8" spans="1:34" ht="30" customHeight="1">
      <c r="B8" s="20" t="s">
        <v>3</v>
      </c>
      <c r="C8" s="1" t="s">
        <v>6</v>
      </c>
      <c r="D8" s="1" t="s">
        <v>8</v>
      </c>
      <c r="E8" s="1" t="s">
        <v>9</v>
      </c>
      <c r="F8" s="1" t="s">
        <v>11</v>
      </c>
      <c r="G8" s="1" t="s">
        <v>12</v>
      </c>
      <c r="H8" s="1" t="s">
        <v>13</v>
      </c>
      <c r="I8" s="1" t="s">
        <v>14</v>
      </c>
      <c r="J8" s="1" t="s">
        <v>15</v>
      </c>
      <c r="K8" s="1" t="s">
        <v>16</v>
      </c>
      <c r="L8" s="1" t="s">
        <v>17</v>
      </c>
      <c r="M8" s="1" t="s">
        <v>18</v>
      </c>
      <c r="N8" s="1" t="s">
        <v>19</v>
      </c>
      <c r="O8" s="1" t="s">
        <v>20</v>
      </c>
      <c r="P8" s="1" t="s">
        <v>21</v>
      </c>
      <c r="Q8" s="1" t="s">
        <v>22</v>
      </c>
      <c r="R8" s="1" t="s">
        <v>23</v>
      </c>
      <c r="S8" s="1" t="s">
        <v>24</v>
      </c>
      <c r="T8" s="1" t="s">
        <v>25</v>
      </c>
      <c r="U8" s="1" t="s">
        <v>26</v>
      </c>
      <c r="V8" s="1" t="s">
        <v>27</v>
      </c>
      <c r="W8" s="1" t="s">
        <v>28</v>
      </c>
      <c r="X8" s="1" t="s">
        <v>29</v>
      </c>
      <c r="Y8" s="1" t="s">
        <v>30</v>
      </c>
      <c r="Z8" s="1" t="s">
        <v>31</v>
      </c>
      <c r="AA8" s="1" t="s">
        <v>32</v>
      </c>
      <c r="AB8" s="1" t="s">
        <v>33</v>
      </c>
      <c r="AC8" s="1" t="s">
        <v>34</v>
      </c>
      <c r="AD8" s="1" t="s">
        <v>35</v>
      </c>
      <c r="AE8" s="1" t="s">
        <v>36</v>
      </c>
      <c r="AF8" s="1" t="s">
        <v>41</v>
      </c>
      <c r="AG8" s="1" t="s">
        <v>42</v>
      </c>
      <c r="AH8" s="22" t="s">
        <v>39</v>
      </c>
    </row>
    <row r="9" spans="1:34" ht="30" customHeight="1">
      <c r="B9" s="2" t="s">
        <v>54</v>
      </c>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3">
        <f>COUNTA(Febrero[[#This Row],[1]:[29]])</f>
        <v>0</v>
      </c>
    </row>
    <row r="10" spans="1:34" ht="30" customHeight="1">
      <c r="B10" s="2" t="s">
        <v>55</v>
      </c>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3">
        <f>COUNTA(Febrero[[#This Row],[1]:[29]])</f>
        <v>0</v>
      </c>
    </row>
    <row r="11" spans="1:34" ht="30" customHeight="1">
      <c r="B11" s="2" t="s">
        <v>56</v>
      </c>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3">
        <f>COUNTA(Febrero[[#This Row],[1]:[29]])</f>
        <v>0</v>
      </c>
    </row>
    <row r="12" spans="1:34" ht="30" customHeight="1">
      <c r="B12" s="2" t="s">
        <v>57</v>
      </c>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3">
        <f>COUNTA(Febrero[[#This Row],[1]:[29]])</f>
        <v>0</v>
      </c>
    </row>
    <row r="13" spans="1:34" ht="30" customHeight="1">
      <c r="B13" s="2" t="s">
        <v>58</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
        <f>COUNTA(Febrero[[#This Row],[1]:[29]])</f>
        <v>0</v>
      </c>
    </row>
    <row r="14" spans="1:34" ht="30" customHeight="1">
      <c r="B14" s="33" t="s">
        <v>59</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
        <f>COUNTA(Febrero[[#This Row],[1]:[29]])</f>
        <v>0</v>
      </c>
    </row>
    <row r="15" spans="1:34" ht="30" customHeight="1">
      <c r="B15" s="33" t="s">
        <v>60</v>
      </c>
      <c r="C15" s="37"/>
      <c r="D15" s="37"/>
      <c r="E15" s="37"/>
      <c r="F15" s="37"/>
      <c r="G15" s="37"/>
      <c r="H15" s="37"/>
      <c r="I15" s="37"/>
      <c r="J15" s="37"/>
      <c r="K15" s="37"/>
      <c r="L15" s="37"/>
      <c r="M15" s="37"/>
      <c r="N15" s="37"/>
      <c r="O15" s="37"/>
      <c r="P15" s="37"/>
      <c r="Q15" s="37"/>
      <c r="R15" s="37"/>
      <c r="S15" s="37"/>
      <c r="T15" s="37"/>
      <c r="U15" s="37"/>
      <c r="V15" s="37"/>
      <c r="W15" s="37"/>
      <c r="X15" s="37"/>
      <c r="Y15" s="37"/>
      <c r="Z15" s="38" t="s">
        <v>78</v>
      </c>
      <c r="AA15" s="37"/>
      <c r="AB15" s="37"/>
      <c r="AC15" s="37"/>
      <c r="AD15" s="37"/>
      <c r="AE15" s="37"/>
      <c r="AF15" s="37"/>
      <c r="AG15" s="37"/>
      <c r="AH15" s="3">
        <f>COUNTA(Febrero[[#This Row],[1]:[29]])</f>
        <v>1</v>
      </c>
    </row>
    <row r="16" spans="1:34" ht="30" customHeight="1">
      <c r="B16" s="33" t="s">
        <v>61</v>
      </c>
      <c r="C16" s="37"/>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
        <f>COUNTA(Febrero[[#This Row],[1]:[29]])</f>
        <v>0</v>
      </c>
    </row>
    <row r="17" spans="2:34" ht="30" customHeight="1">
      <c r="B17" s="33" t="s">
        <v>62</v>
      </c>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
        <f>COUNTA(Febrero[[#This Row],[1]:[29]])</f>
        <v>0</v>
      </c>
    </row>
    <row r="18" spans="2:34" ht="30" customHeight="1">
      <c r="B18" s="33" t="s">
        <v>63</v>
      </c>
      <c r="C18" s="37"/>
      <c r="D18" s="37"/>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
        <f>COUNTA(Febrero[[#This Row],[1]:[29]])</f>
        <v>0</v>
      </c>
    </row>
    <row r="19" spans="2:34" ht="30" customHeight="1">
      <c r="B19" s="33" t="s">
        <v>64</v>
      </c>
      <c r="C19" s="37"/>
      <c r="D19" s="37"/>
      <c r="E19" s="37"/>
      <c r="F19" s="37"/>
      <c r="G19" s="37"/>
      <c r="H19" s="37"/>
      <c r="I19" s="37"/>
      <c r="J19" s="37"/>
      <c r="K19" s="37"/>
      <c r="L19" s="38" t="s">
        <v>78</v>
      </c>
      <c r="M19" s="37"/>
      <c r="N19" s="37"/>
      <c r="O19" s="37"/>
      <c r="P19" s="37"/>
      <c r="Q19" s="37"/>
      <c r="R19" s="37"/>
      <c r="S19" s="37"/>
      <c r="T19" s="37"/>
      <c r="U19" s="37"/>
      <c r="V19" s="37"/>
      <c r="W19" s="37"/>
      <c r="X19" s="37"/>
      <c r="Y19" s="37"/>
      <c r="Z19" s="38" t="s">
        <v>78</v>
      </c>
      <c r="AA19" s="37"/>
      <c r="AB19" s="37"/>
      <c r="AC19" s="37"/>
      <c r="AD19" s="37"/>
      <c r="AE19" s="37"/>
      <c r="AF19" s="37"/>
      <c r="AG19" s="37"/>
      <c r="AH19" s="3">
        <f>COUNTA(Febrero[[#This Row],[1]:[29]])</f>
        <v>2</v>
      </c>
    </row>
    <row r="20" spans="2:34" ht="30" customHeight="1">
      <c r="B20" s="33" t="s">
        <v>138</v>
      </c>
      <c r="C20" s="37"/>
      <c r="D20" s="37"/>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c r="AG20" s="37"/>
      <c r="AH20" s="3">
        <f>COUNTA(Febrero[[#This Row],[1]:[29]])</f>
        <v>0</v>
      </c>
    </row>
    <row r="21" spans="2:34" ht="30" customHeight="1">
      <c r="B21" s="33" t="s">
        <v>66</v>
      </c>
      <c r="C21" s="37"/>
      <c r="D21" s="37"/>
      <c r="E21" s="37"/>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c r="AG21" s="37"/>
      <c r="AH21" s="3">
        <f>COUNTA(Febrero[[#This Row],[1]:[29]])</f>
        <v>0</v>
      </c>
    </row>
    <row r="22" spans="2:34" ht="30" customHeight="1">
      <c r="B22" s="33" t="s">
        <v>67</v>
      </c>
      <c r="C22" s="37"/>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c r="AG22" s="37"/>
      <c r="AH22" s="3">
        <f>COUNTA(Febrero[[#This Row],[1]:[29]])</f>
        <v>0</v>
      </c>
    </row>
    <row r="23" spans="2:34" ht="30" customHeight="1">
      <c r="B23" s="33" t="s">
        <v>68</v>
      </c>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
        <f>COUNTA(Febrero[[#This Row],[1]:[29]])</f>
        <v>0</v>
      </c>
    </row>
    <row r="24" spans="2:34" ht="30" customHeight="1">
      <c r="B24" s="33" t="s">
        <v>69</v>
      </c>
      <c r="C24" s="37"/>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
        <f>COUNTA(Febrero[[#This Row],[1]:[29]])</f>
        <v>0</v>
      </c>
    </row>
    <row r="25" spans="2:34" ht="30" customHeight="1">
      <c r="B25" s="33" t="s">
        <v>70</v>
      </c>
      <c r="C25" s="37"/>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
        <f>COUNTA(Febrero[[#This Row],[1]:[29]])</f>
        <v>0</v>
      </c>
    </row>
    <row r="26" spans="2:34" ht="30" customHeight="1">
      <c r="B26" s="33" t="s">
        <v>71</v>
      </c>
      <c r="C26" s="37"/>
      <c r="D26" s="37"/>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
        <f>COUNTA(Febrero[[#This Row],[1]:[29]])</f>
        <v>0</v>
      </c>
    </row>
    <row r="27" spans="2:34" ht="30" customHeight="1">
      <c r="B27" s="42" t="s">
        <v>148</v>
      </c>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
        <f>COUNTA(Febrero[[#This Row],[1]:[29]])</f>
        <v>0</v>
      </c>
    </row>
    <row r="28" spans="2:34" ht="30" customHeight="1">
      <c r="B28" s="5" t="str">
        <f>MonthName&amp;" total"</f>
        <v>Febrero total</v>
      </c>
      <c r="C28" s="4">
        <f>SUBTOTAL(103,Febrero[1])</f>
        <v>0</v>
      </c>
      <c r="D28" s="4">
        <f>SUBTOTAL(103,Febrero[2])</f>
        <v>0</v>
      </c>
      <c r="E28" s="4">
        <f>SUBTOTAL(103,Febrero[3])</f>
        <v>0</v>
      </c>
      <c r="F28" s="4">
        <f>SUBTOTAL(103,Febrero[4])</f>
        <v>0</v>
      </c>
      <c r="G28" s="4">
        <f>SUBTOTAL(103,Febrero[5])</f>
        <v>0</v>
      </c>
      <c r="H28" s="4">
        <f>SUBTOTAL(103,Febrero[6])</f>
        <v>0</v>
      </c>
      <c r="I28" s="4">
        <f>SUBTOTAL(103,Febrero[7])</f>
        <v>0</v>
      </c>
      <c r="J28" s="4">
        <f>SUBTOTAL(103,Febrero[8])</f>
        <v>0</v>
      </c>
      <c r="K28" s="4">
        <f>SUBTOTAL(103,Febrero[9])</f>
        <v>0</v>
      </c>
      <c r="L28" s="4">
        <f>SUBTOTAL(103,Febrero[10])</f>
        <v>1</v>
      </c>
      <c r="M28" s="4">
        <f>SUBTOTAL(103,Febrero[11])</f>
        <v>0</v>
      </c>
      <c r="N28" s="4">
        <f>SUBTOTAL(103,Febrero[12])</f>
        <v>0</v>
      </c>
      <c r="O28" s="4">
        <f>SUBTOTAL(103,Febrero[13])</f>
        <v>0</v>
      </c>
      <c r="P28" s="4">
        <f>SUBTOTAL(103,Febrero[14])</f>
        <v>0</v>
      </c>
      <c r="Q28" s="4">
        <f>SUBTOTAL(103,Febrero[15])</f>
        <v>0</v>
      </c>
      <c r="R28" s="4">
        <f>SUBTOTAL(103,Febrero[16])</f>
        <v>0</v>
      </c>
      <c r="S28" s="4">
        <f>SUBTOTAL(103,Febrero[17])</f>
        <v>0</v>
      </c>
      <c r="T28" s="4">
        <f>SUBTOTAL(103,Febrero[18])</f>
        <v>0</v>
      </c>
      <c r="U28" s="4">
        <f>SUBTOTAL(103,Febrero[19])</f>
        <v>0</v>
      </c>
      <c r="V28" s="4">
        <f>SUBTOTAL(103,Febrero[20])</f>
        <v>0</v>
      </c>
      <c r="W28" s="4">
        <f>SUBTOTAL(103,Febrero[21])</f>
        <v>0</v>
      </c>
      <c r="X28" s="4">
        <f>SUBTOTAL(103,Febrero[22])</f>
        <v>0</v>
      </c>
      <c r="Y28" s="4">
        <f>SUBTOTAL(103,Febrero[23])</f>
        <v>0</v>
      </c>
      <c r="Z28" s="4">
        <f>SUBTOTAL(103,Febrero[24])</f>
        <v>2</v>
      </c>
      <c r="AA28" s="4">
        <f>SUBTOTAL(103,Febrero[25])</f>
        <v>0</v>
      </c>
      <c r="AB28" s="4">
        <f>SUBTOTAL(103,Febrero[26])</f>
        <v>0</v>
      </c>
      <c r="AC28" s="4">
        <f>SUBTOTAL(103,Febrero[27])</f>
        <v>0</v>
      </c>
      <c r="AD28" s="4">
        <f>SUBTOTAL(103,Febrero[28])</f>
        <v>0</v>
      </c>
      <c r="AE28" s="4">
        <f>SUBTOTAL(103,Febrero[29])</f>
        <v>0</v>
      </c>
      <c r="AF28" s="4"/>
      <c r="AG28" s="4"/>
      <c r="AH28" s="4">
        <f>SUBTOTAL(109,Febrero[Total de días])</f>
        <v>3</v>
      </c>
    </row>
  </sheetData>
  <mergeCells count="7">
    <mergeCell ref="C6:AG6"/>
    <mergeCell ref="D4:F4"/>
    <mergeCell ref="H4:J4"/>
    <mergeCell ref="L4:N4"/>
    <mergeCell ref="P4:S4"/>
    <mergeCell ref="U4:X4"/>
    <mergeCell ref="Z4:AB4"/>
  </mergeCells>
  <phoneticPr fontId="34" type="noConversion"/>
  <conditionalFormatting sqref="C9:AG27">
    <cfRule type="expression" priority="3" stopIfTrue="1">
      <formula>C9=""</formula>
    </cfRule>
    <cfRule type="expression" dxfId="176" priority="4" stopIfTrue="1">
      <formula>C9=KeyCustom2</formula>
    </cfRule>
    <cfRule type="expression" dxfId="175" priority="6" stopIfTrue="1">
      <formula>C9=KeyCustom1</formula>
    </cfRule>
    <cfRule type="expression" dxfId="174" priority="7" stopIfTrue="1">
      <formula>C9=KeySick</formula>
    </cfRule>
    <cfRule type="expression" dxfId="173" priority="8" stopIfTrue="1">
      <formula>C9=KeyPersonal</formula>
    </cfRule>
    <cfRule type="expression" dxfId="172" priority="9" stopIfTrue="1">
      <formula>C9=KeyVacation</formula>
    </cfRule>
  </conditionalFormatting>
  <conditionalFormatting sqref="AE7">
    <cfRule type="expression" dxfId="171" priority="1">
      <formula>MONTH(DATE(CalendarYear,2,29))&lt;&gt;2</formula>
    </cfRule>
  </conditionalFormatting>
  <conditionalFormatting sqref="AE8">
    <cfRule type="expression" dxfId="170" priority="17">
      <formula>MONTH(DATE(CalendarYear,2,29))&lt;&gt;2</formula>
    </cfRule>
  </conditionalFormatting>
  <conditionalFormatting sqref="AH9:AH27">
    <cfRule type="dataBar" priority="260">
      <dataBar>
        <cfvo type="min"/>
        <cfvo type="formula" val="DATEDIF(DATE(CalendarYear,2,1),DATE(CalendarYear,3,1),&quot;d&quot;)"/>
        <color theme="4"/>
      </dataBar>
      <extLst>
        <ext xmlns:x14="http://schemas.microsoft.com/office/spreadsheetml/2009/9/main" uri="{B025F937-C7B1-47D3-B67F-A62EFF666E3E}">
          <x14:id>{94738C71-AB78-40C3-A818-D083AE35CC38}</x14:id>
        </ext>
      </extLst>
    </cfRule>
  </conditionalFormatting>
  <dataValidations xWindow="232" yWindow="365" count="15">
    <dataValidation allowBlank="1" showInputMessage="1" showErrorMessage="1" prompt="Año actualizado automáticamente en función del año introducido en la hoja de cálculo de enero" sqref="AH6" xr:uid="{00000000-0002-0000-0100-000000000000}"/>
    <dataValidation allowBlank="1" showInputMessage="1" showErrorMessage="1" prompt="Realice un seguimiento de las ausencias de febrero en esta hoja de cálculo." sqref="A1" xr:uid="{00000000-0002-0000-0100-000001000000}"/>
    <dataValidation allowBlank="1" showInputMessage="1" showErrorMessage="1" prompt="Calcula automáticamente el número total de días que un empleado ha estado ausente este mes en esta columna" sqref="AH8" xr:uid="{77246999-1DD3-7143-AA66-1A208D7E07C6}"/>
    <dataValidation allowBlank="1" showInputMessage="1" showErrorMessage="1" prompt="El título se actualiza automáticamente en esta celda. Para modificarlo, actualice la celda B1 en la hoja de cálculo de enero" sqref="B2" xr:uid="{00000000-0002-0000-0100-000003000000}"/>
    <dataValidation allowBlank="1" showInputMessage="1" showErrorMessage="1" prompt="El nombre del mes de este plan de ausencias está en esta celda. Los totales de las ausencias para este mes aparecen en la última celda de la tabla. Seleccione los nombres de los empleados en la columna B de la tabla" sqref="B2" xr:uid="{00000000-0002-0000-0100-000004000000}"/>
    <dataValidation errorStyle="warning" allowBlank="1" showInputMessage="1" showErrorMessage="1" error="Seleccione un nombre de la lista. Seleccione CANCELAR y, después, ALT+FLECHA ABAJO y ENTRAR para seleccionar un nombre" prompt="Escriba los nombres de los empleados en la hoja de cálculo Nombres de empleados y, después, seleccione uno de los nombres de la lista de esta columna. Presione ALT+FLECHA ABAJO y ENTRAR para seleccionar un nombre" sqref="B8" xr:uid="{63261372-7DCA-F84F-9EF6-13D18C8D58CC}"/>
    <dataValidation allowBlank="1" showInputMessage="1" showErrorMessage="1" prompt="Escriba una letra y personalice la etiqueta de la derecha para agregar otro elemento clave." sqref="O4 T4" xr:uid="{72B390E6-D278-4692-9F93-6738871988F9}"/>
    <dataValidation allowBlank="1" showInputMessage="1" showErrorMessage="1" prompt="La letra “E” indica una ausencia por enfermedad" sqref="K4" xr:uid="{11921846-E627-4A98-9AFD-C5F3469C1F87}"/>
    <dataValidation allowBlank="1" showInputMessage="1" showErrorMessage="1" prompt="La letra “P” indica una ausencia por motivos personales" sqref="G4" xr:uid="{8C71149E-EB6B-4261-8328-C3C39497EDB0}"/>
    <dataValidation allowBlank="1" showInputMessage="1" showErrorMessage="1" prompt="La letra “V” indica una ausencia por vacaciones" sqref="C4" xr:uid="{5C88C6BD-F2AB-4EF8-BA69-40CB6371E3A1}"/>
    <dataValidation allowBlank="1" showInputMessage="1" showErrorMessage="1" prompt="Los días del mes se generan automáticamente en esta fila. Especifique la ausencia del empleado y el tipo en cada columna para cada día del mes. En blanco significa que no hay ninguna ausencia" sqref="C8" xr:uid="{00000000-0002-0000-0100-00000D000000}"/>
    <dataValidation allowBlank="1" showInputMessage="1" showErrorMessage="1" prompt="Los días laborables en esta fila se actualizan automáticamente durante el mes según el año en AH4. Cada día del mes es una columna para indicar la ausencia del empleado y el tipo de ausencia" sqref="C7" xr:uid="{525721C9-B345-0C4C-8302-350AF692807F}"/>
    <dataValidation allowBlank="1" showInputMessage="1" showErrorMessage="1" prompt="Esta fila define las claves que se usan en la tabla: la celda C4 es para vacaciones, la celda G4 es para asuntos personales y la celda K4 es baja por enfermedad. Las celdas N4 y R4 se pueden personalizar" sqref="B4" xr:uid="{7C2F778E-AA90-4389-BE25-016652C40577}"/>
    <dataValidation allowBlank="1" showInputMessage="1" showErrorMessage="1" prompt="Esta celda contiene el título de la hoja de cálculo. " sqref="B1" xr:uid="{3720AAC7-6CB9-46B3-ABB5-C56FB01AC59F}"/>
    <dataValidation allowBlank="1" showInputMessage="1" showErrorMessage="1" prompt="Escriba una etiqueta para describir la clave personalizada de la izquierda" sqref="U4 P4" xr:uid="{DCED311A-7995-4FCD-92EB-CF97E31A1E38}"/>
  </dataValidations>
  <pageMargins left="0.7" right="0.7" top="0.75" bottom="0.75" header="0.3" footer="0.3"/>
  <pageSetup paperSize="9" fitToHeight="0" orientation="portrait" verticalDpi="4294967293"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94738C71-AB78-40C3-A818-D083AE35CC38}">
            <x14:dataBar minLength="0" maxLength="100" gradient="0">
              <x14:cfvo type="autoMin"/>
              <x14:cfvo type="formula">
                <xm:f>DATEDIF(DATE(CalendarYear,2,1),DATE(CalendarYear,3,1),"d")</xm:f>
              </x14:cfvo>
              <x14:negativeFillColor rgb="FFFF0000"/>
              <x14:axisColor rgb="FF000000"/>
            </x14:dataBar>
          </x14:cfRule>
          <xm:sqref>AH9:AH27</xm:sqref>
        </x14:conditionalFormatting>
      </x14:conditionalFormattings>
    </ext>
    <ext xmlns:x14="http://schemas.microsoft.com/office/spreadsheetml/2009/9/main" uri="{CCE6A557-97BC-4b89-ADB6-D9C93CAAB3DF}">
      <x14:dataValidations xmlns:xm="http://schemas.microsoft.com/office/excel/2006/main" xWindow="232" yWindow="365" count="1">
        <x14:dataValidation type="list" allowBlank="1" showInputMessage="1" showErrorMessage="1" xr:uid="{00000000-0002-0000-0100-00000E000000}">
          <x14:formula1>
            <xm:f>'Nombres de los empleados'!$B$5:$B$9</xm:f>
          </x14:formula1>
          <xm:sqref>B9:B13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499984740745262"/>
  </sheetPr>
  <dimension ref="B1:AH28"/>
  <sheetViews>
    <sheetView showGridLines="0" zoomScale="25" zoomScaleNormal="25" workbookViewId="0">
      <selection activeCell="P4" sqref="P4:S4"/>
    </sheetView>
  </sheetViews>
  <sheetFormatPr baseColWidth="10" defaultColWidth="8.6328125" defaultRowHeight="30" customHeight="1"/>
  <cols>
    <col min="1" max="1" width="2.6328125" customWidth="1"/>
    <col min="2" max="2" width="37.54296875" customWidth="1"/>
    <col min="3" max="33" width="4.6328125" customWidth="1"/>
    <col min="34" max="34" width="13.453125" customWidth="1"/>
    <col min="35" max="35" width="2.6328125" customWidth="1"/>
  </cols>
  <sheetData>
    <row r="1" spans="2:34" ht="50" customHeight="1">
      <c r="B1" s="24" t="s">
        <v>0</v>
      </c>
    </row>
    <row r="2" spans="2:34" ht="100.25" customHeight="1">
      <c r="B2" s="25" t="s">
        <v>43</v>
      </c>
    </row>
    <row r="3" spans="2:34" ht="15" customHeight="1">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row>
    <row r="4" spans="2:34" ht="30" customHeight="1">
      <c r="B4" s="7" t="s">
        <v>2</v>
      </c>
      <c r="C4" s="29" t="s">
        <v>4</v>
      </c>
      <c r="D4" s="68" t="s">
        <v>7</v>
      </c>
      <c r="E4" s="68"/>
      <c r="F4" s="68"/>
      <c r="G4" s="27" t="s">
        <v>10</v>
      </c>
      <c r="H4" s="69" t="s">
        <v>77</v>
      </c>
      <c r="I4" s="69"/>
      <c r="J4" s="69"/>
      <c r="K4" s="28" t="s">
        <v>75</v>
      </c>
      <c r="L4" s="68" t="s">
        <v>76</v>
      </c>
      <c r="M4" s="68"/>
      <c r="N4" s="68"/>
      <c r="O4" s="17" t="s">
        <v>79</v>
      </c>
      <c r="P4" s="68" t="s">
        <v>160</v>
      </c>
      <c r="Q4" s="68"/>
      <c r="R4" s="68"/>
      <c r="S4" s="68"/>
      <c r="T4" s="18" t="s">
        <v>73</v>
      </c>
      <c r="U4" s="68" t="s">
        <v>74</v>
      </c>
      <c r="V4" s="68"/>
      <c r="W4" s="68"/>
      <c r="X4" s="68"/>
      <c r="Y4" s="36" t="s">
        <v>78</v>
      </c>
      <c r="Z4" s="70" t="s">
        <v>72</v>
      </c>
      <c r="AA4" s="70"/>
      <c r="AB4" s="70"/>
    </row>
    <row r="5" spans="2:34" ht="15" customHeight="1">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row>
    <row r="6" spans="2:34" ht="50" customHeight="1">
      <c r="B6" s="6"/>
      <c r="C6" s="67" t="s">
        <v>5</v>
      </c>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
        <f>CalendarYear</f>
        <v>2023</v>
      </c>
    </row>
    <row r="7" spans="2:34" ht="30" customHeight="1">
      <c r="B7" s="6"/>
      <c r="C7" s="21" t="str">
        <f>TEXT(WEEKDAY(DATE(CalendarYear,3,1),1),"ddd")</f>
        <v>mié</v>
      </c>
      <c r="D7" s="21" t="str">
        <f>TEXT(WEEKDAY(DATE(CalendarYear,3,2),1),"ddd")</f>
        <v>jue</v>
      </c>
      <c r="E7" s="21" t="str">
        <f>TEXT(WEEKDAY(DATE(CalendarYear,3,3),1),"ddd")</f>
        <v>vie</v>
      </c>
      <c r="F7" s="21" t="str">
        <f>TEXT(WEEKDAY(DATE(CalendarYear,3,4),1),"ddd")</f>
        <v>sáb</v>
      </c>
      <c r="G7" s="21" t="str">
        <f>TEXT(WEEKDAY(DATE(CalendarYear,3,5),1),"ddd")</f>
        <v>dom</v>
      </c>
      <c r="H7" s="21" t="str">
        <f>TEXT(WEEKDAY(DATE(CalendarYear,3,6),1),"ddd")</f>
        <v>lun</v>
      </c>
      <c r="I7" s="21" t="str">
        <f>TEXT(WEEKDAY(DATE(CalendarYear,3,7),1),"ddd")</f>
        <v>mar</v>
      </c>
      <c r="J7" s="21" t="str">
        <f>TEXT(WEEKDAY(DATE(CalendarYear,3,8),1),"ddd")</f>
        <v>mié</v>
      </c>
      <c r="K7" s="21" t="str">
        <f>TEXT(WEEKDAY(DATE(CalendarYear,3,9),1),"ddd")</f>
        <v>jue</v>
      </c>
      <c r="L7" s="21" t="str">
        <f>TEXT(WEEKDAY(DATE(CalendarYear,3,10),1),"ddd")</f>
        <v>vie</v>
      </c>
      <c r="M7" s="21" t="str">
        <f>TEXT(WEEKDAY(DATE(CalendarYear,3,11),1),"ddd")</f>
        <v>sáb</v>
      </c>
      <c r="N7" s="21" t="str">
        <f>TEXT(WEEKDAY(DATE(CalendarYear,3,12),1),"ddd")</f>
        <v>dom</v>
      </c>
      <c r="O7" s="21" t="str">
        <f>TEXT(WEEKDAY(DATE(CalendarYear,3,13),1),"ddd")</f>
        <v>lun</v>
      </c>
      <c r="P7" s="21" t="str">
        <f>TEXT(WEEKDAY(DATE(CalendarYear,3,14),1),"ddd")</f>
        <v>mar</v>
      </c>
      <c r="Q7" s="21" t="str">
        <f>TEXT(WEEKDAY(DATE(CalendarYear,3,15),1),"ddd")</f>
        <v>mié</v>
      </c>
      <c r="R7" s="21" t="str">
        <f>TEXT(WEEKDAY(DATE(CalendarYear,3,16),1),"ddd")</f>
        <v>jue</v>
      </c>
      <c r="S7" s="21" t="str">
        <f>TEXT(WEEKDAY(DATE(CalendarYear,3,17),1),"ddd")</f>
        <v>vie</v>
      </c>
      <c r="T7" s="21" t="str">
        <f>TEXT(WEEKDAY(DATE(CalendarYear,3,18),1),"ddd")</f>
        <v>sáb</v>
      </c>
      <c r="U7" s="21" t="str">
        <f>TEXT(WEEKDAY(DATE(CalendarYear,3,19),1),"ddd")</f>
        <v>dom</v>
      </c>
      <c r="V7" s="21" t="str">
        <f>TEXT(WEEKDAY(DATE(CalendarYear,3,20),1),"ddd")</f>
        <v>lun</v>
      </c>
      <c r="W7" s="21" t="str">
        <f>TEXT(WEEKDAY(DATE(CalendarYear,3,21),1),"ddd")</f>
        <v>mar</v>
      </c>
      <c r="X7" s="21" t="str">
        <f>TEXT(WEEKDAY(DATE(CalendarYear,3,22),1),"ddd")</f>
        <v>mié</v>
      </c>
      <c r="Y7" s="21" t="str">
        <f>TEXT(WEEKDAY(DATE(CalendarYear,3,23),1),"ddd")</f>
        <v>jue</v>
      </c>
      <c r="Z7" s="21" t="str">
        <f>TEXT(WEEKDAY(DATE(CalendarYear,3,24),1),"ddd")</f>
        <v>vie</v>
      </c>
      <c r="AA7" s="21" t="str">
        <f>TEXT(WEEKDAY(DATE(CalendarYear,3,25),1),"ddd")</f>
        <v>sáb</v>
      </c>
      <c r="AB7" s="21" t="str">
        <f>TEXT(WEEKDAY(DATE(CalendarYear,3,26),1),"ddd")</f>
        <v>dom</v>
      </c>
      <c r="AC7" s="21" t="str">
        <f>TEXT(WEEKDAY(DATE(CalendarYear,3,27),1),"ddd")</f>
        <v>lun</v>
      </c>
      <c r="AD7" s="21" t="str">
        <f>TEXT(WEEKDAY(DATE(CalendarYear,3,28),1),"ddd")</f>
        <v>mar</v>
      </c>
      <c r="AE7" s="21" t="str">
        <f>TEXT(WEEKDAY(DATE(CalendarYear,3,29),1),"ddd")</f>
        <v>mié</v>
      </c>
      <c r="AF7" s="21" t="str">
        <f>TEXT(WEEKDAY(DATE(CalendarYear,3,30),1),"ddd")</f>
        <v>jue</v>
      </c>
      <c r="AG7" s="21" t="str">
        <f>TEXT(WEEKDAY(DATE(CalendarYear,3,31),1),"ddd")</f>
        <v>vie</v>
      </c>
      <c r="AH7" s="6"/>
    </row>
    <row r="8" spans="2:34" ht="30" customHeight="1">
      <c r="B8" s="20" t="s">
        <v>3</v>
      </c>
      <c r="C8" s="1" t="s">
        <v>6</v>
      </c>
      <c r="D8" s="1" t="s">
        <v>8</v>
      </c>
      <c r="E8" s="1" t="s">
        <v>9</v>
      </c>
      <c r="F8" s="1" t="s">
        <v>11</v>
      </c>
      <c r="G8" s="1" t="s">
        <v>12</v>
      </c>
      <c r="H8" s="1" t="s">
        <v>13</v>
      </c>
      <c r="I8" s="1" t="s">
        <v>14</v>
      </c>
      <c r="J8" s="1" t="s">
        <v>15</v>
      </c>
      <c r="K8" s="1" t="s">
        <v>16</v>
      </c>
      <c r="L8" s="1" t="s">
        <v>17</v>
      </c>
      <c r="M8" s="1" t="s">
        <v>18</v>
      </c>
      <c r="N8" s="1" t="s">
        <v>19</v>
      </c>
      <c r="O8" s="1" t="s">
        <v>20</v>
      </c>
      <c r="P8" s="1" t="s">
        <v>21</v>
      </c>
      <c r="Q8" s="1" t="s">
        <v>22</v>
      </c>
      <c r="R8" s="1" t="s">
        <v>23</v>
      </c>
      <c r="S8" s="1" t="s">
        <v>24</v>
      </c>
      <c r="T8" s="1" t="s">
        <v>25</v>
      </c>
      <c r="U8" s="1" t="s">
        <v>26</v>
      </c>
      <c r="V8" s="1" t="s">
        <v>27</v>
      </c>
      <c r="W8" s="1" t="s">
        <v>28</v>
      </c>
      <c r="X8" s="1" t="s">
        <v>29</v>
      </c>
      <c r="Y8" s="1" t="s">
        <v>30</v>
      </c>
      <c r="Z8" s="1" t="s">
        <v>31</v>
      </c>
      <c r="AA8" s="1" t="s">
        <v>32</v>
      </c>
      <c r="AB8" s="1" t="s">
        <v>33</v>
      </c>
      <c r="AC8" s="1" t="s">
        <v>34</v>
      </c>
      <c r="AD8" s="1" t="s">
        <v>35</v>
      </c>
      <c r="AE8" s="1" t="s">
        <v>36</v>
      </c>
      <c r="AF8" s="1" t="s">
        <v>37</v>
      </c>
      <c r="AG8" s="1" t="s">
        <v>38</v>
      </c>
      <c r="AH8" s="22" t="s">
        <v>39</v>
      </c>
    </row>
    <row r="9" spans="2:34" ht="30" customHeight="1">
      <c r="B9" s="2" t="s">
        <v>54</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COUNTA(Marzo[[#This Row],[1]:[31]])</f>
        <v>0</v>
      </c>
    </row>
    <row r="10" spans="2:34" ht="30" customHeight="1">
      <c r="B10" s="2" t="s">
        <v>55</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COUNTA(Marzo[[#This Row],[1]:[31]])</f>
        <v>0</v>
      </c>
    </row>
    <row r="11" spans="2:34" ht="30" customHeight="1">
      <c r="B11" s="2" t="s">
        <v>56</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COUNTA(Marzo[[#This Row],[1]:[31]])</f>
        <v>0</v>
      </c>
    </row>
    <row r="12" spans="2:34" ht="30" customHeight="1">
      <c r="B12" s="2" t="s">
        <v>57</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COUNTA(Marzo[[#This Row],[1]:[31]])</f>
        <v>0</v>
      </c>
    </row>
    <row r="13" spans="2:34" ht="30" customHeight="1">
      <c r="B13" s="2" t="s">
        <v>58</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35"/>
      <c r="AH13" s="3">
        <f>COUNTA(Marzo[[#This Row],[1]:[31]])</f>
        <v>0</v>
      </c>
    </row>
    <row r="14" spans="2:34" ht="30" customHeight="1">
      <c r="B14" s="33" t="s">
        <v>59</v>
      </c>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35"/>
      <c r="AH14" s="3">
        <f>COUNTA(Marzo[[#This Row],[1]:[31]])</f>
        <v>0</v>
      </c>
    </row>
    <row r="15" spans="2:34" ht="30" customHeight="1">
      <c r="B15" s="33" t="s">
        <v>60</v>
      </c>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35"/>
      <c r="AH15" s="3">
        <f>COUNTA(Marzo[[#This Row],[1]:[31]])</f>
        <v>0</v>
      </c>
    </row>
    <row r="16" spans="2:34" ht="30" customHeight="1">
      <c r="B16" s="33" t="s">
        <v>61</v>
      </c>
      <c r="C16" s="1"/>
      <c r="D16" s="1"/>
      <c r="E16" s="1"/>
      <c r="F16" s="1"/>
      <c r="G16" s="1"/>
      <c r="H16" s="1"/>
      <c r="I16" s="1"/>
      <c r="J16" s="1"/>
      <c r="K16" s="1"/>
      <c r="L16" s="1" t="s">
        <v>4</v>
      </c>
      <c r="M16" s="1"/>
      <c r="N16" s="1"/>
      <c r="O16" s="1" t="s">
        <v>4</v>
      </c>
      <c r="P16" s="1" t="s">
        <v>4</v>
      </c>
      <c r="Q16" s="1" t="s">
        <v>4</v>
      </c>
      <c r="R16" s="1" t="s">
        <v>4</v>
      </c>
      <c r="S16" s="1" t="s">
        <v>4</v>
      </c>
      <c r="T16" s="1"/>
      <c r="U16" s="1"/>
      <c r="V16" s="1"/>
      <c r="W16" s="1" t="s">
        <v>4</v>
      </c>
      <c r="X16" s="1" t="s">
        <v>4</v>
      </c>
      <c r="Y16" s="1" t="s">
        <v>4</v>
      </c>
      <c r="Z16" s="1" t="s">
        <v>4</v>
      </c>
      <c r="AA16" s="1"/>
      <c r="AB16" s="1"/>
      <c r="AC16" s="1" t="s">
        <v>4</v>
      </c>
      <c r="AD16" s="1" t="s">
        <v>4</v>
      </c>
      <c r="AE16" s="1" t="s">
        <v>4</v>
      </c>
      <c r="AF16" s="1" t="s">
        <v>4</v>
      </c>
      <c r="AG16" s="35" t="s">
        <v>4</v>
      </c>
      <c r="AH16" s="3">
        <f>COUNTA(Marzo[[#This Row],[1]:[31]])</f>
        <v>15</v>
      </c>
    </row>
    <row r="17" spans="2:34" ht="30" customHeight="1">
      <c r="B17" s="33" t="s">
        <v>62</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35"/>
      <c r="AH17" s="3">
        <f>COUNTA(Marzo[[#This Row],[1]:[31]])</f>
        <v>0</v>
      </c>
    </row>
    <row r="18" spans="2:34" ht="30" customHeight="1">
      <c r="B18" s="33" t="s">
        <v>63</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35"/>
      <c r="AH18" s="3">
        <f>COUNTA(Marzo[[#This Row],[1]:[31]])</f>
        <v>0</v>
      </c>
    </row>
    <row r="19" spans="2:34" ht="30" customHeight="1">
      <c r="B19" s="33" t="s">
        <v>64</v>
      </c>
      <c r="C19" s="1"/>
      <c r="D19" s="1"/>
      <c r="E19" s="1"/>
      <c r="F19" s="1"/>
      <c r="G19" s="1"/>
      <c r="H19" s="1"/>
      <c r="I19" s="1"/>
      <c r="J19" s="1"/>
      <c r="K19" s="1"/>
      <c r="L19" s="36" t="s">
        <v>78</v>
      </c>
      <c r="M19" s="1"/>
      <c r="N19" s="1"/>
      <c r="O19" s="1"/>
      <c r="P19" s="1"/>
      <c r="Q19" s="1"/>
      <c r="R19" s="1"/>
      <c r="S19" s="1"/>
      <c r="T19" s="1"/>
      <c r="U19" s="1"/>
      <c r="V19" s="1"/>
      <c r="W19" s="1"/>
      <c r="X19" s="1"/>
      <c r="Y19" s="1"/>
      <c r="Z19" s="36" t="s">
        <v>78</v>
      </c>
      <c r="AA19" s="1"/>
      <c r="AB19" s="1"/>
      <c r="AC19" s="1"/>
      <c r="AD19" s="1"/>
      <c r="AE19" s="1"/>
      <c r="AF19" s="1"/>
      <c r="AG19" s="35"/>
      <c r="AH19" s="3">
        <f>COUNTA(Marzo[[#This Row],[1]:[31]])</f>
        <v>2</v>
      </c>
    </row>
    <row r="20" spans="2:34" ht="30" customHeight="1">
      <c r="B20" s="33" t="s">
        <v>138</v>
      </c>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35"/>
      <c r="AH20" s="3">
        <f>COUNTA(Marzo[[#This Row],[1]:[31]])</f>
        <v>0</v>
      </c>
    </row>
    <row r="21" spans="2:34" ht="30" customHeight="1">
      <c r="B21" s="33" t="s">
        <v>66</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35"/>
      <c r="AH21" s="3">
        <f>COUNTA(Marzo[[#This Row],[1]:[31]])</f>
        <v>0</v>
      </c>
    </row>
    <row r="22" spans="2:34" ht="30" customHeight="1">
      <c r="B22" s="33" t="s">
        <v>67</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35"/>
      <c r="AH22" s="3">
        <f>COUNTA(Marzo[[#This Row],[1]:[31]])</f>
        <v>0</v>
      </c>
    </row>
    <row r="23" spans="2:34" ht="30" customHeight="1">
      <c r="B23" s="33" t="s">
        <v>68</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35" t="s">
        <v>73</v>
      </c>
      <c r="AH23" s="3">
        <f>COUNTA(Marzo[[#This Row],[1]:[31]])</f>
        <v>1</v>
      </c>
    </row>
    <row r="24" spans="2:34" ht="30" customHeight="1">
      <c r="B24" s="33" t="s">
        <v>69</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35"/>
      <c r="AH24" s="3">
        <f>COUNTA(Marzo[[#This Row],[1]:[31]])</f>
        <v>0</v>
      </c>
    </row>
    <row r="25" spans="2:34" ht="30" customHeight="1">
      <c r="B25" s="33" t="s">
        <v>70</v>
      </c>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35"/>
      <c r="AH25" s="3">
        <f>COUNTA(Marzo[[#This Row],[1]:[31]])</f>
        <v>0</v>
      </c>
    </row>
    <row r="26" spans="2:34" ht="30" customHeight="1">
      <c r="B26" s="33" t="s">
        <v>71</v>
      </c>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35"/>
      <c r="AH26" s="3">
        <f>COUNTA(Marzo[[#This Row],[1]:[31]])</f>
        <v>0</v>
      </c>
    </row>
    <row r="27" spans="2:34" ht="30" customHeight="1">
      <c r="B27" s="42" t="s">
        <v>148</v>
      </c>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35"/>
      <c r="AH27" s="3">
        <f>COUNTA(Marzo[[#This Row],[1]:[31]])</f>
        <v>0</v>
      </c>
    </row>
    <row r="28" spans="2:34" ht="30" customHeight="1">
      <c r="B28" s="5" t="str">
        <f>MonthName&amp;" Total"</f>
        <v>Marzo Total</v>
      </c>
      <c r="C28" s="4">
        <f>SUBTOTAL(103,Marzo[1])</f>
        <v>0</v>
      </c>
      <c r="D28" s="4">
        <f>SUBTOTAL(103,Marzo[2])</f>
        <v>0</v>
      </c>
      <c r="E28" s="4">
        <f>SUBTOTAL(103,Marzo[3])</f>
        <v>0</v>
      </c>
      <c r="F28" s="4">
        <f>SUBTOTAL(103,Marzo[4])</f>
        <v>0</v>
      </c>
      <c r="G28" s="4">
        <f>SUBTOTAL(103,Marzo[5])</f>
        <v>0</v>
      </c>
      <c r="H28" s="4">
        <f>SUBTOTAL(103,Marzo[6])</f>
        <v>0</v>
      </c>
      <c r="I28" s="4">
        <f>SUBTOTAL(103,Marzo[7])</f>
        <v>0</v>
      </c>
      <c r="J28" s="4">
        <f>SUBTOTAL(103,Marzo[8])</f>
        <v>0</v>
      </c>
      <c r="K28" s="4">
        <f>SUBTOTAL(103,Marzo[9])</f>
        <v>0</v>
      </c>
      <c r="L28" s="4">
        <f>SUBTOTAL(103,Marzo[10])</f>
        <v>2</v>
      </c>
      <c r="M28" s="4">
        <f>SUBTOTAL(103,Marzo[11])</f>
        <v>0</v>
      </c>
      <c r="N28" s="4">
        <f>SUBTOTAL(103,Marzo[12])</f>
        <v>0</v>
      </c>
      <c r="O28" s="4">
        <f>SUBTOTAL(103,Marzo[13])</f>
        <v>1</v>
      </c>
      <c r="P28" s="4">
        <f>SUBTOTAL(103,Marzo[14])</f>
        <v>1</v>
      </c>
      <c r="Q28" s="4">
        <f>SUBTOTAL(103,Marzo[15])</f>
        <v>1</v>
      </c>
      <c r="R28" s="4">
        <f>SUBTOTAL(103,Marzo[16])</f>
        <v>1</v>
      </c>
      <c r="S28" s="4">
        <f>SUBTOTAL(103,Marzo[17])</f>
        <v>1</v>
      </c>
      <c r="T28" s="4">
        <f>SUBTOTAL(103,Marzo[18])</f>
        <v>0</v>
      </c>
      <c r="U28" s="4">
        <f>SUBTOTAL(103,Marzo[19])</f>
        <v>0</v>
      </c>
      <c r="V28" s="4">
        <f>SUBTOTAL(103,Marzo[20])</f>
        <v>0</v>
      </c>
      <c r="W28" s="4">
        <f>SUBTOTAL(103,Marzo[21])</f>
        <v>1</v>
      </c>
      <c r="X28" s="4">
        <f>SUBTOTAL(103,Marzo[22])</f>
        <v>1</v>
      </c>
      <c r="Y28" s="4">
        <f>SUBTOTAL(103,Marzo[23])</f>
        <v>1</v>
      </c>
      <c r="Z28" s="4">
        <f>SUBTOTAL(103,Marzo[24])</f>
        <v>2</v>
      </c>
      <c r="AA28" s="4">
        <f>SUBTOTAL(103,Marzo[25])</f>
        <v>0</v>
      </c>
      <c r="AB28" s="4">
        <f>SUBTOTAL(103,Marzo[26])</f>
        <v>0</v>
      </c>
      <c r="AC28" s="4">
        <f>SUBTOTAL(103,Marzo[27])</f>
        <v>1</v>
      </c>
      <c r="AD28" s="4">
        <f>SUBTOTAL(103,Marzo[28])</f>
        <v>1</v>
      </c>
      <c r="AE28" s="4">
        <f>SUBTOTAL(103,Marzo[29])</f>
        <v>1</v>
      </c>
      <c r="AF28" s="4">
        <f>SUBTOTAL(109,Marzo[30])</f>
        <v>0</v>
      </c>
      <c r="AG28" s="4">
        <f>SUBTOTAL(109,Marzo[31])</f>
        <v>0</v>
      </c>
      <c r="AH28" s="4">
        <f>SUBTOTAL(109,Marzo[Total de días])</f>
        <v>18</v>
      </c>
    </row>
  </sheetData>
  <mergeCells count="7">
    <mergeCell ref="C6:AG6"/>
    <mergeCell ref="D4:F4"/>
    <mergeCell ref="H4:J4"/>
    <mergeCell ref="L4:N4"/>
    <mergeCell ref="P4:S4"/>
    <mergeCell ref="U4:X4"/>
    <mergeCell ref="Z4:AB4"/>
  </mergeCells>
  <phoneticPr fontId="34" type="noConversion"/>
  <conditionalFormatting sqref="C9:AG18 C19:K19 M19:Y19 AA19:AG19 C20:AG27">
    <cfRule type="expression" priority="1" stopIfTrue="1">
      <formula>C9=""</formula>
    </cfRule>
    <cfRule type="expression" dxfId="169" priority="2" stopIfTrue="1">
      <formula>C9=KeyCustom2</formula>
    </cfRule>
    <cfRule type="expression" dxfId="168" priority="3" stopIfTrue="1">
      <formula>C9=KeyCustom1</formula>
    </cfRule>
    <cfRule type="expression" dxfId="167" priority="4" stopIfTrue="1">
      <formula>C9=KeySick</formula>
    </cfRule>
    <cfRule type="expression" dxfId="166" priority="5" stopIfTrue="1">
      <formula>C9=KeyPersonal</formula>
    </cfRule>
    <cfRule type="expression" dxfId="165" priority="6" stopIfTrue="1">
      <formula>C9=KeyVacation</formula>
    </cfRule>
  </conditionalFormatting>
  <conditionalFormatting sqref="AH9:AH27">
    <cfRule type="dataBar" priority="246">
      <dataBar>
        <cfvo type="min"/>
        <cfvo type="formula" val="DATEDIF(DATE(CalendarYear,2,1),DATE(CalendarYear,3,1),&quot;d&quot;)"/>
        <color theme="2" tint="-0.249977111117893"/>
      </dataBar>
      <extLst>
        <ext xmlns:x14="http://schemas.microsoft.com/office/spreadsheetml/2009/9/main" uri="{B025F937-C7B1-47D3-B67F-A62EFF666E3E}">
          <x14:id>{7C2B6C3E-666E-4369-8C57-FD32A7D03A3C}</x14:id>
        </ext>
      </extLst>
    </cfRule>
  </conditionalFormatting>
  <dataValidations count="15">
    <dataValidation allowBlank="1" showInputMessage="1" showErrorMessage="1" prompt="Los días del mes se generan automáticamente en esta fila. Especifique la ausencia del empleado y el tipo en cada columna para cada día del mes. En blanco significa que no hay ninguna ausencia" sqref="C8" xr:uid="{00000000-0002-0000-0200-000000000000}"/>
    <dataValidation allowBlank="1" showInputMessage="1" showErrorMessage="1" prompt="Escriba una letra y personalice la etiqueta de la derecha para agregar otro elemento clave." sqref="O4 T4" xr:uid="{8AAFB884-1A6F-4BE6-9921-09D966E7270F}"/>
    <dataValidation allowBlank="1" showInputMessage="1" showErrorMessage="1" prompt="La letra “E” indica una ausencia por enfermedad" sqref="K4" xr:uid="{85077EAF-5F1F-46A7-ABA1-886B2BAF0BD6}"/>
    <dataValidation allowBlank="1" showInputMessage="1" showErrorMessage="1" prompt="La letra “P” indica una ausencia por motivos personales" sqref="G4" xr:uid="{B09AB4EA-02BA-45D8-88D4-5064F26FDB46}"/>
    <dataValidation allowBlank="1" showInputMessage="1" showErrorMessage="1" prompt="La letra “V” indica una ausencia por vacaciones" sqref="C4" xr:uid="{92ADDB5C-5A3D-4EEE-B6C3-6D899154794C}"/>
    <dataValidation allowBlank="1" showInputMessage="1" showErrorMessage="1" prompt="El título se actualiza automáticamente en esta celda. Para modificarlo, actualice la celda B1 en la hoja de cálculo de enero" sqref="B2" xr:uid="{00000000-0002-0000-0200-000009000000}"/>
    <dataValidation errorStyle="warning" allowBlank="1" showInputMessage="1" showErrorMessage="1" error="Seleccione un nombre de la lista. Seleccione CANCELAR y, después, ALT+FLECHA ABAJO y ENTRAR para seleccionar un nombre" prompt="Escriba los nombres de los empleados en la hoja de cálculo Nombres de empleados y, después, seleccione uno de los nombres de la lista de esta columna. Presione ALT+FLECHA ABAJO y ENTRAR para seleccionar un nombre" sqref="B8" xr:uid="{E46101B5-4A18-414B-9169-B2F7AB28F054}"/>
    <dataValidation allowBlank="1" showInputMessage="1" showErrorMessage="1" prompt="Realice un seguimiento de las ausencias de marzo en esta hoja de cálculo." sqref="A1" xr:uid="{00000000-0002-0000-0200-00000B000000}"/>
    <dataValidation allowBlank="1" showInputMessage="1" showErrorMessage="1" prompt="Cálculo automático del número total de días que un empleado ha estado ausente este mes en esta columna" sqref="AH8" xr:uid="{70BD9EEE-E1FD-D147-919D-901970D7AADE}"/>
    <dataValidation allowBlank="1" showInputMessage="1" showErrorMessage="1" prompt="Año actualizado automáticamente en función del año introducido en la hoja de cálculo de enero" sqref="AH6" xr:uid="{A06F72EE-346E-CD4A-B706-B1500A526D8A}"/>
    <dataValidation allowBlank="1" showInputMessage="1" showErrorMessage="1" prompt="Los días laborables en esta fila se actualizan automáticamente durante el mes según el año en AH4. Cada día del mes es una columna para indicar la ausencia del empleado y el tipo de ausencia" sqref="C7" xr:uid="{02C7B989-E77F-4A4F-82FD-F03860560B2B}"/>
    <dataValidation allowBlank="1" showInputMessage="1" showErrorMessage="1" prompt="El nombre del mes de este plan de ausencias está en esta celda. Los totales de las ausencias para este mes aparecen en la última celda de la tabla. Seleccione los nombres de los empleados en la columna B de la tabla" sqref="B2" xr:uid="{00000000-0002-0000-0200-000002000000}"/>
    <dataValidation allowBlank="1" showInputMessage="1" showErrorMessage="1" prompt="Esta fila define las claves que se usan en la tabla: la celda C4 es para vacaciones, la celda G4 es para asuntos personales y la celda K4 es baja por enfermedad. Las celdas N4 y R4 se pueden personalizar" sqref="B4" xr:uid="{9A98B74B-4764-403E-92AD-9C10299A10A6}"/>
    <dataValidation allowBlank="1" showInputMessage="1" showErrorMessage="1" prompt="Esta celda contiene el título de la hoja de cálculo. " sqref="B1" xr:uid="{40DFEC58-0648-4944-BD5A-E9153E7FE7CF}"/>
    <dataValidation allowBlank="1" showInputMessage="1" showErrorMessage="1" prompt="Escriba una etiqueta para describir la clave personalizada de la izquierda" sqref="U4 P4" xr:uid="{ED2BFA8D-C8F4-40C8-B673-065663372DE0}"/>
  </dataValidations>
  <pageMargins left="0.7" right="0.7" top="0.75" bottom="0.75" header="0.3" footer="0.3"/>
  <pageSetup paperSize="9" fitToHeight="0" orientation="portrait" verticalDpi="4294967293"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7C2B6C3E-666E-4369-8C57-FD32A7D03A3C}">
            <x14:dataBar minLength="0" maxLength="100">
              <x14:cfvo type="autoMin"/>
              <x14:cfvo type="formula">
                <xm:f>DATEDIF(DATE(CalendarYear,2,1),DATE(CalendarYear,3,1),"d")</xm:f>
              </x14:cfvo>
              <x14:negativeFillColor rgb="FFFF0000"/>
              <x14:axisColor rgb="FF000000"/>
            </x14:dataBar>
          </x14:cfRule>
          <xm:sqref>AH9:AH27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E000000}">
          <x14:formula1>
            <xm:f>'Nombres de los empleados'!$B$5:$B$9</xm:f>
          </x14:formula1>
          <xm:sqref>B9:B13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499984740745262"/>
  </sheetPr>
  <dimension ref="B1:AH28"/>
  <sheetViews>
    <sheetView showGridLines="0" zoomScale="34" zoomScaleNormal="100" workbookViewId="0">
      <selection activeCell="P4" sqref="P4:S4"/>
    </sheetView>
  </sheetViews>
  <sheetFormatPr baseColWidth="10" defaultColWidth="8.6328125" defaultRowHeight="30" customHeight="1"/>
  <cols>
    <col min="1" max="1" width="2.6328125" customWidth="1"/>
    <col min="2" max="2" width="37.54296875" customWidth="1"/>
    <col min="3" max="33" width="4.6328125" customWidth="1"/>
    <col min="34" max="34" width="13.453125" customWidth="1"/>
    <col min="35" max="35" width="2.6328125" customWidth="1"/>
  </cols>
  <sheetData>
    <row r="1" spans="2:34" ht="50" customHeight="1">
      <c r="B1" s="24" t="s">
        <v>0</v>
      </c>
    </row>
    <row r="2" spans="2:34" ht="100.25" customHeight="1">
      <c r="B2" s="26" t="s">
        <v>44</v>
      </c>
    </row>
    <row r="3" spans="2:34" ht="15" customHeight="1">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row>
    <row r="4" spans="2:34" ht="30" customHeight="1">
      <c r="B4" s="7" t="s">
        <v>2</v>
      </c>
      <c r="C4" s="29" t="s">
        <v>4</v>
      </c>
      <c r="D4" s="68" t="s">
        <v>7</v>
      </c>
      <c r="E4" s="68"/>
      <c r="F4" s="68"/>
      <c r="G4" s="27" t="s">
        <v>10</v>
      </c>
      <c r="H4" s="69" t="s">
        <v>77</v>
      </c>
      <c r="I4" s="69"/>
      <c r="J4" s="69"/>
      <c r="K4" s="28" t="s">
        <v>75</v>
      </c>
      <c r="L4" s="68" t="s">
        <v>76</v>
      </c>
      <c r="M4" s="68"/>
      <c r="N4" s="68"/>
      <c r="O4" s="17" t="s">
        <v>79</v>
      </c>
      <c r="P4" s="68" t="s">
        <v>160</v>
      </c>
      <c r="Q4" s="68"/>
      <c r="R4" s="68"/>
      <c r="S4" s="68"/>
      <c r="T4" s="18" t="s">
        <v>73</v>
      </c>
      <c r="U4" s="68" t="s">
        <v>74</v>
      </c>
      <c r="V4" s="68"/>
      <c r="W4" s="68"/>
      <c r="X4" s="68"/>
      <c r="Y4" s="36" t="s">
        <v>78</v>
      </c>
      <c r="Z4" s="70" t="s">
        <v>72</v>
      </c>
      <c r="AA4" s="70"/>
      <c r="AB4" s="70"/>
    </row>
    <row r="5" spans="2:34" ht="15" customHeight="1">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row>
    <row r="6" spans="2:34" ht="50" customHeight="1">
      <c r="B6" s="6"/>
      <c r="C6" s="67" t="s">
        <v>5</v>
      </c>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
        <f>CalendarYear</f>
        <v>2023</v>
      </c>
    </row>
    <row r="7" spans="2:34" ht="30" customHeight="1">
      <c r="B7" s="6"/>
      <c r="C7" s="21" t="str">
        <f>TEXT(WEEKDAY(DATE(CalendarYear,4,1),1),"ddd")</f>
        <v>sáb</v>
      </c>
      <c r="D7" s="21" t="str">
        <f>TEXT(WEEKDAY(DATE(CalendarYear,4,2),1),"ddd")</f>
        <v>dom</v>
      </c>
      <c r="E7" s="21" t="str">
        <f>TEXT(WEEKDAY(DATE(CalendarYear,4,3),1),"ddd")</f>
        <v>lun</v>
      </c>
      <c r="F7" s="21" t="str">
        <f>TEXT(WEEKDAY(DATE(CalendarYear,4,4),1),"ddd")</f>
        <v>mar</v>
      </c>
      <c r="G7" s="21" t="str">
        <f>TEXT(WEEKDAY(DATE(CalendarYear,4,5),1),"ddd")</f>
        <v>mié</v>
      </c>
      <c r="H7" s="21" t="str">
        <f>TEXT(WEEKDAY(DATE(CalendarYear,4,6),1),"ddd")</f>
        <v>jue</v>
      </c>
      <c r="I7" s="21" t="str">
        <f>TEXT(WEEKDAY(DATE(CalendarYear,4,7),1),"ddd")</f>
        <v>vie</v>
      </c>
      <c r="J7" s="21" t="str">
        <f>TEXT(WEEKDAY(DATE(CalendarYear,4,8),1),"ddd")</f>
        <v>sáb</v>
      </c>
      <c r="K7" s="21" t="str">
        <f>TEXT(WEEKDAY(DATE(CalendarYear,4,9),1),"ddd")</f>
        <v>dom</v>
      </c>
      <c r="L7" s="21" t="str">
        <f>TEXT(WEEKDAY(DATE(CalendarYear,4,10),1),"ddd")</f>
        <v>lun</v>
      </c>
      <c r="M7" s="21" t="str">
        <f>TEXT(WEEKDAY(DATE(CalendarYear,4,11),1),"ddd")</f>
        <v>mar</v>
      </c>
      <c r="N7" s="21" t="str">
        <f>TEXT(WEEKDAY(DATE(CalendarYear,4,12),1),"ddd")</f>
        <v>mié</v>
      </c>
      <c r="O7" s="21" t="str">
        <f>TEXT(WEEKDAY(DATE(CalendarYear,4,13),1),"ddd")</f>
        <v>jue</v>
      </c>
      <c r="P7" s="21" t="str">
        <f>TEXT(WEEKDAY(DATE(CalendarYear,4,14),1),"ddd")</f>
        <v>vie</v>
      </c>
      <c r="Q7" s="21" t="str">
        <f>TEXT(WEEKDAY(DATE(CalendarYear,4,15),1),"ddd")</f>
        <v>sáb</v>
      </c>
      <c r="R7" s="21" t="str">
        <f>TEXT(WEEKDAY(DATE(CalendarYear,4,16),1),"ddd")</f>
        <v>dom</v>
      </c>
      <c r="S7" s="21" t="str">
        <f>TEXT(WEEKDAY(DATE(CalendarYear,4,17),1),"ddd")</f>
        <v>lun</v>
      </c>
      <c r="T7" s="21" t="str">
        <f>TEXT(WEEKDAY(DATE(CalendarYear,4,18),1),"ddd")</f>
        <v>mar</v>
      </c>
      <c r="U7" s="21" t="str">
        <f>TEXT(WEEKDAY(DATE(CalendarYear,4,19),1),"ddd")</f>
        <v>mié</v>
      </c>
      <c r="V7" s="21" t="str">
        <f>TEXT(WEEKDAY(DATE(CalendarYear,4,20),1),"ddd")</f>
        <v>jue</v>
      </c>
      <c r="W7" s="21" t="str">
        <f>TEXT(WEEKDAY(DATE(CalendarYear,4,21),1),"ddd")</f>
        <v>vie</v>
      </c>
      <c r="X7" s="21" t="str">
        <f>TEXT(WEEKDAY(DATE(CalendarYear,4,22),1),"ddd")</f>
        <v>sáb</v>
      </c>
      <c r="Y7" s="21" t="str">
        <f>TEXT(WEEKDAY(DATE(CalendarYear,4,23),1),"ddd")</f>
        <v>dom</v>
      </c>
      <c r="Z7" s="21" t="str">
        <f>TEXT(WEEKDAY(DATE(CalendarYear,4,24),1),"ddd")</f>
        <v>lun</v>
      </c>
      <c r="AA7" s="21" t="str">
        <f>TEXT(WEEKDAY(DATE(CalendarYear,4,25),1),"ddd")</f>
        <v>mar</v>
      </c>
      <c r="AB7" s="21" t="str">
        <f>TEXT(WEEKDAY(DATE(CalendarYear,4,26),1),"ddd")</f>
        <v>mié</v>
      </c>
      <c r="AC7" s="21" t="str">
        <f>TEXT(WEEKDAY(DATE(CalendarYear,4,27),1),"ddd")</f>
        <v>jue</v>
      </c>
      <c r="AD7" s="21" t="str">
        <f>TEXT(WEEKDAY(DATE(CalendarYear,4,28),1),"ddd")</f>
        <v>vie</v>
      </c>
      <c r="AE7" s="21" t="str">
        <f>TEXT(WEEKDAY(DATE(CalendarYear,4,29),1),"ddd")</f>
        <v>sáb</v>
      </c>
      <c r="AF7" s="21" t="str">
        <f>TEXT(WEEKDAY(DATE(CalendarYear,4,30),1),"ddd")</f>
        <v>dom</v>
      </c>
      <c r="AG7" s="21"/>
      <c r="AH7" s="6"/>
    </row>
    <row r="8" spans="2:34" ht="30" customHeight="1">
      <c r="B8" s="20" t="s">
        <v>3</v>
      </c>
      <c r="C8" s="1" t="s">
        <v>6</v>
      </c>
      <c r="D8" s="1" t="s">
        <v>8</v>
      </c>
      <c r="E8" s="1" t="s">
        <v>9</v>
      </c>
      <c r="F8" s="1" t="s">
        <v>11</v>
      </c>
      <c r="G8" s="1" t="s">
        <v>12</v>
      </c>
      <c r="H8" s="1" t="s">
        <v>13</v>
      </c>
      <c r="I8" s="1" t="s">
        <v>14</v>
      </c>
      <c r="J8" s="1" t="s">
        <v>15</v>
      </c>
      <c r="K8" s="1" t="s">
        <v>16</v>
      </c>
      <c r="L8" s="1" t="s">
        <v>17</v>
      </c>
      <c r="M8" s="1" t="s">
        <v>18</v>
      </c>
      <c r="N8" s="1" t="s">
        <v>19</v>
      </c>
      <c r="O8" s="1" t="s">
        <v>20</v>
      </c>
      <c r="P8" s="1" t="s">
        <v>21</v>
      </c>
      <c r="Q8" s="1" t="s">
        <v>22</v>
      </c>
      <c r="R8" s="1" t="s">
        <v>23</v>
      </c>
      <c r="S8" s="1" t="s">
        <v>24</v>
      </c>
      <c r="T8" s="1" t="s">
        <v>25</v>
      </c>
      <c r="U8" s="1" t="s">
        <v>26</v>
      </c>
      <c r="V8" s="1" t="s">
        <v>27</v>
      </c>
      <c r="W8" s="1" t="s">
        <v>28</v>
      </c>
      <c r="X8" s="1" t="s">
        <v>29</v>
      </c>
      <c r="Y8" s="1" t="s">
        <v>30</v>
      </c>
      <c r="Z8" s="1" t="s">
        <v>31</v>
      </c>
      <c r="AA8" s="1" t="s">
        <v>32</v>
      </c>
      <c r="AB8" s="1" t="s">
        <v>33</v>
      </c>
      <c r="AC8" s="1" t="s">
        <v>34</v>
      </c>
      <c r="AD8" s="1" t="s">
        <v>35</v>
      </c>
      <c r="AE8" s="1" t="s">
        <v>36</v>
      </c>
      <c r="AF8" s="1" t="s">
        <v>37</v>
      </c>
      <c r="AG8" s="1" t="s">
        <v>41</v>
      </c>
      <c r="AH8" s="22" t="s">
        <v>39</v>
      </c>
    </row>
    <row r="9" spans="2:34" ht="30" customHeight="1">
      <c r="B9" s="2" t="s">
        <v>54</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COUNTA(March5[[#This Row],[1]:[ ]])</f>
        <v>0</v>
      </c>
    </row>
    <row r="10" spans="2:34" ht="30" customHeight="1">
      <c r="B10" s="2" t="s">
        <v>55</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COUNTA(March5[[#This Row],[1]:[ ]])</f>
        <v>0</v>
      </c>
    </row>
    <row r="11" spans="2:34" ht="30" customHeight="1">
      <c r="B11" s="2" t="s">
        <v>56</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COUNTA(March5[[#This Row],[1]:[ ]])</f>
        <v>0</v>
      </c>
    </row>
    <row r="12" spans="2:34" ht="30" customHeight="1">
      <c r="B12" s="2" t="s">
        <v>57</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COUNTA(March5[[#This Row],[1]:[ ]])</f>
        <v>0</v>
      </c>
    </row>
    <row r="13" spans="2:34" ht="30" customHeight="1">
      <c r="B13" s="2" t="s">
        <v>58</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35"/>
      <c r="AH13" s="3">
        <f>COUNTA(March5[[#This Row],[1]:[ ]])</f>
        <v>0</v>
      </c>
    </row>
    <row r="14" spans="2:34" ht="30" customHeight="1">
      <c r="B14" s="33" t="s">
        <v>59</v>
      </c>
      <c r="C14" s="1"/>
      <c r="D14" s="1"/>
      <c r="E14" s="1"/>
      <c r="F14" s="1"/>
      <c r="G14" s="1"/>
      <c r="H14" s="1"/>
      <c r="I14" s="1"/>
      <c r="J14" s="1"/>
      <c r="K14" s="1"/>
      <c r="L14" s="1"/>
      <c r="M14" s="1"/>
      <c r="N14" s="1"/>
      <c r="O14" s="1"/>
      <c r="P14" s="1"/>
      <c r="Q14" s="1"/>
      <c r="R14" s="1"/>
      <c r="S14" s="1"/>
      <c r="T14" s="1" t="s">
        <v>10</v>
      </c>
      <c r="U14" s="1"/>
      <c r="V14" s="1"/>
      <c r="W14" s="1"/>
      <c r="X14" s="1"/>
      <c r="Y14" s="1"/>
      <c r="Z14" s="1"/>
      <c r="AA14" s="1"/>
      <c r="AB14" s="1"/>
      <c r="AC14" s="1"/>
      <c r="AD14" s="1"/>
      <c r="AE14" s="1"/>
      <c r="AF14" s="1"/>
      <c r="AG14" s="35"/>
      <c r="AH14" s="3">
        <f>COUNTA(March5[[#This Row],[1]:[ ]])</f>
        <v>1</v>
      </c>
    </row>
    <row r="15" spans="2:34" ht="30" customHeight="1">
      <c r="B15" s="33" t="s">
        <v>60</v>
      </c>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39" t="s">
        <v>78</v>
      </c>
      <c r="AE15" s="1"/>
      <c r="AF15" s="1"/>
      <c r="AG15" s="35"/>
      <c r="AH15" s="3">
        <f>COUNTA(March5[[#This Row],[1]:[ ]])</f>
        <v>1</v>
      </c>
    </row>
    <row r="16" spans="2:34" ht="30" customHeight="1">
      <c r="B16" s="33" t="s">
        <v>61</v>
      </c>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35"/>
      <c r="AH16" s="3">
        <f>COUNTA(March5[[#This Row],[1]:[ ]])</f>
        <v>0</v>
      </c>
    </row>
    <row r="17" spans="2:34" ht="30" customHeight="1">
      <c r="B17" s="33" t="s">
        <v>62</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35"/>
      <c r="AH17" s="3">
        <f>COUNTA(March5[[#This Row],[1]:[ ]])</f>
        <v>0</v>
      </c>
    </row>
    <row r="18" spans="2:34" ht="30" customHeight="1">
      <c r="B18" s="33" t="s">
        <v>63</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35"/>
      <c r="AH18" s="3">
        <f>COUNTA(March5[[#This Row],[1]:[ ]])</f>
        <v>0</v>
      </c>
    </row>
    <row r="19" spans="2:34" ht="30" customHeight="1">
      <c r="B19" s="33" t="s">
        <v>64</v>
      </c>
      <c r="C19" s="1"/>
      <c r="D19" s="1"/>
      <c r="E19" s="1"/>
      <c r="F19" s="1"/>
      <c r="G19" s="1"/>
      <c r="H19" s="1"/>
      <c r="I19" s="1"/>
      <c r="J19" s="1"/>
      <c r="K19" s="1"/>
      <c r="L19" s="1"/>
      <c r="M19" s="1"/>
      <c r="N19" s="1"/>
      <c r="O19" s="1"/>
      <c r="P19" s="39" t="s">
        <v>78</v>
      </c>
      <c r="Q19" s="1"/>
      <c r="R19" s="1"/>
      <c r="S19" s="1"/>
      <c r="T19" s="1"/>
      <c r="U19" s="1"/>
      <c r="V19" s="1"/>
      <c r="W19" s="1"/>
      <c r="X19" s="1"/>
      <c r="Y19" s="1"/>
      <c r="Z19" s="1"/>
      <c r="AA19" s="1"/>
      <c r="AB19" s="1"/>
      <c r="AC19" s="1"/>
      <c r="AD19" s="39" t="s">
        <v>78</v>
      </c>
      <c r="AE19" s="1"/>
      <c r="AF19" s="1"/>
      <c r="AG19" s="35"/>
      <c r="AH19" s="3">
        <f>COUNTA(March5[[#This Row],[1]:[ ]])</f>
        <v>2</v>
      </c>
    </row>
    <row r="20" spans="2:34" ht="30" customHeight="1">
      <c r="B20" s="33" t="s">
        <v>138</v>
      </c>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35"/>
      <c r="AH20" s="3">
        <f>COUNTA(March5[[#This Row],[1]:[ ]])</f>
        <v>0</v>
      </c>
    </row>
    <row r="21" spans="2:34" ht="30" customHeight="1">
      <c r="B21" s="33" t="s">
        <v>66</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35"/>
      <c r="AH21" s="3">
        <f>COUNTA(March5[[#This Row],[1]:[ ]])</f>
        <v>0</v>
      </c>
    </row>
    <row r="22" spans="2:34" ht="30" customHeight="1">
      <c r="B22" s="33" t="s">
        <v>67</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35"/>
      <c r="AH22" s="3">
        <f>COUNTA(March5[[#This Row],[1]:[ ]])</f>
        <v>0</v>
      </c>
    </row>
    <row r="23" spans="2:34" ht="30" customHeight="1">
      <c r="B23" s="33" t="s">
        <v>68</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35"/>
      <c r="AH23" s="3">
        <f>COUNTA(March5[[#This Row],[1]:[ ]])</f>
        <v>0</v>
      </c>
    </row>
    <row r="24" spans="2:34" ht="30" customHeight="1">
      <c r="B24" s="33" t="s">
        <v>69</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35"/>
      <c r="AH24" s="3">
        <f>COUNTA(March5[[#This Row],[1]:[ ]])</f>
        <v>0</v>
      </c>
    </row>
    <row r="25" spans="2:34" ht="30" customHeight="1">
      <c r="B25" s="33" t="s">
        <v>70</v>
      </c>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35"/>
      <c r="AH25" s="3">
        <f>COUNTA(March5[[#This Row],[1]:[ ]])</f>
        <v>0</v>
      </c>
    </row>
    <row r="26" spans="2:34" ht="30" customHeight="1">
      <c r="B26" s="33" t="s">
        <v>71</v>
      </c>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35"/>
      <c r="AH26" s="3">
        <f>COUNTA(March5[[#This Row],[1]:[ ]])</f>
        <v>0</v>
      </c>
    </row>
    <row r="27" spans="2:34" ht="30" customHeight="1">
      <c r="B27" s="42" t="s">
        <v>148</v>
      </c>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35"/>
      <c r="AH27" s="3">
        <f>COUNTA(March5[[#This Row],[1]:[ ]])</f>
        <v>0</v>
      </c>
    </row>
    <row r="28" spans="2:34" ht="30" customHeight="1">
      <c r="B28" s="5" t="str">
        <f>MonthName&amp;" Total"</f>
        <v>Abril Total</v>
      </c>
      <c r="C28" s="4">
        <f>SUBTOTAL(103,March5[1])</f>
        <v>0</v>
      </c>
      <c r="D28" s="4">
        <f>SUBTOTAL(103,March5[2])</f>
        <v>0</v>
      </c>
      <c r="E28" s="4">
        <f>SUBTOTAL(103,March5[3])</f>
        <v>0</v>
      </c>
      <c r="F28" s="4">
        <f>SUBTOTAL(103,March5[4])</f>
        <v>0</v>
      </c>
      <c r="G28" s="4">
        <f>SUBTOTAL(103,March5[5])</f>
        <v>0</v>
      </c>
      <c r="H28" s="4">
        <f>SUBTOTAL(103,March5[6])</f>
        <v>0</v>
      </c>
      <c r="I28" s="4">
        <f>SUBTOTAL(103,March5[7])</f>
        <v>0</v>
      </c>
      <c r="J28" s="4">
        <f>SUBTOTAL(103,March5[8])</f>
        <v>0</v>
      </c>
      <c r="K28" s="4">
        <f>SUBTOTAL(103,March5[9])</f>
        <v>0</v>
      </c>
      <c r="L28" s="4">
        <f>SUBTOTAL(103,March5[10])</f>
        <v>0</v>
      </c>
      <c r="M28" s="4">
        <f>SUBTOTAL(103,March5[11])</f>
        <v>0</v>
      </c>
      <c r="N28" s="4">
        <f>SUBTOTAL(103,March5[12])</f>
        <v>0</v>
      </c>
      <c r="O28" s="4">
        <f>SUBTOTAL(103,March5[13])</f>
        <v>0</v>
      </c>
      <c r="P28" s="4">
        <f>SUBTOTAL(103,March5[14])</f>
        <v>1</v>
      </c>
      <c r="Q28" s="4">
        <f>SUBTOTAL(103,March5[15])</f>
        <v>0</v>
      </c>
      <c r="R28" s="4">
        <f>SUBTOTAL(103,March5[16])</f>
        <v>0</v>
      </c>
      <c r="S28" s="4">
        <f>SUBTOTAL(103,March5[17])</f>
        <v>0</v>
      </c>
      <c r="T28" s="4">
        <f>SUBTOTAL(103,March5[18])</f>
        <v>1</v>
      </c>
      <c r="U28" s="4">
        <f>SUBTOTAL(103,March5[19])</f>
        <v>0</v>
      </c>
      <c r="V28" s="4">
        <f>SUBTOTAL(103,March5[20])</f>
        <v>0</v>
      </c>
      <c r="W28" s="4">
        <f>SUBTOTAL(103,March5[21])</f>
        <v>0</v>
      </c>
      <c r="X28" s="4">
        <f>SUBTOTAL(103,March5[22])</f>
        <v>0</v>
      </c>
      <c r="Y28" s="4">
        <f>SUBTOTAL(103,March5[23])</f>
        <v>0</v>
      </c>
      <c r="Z28" s="4">
        <f>SUBTOTAL(103,March5[24])</f>
        <v>0</v>
      </c>
      <c r="AA28" s="4">
        <f>SUBTOTAL(103,March5[25])</f>
        <v>0</v>
      </c>
      <c r="AB28" s="4">
        <f>SUBTOTAL(103,March5[26])</f>
        <v>0</v>
      </c>
      <c r="AC28" s="4">
        <f>SUBTOTAL(103,March5[27])</f>
        <v>0</v>
      </c>
      <c r="AD28" s="4">
        <f>SUBTOTAL(103,March5[28])</f>
        <v>2</v>
      </c>
      <c r="AE28" s="4">
        <f>SUBTOTAL(103,March5[29])</f>
        <v>0</v>
      </c>
      <c r="AF28" s="4">
        <f>SUBTOTAL(109,March5[30])</f>
        <v>0</v>
      </c>
      <c r="AG28" s="4">
        <f>SUBTOTAL(109,March5[[ ]])</f>
        <v>0</v>
      </c>
      <c r="AH28" s="4">
        <f>SUBTOTAL(109,March5[Total de días])</f>
        <v>4</v>
      </c>
    </row>
  </sheetData>
  <mergeCells count="7">
    <mergeCell ref="C6:AG6"/>
    <mergeCell ref="D4:F4"/>
    <mergeCell ref="H4:J4"/>
    <mergeCell ref="L4:N4"/>
    <mergeCell ref="P4:S4"/>
    <mergeCell ref="U4:X4"/>
    <mergeCell ref="Z4:AB4"/>
  </mergeCells>
  <phoneticPr fontId="9" type="noConversion"/>
  <conditionalFormatting sqref="C9:AG27">
    <cfRule type="expression" priority="1" stopIfTrue="1">
      <formula>C9=""</formula>
    </cfRule>
    <cfRule type="expression" dxfId="164" priority="2" stopIfTrue="1">
      <formula>C9=KeyCustom2</formula>
    </cfRule>
    <cfRule type="expression" dxfId="163" priority="3" stopIfTrue="1">
      <formula>C9=KeyCustom1</formula>
    </cfRule>
    <cfRule type="expression" dxfId="162" priority="4" stopIfTrue="1">
      <formula>C9=KeySick</formula>
    </cfRule>
    <cfRule type="expression" dxfId="161" priority="5" stopIfTrue="1">
      <formula>C9=KeyPersonal</formula>
    </cfRule>
    <cfRule type="expression" dxfId="160" priority="6" stopIfTrue="1">
      <formula>C9=KeyVacation</formula>
    </cfRule>
  </conditionalFormatting>
  <conditionalFormatting sqref="AH9:AH27">
    <cfRule type="dataBar" priority="267">
      <dataBar>
        <cfvo type="min"/>
        <cfvo type="formula" val="DATEDIF(DATE(CalendarYear,2,1),DATE(CalendarYear,3,1),&quot;d&quot;)"/>
        <color theme="2" tint="-0.249977111117893"/>
      </dataBar>
      <extLst>
        <ext xmlns:x14="http://schemas.microsoft.com/office/spreadsheetml/2009/9/main" uri="{B025F937-C7B1-47D3-B67F-A62EFF666E3E}">
          <x14:id>{C6C51CE4-E5A5-6548-B677-75BFC57A1AE7}</x14:id>
        </ext>
      </extLst>
    </cfRule>
  </conditionalFormatting>
  <dataValidations count="15">
    <dataValidation allowBlank="1" showInputMessage="1" showErrorMessage="1" prompt="Año actualizado de forma automática en función del año introducido en la hoja de cálculo de enero" sqref="AH6" xr:uid="{D534D450-4040-4C4B-ACFB-E0820ABC2CFC}"/>
    <dataValidation allowBlank="1" showInputMessage="1" showErrorMessage="1" prompt="Calcula automáticamente el número total de días que un empleado estuvo ausente este mes en esta columna" sqref="AH8" xr:uid="{DC341019-F88D-494A-80A9-FE7E975A2861}"/>
    <dataValidation errorStyle="warning" allowBlank="1" showInputMessage="1" showErrorMessage="1" error="Seleccione un nombre de la lista. Seleccione CANCELAR y, después, ALT+FLECHA ABAJO y ENTRAR para seleccionar un nombre" prompt="Escriba los nombres de los empleados en la hoja de cálculo Nombres de empleados y, después, seleccione uno de los nombres de la lista de esta columna. Presione ALT+FLECHA ABAJO y ENTRAR para seleccionar un nombre" sqref="B8" xr:uid="{F36BC021-F71B-E743-A612-BDD36FE48F9B}"/>
    <dataValidation allowBlank="1" showInputMessage="1" showErrorMessage="1" prompt="El título se actualiza automáticamente en esta celda. Para modificarlo, actualice la celda B1 en la hoja de cálculo de enero" sqref="B2" xr:uid="{FC807180-F3E3-414D-9702-8FBC5210B550}"/>
    <dataValidation allowBlank="1" showInputMessage="1" showErrorMessage="1" prompt="La letra “V” indica una ausencia por vacaciones" sqref="C4" xr:uid="{FE1A304B-235A-46EF-BB96-7243DA0CA4FE}"/>
    <dataValidation allowBlank="1" showInputMessage="1" showErrorMessage="1" prompt="La letra “P” indica una ausencia por motivos personales" sqref="G4" xr:uid="{8DAC8AFE-2EEB-4435-AC95-99A21F1DB429}"/>
    <dataValidation allowBlank="1" showInputMessage="1" showErrorMessage="1" prompt="La letra “E” indica una ausencia por enfermedad" sqref="K4" xr:uid="{D52F94CB-08B7-4858-AB7F-D0516F8167B5}"/>
    <dataValidation allowBlank="1" showInputMessage="1" showErrorMessage="1" prompt="Escriba una letra y personalice la etiqueta de la derecha para agregar otro elemento clave." sqref="O4 T4" xr:uid="{848DF460-14C1-4201-AC16-CC754150A82E}"/>
    <dataValidation allowBlank="1" showInputMessage="1" showErrorMessage="1" prompt="El nombre del mes de este plan de ausencias está en esta celda. Los totales de las ausencias para este mes aparecen en la última celda de la tabla. Seleccione los nombres de los empleados en la columna B de la tabla" sqref="B2" xr:uid="{8A4BB08A-5DC1-A74C-9332-E844D960CD41}"/>
    <dataValidation allowBlank="1" showInputMessage="1" showErrorMessage="1" prompt="Los días del mes se generan automáticamente en esta fila. Especifique la ausencia del empleado y el tipo en cada columna para cada día del mes. En blanco significa que no hay ninguna ausencia" sqref="C8" xr:uid="{D8726BCE-956C-3B41-916D-0B0F98B156A4}"/>
    <dataValidation allowBlank="1" showInputMessage="1" showErrorMessage="1" prompt="Los días laborables en esta fila se actualizan automáticamente durante el mes según el año en AH4. Cada día del mes es una columna para indicar la ausencia del empleado y el tipo de ausencia" sqref="C7" xr:uid="{492FF65C-4A5C-D048-AC41-58954D7E6423}"/>
    <dataValidation allowBlank="1" showInputMessage="1" showErrorMessage="1" prompt="Realice un seguimiento de las ausencias de marzo en esta hoja de cálculo." sqref="A1" xr:uid="{9C29030B-C671-584C-88AB-6E5DAA9E8710}"/>
    <dataValidation allowBlank="1" showInputMessage="1" showErrorMessage="1" prompt="Esta fila define las claves que se usan en la tabla: la celda C4 es para vacaciones, la celda G4 es para asuntos personales y la celda K4 es baja por enfermedad. Las celdas N4 y R4 se pueden personalizar" sqref="B4" xr:uid="{5938E394-FC66-4AD8-81BE-3B6CE81FAFA6}"/>
    <dataValidation allowBlank="1" showInputMessage="1" showErrorMessage="1" prompt="Esta celda contiene el título de la hoja de cálculo. " sqref="B1" xr:uid="{CFDFBA1E-67F5-48E1-9539-54C88919AFDF}"/>
    <dataValidation allowBlank="1" showInputMessage="1" showErrorMessage="1" prompt="Escriba una etiqueta para describir la clave personalizada de la izquierda" sqref="U4 P4" xr:uid="{BEAB3605-621A-45A4-9672-477F685974D1}"/>
  </dataValidations>
  <pageMargins left="0.7" right="0.7" top="0.75" bottom="0.75" header="0.3" footer="0.3"/>
  <pageSetup paperSize="9" fitToHeight="0" orientation="portrait" verticalDpi="4294967293"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C6C51CE4-E5A5-6548-B677-75BFC57A1AE7}">
            <x14:dataBar minLength="0" maxLength="100">
              <x14:cfvo type="autoMin"/>
              <x14:cfvo type="formula">
                <xm:f>DATEDIF(DATE(CalendarYear,2,1),DATE(CalendarYear,3,1),"d")</xm:f>
              </x14:cfvo>
              <x14:negativeFillColor rgb="FFFF0000"/>
              <x14:axisColor rgb="FF000000"/>
            </x14:dataBar>
          </x14:cfRule>
          <xm:sqref>AH9:AH27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A0626E6-C18A-DC42-8971-E3030B4FEB3F}">
          <x14:formula1>
            <xm:f>'Nombres de los empleados'!$B$5:$B$9</xm:f>
          </x14:formula1>
          <xm:sqref>B9:B13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499984740745262"/>
  </sheetPr>
  <dimension ref="B1:AH28"/>
  <sheetViews>
    <sheetView showGridLines="0" topLeftCell="A4" zoomScale="50" zoomScaleNormal="100" workbookViewId="0">
      <selection activeCell="P4" sqref="P4:S4"/>
    </sheetView>
  </sheetViews>
  <sheetFormatPr baseColWidth="10" defaultColWidth="8.6328125" defaultRowHeight="30" customHeight="1"/>
  <cols>
    <col min="1" max="1" width="2.6328125" customWidth="1"/>
    <col min="2" max="2" width="37.54296875" customWidth="1"/>
    <col min="3" max="33" width="4.6328125" customWidth="1"/>
    <col min="34" max="34" width="13.453125" customWidth="1"/>
    <col min="35" max="35" width="2.6328125" customWidth="1"/>
  </cols>
  <sheetData>
    <row r="1" spans="2:34" ht="50" customHeight="1">
      <c r="B1" s="24" t="s">
        <v>0</v>
      </c>
    </row>
    <row r="2" spans="2:34" ht="100.25" customHeight="1">
      <c r="B2" s="26" t="s">
        <v>45</v>
      </c>
    </row>
    <row r="3" spans="2:34" ht="15" customHeight="1">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row>
    <row r="4" spans="2:34" ht="30" customHeight="1">
      <c r="B4" s="7" t="s">
        <v>2</v>
      </c>
      <c r="C4" s="29" t="s">
        <v>4</v>
      </c>
      <c r="D4" s="68" t="s">
        <v>7</v>
      </c>
      <c r="E4" s="68"/>
      <c r="F4" s="68"/>
      <c r="G4" s="27" t="s">
        <v>10</v>
      </c>
      <c r="H4" s="69" t="s">
        <v>77</v>
      </c>
      <c r="I4" s="69"/>
      <c r="J4" s="69"/>
      <c r="K4" s="28" t="s">
        <v>75</v>
      </c>
      <c r="L4" s="68" t="s">
        <v>76</v>
      </c>
      <c r="M4" s="68"/>
      <c r="N4" s="68"/>
      <c r="O4" s="17" t="s">
        <v>79</v>
      </c>
      <c r="P4" s="68" t="s">
        <v>160</v>
      </c>
      <c r="Q4" s="68"/>
      <c r="R4" s="68"/>
      <c r="S4" s="68"/>
      <c r="T4" s="18" t="s">
        <v>73</v>
      </c>
      <c r="U4" s="68" t="s">
        <v>74</v>
      </c>
      <c r="V4" s="68"/>
      <c r="W4" s="68"/>
      <c r="X4" s="68"/>
      <c r="Y4" s="36" t="s">
        <v>78</v>
      </c>
      <c r="Z4" s="70" t="s">
        <v>72</v>
      </c>
      <c r="AA4" s="70"/>
      <c r="AB4" s="70"/>
    </row>
    <row r="5" spans="2:34" ht="14.5">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row>
    <row r="6" spans="2:34" ht="50" customHeight="1">
      <c r="B6" s="6"/>
      <c r="C6" s="67" t="s">
        <v>5</v>
      </c>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
        <f>CalendarYear</f>
        <v>2023</v>
      </c>
    </row>
    <row r="7" spans="2:34" ht="30" customHeight="1">
      <c r="B7" s="6"/>
      <c r="C7" s="21" t="str">
        <f>TEXT(WEEKDAY(DATE(CalendarYear,5,1),1),"ddd")</f>
        <v>lun</v>
      </c>
      <c r="D7" s="21" t="str">
        <f>TEXT(WEEKDAY(DATE(CalendarYear,5,2),1),"ddd")</f>
        <v>mar</v>
      </c>
      <c r="E7" s="21" t="str">
        <f>TEXT(WEEKDAY(DATE(CalendarYear,5,3),1),"ddd")</f>
        <v>mié</v>
      </c>
      <c r="F7" s="21" t="str">
        <f>TEXT(WEEKDAY(DATE(CalendarYear,5,4),1),"ddd")</f>
        <v>jue</v>
      </c>
      <c r="G7" s="21" t="str">
        <f>TEXT(WEEKDAY(DATE(CalendarYear,5,5),1),"ddd")</f>
        <v>vie</v>
      </c>
      <c r="H7" s="21" t="str">
        <f>TEXT(WEEKDAY(DATE(CalendarYear,5,6),1),"ddd")</f>
        <v>sáb</v>
      </c>
      <c r="I7" s="21" t="str">
        <f>TEXT(WEEKDAY(DATE(CalendarYear,5,7),1),"ddd")</f>
        <v>dom</v>
      </c>
      <c r="J7" s="21" t="str">
        <f>TEXT(WEEKDAY(DATE(CalendarYear,5,8),1),"ddd")</f>
        <v>lun</v>
      </c>
      <c r="K7" s="21" t="str">
        <f>TEXT(WEEKDAY(DATE(CalendarYear,5,9),1),"ddd")</f>
        <v>mar</v>
      </c>
      <c r="L7" s="21" t="str">
        <f>TEXT(WEEKDAY(DATE(CalendarYear,5,10),1),"ddd")</f>
        <v>mié</v>
      </c>
      <c r="M7" s="21" t="str">
        <f>TEXT(WEEKDAY(DATE(CalendarYear,5,11),1),"ddd")</f>
        <v>jue</v>
      </c>
      <c r="N7" s="21" t="str">
        <f>TEXT(WEEKDAY(DATE(CalendarYear,5,12),1),"ddd")</f>
        <v>vie</v>
      </c>
      <c r="O7" s="21" t="str">
        <f>TEXT(WEEKDAY(DATE(CalendarYear,5,13),1),"ddd")</f>
        <v>sáb</v>
      </c>
      <c r="P7" s="21" t="str">
        <f>TEXT(WEEKDAY(DATE(CalendarYear,5,14),1),"ddd")</f>
        <v>dom</v>
      </c>
      <c r="Q7" s="21" t="str">
        <f>TEXT(WEEKDAY(DATE(CalendarYear,5,15),1),"ddd")</f>
        <v>lun</v>
      </c>
      <c r="R7" s="21" t="str">
        <f>TEXT(WEEKDAY(DATE(CalendarYear,5,16),1),"ddd")</f>
        <v>mar</v>
      </c>
      <c r="S7" s="21" t="str">
        <f>TEXT(WEEKDAY(DATE(CalendarYear,5,17),1),"ddd")</f>
        <v>mié</v>
      </c>
      <c r="T7" s="21" t="str">
        <f>TEXT(WEEKDAY(DATE(CalendarYear,5,18),1),"ddd")</f>
        <v>jue</v>
      </c>
      <c r="U7" s="21" t="str">
        <f>TEXT(WEEKDAY(DATE(CalendarYear,5,19),1),"ddd")</f>
        <v>vie</v>
      </c>
      <c r="V7" s="21" t="str">
        <f>TEXT(WEEKDAY(DATE(CalendarYear,5,20),1),"ddd")</f>
        <v>sáb</v>
      </c>
      <c r="W7" s="21" t="str">
        <f>TEXT(WEEKDAY(DATE(CalendarYear,5,21),1),"ddd")</f>
        <v>dom</v>
      </c>
      <c r="X7" s="21" t="str">
        <f>TEXT(WEEKDAY(DATE(CalendarYear,5,22),1),"ddd")</f>
        <v>lun</v>
      </c>
      <c r="Y7" s="21" t="str">
        <f>TEXT(WEEKDAY(DATE(CalendarYear,5,23),1),"ddd")</f>
        <v>mar</v>
      </c>
      <c r="Z7" s="21" t="str">
        <f>TEXT(WEEKDAY(DATE(CalendarYear,5,24),1),"ddd")</f>
        <v>mié</v>
      </c>
      <c r="AA7" s="21" t="str">
        <f>TEXT(WEEKDAY(DATE(CalendarYear,5,25),1),"ddd")</f>
        <v>jue</v>
      </c>
      <c r="AB7" s="21" t="str">
        <f>TEXT(WEEKDAY(DATE(CalendarYear,5,26),1),"ddd")</f>
        <v>vie</v>
      </c>
      <c r="AC7" s="21" t="str">
        <f>TEXT(WEEKDAY(DATE(CalendarYear,5,27),1),"ddd")</f>
        <v>sáb</v>
      </c>
      <c r="AD7" s="21" t="str">
        <f>TEXT(WEEKDAY(DATE(CalendarYear,5,28),1),"ddd")</f>
        <v>dom</v>
      </c>
      <c r="AE7" s="21" t="str">
        <f>TEXT(WEEKDAY(DATE(CalendarYear,5,29),1),"ddd")</f>
        <v>lun</v>
      </c>
      <c r="AF7" s="21" t="str">
        <f>TEXT(WEEKDAY(DATE(CalendarYear,5,30),1),"ddd")</f>
        <v>mar</v>
      </c>
      <c r="AG7" s="21" t="str">
        <f>TEXT(WEEKDAY(DATE(CalendarYear,5,31),1),"ddd")</f>
        <v>mié</v>
      </c>
      <c r="AH7" s="6"/>
    </row>
    <row r="8" spans="2:34" ht="30" customHeight="1">
      <c r="B8" s="20" t="s">
        <v>3</v>
      </c>
      <c r="C8" s="1" t="s">
        <v>6</v>
      </c>
      <c r="D8" s="1" t="s">
        <v>8</v>
      </c>
      <c r="E8" s="1" t="s">
        <v>9</v>
      </c>
      <c r="F8" s="1" t="s">
        <v>11</v>
      </c>
      <c r="G8" s="1" t="s">
        <v>12</v>
      </c>
      <c r="H8" s="1" t="s">
        <v>13</v>
      </c>
      <c r="I8" s="1" t="s">
        <v>14</v>
      </c>
      <c r="J8" s="1" t="s">
        <v>15</v>
      </c>
      <c r="K8" s="1" t="s">
        <v>16</v>
      </c>
      <c r="L8" s="1" t="s">
        <v>17</v>
      </c>
      <c r="M8" s="1" t="s">
        <v>18</v>
      </c>
      <c r="N8" s="1" t="s">
        <v>19</v>
      </c>
      <c r="O8" s="1" t="s">
        <v>20</v>
      </c>
      <c r="P8" s="1" t="s">
        <v>21</v>
      </c>
      <c r="Q8" s="1" t="s">
        <v>22</v>
      </c>
      <c r="R8" s="1" t="s">
        <v>23</v>
      </c>
      <c r="S8" s="1" t="s">
        <v>24</v>
      </c>
      <c r="T8" s="1" t="s">
        <v>25</v>
      </c>
      <c r="U8" s="1" t="s">
        <v>26</v>
      </c>
      <c r="V8" s="1" t="s">
        <v>27</v>
      </c>
      <c r="W8" s="1" t="s">
        <v>28</v>
      </c>
      <c r="X8" s="1" t="s">
        <v>29</v>
      </c>
      <c r="Y8" s="1" t="s">
        <v>30</v>
      </c>
      <c r="Z8" s="1" t="s">
        <v>31</v>
      </c>
      <c r="AA8" s="1" t="s">
        <v>32</v>
      </c>
      <c r="AB8" s="1" t="s">
        <v>33</v>
      </c>
      <c r="AC8" s="1" t="s">
        <v>34</v>
      </c>
      <c r="AD8" s="1" t="s">
        <v>35</v>
      </c>
      <c r="AE8" s="1" t="s">
        <v>36</v>
      </c>
      <c r="AF8" s="1" t="s">
        <v>37</v>
      </c>
      <c r="AG8" s="1" t="s">
        <v>38</v>
      </c>
      <c r="AH8" s="22" t="s">
        <v>39</v>
      </c>
    </row>
    <row r="9" spans="2:34" ht="30" customHeight="1">
      <c r="B9" s="60" t="s">
        <v>158</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COUNTA(March58[[#This Row],[1]:[31]])</f>
        <v>0</v>
      </c>
    </row>
    <row r="10" spans="2:34" ht="30" customHeight="1">
      <c r="B10" s="2" t="s">
        <v>55</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COUNTA(March58[[#This Row],[1]:[31]])</f>
        <v>0</v>
      </c>
    </row>
    <row r="11" spans="2:34" ht="30" customHeight="1">
      <c r="B11" s="2" t="s">
        <v>56</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COUNTA(March58[[#This Row],[1]:[31]])</f>
        <v>0</v>
      </c>
    </row>
    <row r="12" spans="2:34" ht="30" customHeight="1">
      <c r="B12" s="2" t="s">
        <v>57</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COUNTA(March58[[#This Row],[1]:[31]])</f>
        <v>0</v>
      </c>
    </row>
    <row r="13" spans="2:34" ht="30" customHeight="1">
      <c r="B13" s="33" t="s">
        <v>58</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35"/>
      <c r="AH13" s="3">
        <f>COUNTA(March58[[#This Row],[1]:[31]])</f>
        <v>0</v>
      </c>
    </row>
    <row r="14" spans="2:34" ht="30" customHeight="1">
      <c r="B14" s="33" t="s">
        <v>59</v>
      </c>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35"/>
      <c r="AH14" s="3">
        <f>COUNTA(March58[[#This Row],[1]:[31]])</f>
        <v>0</v>
      </c>
    </row>
    <row r="15" spans="2:34" ht="30" customHeight="1">
      <c r="B15" s="33" t="s">
        <v>60</v>
      </c>
      <c r="C15" s="1"/>
      <c r="D15" s="1" t="s">
        <v>10</v>
      </c>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35"/>
      <c r="AH15" s="3">
        <f>COUNTA(March58[[#This Row],[1]:[31]])</f>
        <v>1</v>
      </c>
    </row>
    <row r="16" spans="2:34" ht="30" customHeight="1">
      <c r="B16" s="33" t="s">
        <v>61</v>
      </c>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35"/>
      <c r="AH16" s="3">
        <f>COUNTA(March58[[#This Row],[1]:[31]])</f>
        <v>0</v>
      </c>
    </row>
    <row r="17" spans="2:34" ht="30" customHeight="1">
      <c r="B17" s="33" t="s">
        <v>62</v>
      </c>
      <c r="C17" s="1"/>
      <c r="D17" s="1"/>
      <c r="E17" s="1"/>
      <c r="F17" s="1"/>
      <c r="G17" s="1"/>
      <c r="H17" s="1"/>
      <c r="I17" s="1"/>
      <c r="J17" s="1" t="s">
        <v>4</v>
      </c>
      <c r="K17" s="1" t="s">
        <v>4</v>
      </c>
      <c r="L17" s="1" t="s">
        <v>4</v>
      </c>
      <c r="M17" s="1" t="s">
        <v>4</v>
      </c>
      <c r="N17" s="1" t="s">
        <v>4</v>
      </c>
      <c r="O17" s="1"/>
      <c r="P17" s="1"/>
      <c r="Q17" s="1" t="s">
        <v>4</v>
      </c>
      <c r="R17" s="1" t="s">
        <v>4</v>
      </c>
      <c r="S17" s="1" t="s">
        <v>4</v>
      </c>
      <c r="T17" s="1" t="s">
        <v>4</v>
      </c>
      <c r="U17" s="1" t="s">
        <v>4</v>
      </c>
      <c r="V17" s="1"/>
      <c r="W17" s="1"/>
      <c r="X17" s="1"/>
      <c r="Y17" s="1" t="s">
        <v>4</v>
      </c>
      <c r="Z17" s="1" t="s">
        <v>4</v>
      </c>
      <c r="AA17" s="1" t="s">
        <v>4</v>
      </c>
      <c r="AB17" s="1" t="s">
        <v>4</v>
      </c>
      <c r="AC17" s="1"/>
      <c r="AD17" s="1"/>
      <c r="AE17" s="1" t="s">
        <v>4</v>
      </c>
      <c r="AF17" s="1"/>
      <c r="AG17" s="35"/>
      <c r="AH17" s="3">
        <f>COUNTA(March58[[#This Row],[1]:[31]])</f>
        <v>15</v>
      </c>
    </row>
    <row r="18" spans="2:34" ht="30" customHeight="1">
      <c r="B18" s="33" t="s">
        <v>63</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35"/>
      <c r="AH18" s="3">
        <f>COUNTA(March58[[#This Row],[1]:[31]])</f>
        <v>0</v>
      </c>
    </row>
    <row r="19" spans="2:34" ht="30" customHeight="1">
      <c r="B19" s="33" t="s">
        <v>64</v>
      </c>
      <c r="C19" s="1"/>
      <c r="D19" s="1"/>
      <c r="E19" s="1"/>
      <c r="F19" s="1"/>
      <c r="G19" s="1"/>
      <c r="H19" s="1"/>
      <c r="I19" s="1"/>
      <c r="J19" s="1"/>
      <c r="K19" s="1"/>
      <c r="L19" s="1"/>
      <c r="M19" s="1"/>
      <c r="N19" s="39" t="s">
        <v>78</v>
      </c>
      <c r="O19" s="1"/>
      <c r="P19" s="1"/>
      <c r="Q19" s="1"/>
      <c r="R19" s="1"/>
      <c r="S19" s="1"/>
      <c r="T19" s="1"/>
      <c r="U19" s="1"/>
      <c r="V19" s="1"/>
      <c r="W19" s="1"/>
      <c r="X19" s="1"/>
      <c r="Y19" s="1"/>
      <c r="Z19" s="1"/>
      <c r="AA19" s="1"/>
      <c r="AB19" s="39" t="s">
        <v>78</v>
      </c>
      <c r="AC19" s="1"/>
      <c r="AD19" s="1"/>
      <c r="AE19" s="1"/>
      <c r="AF19" s="1"/>
      <c r="AG19" s="35"/>
      <c r="AH19" s="3">
        <f>COUNTA(March58[[#This Row],[1]:[31]])</f>
        <v>2</v>
      </c>
    </row>
    <row r="20" spans="2:34" ht="30" customHeight="1">
      <c r="B20" s="33" t="s">
        <v>138</v>
      </c>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35"/>
      <c r="AH20" s="3">
        <f>COUNTA(March58[[#This Row],[1]:[31]])</f>
        <v>0</v>
      </c>
    </row>
    <row r="21" spans="2:34" ht="30" customHeight="1">
      <c r="B21" s="33" t="s">
        <v>66</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35"/>
      <c r="AH21" s="3">
        <f>COUNTA(March58[[#This Row],[1]:[31]])</f>
        <v>0</v>
      </c>
    </row>
    <row r="22" spans="2:34" ht="30" customHeight="1">
      <c r="B22" s="33" t="s">
        <v>67</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35"/>
      <c r="AH22" s="3">
        <f>COUNTA(March58[[#This Row],[1]:[31]])</f>
        <v>0</v>
      </c>
    </row>
    <row r="23" spans="2:34" ht="30" customHeight="1">
      <c r="B23" s="33" t="s">
        <v>68</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35"/>
      <c r="AH23" s="3">
        <f>COUNTA(March58[[#This Row],[1]:[31]])</f>
        <v>0</v>
      </c>
    </row>
    <row r="24" spans="2:34" ht="30" customHeight="1">
      <c r="B24" s="33" t="s">
        <v>69</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35"/>
      <c r="AH24" s="3">
        <f>COUNTA(March58[[#This Row],[1]:[31]])</f>
        <v>0</v>
      </c>
    </row>
    <row r="25" spans="2:34" ht="30" customHeight="1">
      <c r="B25" s="33" t="s">
        <v>70</v>
      </c>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35"/>
      <c r="AH25" s="3">
        <f>COUNTA(March58[[#This Row],[1]:[31]])</f>
        <v>0</v>
      </c>
    </row>
    <row r="26" spans="2:34" ht="30" customHeight="1">
      <c r="B26" s="33" t="s">
        <v>71</v>
      </c>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35"/>
      <c r="AH26" s="3">
        <f>COUNTA(March58[[#This Row],[1]:[31]])</f>
        <v>0</v>
      </c>
    </row>
    <row r="27" spans="2:34" ht="30" customHeight="1">
      <c r="B27" s="42" t="s">
        <v>148</v>
      </c>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35"/>
      <c r="AH27" s="3">
        <f>COUNTA(March58[[#This Row],[1]:[31]])</f>
        <v>0</v>
      </c>
    </row>
    <row r="28" spans="2:34" ht="30" customHeight="1">
      <c r="B28" s="5" t="str">
        <f>MonthName&amp;" Total"</f>
        <v>Claves de los tipos de ausencia Total</v>
      </c>
      <c r="C28" s="4">
        <f>SUBTOTAL(103,March58[1])</f>
        <v>0</v>
      </c>
      <c r="D28" s="4">
        <f>SUBTOTAL(103,March58[2])</f>
        <v>1</v>
      </c>
      <c r="E28" s="4">
        <f>SUBTOTAL(103,March58[3])</f>
        <v>0</v>
      </c>
      <c r="F28" s="4">
        <f>SUBTOTAL(103,March58[4])</f>
        <v>0</v>
      </c>
      <c r="G28" s="4">
        <f>SUBTOTAL(103,March58[5])</f>
        <v>0</v>
      </c>
      <c r="H28" s="4">
        <f>SUBTOTAL(103,March58[6])</f>
        <v>0</v>
      </c>
      <c r="I28" s="4">
        <f>SUBTOTAL(103,March58[7])</f>
        <v>0</v>
      </c>
      <c r="J28" s="4">
        <f>SUBTOTAL(103,March58[8])</f>
        <v>1</v>
      </c>
      <c r="K28" s="4">
        <f>SUBTOTAL(103,March58[9])</f>
        <v>1</v>
      </c>
      <c r="L28" s="4">
        <f>SUBTOTAL(103,March58[10])</f>
        <v>1</v>
      </c>
      <c r="M28" s="4">
        <f>SUBTOTAL(103,March58[11])</f>
        <v>1</v>
      </c>
      <c r="N28" s="4">
        <f>SUBTOTAL(103,March58[12])</f>
        <v>2</v>
      </c>
      <c r="O28" s="4">
        <f>SUBTOTAL(103,March58[13])</f>
        <v>0</v>
      </c>
      <c r="P28" s="4">
        <f>SUBTOTAL(103,March58[14])</f>
        <v>0</v>
      </c>
      <c r="Q28" s="4">
        <f>SUBTOTAL(103,March58[15])</f>
        <v>1</v>
      </c>
      <c r="R28" s="4">
        <f>SUBTOTAL(103,March58[16])</f>
        <v>1</v>
      </c>
      <c r="S28" s="4">
        <f>SUBTOTAL(103,March58[17])</f>
        <v>1</v>
      </c>
      <c r="T28" s="4">
        <f>SUBTOTAL(103,March58[18])</f>
        <v>1</v>
      </c>
      <c r="U28" s="4">
        <f>SUBTOTAL(103,March58[19])</f>
        <v>1</v>
      </c>
      <c r="V28" s="4">
        <f>SUBTOTAL(103,March58[20])</f>
        <v>0</v>
      </c>
      <c r="W28" s="4">
        <f>SUBTOTAL(103,March58[21])</f>
        <v>0</v>
      </c>
      <c r="X28" s="4">
        <f>SUBTOTAL(103,March58[22])</f>
        <v>0</v>
      </c>
      <c r="Y28" s="4">
        <f>SUBTOTAL(103,March58[23])</f>
        <v>1</v>
      </c>
      <c r="Z28" s="4">
        <f>SUBTOTAL(103,March58[24])</f>
        <v>1</v>
      </c>
      <c r="AA28" s="4">
        <f>SUBTOTAL(103,March58[25])</f>
        <v>1</v>
      </c>
      <c r="AB28" s="4">
        <f>SUBTOTAL(103,March58[26])</f>
        <v>2</v>
      </c>
      <c r="AC28" s="4">
        <f>SUBTOTAL(103,March58[27])</f>
        <v>0</v>
      </c>
      <c r="AD28" s="4">
        <f>SUBTOTAL(103,March58[28])</f>
        <v>0</v>
      </c>
      <c r="AE28" s="4">
        <f>SUBTOTAL(103,March58[29])</f>
        <v>1</v>
      </c>
      <c r="AF28" s="4">
        <f>SUBTOTAL(109,March58[30])</f>
        <v>0</v>
      </c>
      <c r="AG28" s="4">
        <f>SUBTOTAL(109,March58[31])</f>
        <v>0</v>
      </c>
      <c r="AH28" s="4">
        <f>SUBTOTAL(109,March58[Total de días])</f>
        <v>18</v>
      </c>
    </row>
  </sheetData>
  <mergeCells count="7">
    <mergeCell ref="C6:AG6"/>
    <mergeCell ref="D4:F4"/>
    <mergeCell ref="H4:J4"/>
    <mergeCell ref="L4:N4"/>
    <mergeCell ref="P4:S4"/>
    <mergeCell ref="U4:X4"/>
    <mergeCell ref="Z4:AB4"/>
  </mergeCells>
  <phoneticPr fontId="34" type="noConversion"/>
  <conditionalFormatting sqref="C9:AG27">
    <cfRule type="expression" priority="1" stopIfTrue="1">
      <formula>C9=""</formula>
    </cfRule>
    <cfRule type="expression" dxfId="159" priority="2" stopIfTrue="1">
      <formula>C9=KeyCustom2</formula>
    </cfRule>
    <cfRule type="expression" dxfId="158" priority="3" stopIfTrue="1">
      <formula>C9=KeyCustom1</formula>
    </cfRule>
    <cfRule type="expression" dxfId="157" priority="4" stopIfTrue="1">
      <formula>C9=KeySick</formula>
    </cfRule>
    <cfRule type="expression" dxfId="156" priority="5" stopIfTrue="1">
      <formula>C9=KeyPersonal</formula>
    </cfRule>
    <cfRule type="expression" dxfId="155" priority="6" stopIfTrue="1">
      <formula>C9=KeyVacation</formula>
    </cfRule>
  </conditionalFormatting>
  <conditionalFormatting sqref="AH9:AH27">
    <cfRule type="dataBar" priority="274">
      <dataBar>
        <cfvo type="min"/>
        <cfvo type="formula" val="DATEDIF(DATE(CalendarYear,2,1),DATE(CalendarYear,3,1),&quot;d&quot;)"/>
        <color theme="2" tint="-0.249977111117893"/>
      </dataBar>
      <extLst>
        <ext xmlns:x14="http://schemas.microsoft.com/office/spreadsheetml/2009/9/main" uri="{B025F937-C7B1-47D3-B67F-A62EFF666E3E}">
          <x14:id>{A375B1A4-CE4E-6D4B-BAE6-14354F30C96E}</x14:id>
        </ext>
      </extLst>
    </cfRule>
  </conditionalFormatting>
  <dataValidations count="15">
    <dataValidation allowBlank="1" showInputMessage="1" showErrorMessage="1" prompt="Los días del mes se generan automáticamente en esta fila. Especifique la ausencia del empleado y el tipo en cada columna para cada día del mes. En blanco significa que no hay ninguna ausencia" sqref="C8" xr:uid="{335D4725-041B-2E47-BBA9-5D657DA932CD}"/>
    <dataValidation allowBlank="1" showInputMessage="1" showErrorMessage="1" prompt="Escriba una letra y personalice la etiqueta de la derecha para agregar otro elemento clave." sqref="O4 T4" xr:uid="{199A3861-7B65-4B27-90CD-0AA3BC4C507D}"/>
    <dataValidation allowBlank="1" showInputMessage="1" showErrorMessage="1" prompt="La letra “E” indica una ausencia por enfermedad" sqref="K4" xr:uid="{79E90C44-5FAC-40CB-9C61-345DE93A24A2}"/>
    <dataValidation allowBlank="1" showInputMessage="1" showErrorMessage="1" prompt="La letra “P” indica una ausencia por motivos personales" sqref="G4" xr:uid="{5122D6EB-84B4-42C6-A76B-D201963CFF2C}"/>
    <dataValidation allowBlank="1" showInputMessage="1" showErrorMessage="1" prompt="La letra “V” indica una ausencia por vacaciones" sqref="C4" xr:uid="{B3B0C3FB-51AD-477B-BAFA-0BCF210E2BBA}"/>
    <dataValidation allowBlank="1" showInputMessage="1" showErrorMessage="1" prompt="El título se actualiza automáticamente en esta celda. Para modificarlo, actualice la celda B1 en la hoja de cálculo de enero" sqref="B2" xr:uid="{AF65042B-CFA9-EE45-B22D-BF607EFD23A2}"/>
    <dataValidation errorStyle="warning" allowBlank="1" showInputMessage="1" showErrorMessage="1" error="Seleccione un nombre de la lista. Seleccione CANCELAR y, después, ALT+FLECHA ABAJO y ENTRAR para seleccionar un nombre" prompt="Escriba los nombres de los empleados en la hoja de cálculo Nombres de empleados y, después, seleccione uno de los nombres de la lista de esta columna. Presione ALT+FLECHA ABAJO y ENTRAR para seleccionar un nombre" sqref="B8" xr:uid="{5151223E-F15A-CC42-BB59-D2CDBDCF3261}"/>
    <dataValidation allowBlank="1" showInputMessage="1" showErrorMessage="1" prompt="Calcula automáticamente el número total de días que un empleado estuvo ausente este mes en esta columna" sqref="AH8" xr:uid="{AA6AB7B7-5D91-F64F-B211-A848209375D2}"/>
    <dataValidation allowBlank="1" showInputMessage="1" showErrorMessage="1" prompt="Año actualizado automáticamente en función del año introducido en la hoja de cálculo de enero" sqref="AH6" xr:uid="{B487DEDD-C1B1-7244-96C6-F378FEF21F51}"/>
    <dataValidation allowBlank="1" showInputMessage="1" showErrorMessage="1" prompt="Los días laborables en esta fila se actualizan automáticamente durante el mes según el año en AH4. Cada día del mes es una columna para indicar la ausencia del empleado y el tipo de ausencia" sqref="C7" xr:uid="{01F3DA31-27D6-FF4D-B48B-4013BF344DCF}"/>
    <dataValidation allowBlank="1" showInputMessage="1" showErrorMessage="1" prompt="Realice un seguimiento de las ausencias de marzo en esta hoja de cálculo." sqref="A1" xr:uid="{13CF1C37-090E-F24B-AF68-CAE6199B19CC}"/>
    <dataValidation allowBlank="1" showInputMessage="1" showErrorMessage="1" prompt="El nombre del mes de este plan de ausencias está en esta celda. Los totales de las ausencias para este mes aparecen en la última celda de la tabla. Seleccione los nombres de los empleados en la columna B de la tabla" sqref="B2" xr:uid="{B5AA8D04-FE35-8C4F-90FD-347160FC6301}"/>
    <dataValidation allowBlank="1" showInputMessage="1" showErrorMessage="1" prompt="Esta fila define las claves que se usan en la tabla: la celda C4 es para vacaciones, la celda G4 es para asuntos personales y la celda K4 es baja por enfermedad. Las celdas N4 y R4 se pueden personalizar" sqref="B4" xr:uid="{E5AF47AE-EACF-4382-8995-97EA4D653F4A}"/>
    <dataValidation allowBlank="1" showInputMessage="1" showErrorMessage="1" prompt="Esta celda contiene el título de la hoja de cálculo. " sqref="B1" xr:uid="{4F7FEADB-B66E-49E8-AD11-DB789AA552A4}"/>
    <dataValidation allowBlank="1" showInputMessage="1" showErrorMessage="1" prompt="Escriba una etiqueta para describir la clave personalizada de la izquierda" sqref="U4 P4" xr:uid="{3E336CA9-BF76-41C5-9986-E8D9A836483A}"/>
  </dataValidations>
  <pageMargins left="0.7" right="0.7" top="0.75" bottom="0.75" header="0.3" footer="0.3"/>
  <pageSetup paperSize="9" fitToHeight="0" orientation="portrait" verticalDpi="4294967293"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A375B1A4-CE4E-6D4B-BAE6-14354F30C96E}">
            <x14:dataBar minLength="0" maxLength="100">
              <x14:cfvo type="autoMin"/>
              <x14:cfvo type="formula">
                <xm:f>DATEDIF(DATE(CalendarYear,2,1),DATE(CalendarYear,3,1),"d")</xm:f>
              </x14:cfvo>
              <x14:negativeFillColor rgb="FFFF0000"/>
              <x14:axisColor rgb="FF000000"/>
            </x14:dataBar>
          </x14:cfRule>
          <xm:sqref>AH9:AH27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1B1DACF-B091-8040-A452-F5B0F1F6A6F7}">
          <x14:formula1>
            <xm:f>'Nombres de los empleados'!$B$5:$B$9</xm:f>
          </x14:formula1>
          <xm:sqref>B10:B12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sheetPr>
  <dimension ref="B1:AH28"/>
  <sheetViews>
    <sheetView showGridLines="0" topLeftCell="A4" zoomScale="68" zoomScaleNormal="100" workbookViewId="0">
      <selection activeCell="P4" sqref="P4:S4"/>
    </sheetView>
  </sheetViews>
  <sheetFormatPr baseColWidth="10" defaultColWidth="8.6328125" defaultRowHeight="30" customHeight="1"/>
  <cols>
    <col min="1" max="1" width="2.6328125" customWidth="1"/>
    <col min="2" max="2" width="37.54296875" customWidth="1"/>
    <col min="3" max="33" width="4.6328125" customWidth="1"/>
    <col min="34" max="34" width="13.453125" customWidth="1"/>
    <col min="35" max="35" width="2.6328125" customWidth="1"/>
  </cols>
  <sheetData>
    <row r="1" spans="2:34" ht="50.15" customHeight="1">
      <c r="B1" s="24" t="s">
        <v>0</v>
      </c>
    </row>
    <row r="2" spans="2:34" ht="100.25" customHeight="1">
      <c r="B2" s="31" t="s">
        <v>46</v>
      </c>
    </row>
    <row r="3" spans="2:34" ht="15" customHeight="1">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row>
    <row r="4" spans="2:34" ht="30" customHeight="1">
      <c r="B4" s="7" t="s">
        <v>2</v>
      </c>
      <c r="C4" s="29" t="s">
        <v>4</v>
      </c>
      <c r="D4" s="68" t="s">
        <v>7</v>
      </c>
      <c r="E4" s="68"/>
      <c r="F4" s="68"/>
      <c r="G4" s="27" t="s">
        <v>10</v>
      </c>
      <c r="H4" s="69" t="s">
        <v>77</v>
      </c>
      <c r="I4" s="69"/>
      <c r="J4" s="69"/>
      <c r="K4" s="28" t="s">
        <v>75</v>
      </c>
      <c r="L4" s="68" t="s">
        <v>76</v>
      </c>
      <c r="M4" s="68"/>
      <c r="N4" s="68"/>
      <c r="O4" s="17" t="s">
        <v>79</v>
      </c>
      <c r="P4" s="68" t="s">
        <v>160</v>
      </c>
      <c r="Q4" s="68"/>
      <c r="R4" s="68"/>
      <c r="S4" s="68"/>
      <c r="T4" s="18" t="s">
        <v>73</v>
      </c>
      <c r="U4" s="68" t="s">
        <v>74</v>
      </c>
      <c r="V4" s="68"/>
      <c r="W4" s="68"/>
      <c r="X4" s="68"/>
      <c r="Y4" s="36" t="s">
        <v>78</v>
      </c>
      <c r="Z4" s="70" t="s">
        <v>72</v>
      </c>
      <c r="AA4" s="70"/>
      <c r="AB4" s="70"/>
    </row>
    <row r="5" spans="2:34" ht="15" customHeight="1">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row>
    <row r="6" spans="2:34" ht="50" customHeight="1">
      <c r="B6" s="6"/>
      <c r="C6" s="67" t="s">
        <v>5</v>
      </c>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
        <f>CalendarYear</f>
        <v>2023</v>
      </c>
    </row>
    <row r="7" spans="2:34" ht="30" customHeight="1">
      <c r="B7" s="6"/>
      <c r="C7" s="21" t="str">
        <f>TEXT(WEEKDAY(DATE(CalendarYear,6,1),1),"ddd")</f>
        <v>jue</v>
      </c>
      <c r="D7" s="21" t="str">
        <f>TEXT(WEEKDAY(DATE(CalendarYear,6,2),1),"ddd")</f>
        <v>vie</v>
      </c>
      <c r="E7" s="21" t="str">
        <f>TEXT(WEEKDAY(DATE(CalendarYear,6,3),1),"ddd")</f>
        <v>sáb</v>
      </c>
      <c r="F7" s="21" t="str">
        <f>TEXT(WEEKDAY(DATE(CalendarYear,6,4),1),"ddd")</f>
        <v>dom</v>
      </c>
      <c r="G7" s="21" t="str">
        <f>TEXT(WEEKDAY(DATE(CalendarYear,6,5),1),"ddd")</f>
        <v>lun</v>
      </c>
      <c r="H7" s="21" t="str">
        <f>TEXT(WEEKDAY(DATE(CalendarYear,6,6),1),"ddd")</f>
        <v>mar</v>
      </c>
      <c r="I7" s="21" t="str">
        <f>TEXT(WEEKDAY(DATE(CalendarYear,6,7),1),"ddd")</f>
        <v>mié</v>
      </c>
      <c r="J7" s="21" t="str">
        <f>TEXT(WEEKDAY(DATE(CalendarYear,6,8),1),"ddd")</f>
        <v>jue</v>
      </c>
      <c r="K7" s="21" t="str">
        <f>TEXT(WEEKDAY(DATE(CalendarYear,6,9),1),"ddd")</f>
        <v>vie</v>
      </c>
      <c r="L7" s="21" t="str">
        <f>TEXT(WEEKDAY(DATE(CalendarYear,6,10),1),"ddd")</f>
        <v>sáb</v>
      </c>
      <c r="M7" s="21" t="str">
        <f>TEXT(WEEKDAY(DATE(CalendarYear,6,11),1),"ddd")</f>
        <v>dom</v>
      </c>
      <c r="N7" s="21" t="str">
        <f>TEXT(WEEKDAY(DATE(CalendarYear,6,12),1),"ddd")</f>
        <v>lun</v>
      </c>
      <c r="O7" s="21" t="str">
        <f>TEXT(WEEKDAY(DATE(CalendarYear,6,13),1),"ddd")</f>
        <v>mar</v>
      </c>
      <c r="P7" s="21" t="str">
        <f>TEXT(WEEKDAY(DATE(CalendarYear,6,14),1),"ddd")</f>
        <v>mié</v>
      </c>
      <c r="Q7" s="21" t="str">
        <f>TEXT(WEEKDAY(DATE(CalendarYear,6,15),1),"ddd")</f>
        <v>jue</v>
      </c>
      <c r="R7" s="21" t="str">
        <f>TEXT(WEEKDAY(DATE(CalendarYear,6,16),1),"ddd")</f>
        <v>vie</v>
      </c>
      <c r="S7" s="21" t="str">
        <f>TEXT(WEEKDAY(DATE(CalendarYear,6,17),1),"ddd")</f>
        <v>sáb</v>
      </c>
      <c r="T7" s="21" t="str">
        <f>TEXT(WEEKDAY(DATE(CalendarYear,6,18),1),"ddd")</f>
        <v>dom</v>
      </c>
      <c r="U7" s="21" t="str">
        <f>TEXT(WEEKDAY(DATE(CalendarYear,6,19),1),"ddd")</f>
        <v>lun</v>
      </c>
      <c r="V7" s="21" t="str">
        <f>TEXT(WEEKDAY(DATE(CalendarYear,6,20),1),"ddd")</f>
        <v>mar</v>
      </c>
      <c r="W7" s="21" t="str">
        <f>TEXT(WEEKDAY(DATE(CalendarYear,6,21),1),"ddd")</f>
        <v>mié</v>
      </c>
      <c r="X7" s="21" t="str">
        <f>TEXT(WEEKDAY(DATE(CalendarYear,6,22),1),"ddd")</f>
        <v>jue</v>
      </c>
      <c r="Y7" s="21" t="str">
        <f>TEXT(WEEKDAY(DATE(CalendarYear,6,23),1),"ddd")</f>
        <v>vie</v>
      </c>
      <c r="Z7" s="21" t="str">
        <f>TEXT(WEEKDAY(DATE(CalendarYear,6,24),1),"ddd")</f>
        <v>sáb</v>
      </c>
      <c r="AA7" s="21" t="str">
        <f>TEXT(WEEKDAY(DATE(CalendarYear,6,25),1),"ddd")</f>
        <v>dom</v>
      </c>
      <c r="AB7" s="21" t="str">
        <f>TEXT(WEEKDAY(DATE(CalendarYear,6,26),1),"ddd")</f>
        <v>lun</v>
      </c>
      <c r="AC7" s="21" t="str">
        <f>TEXT(WEEKDAY(DATE(CalendarYear,6,27),1),"ddd")</f>
        <v>mar</v>
      </c>
      <c r="AD7" s="21" t="str">
        <f>TEXT(WEEKDAY(DATE(CalendarYear,6,28),1),"ddd")</f>
        <v>mié</v>
      </c>
      <c r="AE7" s="21" t="str">
        <f>TEXT(WEEKDAY(DATE(CalendarYear,6,29),1),"ddd")</f>
        <v>jue</v>
      </c>
      <c r="AF7" s="21" t="str">
        <f>TEXT(WEEKDAY(DATE(CalendarYear,6,30),1),"ddd")</f>
        <v>vie</v>
      </c>
      <c r="AG7" s="21"/>
      <c r="AH7" s="6"/>
    </row>
    <row r="8" spans="2:34" ht="30" customHeight="1">
      <c r="B8" s="20" t="s">
        <v>3</v>
      </c>
      <c r="C8" s="1" t="s">
        <v>6</v>
      </c>
      <c r="D8" s="1" t="s">
        <v>8</v>
      </c>
      <c r="E8" s="1" t="s">
        <v>9</v>
      </c>
      <c r="F8" s="1" t="s">
        <v>11</v>
      </c>
      <c r="G8" s="1" t="s">
        <v>12</v>
      </c>
      <c r="H8" s="1" t="s">
        <v>13</v>
      </c>
      <c r="I8" s="1" t="s">
        <v>14</v>
      </c>
      <c r="J8" s="1" t="s">
        <v>15</v>
      </c>
      <c r="K8" s="1" t="s">
        <v>16</v>
      </c>
      <c r="L8" s="1" t="s">
        <v>17</v>
      </c>
      <c r="M8" s="1" t="s">
        <v>18</v>
      </c>
      <c r="N8" s="1" t="s">
        <v>19</v>
      </c>
      <c r="O8" s="1" t="s">
        <v>20</v>
      </c>
      <c r="P8" s="1" t="s">
        <v>21</v>
      </c>
      <c r="Q8" s="1" t="s">
        <v>22</v>
      </c>
      <c r="R8" s="1" t="s">
        <v>23</v>
      </c>
      <c r="S8" s="1" t="s">
        <v>24</v>
      </c>
      <c r="T8" s="1" t="s">
        <v>25</v>
      </c>
      <c r="U8" s="1" t="s">
        <v>26</v>
      </c>
      <c r="V8" s="1" t="s">
        <v>27</v>
      </c>
      <c r="W8" s="1" t="s">
        <v>28</v>
      </c>
      <c r="X8" s="1" t="s">
        <v>29</v>
      </c>
      <c r="Y8" s="1" t="s">
        <v>30</v>
      </c>
      <c r="Z8" s="1" t="s">
        <v>31</v>
      </c>
      <c r="AA8" s="1" t="s">
        <v>32</v>
      </c>
      <c r="AB8" s="1" t="s">
        <v>33</v>
      </c>
      <c r="AC8" s="1" t="s">
        <v>34</v>
      </c>
      <c r="AD8" s="1" t="s">
        <v>35</v>
      </c>
      <c r="AE8" s="1" t="s">
        <v>36</v>
      </c>
      <c r="AF8" s="1" t="s">
        <v>37</v>
      </c>
      <c r="AG8" s="1" t="s">
        <v>41</v>
      </c>
      <c r="AH8" s="22" t="s">
        <v>39</v>
      </c>
    </row>
    <row r="9" spans="2:34" ht="30" customHeight="1">
      <c r="B9" s="60" t="s">
        <v>158</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COUNTA(Junio[[#This Row],[1]:[ ]])</f>
        <v>0</v>
      </c>
    </row>
    <row r="10" spans="2:34" ht="30" customHeight="1">
      <c r="B10" s="2" t="s">
        <v>55</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COUNTA(Junio[[#This Row],[1]:[ ]])</f>
        <v>0</v>
      </c>
    </row>
    <row r="11" spans="2:34" ht="30" customHeight="1">
      <c r="B11" s="2" t="s">
        <v>56</v>
      </c>
      <c r="C11" s="1"/>
      <c r="D11" s="1"/>
      <c r="E11" s="1"/>
      <c r="F11" s="1"/>
      <c r="G11" s="1"/>
      <c r="H11" s="1"/>
      <c r="I11" s="1"/>
      <c r="J11" s="1"/>
      <c r="K11" s="1"/>
      <c r="L11" s="1"/>
      <c r="M11" s="1"/>
      <c r="N11" s="1"/>
      <c r="O11" s="1"/>
      <c r="P11" s="1"/>
      <c r="Q11" s="1"/>
      <c r="R11" s="1"/>
      <c r="S11" s="1"/>
      <c r="T11" s="1"/>
      <c r="U11" s="1"/>
      <c r="V11" s="1"/>
      <c r="W11" s="1"/>
      <c r="X11" s="1"/>
      <c r="Y11" s="1"/>
      <c r="Z11" s="1"/>
      <c r="AA11" s="1"/>
      <c r="AB11" s="1"/>
      <c r="AC11" s="1" t="s">
        <v>79</v>
      </c>
      <c r="AD11" s="1" t="s">
        <v>79</v>
      </c>
      <c r="AE11" s="1"/>
      <c r="AF11" s="1"/>
      <c r="AG11" s="1"/>
      <c r="AH11" s="3">
        <f>COUNTA(Junio[[#This Row],[1]:[ ]])</f>
        <v>2</v>
      </c>
    </row>
    <row r="12" spans="2:34" ht="30" customHeight="1">
      <c r="B12" s="2" t="s">
        <v>57</v>
      </c>
      <c r="C12" s="1"/>
      <c r="D12" s="1"/>
      <c r="E12" s="1"/>
      <c r="F12" s="1"/>
      <c r="G12" s="1"/>
      <c r="H12" s="1"/>
      <c r="I12" s="1" t="s">
        <v>10</v>
      </c>
      <c r="J12" s="1" t="s">
        <v>10</v>
      </c>
      <c r="K12" s="1" t="s">
        <v>10</v>
      </c>
      <c r="L12" s="1"/>
      <c r="M12" s="1"/>
      <c r="N12" s="1"/>
      <c r="O12" s="1"/>
      <c r="P12" s="1"/>
      <c r="Q12" s="1" t="s">
        <v>79</v>
      </c>
      <c r="R12" s="1" t="s">
        <v>79</v>
      </c>
      <c r="S12" s="1"/>
      <c r="T12" s="1"/>
      <c r="U12" s="1"/>
      <c r="V12" s="1" t="s">
        <v>79</v>
      </c>
      <c r="W12" s="1" t="s">
        <v>4</v>
      </c>
      <c r="X12" s="1" t="s">
        <v>4</v>
      </c>
      <c r="Y12" s="1" t="s">
        <v>4</v>
      </c>
      <c r="Z12" s="1"/>
      <c r="AA12" s="1"/>
      <c r="AB12" s="1"/>
      <c r="AC12" s="1"/>
      <c r="AD12" s="1"/>
      <c r="AE12" s="1"/>
      <c r="AF12" s="1"/>
      <c r="AG12" s="1"/>
      <c r="AH12" s="3">
        <f>COUNTA(Junio[[#This Row],[1]:[ ]])</f>
        <v>9</v>
      </c>
    </row>
    <row r="13" spans="2:34" ht="30" customHeight="1">
      <c r="B13" s="33" t="s">
        <v>58</v>
      </c>
      <c r="C13" s="1"/>
      <c r="D13" s="1"/>
      <c r="E13" s="1"/>
      <c r="F13" s="1"/>
      <c r="G13" s="1"/>
      <c r="H13" s="1"/>
      <c r="I13" s="1"/>
      <c r="J13" s="1"/>
      <c r="K13" s="1"/>
      <c r="L13" s="1"/>
      <c r="M13" s="1"/>
      <c r="N13" s="1"/>
      <c r="O13" s="1"/>
      <c r="P13" s="1"/>
      <c r="Q13" s="1"/>
      <c r="R13" s="1"/>
      <c r="S13" s="1"/>
      <c r="T13" s="1"/>
      <c r="U13" s="1"/>
      <c r="V13" s="1" t="s">
        <v>79</v>
      </c>
      <c r="W13" s="1" t="s">
        <v>79</v>
      </c>
      <c r="X13" s="1" t="s">
        <v>79</v>
      </c>
      <c r="Y13" s="1"/>
      <c r="Z13" s="1"/>
      <c r="AA13" s="1"/>
      <c r="AB13" s="1"/>
      <c r="AC13" s="1"/>
      <c r="AD13" s="1"/>
      <c r="AE13" s="1"/>
      <c r="AF13" s="1"/>
      <c r="AG13" s="35"/>
      <c r="AH13" s="3">
        <f>COUNTA(Junio[[#This Row],[1]:[ ]])</f>
        <v>3</v>
      </c>
    </row>
    <row r="14" spans="2:34" ht="30" customHeight="1">
      <c r="B14" s="33" t="s">
        <v>59</v>
      </c>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35"/>
      <c r="AH14" s="3">
        <f>COUNTA(Junio[[#This Row],[1]:[ ]])</f>
        <v>0</v>
      </c>
    </row>
    <row r="15" spans="2:34" ht="30" customHeight="1">
      <c r="B15" s="33" t="s">
        <v>60</v>
      </c>
      <c r="C15" s="1"/>
      <c r="D15" s="1"/>
      <c r="E15" s="1"/>
      <c r="F15" s="1"/>
      <c r="G15" s="1"/>
      <c r="H15" s="1"/>
      <c r="I15" s="1"/>
      <c r="J15" s="1"/>
      <c r="K15" s="1"/>
      <c r="L15" s="1"/>
      <c r="M15" s="1"/>
      <c r="N15" s="1"/>
      <c r="O15" s="1"/>
      <c r="P15" s="1"/>
      <c r="Q15" s="1"/>
      <c r="R15" s="1"/>
      <c r="S15" s="1"/>
      <c r="T15" s="1"/>
      <c r="U15" s="1"/>
      <c r="V15" s="1"/>
      <c r="W15" s="1"/>
      <c r="X15" s="1"/>
      <c r="Y15" s="39" t="s">
        <v>78</v>
      </c>
      <c r="Z15" s="1"/>
      <c r="AA15" s="1"/>
      <c r="AB15" s="1" t="s">
        <v>10</v>
      </c>
      <c r="AC15" s="1"/>
      <c r="AD15" s="1"/>
      <c r="AE15" s="1"/>
      <c r="AF15" s="1"/>
      <c r="AG15" s="35"/>
      <c r="AH15" s="3">
        <f>COUNTA(Junio[[#This Row],[1]:[ ]])</f>
        <v>2</v>
      </c>
    </row>
    <row r="16" spans="2:34" ht="30" customHeight="1">
      <c r="B16" s="33" t="s">
        <v>61</v>
      </c>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35"/>
      <c r="AH16" s="3">
        <f>COUNTA(Junio[[#This Row],[1]:[ ]])</f>
        <v>0</v>
      </c>
    </row>
    <row r="17" spans="2:34" ht="30" customHeight="1">
      <c r="B17" s="33" t="s">
        <v>62</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35"/>
      <c r="AH17" s="3">
        <f>COUNTA(Junio[[#This Row],[1]:[ ]])</f>
        <v>0</v>
      </c>
    </row>
    <row r="18" spans="2:34" ht="30" customHeight="1">
      <c r="B18" s="33" t="s">
        <v>63</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35"/>
      <c r="AH18" s="3">
        <f>COUNTA(Junio[[#This Row],[1]:[ ]])</f>
        <v>0</v>
      </c>
    </row>
    <row r="19" spans="2:34" ht="30" customHeight="1">
      <c r="B19" s="33" t="s">
        <v>64</v>
      </c>
      <c r="C19" s="1"/>
      <c r="D19" s="1"/>
      <c r="E19" s="1"/>
      <c r="F19" s="1"/>
      <c r="G19" s="1"/>
      <c r="H19" s="1"/>
      <c r="I19" s="1"/>
      <c r="J19" s="1"/>
      <c r="K19" s="39" t="s">
        <v>78</v>
      </c>
      <c r="L19" s="1"/>
      <c r="M19" s="1"/>
      <c r="N19" s="1"/>
      <c r="O19" s="1"/>
      <c r="P19" s="1"/>
      <c r="Q19" s="1"/>
      <c r="R19" s="1"/>
      <c r="S19" s="1"/>
      <c r="T19" s="1"/>
      <c r="U19" s="1"/>
      <c r="V19" s="1"/>
      <c r="W19" s="1"/>
      <c r="X19" s="1"/>
      <c r="Y19" s="39" t="s">
        <v>78</v>
      </c>
      <c r="Z19" s="1"/>
      <c r="AA19" s="1"/>
      <c r="AB19" s="1"/>
      <c r="AC19" s="1"/>
      <c r="AD19" s="1"/>
      <c r="AE19" s="1"/>
      <c r="AF19" s="1" t="s">
        <v>10</v>
      </c>
      <c r="AG19" s="35"/>
      <c r="AH19" s="3">
        <f>COUNTA(Junio[[#This Row],[1]:[ ]])</f>
        <v>3</v>
      </c>
    </row>
    <row r="20" spans="2:34" ht="30" customHeight="1">
      <c r="B20" s="33" t="s">
        <v>138</v>
      </c>
      <c r="C20" s="1"/>
      <c r="D20" s="1"/>
      <c r="E20" s="1"/>
      <c r="F20" s="1"/>
      <c r="G20" s="1"/>
      <c r="H20" s="1"/>
      <c r="I20" s="1"/>
      <c r="J20" s="1"/>
      <c r="K20" s="1"/>
      <c r="L20" s="1"/>
      <c r="M20" s="1"/>
      <c r="N20" s="1"/>
      <c r="O20" s="1"/>
      <c r="P20" s="1"/>
      <c r="Q20" s="1"/>
      <c r="R20" s="1"/>
      <c r="S20" s="1"/>
      <c r="T20" s="1"/>
      <c r="U20" s="1"/>
      <c r="V20" s="1" t="s">
        <v>10</v>
      </c>
      <c r="W20" s="1"/>
      <c r="X20" s="1"/>
      <c r="Y20" s="1"/>
      <c r="Z20" s="1"/>
      <c r="AA20" s="1"/>
      <c r="AB20" s="1"/>
      <c r="AC20" s="1"/>
      <c r="AD20" s="1"/>
      <c r="AE20" s="1"/>
      <c r="AF20" s="1"/>
      <c r="AG20" s="35"/>
      <c r="AH20" s="3">
        <f>COUNTA(Junio[[#This Row],[1]:[ ]])</f>
        <v>1</v>
      </c>
    </row>
    <row r="21" spans="2:34" ht="30" customHeight="1">
      <c r="B21" s="33" t="s">
        <v>66</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35"/>
      <c r="AH21" s="3">
        <f>COUNTA(Junio[[#This Row],[1]:[ ]])</f>
        <v>0</v>
      </c>
    </row>
    <row r="22" spans="2:34" ht="30" customHeight="1">
      <c r="B22" s="33" t="s">
        <v>67</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35"/>
      <c r="AH22" s="3">
        <f>COUNTA(Junio[[#This Row],[1]:[ ]])</f>
        <v>0</v>
      </c>
    </row>
    <row r="23" spans="2:34" ht="30" customHeight="1">
      <c r="B23" s="33" t="s">
        <v>68</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t="s">
        <v>79</v>
      </c>
      <c r="AG23" s="35"/>
      <c r="AH23" s="3">
        <f>COUNTA(Junio[[#This Row],[1]:[ ]])</f>
        <v>1</v>
      </c>
    </row>
    <row r="24" spans="2:34" ht="30" customHeight="1">
      <c r="B24" s="33" t="s">
        <v>69</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35"/>
      <c r="AH24" s="3">
        <f>COUNTA(Junio[[#This Row],[1]:[ ]])</f>
        <v>0</v>
      </c>
    </row>
    <row r="25" spans="2:34" ht="30" customHeight="1">
      <c r="B25" s="33" t="s">
        <v>70</v>
      </c>
      <c r="C25" s="1"/>
      <c r="D25" s="1"/>
      <c r="E25" s="1"/>
      <c r="F25" s="1"/>
      <c r="G25" s="1"/>
      <c r="H25" s="1"/>
      <c r="I25" s="1"/>
      <c r="J25" s="1"/>
      <c r="K25" s="1"/>
      <c r="L25" s="1"/>
      <c r="M25" s="1"/>
      <c r="N25" s="1"/>
      <c r="O25" s="1"/>
      <c r="P25" s="1"/>
      <c r="Q25" s="1"/>
      <c r="R25" s="1"/>
      <c r="S25" s="1"/>
      <c r="T25" s="1"/>
      <c r="U25" s="1"/>
      <c r="V25" s="1"/>
      <c r="W25" s="1"/>
      <c r="X25" s="1" t="s">
        <v>79</v>
      </c>
      <c r="Y25" s="1" t="s">
        <v>79</v>
      </c>
      <c r="Z25" s="1"/>
      <c r="AA25" s="1"/>
      <c r="AB25" s="1" t="s">
        <v>79</v>
      </c>
      <c r="AC25" s="1"/>
      <c r="AD25" s="1"/>
      <c r="AE25" s="1"/>
      <c r="AF25" s="1"/>
      <c r="AG25" s="35"/>
      <c r="AH25" s="3">
        <f>COUNTA(Junio[[#This Row],[1]:[ ]])</f>
        <v>3</v>
      </c>
    </row>
    <row r="26" spans="2:34" ht="30" customHeight="1">
      <c r="B26" s="33" t="s">
        <v>71</v>
      </c>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35"/>
      <c r="AH26" s="3">
        <f>COUNTA(Junio[[#This Row],[1]:[ ]])</f>
        <v>0</v>
      </c>
    </row>
    <row r="27" spans="2:34" ht="30" customHeight="1">
      <c r="B27" s="42" t="s">
        <v>148</v>
      </c>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35"/>
      <c r="AH27" s="3">
        <f>COUNTA(Junio[[#This Row],[1]:[ ]])</f>
        <v>0</v>
      </c>
    </row>
    <row r="28" spans="2:34" ht="30" customHeight="1">
      <c r="B28" s="5" t="str">
        <f>MonthName&amp;" Total"</f>
        <v>Junio Total</v>
      </c>
      <c r="C28" s="4">
        <f>SUBTOTAL(103,Junio[1])</f>
        <v>0</v>
      </c>
      <c r="D28" s="4">
        <f>SUBTOTAL(103,Junio[2])</f>
        <v>0</v>
      </c>
      <c r="E28" s="4">
        <f>SUBTOTAL(103,Junio[3])</f>
        <v>0</v>
      </c>
      <c r="F28" s="4">
        <f>SUBTOTAL(103,Junio[4])</f>
        <v>0</v>
      </c>
      <c r="G28" s="4">
        <f>SUBTOTAL(103,Junio[5])</f>
        <v>0</v>
      </c>
      <c r="H28" s="4">
        <f>SUBTOTAL(103,Junio[6])</f>
        <v>0</v>
      </c>
      <c r="I28" s="4">
        <f>SUBTOTAL(103,Junio[7])</f>
        <v>1</v>
      </c>
      <c r="J28" s="4">
        <f>SUBTOTAL(103,Junio[8])</f>
        <v>1</v>
      </c>
      <c r="K28" s="4">
        <f>SUBTOTAL(103,Junio[9])</f>
        <v>2</v>
      </c>
      <c r="L28" s="4">
        <f>SUBTOTAL(103,Junio[10])</f>
        <v>0</v>
      </c>
      <c r="M28" s="4">
        <f>SUBTOTAL(103,Junio[11])</f>
        <v>0</v>
      </c>
      <c r="N28" s="4">
        <f>SUBTOTAL(103,Junio[12])</f>
        <v>0</v>
      </c>
      <c r="O28" s="4">
        <f>SUBTOTAL(103,Junio[13])</f>
        <v>0</v>
      </c>
      <c r="P28" s="4">
        <f>SUBTOTAL(103,Junio[14])</f>
        <v>0</v>
      </c>
      <c r="Q28" s="4">
        <f>SUBTOTAL(103,Junio[15])</f>
        <v>1</v>
      </c>
      <c r="R28" s="4">
        <f>SUBTOTAL(103,Junio[16])</f>
        <v>1</v>
      </c>
      <c r="S28" s="4">
        <f>SUBTOTAL(103,Junio[17])</f>
        <v>0</v>
      </c>
      <c r="T28" s="4">
        <f>SUBTOTAL(103,Junio[18])</f>
        <v>0</v>
      </c>
      <c r="U28" s="4">
        <f>SUBTOTAL(103,Junio[19])</f>
        <v>0</v>
      </c>
      <c r="V28" s="4">
        <f>SUBTOTAL(103,Junio[20])</f>
        <v>3</v>
      </c>
      <c r="W28" s="4">
        <f>SUBTOTAL(103,Junio[21])</f>
        <v>2</v>
      </c>
      <c r="X28" s="4">
        <f>SUBTOTAL(103,Junio[22])</f>
        <v>3</v>
      </c>
      <c r="Y28" s="4">
        <f>SUBTOTAL(103,Junio[23])</f>
        <v>4</v>
      </c>
      <c r="Z28" s="4">
        <f>SUBTOTAL(103,Junio[24])</f>
        <v>0</v>
      </c>
      <c r="AA28" s="4">
        <f>SUBTOTAL(103,Junio[25])</f>
        <v>0</v>
      </c>
      <c r="AB28" s="4">
        <f>SUBTOTAL(103,Junio[26])</f>
        <v>2</v>
      </c>
      <c r="AC28" s="4">
        <f>SUBTOTAL(103,Junio[27])</f>
        <v>1</v>
      </c>
      <c r="AD28" s="4">
        <f>SUBTOTAL(103,Junio[28])</f>
        <v>1</v>
      </c>
      <c r="AE28" s="4">
        <f>SUBTOTAL(103,Junio[29])</f>
        <v>0</v>
      </c>
      <c r="AF28" s="4">
        <f>SUBTOTAL(109,Junio[30])</f>
        <v>0</v>
      </c>
      <c r="AG28" s="4">
        <f>SUBTOTAL(109,Junio[[ ]])</f>
        <v>0</v>
      </c>
      <c r="AH28" s="4">
        <f>SUBTOTAL(109,Junio[Total de días])</f>
        <v>24</v>
      </c>
    </row>
  </sheetData>
  <mergeCells count="7">
    <mergeCell ref="C6:AG6"/>
    <mergeCell ref="D4:F4"/>
    <mergeCell ref="H4:J4"/>
    <mergeCell ref="L4:N4"/>
    <mergeCell ref="P4:S4"/>
    <mergeCell ref="U4:X4"/>
    <mergeCell ref="Z4:AB4"/>
  </mergeCells>
  <phoneticPr fontId="34" type="noConversion"/>
  <conditionalFormatting sqref="C9:AG27">
    <cfRule type="expression" priority="1" stopIfTrue="1">
      <formula>C9=""</formula>
    </cfRule>
    <cfRule type="expression" dxfId="154" priority="2" stopIfTrue="1">
      <formula>C9=KeyCustom2</formula>
    </cfRule>
    <cfRule type="expression" dxfId="153" priority="3" stopIfTrue="1">
      <formula>C9=KeyCustom1</formula>
    </cfRule>
    <cfRule type="expression" dxfId="152" priority="4" stopIfTrue="1">
      <formula>C9=KeySick</formula>
    </cfRule>
    <cfRule type="expression" dxfId="151" priority="5" stopIfTrue="1">
      <formula>C9=KeyPersonal</formula>
    </cfRule>
    <cfRule type="expression" dxfId="150" priority="6" stopIfTrue="1">
      <formula>C9=KeyVacation</formula>
    </cfRule>
  </conditionalFormatting>
  <conditionalFormatting sqref="AH9:AH27">
    <cfRule type="dataBar" priority="281">
      <dataBar>
        <cfvo type="min"/>
        <cfvo type="formula" val="DATEDIF(DATE(CalendarYear,2,1),DATE(CalendarYear,3,1),&quot;d&quot;)"/>
        <color theme="2" tint="-0.249977111117893"/>
      </dataBar>
      <extLst>
        <ext xmlns:x14="http://schemas.microsoft.com/office/spreadsheetml/2009/9/main" uri="{B025F937-C7B1-47D3-B67F-A62EFF666E3E}">
          <x14:id>{5E94D469-7B22-408B-924D-8DC8A136AD3B}</x14:id>
        </ext>
      </extLst>
    </cfRule>
  </conditionalFormatting>
  <dataValidations count="15">
    <dataValidation allowBlank="1" showInputMessage="1" showErrorMessage="1" prompt="Los días laborables en esta fila se actualizan automáticamente durante el mes según el año en AH4. Cada día del mes es una columna para indicar la ausencia del empleado y el tipo de ausencia" sqref="C7" xr:uid="{85B1AA25-701F-5E4F-A537-8492818323AC}"/>
    <dataValidation allowBlank="1" showInputMessage="1" showErrorMessage="1" prompt="Año actualizado automáticamente en función del año introducido en la hoja de cálculo de enero" sqref="AH6" xr:uid="{84DE34BD-C74C-E949-BDDC-390099447919}"/>
    <dataValidation allowBlank="1" showInputMessage="1" showErrorMessage="1" prompt="Cálculo automático del número total de días que un empleado ha estado ausente este mes en esta columna" sqref="AH8" xr:uid="{EFC3BF89-2526-1648-9032-54E38409D629}"/>
    <dataValidation allowBlank="1" showInputMessage="1" showErrorMessage="1" prompt="Realice un seguimiento de las ausencias de junio en esta hoja de cálculo." sqref="A1" xr:uid="{00000000-0002-0000-0500-000003000000}"/>
    <dataValidation errorStyle="warning" allowBlank="1" showInputMessage="1" showErrorMessage="1" error="Seleccione un nombre de la lista. Seleccione CANCELAR y, después, ALT+FLECHA ABAJO y ENTRAR para seleccionar un nombre" prompt="Escriba los nombres de los empleados en la hoja de cálculo Nombres de empleados y, después, seleccione uno de los nombres de la lista de esta columna. Presione ALT+FLECHA ABAJO y ENTRAR para seleccionar un nombre" sqref="B8" xr:uid="{D4ADDEE7-3BB2-0A42-AA24-1DBB30531A38}"/>
    <dataValidation allowBlank="1" showInputMessage="1" showErrorMessage="1" prompt="El título se actualiza automáticamente en esta celda. Para modificarlo, actualice la celda B1 en la hoja de cálculo de enero" sqref="B2" xr:uid="{00000000-0002-0000-0500-000005000000}"/>
    <dataValidation allowBlank="1" showInputMessage="1" showErrorMessage="1" prompt="La letra “V” indica una ausencia por vacaciones" sqref="C4" xr:uid="{1BA2E31E-8CB8-4170-B53D-AACFCC089E36}"/>
    <dataValidation allowBlank="1" showInputMessage="1" showErrorMessage="1" prompt="La letra “P” indica una ausencia por motivos personales" sqref="G4" xr:uid="{40B3B8D5-32C6-4871-B5B8-C659525C2E91}"/>
    <dataValidation allowBlank="1" showInputMessage="1" showErrorMessage="1" prompt="La letra “E” indica una ausencia por enfermedad" sqref="K4" xr:uid="{3780D6AE-92EE-4642-8611-51BB0953F258}"/>
    <dataValidation allowBlank="1" showInputMessage="1" showErrorMessage="1" prompt="Escriba una letra y personalice la etiqueta de la derecha para agregar otro elemento clave." sqref="O4 T4" xr:uid="{F7BE8A31-4A1A-4749-9F53-698D5C9AC625}"/>
    <dataValidation allowBlank="1" showInputMessage="1" showErrorMessage="1" prompt="El nombre del mes de este plan de ausencias está en esta celda. Los totales de las ausencias para este mes aparecen en la última celda de la tabla. Seleccione los nombres de los empleados en la columna B de la tabla" sqref="B2" xr:uid="{00000000-0002-0000-0500-00000C000000}"/>
    <dataValidation allowBlank="1" showInputMessage="1" showErrorMessage="1" prompt="Los días del mes se generan automáticamente en esta fila. Especifique la ausencia del empleado y el tipo en cada columna para cada día del mes. En blanco significa que no hay ninguna ausencia" sqref="C8" xr:uid="{5F765F6B-473A-3349-9925-D065E8DF0F17}"/>
    <dataValidation allowBlank="1" showInputMessage="1" showErrorMessage="1" prompt="Esta fila define las claves que se usan en la tabla: la celda C4 es para vacaciones, la celda G4 es para asuntos personales y la celda K4 es baja por enfermedad. Las celdas N4 y R4 se pueden personalizar" sqref="B4" xr:uid="{9A98F9D7-8874-4D13-82D2-1EEC27A6D951}"/>
    <dataValidation allowBlank="1" showInputMessage="1" showErrorMessage="1" prompt="Esta celda contiene el título de la hoja de cálculo. " sqref="B1" xr:uid="{D81EDF62-F132-4F32-A772-764FF14B69A5}"/>
    <dataValidation allowBlank="1" showInputMessage="1" showErrorMessage="1" prompt="Escriba una etiqueta para describir la clave personalizada de la izquierda" sqref="U4 P4" xr:uid="{3F2BBF36-0E3D-44B9-A839-6EA8EE9D5D11}"/>
  </dataValidations>
  <pageMargins left="0.7" right="0.7" top="0.75" bottom="0.75" header="0.3" footer="0.3"/>
  <pageSetup paperSize="9" fitToHeight="0" orientation="portrait" verticalDpi="4294967293"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5E94D469-7B22-408B-924D-8DC8A136AD3B}">
            <x14:dataBar minLength="0" maxLength="100">
              <x14:cfvo type="autoMin"/>
              <x14:cfvo type="formula">
                <xm:f>DATEDIF(DATE(CalendarYear,2,1),DATE(CalendarYear,3,1),"d")</xm:f>
              </x14:cfvo>
              <x14:negativeFillColor rgb="FFFF0000"/>
              <x14:axisColor rgb="FF000000"/>
            </x14:dataBar>
          </x14:cfRule>
          <xm:sqref>AH9:AH27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E000000}">
          <x14:formula1>
            <xm:f>'Nombres de los empleados'!$B$5:$B$9</xm:f>
          </x14:formula1>
          <xm:sqref>B10:B12</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sheetPr>
  <dimension ref="B1:AH28"/>
  <sheetViews>
    <sheetView showGridLines="0" topLeftCell="A2" zoomScale="43" zoomScaleNormal="98" workbookViewId="0">
      <selection activeCell="P4" sqref="P4:S4"/>
    </sheetView>
  </sheetViews>
  <sheetFormatPr baseColWidth="10" defaultColWidth="8.6328125" defaultRowHeight="30" customHeight="1"/>
  <cols>
    <col min="1" max="1" width="2.6328125" customWidth="1"/>
    <col min="2" max="2" width="37.54296875" customWidth="1"/>
    <col min="3" max="33" width="4.6328125" customWidth="1"/>
    <col min="34" max="34" width="13.453125" customWidth="1"/>
    <col min="35" max="35" width="2.6328125" customWidth="1"/>
  </cols>
  <sheetData>
    <row r="1" spans="2:34" ht="50" customHeight="1">
      <c r="B1" s="24" t="s">
        <v>0</v>
      </c>
    </row>
    <row r="2" spans="2:34" ht="100.25" customHeight="1">
      <c r="B2" s="32" t="s">
        <v>47</v>
      </c>
    </row>
    <row r="3" spans="2:34" ht="15" customHeight="1">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row>
    <row r="4" spans="2:34" ht="30" customHeight="1">
      <c r="B4" s="7" t="s">
        <v>2</v>
      </c>
      <c r="C4" s="29" t="s">
        <v>4</v>
      </c>
      <c r="D4" s="68" t="s">
        <v>7</v>
      </c>
      <c r="E4" s="68"/>
      <c r="F4" s="68"/>
      <c r="G4" s="27" t="s">
        <v>10</v>
      </c>
      <c r="H4" s="69" t="s">
        <v>77</v>
      </c>
      <c r="I4" s="69"/>
      <c r="J4" s="69"/>
      <c r="K4" s="28" t="s">
        <v>75</v>
      </c>
      <c r="L4" s="68" t="s">
        <v>76</v>
      </c>
      <c r="M4" s="68"/>
      <c r="N4" s="68"/>
      <c r="O4" s="17" t="s">
        <v>79</v>
      </c>
      <c r="P4" s="68" t="s">
        <v>160</v>
      </c>
      <c r="Q4" s="68"/>
      <c r="R4" s="68"/>
      <c r="S4" s="68"/>
      <c r="T4" s="18" t="s">
        <v>73</v>
      </c>
      <c r="U4" s="68" t="s">
        <v>74</v>
      </c>
      <c r="V4" s="68"/>
      <c r="W4" s="68"/>
      <c r="X4" s="68"/>
      <c r="Y4" s="36" t="s">
        <v>78</v>
      </c>
      <c r="Z4" s="70" t="s">
        <v>72</v>
      </c>
      <c r="AA4" s="70"/>
      <c r="AB4" s="70"/>
    </row>
    <row r="5" spans="2:34" ht="15" customHeight="1">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row>
    <row r="6" spans="2:34" ht="50" customHeight="1">
      <c r="B6" s="6"/>
      <c r="C6" s="67" t="s">
        <v>5</v>
      </c>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
        <f>CalendarYear</f>
        <v>2023</v>
      </c>
    </row>
    <row r="7" spans="2:34" ht="30" customHeight="1">
      <c r="B7" s="6"/>
      <c r="C7" s="21" t="str">
        <f>TEXT(WEEKDAY(DATE(CalendarYear,7,1),1),"ddd")</f>
        <v>sáb</v>
      </c>
      <c r="D7" s="21" t="str">
        <f>TEXT(WEEKDAY(DATE(CalendarYear,7,2),1),"ddd")</f>
        <v>dom</v>
      </c>
      <c r="E7" s="21" t="str">
        <f>TEXT(WEEKDAY(DATE(CalendarYear,7,3),1),"ddd")</f>
        <v>lun</v>
      </c>
      <c r="F7" s="21" t="str">
        <f>TEXT(WEEKDAY(DATE(CalendarYear,7,4),1),"ddd")</f>
        <v>mar</v>
      </c>
      <c r="G7" s="21" t="str">
        <f>TEXT(WEEKDAY(DATE(CalendarYear,7,5),1),"ddd")</f>
        <v>mié</v>
      </c>
      <c r="H7" s="21" t="str">
        <f>TEXT(WEEKDAY(DATE(CalendarYear,7,6),1),"ddd")</f>
        <v>jue</v>
      </c>
      <c r="I7" s="21" t="str">
        <f>TEXT(WEEKDAY(DATE(CalendarYear,7,7),1),"ddd")</f>
        <v>vie</v>
      </c>
      <c r="J7" s="21" t="str">
        <f>TEXT(WEEKDAY(DATE(CalendarYear,7,8),1),"ddd")</f>
        <v>sáb</v>
      </c>
      <c r="K7" s="21" t="str">
        <f>TEXT(WEEKDAY(DATE(CalendarYear,7,9),1),"ddd")</f>
        <v>dom</v>
      </c>
      <c r="L7" s="21" t="str">
        <f>TEXT(WEEKDAY(DATE(CalendarYear,7,10),1),"ddd")</f>
        <v>lun</v>
      </c>
      <c r="M7" s="21" t="str">
        <f>TEXT(WEEKDAY(DATE(CalendarYear,7,11),1),"ddd")</f>
        <v>mar</v>
      </c>
      <c r="N7" s="21" t="str">
        <f>TEXT(WEEKDAY(DATE(CalendarYear,7,12),1),"ddd")</f>
        <v>mié</v>
      </c>
      <c r="O7" s="21" t="str">
        <f>TEXT(WEEKDAY(DATE(CalendarYear,7,13),1),"ddd")</f>
        <v>jue</v>
      </c>
      <c r="P7" s="21" t="str">
        <f>TEXT(WEEKDAY(DATE(CalendarYear,7,14),1),"ddd")</f>
        <v>vie</v>
      </c>
      <c r="Q7" s="21" t="str">
        <f>TEXT(WEEKDAY(DATE(CalendarYear,7,15),1),"ddd")</f>
        <v>sáb</v>
      </c>
      <c r="R7" s="21" t="str">
        <f>TEXT(WEEKDAY(DATE(CalendarYear,7,16),1),"ddd")</f>
        <v>dom</v>
      </c>
      <c r="S7" s="21" t="str">
        <f>TEXT(WEEKDAY(DATE(CalendarYear,7,17),1),"ddd")</f>
        <v>lun</v>
      </c>
      <c r="T7" s="21" t="str">
        <f>TEXT(WEEKDAY(DATE(CalendarYear,7,18),1),"ddd")</f>
        <v>mar</v>
      </c>
      <c r="U7" s="21" t="str">
        <f>TEXT(WEEKDAY(DATE(CalendarYear,7,19),1),"ddd")</f>
        <v>mié</v>
      </c>
      <c r="V7" s="21" t="str">
        <f>TEXT(WEEKDAY(DATE(CalendarYear,7,20),1),"ddd")</f>
        <v>jue</v>
      </c>
      <c r="W7" s="21" t="str">
        <f>TEXT(WEEKDAY(DATE(CalendarYear,7,21),1),"ddd")</f>
        <v>vie</v>
      </c>
      <c r="X7" s="21" t="str">
        <f>TEXT(WEEKDAY(DATE(CalendarYear,7,22),1),"ddd")</f>
        <v>sáb</v>
      </c>
      <c r="Y7" s="21" t="str">
        <f>TEXT(WEEKDAY(DATE(CalendarYear,7,23),1),"ddd")</f>
        <v>dom</v>
      </c>
      <c r="Z7" s="21" t="str">
        <f>TEXT(WEEKDAY(DATE(CalendarYear,7,24),1),"ddd")</f>
        <v>lun</v>
      </c>
      <c r="AA7" s="21" t="str">
        <f>TEXT(WEEKDAY(DATE(CalendarYear,7,25),1),"ddd")</f>
        <v>mar</v>
      </c>
      <c r="AB7" s="21" t="str">
        <f>TEXT(WEEKDAY(DATE(CalendarYear,7,26),1),"ddd")</f>
        <v>mié</v>
      </c>
      <c r="AC7" s="21" t="str">
        <f>TEXT(WEEKDAY(DATE(CalendarYear,7,27),1),"ddd")</f>
        <v>jue</v>
      </c>
      <c r="AD7" s="21" t="str">
        <f>TEXT(WEEKDAY(DATE(CalendarYear,7,28),1),"ddd")</f>
        <v>vie</v>
      </c>
      <c r="AE7" s="21" t="str">
        <f>TEXT(WEEKDAY(DATE(CalendarYear,7,29),1),"ddd")</f>
        <v>sáb</v>
      </c>
      <c r="AF7" s="21" t="str">
        <f>TEXT(WEEKDAY(DATE(CalendarYear,7,30),1),"ddd")</f>
        <v>dom</v>
      </c>
      <c r="AG7" s="21" t="str">
        <f>TEXT(WEEKDAY(DATE(CalendarYear,7,31),1),"ddd")</f>
        <v>lun</v>
      </c>
      <c r="AH7" s="6"/>
    </row>
    <row r="8" spans="2:34" ht="30" customHeight="1">
      <c r="B8" s="20" t="s">
        <v>3</v>
      </c>
      <c r="C8" s="1" t="s">
        <v>6</v>
      </c>
      <c r="D8" s="1" t="s">
        <v>8</v>
      </c>
      <c r="E8" s="1" t="s">
        <v>9</v>
      </c>
      <c r="F8" s="1" t="s">
        <v>11</v>
      </c>
      <c r="G8" s="1" t="s">
        <v>12</v>
      </c>
      <c r="H8" s="1" t="s">
        <v>13</v>
      </c>
      <c r="I8" s="1" t="s">
        <v>14</v>
      </c>
      <c r="J8" s="1" t="s">
        <v>15</v>
      </c>
      <c r="K8" s="1" t="s">
        <v>16</v>
      </c>
      <c r="L8" s="1" t="s">
        <v>17</v>
      </c>
      <c r="M8" s="1" t="s">
        <v>18</v>
      </c>
      <c r="N8" s="1" t="s">
        <v>19</v>
      </c>
      <c r="O8" s="1" t="s">
        <v>20</v>
      </c>
      <c r="P8" s="1" t="s">
        <v>21</v>
      </c>
      <c r="Q8" s="1" t="s">
        <v>22</v>
      </c>
      <c r="R8" s="1" t="s">
        <v>23</v>
      </c>
      <c r="S8" s="1" t="s">
        <v>24</v>
      </c>
      <c r="T8" s="1" t="s">
        <v>25</v>
      </c>
      <c r="U8" s="1" t="s">
        <v>26</v>
      </c>
      <c r="V8" s="1" t="s">
        <v>27</v>
      </c>
      <c r="W8" s="1" t="s">
        <v>28</v>
      </c>
      <c r="X8" s="1" t="s">
        <v>29</v>
      </c>
      <c r="Y8" s="1" t="s">
        <v>30</v>
      </c>
      <c r="Z8" s="1" t="s">
        <v>31</v>
      </c>
      <c r="AA8" s="1" t="s">
        <v>32</v>
      </c>
      <c r="AB8" s="1" t="s">
        <v>33</v>
      </c>
      <c r="AC8" s="1" t="s">
        <v>34</v>
      </c>
      <c r="AD8" s="1" t="s">
        <v>35</v>
      </c>
      <c r="AE8" s="1" t="s">
        <v>36</v>
      </c>
      <c r="AF8" s="1" t="s">
        <v>37</v>
      </c>
      <c r="AG8" s="1" t="s">
        <v>38</v>
      </c>
      <c r="AH8" s="22" t="s">
        <v>39</v>
      </c>
    </row>
    <row r="9" spans="2:34" ht="30" customHeight="1">
      <c r="B9" s="60" t="s">
        <v>158</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COUNTA(Julio[[#This Row],[1]:[31]])</f>
        <v>0</v>
      </c>
    </row>
    <row r="10" spans="2:34" ht="30" customHeight="1">
      <c r="B10" s="2" t="s">
        <v>55</v>
      </c>
      <c r="C10" s="1"/>
      <c r="D10" s="1"/>
      <c r="E10" s="1"/>
      <c r="F10" s="1"/>
      <c r="G10" s="1"/>
      <c r="H10" s="1"/>
      <c r="I10" s="1"/>
      <c r="J10" s="1"/>
      <c r="K10" s="1"/>
      <c r="L10" s="1"/>
      <c r="M10" s="1"/>
      <c r="N10" s="1"/>
      <c r="O10" s="1"/>
      <c r="P10" s="1"/>
      <c r="Q10" s="1"/>
      <c r="R10" s="1"/>
      <c r="S10" s="1"/>
      <c r="T10" s="1"/>
      <c r="U10" s="1" t="s">
        <v>73</v>
      </c>
      <c r="V10" s="1"/>
      <c r="W10" s="1"/>
      <c r="X10" s="1"/>
      <c r="Y10" s="1"/>
      <c r="Z10" s="1"/>
      <c r="AA10" s="1"/>
      <c r="AB10" s="1"/>
      <c r="AC10" s="1"/>
      <c r="AD10" s="1"/>
      <c r="AE10" s="1"/>
      <c r="AF10" s="1"/>
      <c r="AG10" s="1"/>
      <c r="AH10" s="3">
        <f>COUNTA(Julio[[#This Row],[1]:[31]])</f>
        <v>1</v>
      </c>
    </row>
    <row r="11" spans="2:34" ht="30" customHeight="1">
      <c r="B11" s="2" t="s">
        <v>56</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COUNTA(Julio[[#This Row],[1]:[31]])</f>
        <v>0</v>
      </c>
    </row>
    <row r="12" spans="2:34" ht="30" customHeight="1">
      <c r="B12" s="2" t="s">
        <v>57</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COUNTA(Julio[[#This Row],[1]:[31]])</f>
        <v>0</v>
      </c>
    </row>
    <row r="13" spans="2:34" ht="30" customHeight="1">
      <c r="B13" s="33" t="s">
        <v>58</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35"/>
      <c r="AH13" s="3">
        <f>COUNTA(Julio[[#This Row],[1]:[31]])</f>
        <v>0</v>
      </c>
    </row>
    <row r="14" spans="2:34" ht="30" customHeight="1">
      <c r="B14" s="33" t="s">
        <v>59</v>
      </c>
      <c r="C14" s="1"/>
      <c r="D14" s="1"/>
      <c r="E14" s="1"/>
      <c r="F14" s="1"/>
      <c r="G14" s="1"/>
      <c r="H14" s="1"/>
      <c r="I14" s="1"/>
      <c r="J14" s="1"/>
      <c r="K14" s="1"/>
      <c r="L14" s="1"/>
      <c r="M14" s="1"/>
      <c r="N14" s="1"/>
      <c r="O14" s="1"/>
      <c r="P14" s="1"/>
      <c r="Q14" s="1"/>
      <c r="R14" s="1"/>
      <c r="S14" s="1"/>
      <c r="T14" s="1"/>
      <c r="U14" s="1"/>
      <c r="V14" s="1"/>
      <c r="W14" s="1"/>
      <c r="X14" s="1"/>
      <c r="Y14" s="1"/>
      <c r="Z14" s="1"/>
      <c r="AA14" s="1"/>
      <c r="AB14" s="1"/>
      <c r="AC14" s="1" t="s">
        <v>10</v>
      </c>
      <c r="AD14" s="1"/>
      <c r="AE14" s="1"/>
      <c r="AF14" s="1"/>
      <c r="AG14" s="35"/>
      <c r="AH14" s="3">
        <f>COUNTA(Julio[[#This Row],[1]:[31]])</f>
        <v>1</v>
      </c>
    </row>
    <row r="15" spans="2:34" ht="30" customHeight="1">
      <c r="B15" s="33" t="s">
        <v>60</v>
      </c>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35"/>
      <c r="AH15" s="3">
        <f>COUNTA(Julio[[#This Row],[1]:[31]])</f>
        <v>0</v>
      </c>
    </row>
    <row r="16" spans="2:34" ht="30" customHeight="1">
      <c r="B16" s="33" t="s">
        <v>61</v>
      </c>
      <c r="C16" s="1"/>
      <c r="D16" s="1"/>
      <c r="E16" s="1"/>
      <c r="F16" s="1"/>
      <c r="G16" s="1"/>
      <c r="H16" s="1"/>
      <c r="I16" s="1"/>
      <c r="J16" s="1"/>
      <c r="K16" s="1"/>
      <c r="L16" s="1"/>
      <c r="M16" s="1"/>
      <c r="N16" s="1"/>
      <c r="O16" s="1"/>
      <c r="P16" s="1"/>
      <c r="Q16" s="1"/>
      <c r="R16" s="1"/>
      <c r="S16" s="1"/>
      <c r="T16" s="1"/>
      <c r="U16" s="1"/>
      <c r="V16" s="1"/>
      <c r="W16" s="1"/>
      <c r="X16" s="1"/>
      <c r="Y16" s="1"/>
      <c r="Z16" s="1"/>
      <c r="AA16" s="1" t="s">
        <v>75</v>
      </c>
      <c r="AB16" s="1"/>
      <c r="AC16" s="1"/>
      <c r="AD16" s="1"/>
      <c r="AE16" s="1"/>
      <c r="AF16" s="1"/>
      <c r="AG16" s="35"/>
      <c r="AH16" s="3">
        <f>COUNTA(Julio[[#This Row],[1]:[31]])</f>
        <v>1</v>
      </c>
    </row>
    <row r="17" spans="2:34" ht="30" customHeight="1">
      <c r="B17" s="33" t="s">
        <v>62</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35"/>
      <c r="AH17" s="3">
        <f>COUNTA(Julio[[#This Row],[1]:[31]])</f>
        <v>0</v>
      </c>
    </row>
    <row r="18" spans="2:34" ht="30" customHeight="1">
      <c r="B18" s="33" t="s">
        <v>63</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35"/>
      <c r="AH18" s="3">
        <f>COUNTA(Julio[[#This Row],[1]:[31]])</f>
        <v>0</v>
      </c>
    </row>
    <row r="19" spans="2:34" ht="30" customHeight="1">
      <c r="B19" s="33" t="s">
        <v>64</v>
      </c>
      <c r="C19" s="1"/>
      <c r="D19" s="1"/>
      <c r="E19" s="1"/>
      <c r="F19" s="1"/>
      <c r="G19" s="1"/>
      <c r="H19" s="1"/>
      <c r="I19" s="1"/>
      <c r="J19" s="1"/>
      <c r="K19" s="1"/>
      <c r="L19" s="1"/>
      <c r="M19" s="1"/>
      <c r="N19" s="1"/>
      <c r="O19" s="1"/>
      <c r="P19" s="39" t="s">
        <v>78</v>
      </c>
      <c r="Q19" s="1"/>
      <c r="R19" s="1"/>
      <c r="S19" s="1"/>
      <c r="T19" s="1"/>
      <c r="U19" s="1"/>
      <c r="V19" s="1"/>
      <c r="W19" s="1"/>
      <c r="X19" s="1"/>
      <c r="Y19" s="1"/>
      <c r="Z19" s="1"/>
      <c r="AA19" s="1"/>
      <c r="AB19" s="1"/>
      <c r="AC19" s="1"/>
      <c r="AD19" s="39" t="s">
        <v>78</v>
      </c>
      <c r="AE19" s="1"/>
      <c r="AF19" s="1"/>
      <c r="AG19" s="35" t="s">
        <v>10</v>
      </c>
      <c r="AH19" s="3">
        <f>COUNTA(Julio[[#This Row],[1]:[31]])</f>
        <v>3</v>
      </c>
    </row>
    <row r="20" spans="2:34" ht="30" customHeight="1">
      <c r="B20" s="33" t="s">
        <v>138</v>
      </c>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35"/>
      <c r="AH20" s="3">
        <f>COUNTA(Julio[[#This Row],[1]:[31]])</f>
        <v>0</v>
      </c>
    </row>
    <row r="21" spans="2:34" ht="30" customHeight="1">
      <c r="B21" s="33" t="s">
        <v>66</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35" t="s">
        <v>10</v>
      </c>
      <c r="AH21" s="3">
        <f>COUNTA(Julio[[#This Row],[1]:[31]])</f>
        <v>1</v>
      </c>
    </row>
    <row r="22" spans="2:34" ht="30" customHeight="1">
      <c r="B22" s="33" t="s">
        <v>67</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35"/>
      <c r="AH22" s="3">
        <f>COUNTA(Julio[[#This Row],[1]:[31]])</f>
        <v>0</v>
      </c>
    </row>
    <row r="23" spans="2:34" ht="30" customHeight="1">
      <c r="B23" s="33" t="s">
        <v>68</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35"/>
      <c r="AH23" s="3">
        <f>COUNTA(Julio[[#This Row],[1]:[31]])</f>
        <v>0</v>
      </c>
    </row>
    <row r="24" spans="2:34" ht="30" customHeight="1">
      <c r="B24" s="33" t="s">
        <v>69</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35"/>
      <c r="AH24" s="3">
        <f>COUNTA(Julio[[#This Row],[1]:[31]])</f>
        <v>0</v>
      </c>
    </row>
    <row r="25" spans="2:34" ht="30" customHeight="1">
      <c r="B25" s="33" t="s">
        <v>70</v>
      </c>
      <c r="C25" s="1"/>
      <c r="D25" s="1"/>
      <c r="E25" s="1"/>
      <c r="F25" s="1"/>
      <c r="G25" s="1"/>
      <c r="H25" s="1"/>
      <c r="I25" s="1"/>
      <c r="J25" s="1"/>
      <c r="K25" s="1"/>
      <c r="L25" s="1"/>
      <c r="M25" s="1"/>
      <c r="N25" s="1"/>
      <c r="O25" s="1"/>
      <c r="P25" s="1"/>
      <c r="Q25" s="1"/>
      <c r="R25" s="1"/>
      <c r="S25" s="1" t="s">
        <v>10</v>
      </c>
      <c r="T25" s="1"/>
      <c r="U25" s="1"/>
      <c r="V25" s="1"/>
      <c r="W25" s="1"/>
      <c r="X25" s="1"/>
      <c r="Y25" s="1"/>
      <c r="Z25" s="1"/>
      <c r="AA25" s="1"/>
      <c r="AB25" s="1"/>
      <c r="AC25" s="1"/>
      <c r="AD25" s="1"/>
      <c r="AE25" s="1"/>
      <c r="AF25" s="1"/>
      <c r="AG25" s="35"/>
      <c r="AH25" s="3">
        <f>COUNTA(Julio[[#This Row],[1]:[31]])</f>
        <v>1</v>
      </c>
    </row>
    <row r="26" spans="2:34" ht="30" customHeight="1">
      <c r="B26" s="33" t="s">
        <v>71</v>
      </c>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35"/>
      <c r="AH26" s="3">
        <f>COUNTA(Julio[[#This Row],[1]:[31]])</f>
        <v>0</v>
      </c>
    </row>
    <row r="27" spans="2:34" ht="30" customHeight="1">
      <c r="B27" s="42" t="s">
        <v>148</v>
      </c>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35"/>
      <c r="AH27" s="3">
        <f>COUNTA(Julio[[#This Row],[1]:[31]])</f>
        <v>0</v>
      </c>
    </row>
    <row r="28" spans="2:34" ht="30" customHeight="1">
      <c r="B28" s="5" t="str">
        <f>MonthName&amp;" Total"</f>
        <v>Julio Total</v>
      </c>
      <c r="C28" s="4">
        <f>SUBTOTAL(103,Julio[1])</f>
        <v>0</v>
      </c>
      <c r="D28" s="4">
        <f>SUBTOTAL(103,Julio[2])</f>
        <v>0</v>
      </c>
      <c r="E28" s="4">
        <f>SUBTOTAL(103,Julio[3])</f>
        <v>0</v>
      </c>
      <c r="F28" s="4">
        <f>SUBTOTAL(103,Julio[4])</f>
        <v>0</v>
      </c>
      <c r="G28" s="4">
        <f>SUBTOTAL(103,Julio[5])</f>
        <v>0</v>
      </c>
      <c r="H28" s="4">
        <f>SUBTOTAL(103,Julio[6])</f>
        <v>0</v>
      </c>
      <c r="I28" s="4">
        <f>SUBTOTAL(103,Julio[7])</f>
        <v>0</v>
      </c>
      <c r="J28" s="4">
        <f>SUBTOTAL(103,Julio[8])</f>
        <v>0</v>
      </c>
      <c r="K28" s="4">
        <f>SUBTOTAL(103,Julio[9])</f>
        <v>0</v>
      </c>
      <c r="L28" s="4">
        <f>SUBTOTAL(103,Julio[10])</f>
        <v>0</v>
      </c>
      <c r="M28" s="4">
        <f>SUBTOTAL(103,Julio[11])</f>
        <v>0</v>
      </c>
      <c r="N28" s="4">
        <f>SUBTOTAL(103,Julio[12])</f>
        <v>0</v>
      </c>
      <c r="O28" s="4">
        <f>SUBTOTAL(103,Julio[13])</f>
        <v>0</v>
      </c>
      <c r="P28" s="4">
        <f>SUBTOTAL(103,Julio[14])</f>
        <v>1</v>
      </c>
      <c r="Q28" s="4">
        <f>SUBTOTAL(103,Julio[15])</f>
        <v>0</v>
      </c>
      <c r="R28" s="4">
        <f>SUBTOTAL(103,Julio[16])</f>
        <v>0</v>
      </c>
      <c r="S28" s="4">
        <f>SUBTOTAL(103,Julio[17])</f>
        <v>1</v>
      </c>
      <c r="T28" s="4">
        <f>SUBTOTAL(103,Julio[18])</f>
        <v>0</v>
      </c>
      <c r="U28" s="4">
        <f>SUBTOTAL(103,Julio[19])</f>
        <v>1</v>
      </c>
      <c r="V28" s="4">
        <f>SUBTOTAL(103,Julio[20])</f>
        <v>0</v>
      </c>
      <c r="W28" s="4">
        <f>SUBTOTAL(103,Julio[21])</f>
        <v>0</v>
      </c>
      <c r="X28" s="4">
        <f>SUBTOTAL(103,Julio[22])</f>
        <v>0</v>
      </c>
      <c r="Y28" s="4">
        <f>SUBTOTAL(103,Julio[23])</f>
        <v>0</v>
      </c>
      <c r="Z28" s="4">
        <f>SUBTOTAL(103,Julio[24])</f>
        <v>0</v>
      </c>
      <c r="AA28" s="4">
        <f>SUBTOTAL(103,Julio[25])</f>
        <v>1</v>
      </c>
      <c r="AB28" s="4">
        <f>SUBTOTAL(103,Julio[26])</f>
        <v>0</v>
      </c>
      <c r="AC28" s="4">
        <f>SUBTOTAL(103,Julio[27])</f>
        <v>1</v>
      </c>
      <c r="AD28" s="4">
        <f>SUBTOTAL(103,Julio[28])</f>
        <v>1</v>
      </c>
      <c r="AE28" s="4">
        <f>SUBTOTAL(103,Julio[29])</f>
        <v>0</v>
      </c>
      <c r="AF28" s="4">
        <f>SUBTOTAL(109,Julio[30])</f>
        <v>0</v>
      </c>
      <c r="AG28" s="4">
        <f>SUBTOTAL(109,Julio[31])</f>
        <v>0</v>
      </c>
      <c r="AH28" s="4">
        <f>SUBTOTAL(109,Julio[Total de días])</f>
        <v>8</v>
      </c>
    </row>
  </sheetData>
  <mergeCells count="7">
    <mergeCell ref="C6:AG6"/>
    <mergeCell ref="D4:F4"/>
    <mergeCell ref="H4:J4"/>
    <mergeCell ref="L4:N4"/>
    <mergeCell ref="P4:S4"/>
    <mergeCell ref="U4:X4"/>
    <mergeCell ref="Z4:AB4"/>
  </mergeCells>
  <phoneticPr fontId="34" type="noConversion"/>
  <conditionalFormatting sqref="C9:AG27">
    <cfRule type="expression" priority="1" stopIfTrue="1">
      <formula>C9=""</formula>
    </cfRule>
    <cfRule type="expression" dxfId="149" priority="2" stopIfTrue="1">
      <formula>C9=KeyCustom2</formula>
    </cfRule>
    <cfRule type="expression" dxfId="148" priority="3" stopIfTrue="1">
      <formula>C9=KeyCustom1</formula>
    </cfRule>
    <cfRule type="expression" dxfId="147" priority="4" stopIfTrue="1">
      <formula>C9=KeySick</formula>
    </cfRule>
    <cfRule type="expression" dxfId="146" priority="5" stopIfTrue="1">
      <formula>C9=KeyPersonal</formula>
    </cfRule>
    <cfRule type="expression" dxfId="145" priority="6" stopIfTrue="1">
      <formula>C9=KeyVacation</formula>
    </cfRule>
  </conditionalFormatting>
  <conditionalFormatting sqref="AH9:AH27">
    <cfRule type="dataBar" priority="288">
      <dataBar>
        <cfvo type="min"/>
        <cfvo type="formula" val="DATEDIF(DATE(CalendarYear,2,1),DATE(CalendarYear,3,1),&quot;d&quot;)"/>
        <color theme="2" tint="-0.249977111117893"/>
      </dataBar>
      <extLst>
        <ext xmlns:x14="http://schemas.microsoft.com/office/spreadsheetml/2009/9/main" uri="{B025F937-C7B1-47D3-B67F-A62EFF666E3E}">
          <x14:id>{E0DCF129-9B2A-4CEB-9E56-27607F4BED20}</x14:id>
        </ext>
      </extLst>
    </cfRule>
  </conditionalFormatting>
  <dataValidations count="15">
    <dataValidation allowBlank="1" showInputMessage="1" showErrorMessage="1" prompt="Los días del mes se generan automáticamente en esta fila. Especifique la ausencia del empleado y el tipo en cada columna para cada día del mes. En blanco significa que no hay ninguna ausencia" sqref="C8" xr:uid="{03C1A45F-45B9-C64C-AB94-81563D673730}"/>
    <dataValidation allowBlank="1" showInputMessage="1" showErrorMessage="1" prompt="El nombre del mes de este plan de ausencias está en esta celda. Los totales de las ausencias para este mes aparecen en la última celda de la tabla. Seleccione los nombres de los empleados en la columna B de la tabla" sqref="B2" xr:uid="{00000000-0002-0000-0600-000001000000}"/>
    <dataValidation allowBlank="1" showInputMessage="1" showErrorMessage="1" prompt="Escriba una letra y personalice la etiqueta de la derecha para agregar otro elemento clave." sqref="O4 T4" xr:uid="{F00A2CA1-5E71-441D-99C6-23797AC081C6}"/>
    <dataValidation allowBlank="1" showInputMessage="1" showErrorMessage="1" prompt="La letra “E” indica una ausencia por enfermedad" sqref="K4" xr:uid="{D8425841-24A0-46B6-BCA5-59C5EA155096}"/>
    <dataValidation allowBlank="1" showInputMessage="1" showErrorMessage="1" prompt="La letra “P” indica una ausencia por motivos personales" sqref="G4" xr:uid="{6F0D67FF-F6B6-4122-BC4D-669C80B42F8E}"/>
    <dataValidation allowBlank="1" showInputMessage="1" showErrorMessage="1" prompt="La letra “V” indica una ausencia por vacaciones" sqref="C4" xr:uid="{C271AC60-8529-4FEB-A361-DCE805806FCB}"/>
    <dataValidation allowBlank="1" showInputMessage="1" showErrorMessage="1" prompt="El título se actualiza automáticamente en esta celda. Para modificarlo, actualice la celda B1 en la hoja de cálculo de enero" sqref="B2" xr:uid="{00000000-0002-0000-0600-000008000000}"/>
    <dataValidation errorStyle="warning" allowBlank="1" showInputMessage="1" showErrorMessage="1" error="Seleccione un nombre de la lista. Seleccione CANCELAR y, después, ALT+FLECHA ABAJO y ENTRAR para seleccionar un nombre" prompt="Escriba los nombres de los empleados en la hoja de cálculo Nombres de empleados y, después, seleccione uno de los nombres de la lista de esta columna. Presione ALT+FLECHA ABAJO y ENTRAR para seleccionar un nombre" sqref="B8" xr:uid="{56BA2E4C-7843-2040-9E97-682F447A602F}"/>
    <dataValidation allowBlank="1" showInputMessage="1" showErrorMessage="1" prompt="Realice un seguimiento de las ausencias de julio en esta hoja de cálculo." sqref="A1" xr:uid="{00000000-0002-0000-0600-00000A000000}"/>
    <dataValidation allowBlank="1" showInputMessage="1" showErrorMessage="1" prompt="Cálculo automático del número total de días que un empleado ha estado ausente este mes en esta columna" sqref="AH8" xr:uid="{7EEB97FE-C4E8-0B42-8F26-4ACE0C358EA5}"/>
    <dataValidation allowBlank="1" showInputMessage="1" showErrorMessage="1" prompt="Año actualizado automáticamente en función del año introducido en la hoja de cálculo de enero" sqref="AH6" xr:uid="{00000000-0002-0000-0600-00000C000000}"/>
    <dataValidation allowBlank="1" showInputMessage="1" showErrorMessage="1" prompt="Los días laborables en esta fila se actualizan automáticamente durante el mes según el año en AH4. Cada día del mes es una columna para indicar la ausencia del empleado y el tipo de ausencia" sqref="C7" xr:uid="{956AA00F-FA3E-EE4C-BC75-65E8AA2EA95F}"/>
    <dataValidation allowBlank="1" showInputMessage="1" showErrorMessage="1" prompt="Esta fila define las claves que se usan en la tabla: la celda C4 es para vacaciones, la celda G4 es para asuntos personales y la celda K4 es baja por enfermedad. Las celdas N4 y R4 se pueden personalizar" sqref="B4" xr:uid="{49FE03CF-624B-4523-A1B1-B51C2CB6F6D6}"/>
    <dataValidation allowBlank="1" showInputMessage="1" showErrorMessage="1" prompt="Esta celda contiene el título de la hoja de cálculo. " sqref="B1" xr:uid="{0AC8E3EA-A233-463E-AEDF-A0DB4FC9697F}"/>
    <dataValidation allowBlank="1" showInputMessage="1" showErrorMessage="1" prompt="Escriba una etiqueta para describir la clave personalizada de la izquierda" sqref="U4 P4" xr:uid="{E73B2F05-536A-454F-AEC9-5A386E322C4D}"/>
  </dataValidations>
  <pageMargins left="0.7" right="0.7" top="0.75" bottom="0.75" header="0.3" footer="0.3"/>
  <pageSetup paperSize="9" fitToHeight="0" orientation="portrait" verticalDpi="4294967293"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E0DCF129-9B2A-4CEB-9E56-27607F4BED20}">
            <x14:dataBar minLength="0" maxLength="100">
              <x14:cfvo type="autoMin"/>
              <x14:cfvo type="formula">
                <xm:f>DATEDIF(DATE(CalendarYear,2,1),DATE(CalendarYear,3,1),"d")</xm:f>
              </x14:cfvo>
              <x14:negativeFillColor rgb="FFFF0000"/>
              <x14:axisColor rgb="FF000000"/>
            </x14:dataBar>
          </x14:cfRule>
          <xm:sqref>AH9:AH27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E000000}">
          <x14:formula1>
            <xm:f>'Nombres de los empleados'!$B$5:$B$9</xm:f>
          </x14:formula1>
          <xm:sqref>B10:B12</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sheetPr>
  <dimension ref="B1:AH28"/>
  <sheetViews>
    <sheetView showGridLines="0" topLeftCell="A2" zoomScale="63" zoomScaleNormal="98" workbookViewId="0">
      <selection activeCell="P4" sqref="P4:S4"/>
    </sheetView>
  </sheetViews>
  <sheetFormatPr baseColWidth="10" defaultColWidth="8.6328125" defaultRowHeight="30" customHeight="1"/>
  <cols>
    <col min="1" max="1" width="2.6328125" customWidth="1"/>
    <col min="2" max="2" width="37.54296875" customWidth="1"/>
    <col min="3" max="33" width="4.6328125" customWidth="1"/>
    <col min="34" max="34" width="13.453125" customWidth="1"/>
    <col min="35" max="35" width="2.6328125" customWidth="1"/>
  </cols>
  <sheetData>
    <row r="1" spans="2:34" ht="50" customHeight="1">
      <c r="B1" s="24" t="s">
        <v>0</v>
      </c>
    </row>
    <row r="2" spans="2:34" ht="100.25" customHeight="1">
      <c r="B2" s="31" t="s">
        <v>48</v>
      </c>
    </row>
    <row r="3" spans="2:34" ht="15" customHeight="1">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row>
    <row r="4" spans="2:34" ht="30" customHeight="1">
      <c r="B4" s="7" t="s">
        <v>2</v>
      </c>
      <c r="C4" s="29" t="s">
        <v>4</v>
      </c>
      <c r="D4" s="68" t="s">
        <v>7</v>
      </c>
      <c r="E4" s="68"/>
      <c r="F4" s="68"/>
      <c r="G4" s="27" t="s">
        <v>10</v>
      </c>
      <c r="H4" s="69" t="s">
        <v>77</v>
      </c>
      <c r="I4" s="69"/>
      <c r="J4" s="69"/>
      <c r="K4" s="28" t="s">
        <v>75</v>
      </c>
      <c r="L4" s="68" t="s">
        <v>76</v>
      </c>
      <c r="M4" s="68"/>
      <c r="N4" s="68"/>
      <c r="O4" s="17" t="s">
        <v>79</v>
      </c>
      <c r="P4" s="68" t="s">
        <v>160</v>
      </c>
      <c r="Q4" s="68"/>
      <c r="R4" s="68"/>
      <c r="S4" s="68"/>
      <c r="T4" s="18" t="s">
        <v>73</v>
      </c>
      <c r="U4" s="68" t="s">
        <v>74</v>
      </c>
      <c r="V4" s="68"/>
      <c r="W4" s="68"/>
      <c r="X4" s="68"/>
      <c r="Y4" s="36" t="s">
        <v>78</v>
      </c>
      <c r="Z4" s="70" t="s">
        <v>72</v>
      </c>
      <c r="AA4" s="70"/>
      <c r="AB4" s="70"/>
    </row>
    <row r="5" spans="2:34" ht="15" customHeight="1">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row>
    <row r="6" spans="2:34" ht="50" customHeight="1">
      <c r="B6" s="6"/>
      <c r="C6" s="67" t="s">
        <v>5</v>
      </c>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
        <f>CalendarYear</f>
        <v>2023</v>
      </c>
    </row>
    <row r="7" spans="2:34" ht="30" customHeight="1">
      <c r="B7" s="6"/>
      <c r="C7" s="21" t="str">
        <f>TEXT(WEEKDAY(DATE(CalendarYear,8,1),1),"ddd")</f>
        <v>mar</v>
      </c>
      <c r="D7" s="21" t="str">
        <f>TEXT(WEEKDAY(DATE(CalendarYear,8,2),1),"ddd")</f>
        <v>mié</v>
      </c>
      <c r="E7" s="21" t="str">
        <f>TEXT(WEEKDAY(DATE(CalendarYear,8,3),1),"ddd")</f>
        <v>jue</v>
      </c>
      <c r="F7" s="21" t="str">
        <f>TEXT(WEEKDAY(DATE(CalendarYear,8,4),1),"ddd")</f>
        <v>vie</v>
      </c>
      <c r="G7" s="21" t="str">
        <f>TEXT(WEEKDAY(DATE(CalendarYear,8,5),1),"ddd")</f>
        <v>sáb</v>
      </c>
      <c r="H7" s="21" t="str">
        <f>TEXT(WEEKDAY(DATE(CalendarYear,8,6),1),"ddd")</f>
        <v>dom</v>
      </c>
      <c r="I7" s="21" t="str">
        <f>TEXT(WEEKDAY(DATE(CalendarYear,8,7),1),"ddd")</f>
        <v>lun</v>
      </c>
      <c r="J7" s="21" t="str">
        <f>TEXT(WEEKDAY(DATE(CalendarYear,8,8),1),"ddd")</f>
        <v>mar</v>
      </c>
      <c r="K7" s="21" t="str">
        <f>TEXT(WEEKDAY(DATE(CalendarYear,8,9),1),"ddd")</f>
        <v>mié</v>
      </c>
      <c r="L7" s="21" t="str">
        <f>TEXT(WEEKDAY(DATE(CalendarYear,8,10),1),"ddd")</f>
        <v>jue</v>
      </c>
      <c r="M7" s="21" t="str">
        <f>TEXT(WEEKDAY(DATE(CalendarYear,8,11),1),"ddd")</f>
        <v>vie</v>
      </c>
      <c r="N7" s="21" t="str">
        <f>TEXT(WEEKDAY(DATE(CalendarYear,8,12),1),"ddd")</f>
        <v>sáb</v>
      </c>
      <c r="O7" s="21" t="str">
        <f>TEXT(WEEKDAY(DATE(CalendarYear,8,13),1),"ddd")</f>
        <v>dom</v>
      </c>
      <c r="P7" s="21" t="str">
        <f>TEXT(WEEKDAY(DATE(CalendarYear,8,14),1),"ddd")</f>
        <v>lun</v>
      </c>
      <c r="Q7" s="21" t="str">
        <f>TEXT(WEEKDAY(DATE(CalendarYear,8,15),1),"ddd")</f>
        <v>mar</v>
      </c>
      <c r="R7" s="21" t="str">
        <f>TEXT(WEEKDAY(DATE(CalendarYear,8,16),1),"ddd")</f>
        <v>mié</v>
      </c>
      <c r="S7" s="21" t="str">
        <f>TEXT(WEEKDAY(DATE(CalendarYear,8,17),1),"ddd")</f>
        <v>jue</v>
      </c>
      <c r="T7" s="21" t="str">
        <f>TEXT(WEEKDAY(DATE(CalendarYear,8,18),1),"ddd")</f>
        <v>vie</v>
      </c>
      <c r="U7" s="21" t="str">
        <f>TEXT(WEEKDAY(DATE(CalendarYear,8,19),1),"ddd")</f>
        <v>sáb</v>
      </c>
      <c r="V7" s="21" t="str">
        <f>TEXT(WEEKDAY(DATE(CalendarYear,8,20),1),"ddd")</f>
        <v>dom</v>
      </c>
      <c r="W7" s="21" t="str">
        <f>TEXT(WEEKDAY(DATE(CalendarYear,8,21),1),"ddd")</f>
        <v>lun</v>
      </c>
      <c r="X7" s="21" t="str">
        <f>TEXT(WEEKDAY(DATE(CalendarYear,8,22),1),"ddd")</f>
        <v>mar</v>
      </c>
      <c r="Y7" s="21" t="str">
        <f>TEXT(WEEKDAY(DATE(CalendarYear,8,23),1),"ddd")</f>
        <v>mié</v>
      </c>
      <c r="Z7" s="21" t="str">
        <f>TEXT(WEEKDAY(DATE(CalendarYear,8,24),1),"ddd")</f>
        <v>jue</v>
      </c>
      <c r="AA7" s="21" t="str">
        <f>TEXT(WEEKDAY(DATE(CalendarYear,8,25),1),"ddd")</f>
        <v>vie</v>
      </c>
      <c r="AB7" s="21" t="str">
        <f>TEXT(WEEKDAY(DATE(CalendarYear,8,26),1),"ddd")</f>
        <v>sáb</v>
      </c>
      <c r="AC7" s="21" t="str">
        <f>TEXT(WEEKDAY(DATE(CalendarYear,8,27),1),"ddd")</f>
        <v>dom</v>
      </c>
      <c r="AD7" s="21" t="str">
        <f>TEXT(WEEKDAY(DATE(CalendarYear,8,28),1),"ddd")</f>
        <v>lun</v>
      </c>
      <c r="AE7" s="21" t="str">
        <f>TEXT(WEEKDAY(DATE(CalendarYear,8,29),1),"ddd")</f>
        <v>mar</v>
      </c>
      <c r="AF7" s="21" t="str">
        <f>TEXT(WEEKDAY(DATE(CalendarYear,8,30),1),"ddd")</f>
        <v>mié</v>
      </c>
      <c r="AG7" s="21" t="str">
        <f>TEXT(WEEKDAY(DATE(CalendarYear,8,31),1),"ddd")</f>
        <v>jue</v>
      </c>
      <c r="AH7" s="6"/>
    </row>
    <row r="8" spans="2:34" ht="30" customHeight="1">
      <c r="B8" s="20" t="s">
        <v>3</v>
      </c>
      <c r="C8" s="1" t="s">
        <v>6</v>
      </c>
      <c r="D8" s="1" t="s">
        <v>8</v>
      </c>
      <c r="E8" s="1" t="s">
        <v>9</v>
      </c>
      <c r="F8" s="1" t="s">
        <v>11</v>
      </c>
      <c r="G8" s="1" t="s">
        <v>12</v>
      </c>
      <c r="H8" s="1" t="s">
        <v>13</v>
      </c>
      <c r="I8" s="1" t="s">
        <v>14</v>
      </c>
      <c r="J8" s="1" t="s">
        <v>15</v>
      </c>
      <c r="K8" s="1" t="s">
        <v>16</v>
      </c>
      <c r="L8" s="1" t="s">
        <v>17</v>
      </c>
      <c r="M8" s="1" t="s">
        <v>18</v>
      </c>
      <c r="N8" s="1" t="s">
        <v>19</v>
      </c>
      <c r="O8" s="1" t="s">
        <v>20</v>
      </c>
      <c r="P8" s="1" t="s">
        <v>21</v>
      </c>
      <c r="Q8" s="1" t="s">
        <v>22</v>
      </c>
      <c r="R8" s="1" t="s">
        <v>23</v>
      </c>
      <c r="S8" s="1" t="s">
        <v>24</v>
      </c>
      <c r="T8" s="1" t="s">
        <v>25</v>
      </c>
      <c r="U8" s="1" t="s">
        <v>26</v>
      </c>
      <c r="V8" s="1" t="s">
        <v>27</v>
      </c>
      <c r="W8" s="1" t="s">
        <v>28</v>
      </c>
      <c r="X8" s="1" t="s">
        <v>29</v>
      </c>
      <c r="Y8" s="1" t="s">
        <v>30</v>
      </c>
      <c r="Z8" s="1" t="s">
        <v>31</v>
      </c>
      <c r="AA8" s="1" t="s">
        <v>32</v>
      </c>
      <c r="AB8" s="1" t="s">
        <v>33</v>
      </c>
      <c r="AC8" s="1" t="s">
        <v>34</v>
      </c>
      <c r="AD8" s="1" t="s">
        <v>35</v>
      </c>
      <c r="AE8" s="1" t="s">
        <v>36</v>
      </c>
      <c r="AF8" s="1" t="s">
        <v>37</v>
      </c>
      <c r="AG8" s="1" t="s">
        <v>38</v>
      </c>
      <c r="AH8" s="22" t="s">
        <v>39</v>
      </c>
    </row>
    <row r="9" spans="2:34" ht="30" customHeight="1">
      <c r="B9" s="62" t="s">
        <v>158</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COUNTA(Agosto[[#This Row],[1]:[31]])</f>
        <v>0</v>
      </c>
    </row>
    <row r="10" spans="2:34" ht="30" customHeight="1">
      <c r="B10" s="63" t="s">
        <v>55</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COUNTA(Agosto[[#This Row],[1]:[31]])</f>
        <v>0</v>
      </c>
    </row>
    <row r="11" spans="2:34" ht="30" customHeight="1">
      <c r="B11" s="63" t="s">
        <v>56</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COUNTA(Agosto[[#This Row],[1]:[31]])</f>
        <v>0</v>
      </c>
    </row>
    <row r="12" spans="2:34" ht="30" customHeight="1">
      <c r="B12" s="63" t="s">
        <v>57</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COUNTA(Agosto[[#This Row],[1]:[31]])</f>
        <v>0</v>
      </c>
    </row>
    <row r="13" spans="2:34" ht="30" customHeight="1">
      <c r="B13" s="64" t="s">
        <v>58</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35"/>
      <c r="AH13" s="3">
        <f>COUNTA(Agosto[[#This Row],[1]:[31]])</f>
        <v>0</v>
      </c>
    </row>
    <row r="14" spans="2:34" ht="30" customHeight="1">
      <c r="B14" s="64" t="s">
        <v>59</v>
      </c>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35"/>
      <c r="AH14" s="3">
        <f>COUNTA(Agosto[[#This Row],[1]:[31]])</f>
        <v>0</v>
      </c>
    </row>
    <row r="15" spans="2:34" ht="30" customHeight="1">
      <c r="B15" s="64" t="s">
        <v>60</v>
      </c>
      <c r="C15" s="1"/>
      <c r="D15" s="1"/>
      <c r="E15" s="1"/>
      <c r="F15" s="1"/>
      <c r="G15" s="1"/>
      <c r="H15" s="1"/>
      <c r="I15" s="1"/>
      <c r="J15" s="1" t="s">
        <v>4</v>
      </c>
      <c r="K15" s="1" t="s">
        <v>4</v>
      </c>
      <c r="L15" s="1" t="s">
        <v>4</v>
      </c>
      <c r="M15" s="1" t="s">
        <v>4</v>
      </c>
      <c r="N15" s="1"/>
      <c r="O15" s="1"/>
      <c r="P15" s="1" t="s">
        <v>4</v>
      </c>
      <c r="Q15" s="1" t="s">
        <v>4</v>
      </c>
      <c r="R15" s="1" t="s">
        <v>4</v>
      </c>
      <c r="S15" s="1" t="s">
        <v>4</v>
      </c>
      <c r="T15" s="1" t="s">
        <v>4</v>
      </c>
      <c r="U15" s="1"/>
      <c r="V15" s="1"/>
      <c r="W15" s="1" t="s">
        <v>4</v>
      </c>
      <c r="X15" s="1" t="s">
        <v>4</v>
      </c>
      <c r="Y15" s="1" t="s">
        <v>4</v>
      </c>
      <c r="Z15" s="1" t="s">
        <v>4</v>
      </c>
      <c r="AA15" s="39" t="s">
        <v>78</v>
      </c>
      <c r="AB15" s="1"/>
      <c r="AC15" s="1"/>
      <c r="AD15" s="1" t="s">
        <v>4</v>
      </c>
      <c r="AE15" s="1"/>
      <c r="AF15" s="1"/>
      <c r="AG15" s="35"/>
      <c r="AH15" s="3">
        <f>COUNTA(Agosto[[#This Row],[1]:[31]])</f>
        <v>15</v>
      </c>
    </row>
    <row r="16" spans="2:34" ht="30" customHeight="1">
      <c r="B16" s="64" t="s">
        <v>61</v>
      </c>
      <c r="C16" s="1"/>
      <c r="D16" s="1"/>
      <c r="E16" s="1"/>
      <c r="F16" s="1"/>
      <c r="G16" s="1"/>
      <c r="H16" s="1"/>
      <c r="I16" s="1"/>
      <c r="J16" s="1"/>
      <c r="K16" s="1"/>
      <c r="L16" s="1"/>
      <c r="M16" s="1"/>
      <c r="N16" s="1"/>
      <c r="O16" s="1"/>
      <c r="P16" s="1"/>
      <c r="Q16" s="1"/>
      <c r="R16" s="1"/>
      <c r="S16" s="1"/>
      <c r="T16" s="1"/>
      <c r="U16" s="1"/>
      <c r="V16" s="1"/>
      <c r="W16" s="1"/>
      <c r="X16" s="1"/>
      <c r="Y16" s="1"/>
      <c r="Z16" s="1" t="s">
        <v>10</v>
      </c>
      <c r="AA16" s="1"/>
      <c r="AB16" s="1"/>
      <c r="AC16" s="1"/>
      <c r="AD16" s="1"/>
      <c r="AE16" s="1"/>
      <c r="AF16" s="1"/>
      <c r="AG16" s="35"/>
      <c r="AH16" s="3">
        <f>COUNTA(Agosto[[#This Row],[1]:[31]])</f>
        <v>1</v>
      </c>
    </row>
    <row r="17" spans="2:34" ht="30" customHeight="1">
      <c r="B17" s="64" t="s">
        <v>62</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35"/>
      <c r="AH17" s="3">
        <f>COUNTA(Agosto[[#This Row],[1]:[31]])</f>
        <v>0</v>
      </c>
    </row>
    <row r="18" spans="2:34" ht="30" customHeight="1">
      <c r="B18" s="64" t="s">
        <v>63</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35"/>
      <c r="AH18" s="3">
        <f>COUNTA(Agosto[[#This Row],[1]:[31]])</f>
        <v>0</v>
      </c>
    </row>
    <row r="19" spans="2:34" ht="30" customHeight="1">
      <c r="B19" s="64" t="s">
        <v>64</v>
      </c>
      <c r="C19" s="1"/>
      <c r="D19" s="1"/>
      <c r="E19" s="1"/>
      <c r="F19" s="1"/>
      <c r="G19" s="1"/>
      <c r="H19" s="1"/>
      <c r="I19" s="1"/>
      <c r="J19" s="1"/>
      <c r="K19" s="1"/>
      <c r="L19" s="1"/>
      <c r="M19" s="39" t="s">
        <v>78</v>
      </c>
      <c r="N19" s="1" t="s">
        <v>10</v>
      </c>
      <c r="O19" s="1"/>
      <c r="P19" s="1"/>
      <c r="Q19" s="1"/>
      <c r="R19" s="1"/>
      <c r="S19" s="1"/>
      <c r="T19" s="1"/>
      <c r="U19" s="1"/>
      <c r="V19" s="1"/>
      <c r="W19" s="1"/>
      <c r="X19" s="1"/>
      <c r="Y19" s="1"/>
      <c r="Z19" s="1"/>
      <c r="AA19" s="39" t="s">
        <v>78</v>
      </c>
      <c r="AB19" s="1"/>
      <c r="AC19" s="1"/>
      <c r="AD19" s="1"/>
      <c r="AE19" s="1"/>
      <c r="AF19" s="1"/>
      <c r="AG19" s="35"/>
      <c r="AH19" s="3">
        <f>COUNTA(Agosto[[#This Row],[1]:[31]])</f>
        <v>3</v>
      </c>
    </row>
    <row r="20" spans="2:34" ht="30" customHeight="1">
      <c r="B20" s="64" t="s">
        <v>138</v>
      </c>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35"/>
      <c r="AH20" s="3">
        <f>COUNTA(Agosto[[#This Row],[1]:[31]])</f>
        <v>0</v>
      </c>
    </row>
    <row r="21" spans="2:34" ht="30" customHeight="1">
      <c r="B21" s="64" t="s">
        <v>66</v>
      </c>
      <c r="C21" s="1"/>
      <c r="D21" s="1"/>
      <c r="E21" s="1"/>
      <c r="F21" s="1"/>
      <c r="G21" s="1"/>
      <c r="H21" s="1"/>
      <c r="I21" s="1"/>
      <c r="J21" s="1"/>
      <c r="K21" s="1"/>
      <c r="L21" s="1"/>
      <c r="M21" s="1"/>
      <c r="N21" s="1"/>
      <c r="O21" s="1"/>
      <c r="P21" s="1" t="s">
        <v>10</v>
      </c>
      <c r="Q21" s="1"/>
      <c r="R21" s="1"/>
      <c r="S21" s="1"/>
      <c r="T21" s="1"/>
      <c r="U21" s="1"/>
      <c r="V21" s="1"/>
      <c r="W21" s="1"/>
      <c r="X21" s="1"/>
      <c r="Y21" s="1"/>
      <c r="Z21" s="1"/>
      <c r="AA21" s="1"/>
      <c r="AB21" s="1"/>
      <c r="AC21" s="1"/>
      <c r="AD21" s="1"/>
      <c r="AE21" s="1"/>
      <c r="AF21" s="1"/>
      <c r="AG21" s="35"/>
      <c r="AH21" s="3">
        <f>COUNTA(Agosto[[#This Row],[1]:[31]])</f>
        <v>1</v>
      </c>
    </row>
    <row r="22" spans="2:34" ht="30" customHeight="1">
      <c r="B22" s="64" t="s">
        <v>67</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35"/>
      <c r="AH22" s="3">
        <f>COUNTA(Agosto[[#This Row],[1]:[31]])</f>
        <v>0</v>
      </c>
    </row>
    <row r="23" spans="2:34" ht="30" customHeight="1">
      <c r="B23" s="64" t="s">
        <v>68</v>
      </c>
      <c r="C23" s="1"/>
      <c r="D23" s="1"/>
      <c r="E23" s="1"/>
      <c r="F23" s="1"/>
      <c r="G23" s="1"/>
      <c r="H23" s="1"/>
      <c r="I23" s="1"/>
      <c r="J23" s="1"/>
      <c r="K23" s="1"/>
      <c r="L23" s="1"/>
      <c r="M23" s="1" t="s">
        <v>79</v>
      </c>
      <c r="N23" s="1"/>
      <c r="O23" s="1"/>
      <c r="P23" s="1" t="s">
        <v>75</v>
      </c>
      <c r="Q23" s="1" t="s">
        <v>75</v>
      </c>
      <c r="R23" s="1" t="s">
        <v>75</v>
      </c>
      <c r="S23" s="1"/>
      <c r="T23" s="1"/>
      <c r="U23" s="1"/>
      <c r="V23" s="1"/>
      <c r="W23" s="1"/>
      <c r="X23" s="1"/>
      <c r="Y23" s="1"/>
      <c r="Z23" s="1"/>
      <c r="AA23" s="1"/>
      <c r="AB23" s="1"/>
      <c r="AC23" s="1"/>
      <c r="AD23" s="1"/>
      <c r="AE23" s="1"/>
      <c r="AF23" s="1"/>
      <c r="AG23" s="35"/>
      <c r="AH23" s="3">
        <f>COUNTA(Agosto[[#This Row],[1]:[31]])</f>
        <v>4</v>
      </c>
    </row>
    <row r="24" spans="2:34" ht="30" customHeight="1">
      <c r="B24" s="64" t="s">
        <v>69</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35"/>
      <c r="AH24" s="3">
        <f>COUNTA(Agosto[[#This Row],[1]:[31]])</f>
        <v>0</v>
      </c>
    </row>
    <row r="25" spans="2:34" ht="30" customHeight="1">
      <c r="B25" s="64" t="s">
        <v>70</v>
      </c>
      <c r="C25" s="1"/>
      <c r="D25" s="1"/>
      <c r="E25" s="1"/>
      <c r="F25" s="1"/>
      <c r="G25" s="1"/>
      <c r="H25" s="1"/>
      <c r="I25" s="1"/>
      <c r="J25" s="1"/>
      <c r="K25" s="1"/>
      <c r="L25" s="1"/>
      <c r="M25" s="1"/>
      <c r="N25" s="1"/>
      <c r="O25" s="1"/>
      <c r="P25" s="1" t="s">
        <v>79</v>
      </c>
      <c r="Q25" s="1" t="s">
        <v>79</v>
      </c>
      <c r="R25" s="1" t="s">
        <v>79</v>
      </c>
      <c r="S25" s="1"/>
      <c r="T25" s="1"/>
      <c r="U25" s="1"/>
      <c r="V25" s="1"/>
      <c r="W25" s="1"/>
      <c r="X25" s="1"/>
      <c r="Y25" s="1"/>
      <c r="Z25" s="1"/>
      <c r="AA25" s="1"/>
      <c r="AB25" s="1"/>
      <c r="AC25" s="1"/>
      <c r="AD25" s="1"/>
      <c r="AE25" s="1"/>
      <c r="AF25" s="1"/>
      <c r="AG25" s="35"/>
      <c r="AH25" s="3">
        <f>COUNTA(Agosto[[#This Row],[1]:[31]])</f>
        <v>3</v>
      </c>
    </row>
    <row r="26" spans="2:34" ht="30" customHeight="1">
      <c r="B26" s="64" t="s">
        <v>71</v>
      </c>
      <c r="C26" s="1"/>
      <c r="D26" s="1"/>
      <c r="E26" s="1"/>
      <c r="F26" s="1"/>
      <c r="G26" s="1"/>
      <c r="H26" s="1"/>
      <c r="I26" s="1"/>
      <c r="J26" s="1"/>
      <c r="K26" s="1"/>
      <c r="L26" s="1"/>
      <c r="M26" s="1"/>
      <c r="N26" s="1"/>
      <c r="O26" s="1"/>
      <c r="P26" s="1"/>
      <c r="Q26" s="1"/>
      <c r="R26" s="1"/>
      <c r="S26" s="1"/>
      <c r="T26" s="1" t="s">
        <v>79</v>
      </c>
      <c r="U26" s="1"/>
      <c r="V26" s="1"/>
      <c r="W26" s="1"/>
      <c r="X26" s="1"/>
      <c r="Y26" s="1"/>
      <c r="Z26" s="1"/>
      <c r="AA26" s="1"/>
      <c r="AB26" s="1"/>
      <c r="AC26" s="1"/>
      <c r="AD26" s="1"/>
      <c r="AE26" s="1"/>
      <c r="AF26" s="1"/>
      <c r="AG26" s="35"/>
      <c r="AH26" s="3">
        <f>COUNTA(Agosto[[#This Row],[1]:[31]])</f>
        <v>1</v>
      </c>
    </row>
    <row r="27" spans="2:34" ht="30" customHeight="1">
      <c r="B27" s="65" t="s">
        <v>148</v>
      </c>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35"/>
      <c r="AH27" s="3">
        <f>COUNTA(Agosto[[#This Row],[1]:[31]])</f>
        <v>0</v>
      </c>
    </row>
    <row r="28" spans="2:34" ht="30" customHeight="1">
      <c r="B28" s="5" t="str">
        <f>MonthName&amp;" Total"</f>
        <v>Agosto Total</v>
      </c>
      <c r="C28" s="4">
        <f>SUBTOTAL(103,Agosto[1])</f>
        <v>0</v>
      </c>
      <c r="D28" s="4">
        <f>SUBTOTAL(103,Agosto[2])</f>
        <v>0</v>
      </c>
      <c r="E28" s="4">
        <f>SUBTOTAL(103,Agosto[3])</f>
        <v>0</v>
      </c>
      <c r="F28" s="4">
        <f>SUBTOTAL(103,Agosto[4])</f>
        <v>0</v>
      </c>
      <c r="G28" s="4">
        <f>SUBTOTAL(103,Agosto[5])</f>
        <v>0</v>
      </c>
      <c r="H28" s="4">
        <f>SUBTOTAL(103,Agosto[6])</f>
        <v>0</v>
      </c>
      <c r="I28" s="4">
        <f>SUBTOTAL(103,Agosto[7])</f>
        <v>0</v>
      </c>
      <c r="J28" s="4">
        <f>SUBTOTAL(103,Agosto[8])</f>
        <v>1</v>
      </c>
      <c r="K28" s="4">
        <f>SUBTOTAL(103,Agosto[9])</f>
        <v>1</v>
      </c>
      <c r="L28" s="4">
        <f>SUBTOTAL(103,Agosto[10])</f>
        <v>1</v>
      </c>
      <c r="M28" s="4">
        <f>SUBTOTAL(103,Agosto[11])</f>
        <v>3</v>
      </c>
      <c r="N28" s="4">
        <f>SUBTOTAL(103,Agosto[12])</f>
        <v>1</v>
      </c>
      <c r="O28" s="4">
        <f>SUBTOTAL(103,Agosto[13])</f>
        <v>0</v>
      </c>
      <c r="P28" s="4">
        <f>SUBTOTAL(103,Agosto[14])</f>
        <v>4</v>
      </c>
      <c r="Q28" s="4">
        <f>SUBTOTAL(103,Agosto[15])</f>
        <v>3</v>
      </c>
      <c r="R28" s="4">
        <f>SUBTOTAL(103,Agosto[16])</f>
        <v>3</v>
      </c>
      <c r="S28" s="4">
        <f>SUBTOTAL(103,Agosto[17])</f>
        <v>1</v>
      </c>
      <c r="T28" s="4">
        <f>SUBTOTAL(103,Agosto[18])</f>
        <v>2</v>
      </c>
      <c r="U28" s="4">
        <f>SUBTOTAL(103,Agosto[19])</f>
        <v>0</v>
      </c>
      <c r="V28" s="4">
        <f>SUBTOTAL(103,Agosto[20])</f>
        <v>0</v>
      </c>
      <c r="W28" s="4">
        <f>SUBTOTAL(103,Agosto[21])</f>
        <v>1</v>
      </c>
      <c r="X28" s="4">
        <f>SUBTOTAL(103,Agosto[22])</f>
        <v>1</v>
      </c>
      <c r="Y28" s="4">
        <f>SUBTOTAL(103,Agosto[23])</f>
        <v>1</v>
      </c>
      <c r="Z28" s="4">
        <f>SUBTOTAL(103,Agosto[24])</f>
        <v>2</v>
      </c>
      <c r="AA28" s="4">
        <f>SUBTOTAL(103,Agosto[25])</f>
        <v>2</v>
      </c>
      <c r="AB28" s="4">
        <f>SUBTOTAL(103,Agosto[26])</f>
        <v>0</v>
      </c>
      <c r="AC28" s="4">
        <f>SUBTOTAL(103,Agosto[27])</f>
        <v>0</v>
      </c>
      <c r="AD28" s="4">
        <f>SUBTOTAL(103,Agosto[28])</f>
        <v>1</v>
      </c>
      <c r="AE28" s="4">
        <f>SUBTOTAL(103,Agosto[29])</f>
        <v>0</v>
      </c>
      <c r="AF28" s="4">
        <f>SUBTOTAL(109,Agosto[30])</f>
        <v>0</v>
      </c>
      <c r="AG28" s="4">
        <f>SUBTOTAL(109,Agosto[31])</f>
        <v>0</v>
      </c>
      <c r="AH28" s="4">
        <f>SUBTOTAL(109,Agosto[Total de días])</f>
        <v>28</v>
      </c>
    </row>
  </sheetData>
  <mergeCells count="7">
    <mergeCell ref="C6:AG6"/>
    <mergeCell ref="D4:F4"/>
    <mergeCell ref="H4:J4"/>
    <mergeCell ref="L4:N4"/>
    <mergeCell ref="P4:S4"/>
    <mergeCell ref="U4:X4"/>
    <mergeCell ref="Z4:AB4"/>
  </mergeCells>
  <phoneticPr fontId="34" type="noConversion"/>
  <conditionalFormatting sqref="C9:AG18 C19:L19 N19:Z19 AB19:AG19 C20:AG27">
    <cfRule type="expression" priority="13" stopIfTrue="1">
      <formula>C9=""</formula>
    </cfRule>
    <cfRule type="expression" dxfId="144" priority="14" stopIfTrue="1">
      <formula>C9=KeyCustom2</formula>
    </cfRule>
    <cfRule type="expression" dxfId="143" priority="15" stopIfTrue="1">
      <formula>C9=KeyCustom1</formula>
    </cfRule>
    <cfRule type="expression" dxfId="142" priority="16" stopIfTrue="1">
      <formula>C9=KeySick</formula>
    </cfRule>
    <cfRule type="expression" dxfId="141" priority="17" stopIfTrue="1">
      <formula>C9=KeyPersonal</formula>
    </cfRule>
    <cfRule type="expression" dxfId="140" priority="18" stopIfTrue="1">
      <formula>C9=KeyVacation</formula>
    </cfRule>
  </conditionalFormatting>
  <conditionalFormatting sqref="M19">
    <cfRule type="expression" priority="7" stopIfTrue="1">
      <formula>M19=""</formula>
    </cfRule>
    <cfRule type="expression" dxfId="139" priority="8" stopIfTrue="1">
      <formula>M19=KeyCustom2</formula>
    </cfRule>
    <cfRule type="expression" dxfId="138" priority="9" stopIfTrue="1">
      <formula>M19=KeyCustom1</formula>
    </cfRule>
    <cfRule type="expression" dxfId="137" priority="10" stopIfTrue="1">
      <formula>M19=KeySick</formula>
    </cfRule>
    <cfRule type="expression" dxfId="136" priority="11" stopIfTrue="1">
      <formula>M19=KeyPersonal</formula>
    </cfRule>
    <cfRule type="expression" dxfId="135" priority="12" stopIfTrue="1">
      <formula>M19=KeyVacation</formula>
    </cfRule>
  </conditionalFormatting>
  <conditionalFormatting sqref="AA19">
    <cfRule type="expression" priority="1" stopIfTrue="1">
      <formula>AA19=""</formula>
    </cfRule>
    <cfRule type="expression" dxfId="134" priority="2" stopIfTrue="1">
      <formula>AA19=KeyCustom2</formula>
    </cfRule>
    <cfRule type="expression" dxfId="133" priority="3" stopIfTrue="1">
      <formula>AA19=KeyCustom1</formula>
    </cfRule>
    <cfRule type="expression" dxfId="132" priority="4" stopIfTrue="1">
      <formula>AA19=KeySick</formula>
    </cfRule>
    <cfRule type="expression" dxfId="131" priority="5" stopIfTrue="1">
      <formula>AA19=KeyPersonal</formula>
    </cfRule>
    <cfRule type="expression" dxfId="130" priority="6" stopIfTrue="1">
      <formula>AA19=KeyVacation</formula>
    </cfRule>
  </conditionalFormatting>
  <conditionalFormatting sqref="AH9:AH27">
    <cfRule type="dataBar" priority="295">
      <dataBar>
        <cfvo type="min"/>
        <cfvo type="formula" val="DATEDIF(DATE(CalendarYear,2,1),DATE(CalendarYear,3,1),&quot;d&quot;)"/>
        <color theme="2" tint="-0.249977111117893"/>
      </dataBar>
      <extLst>
        <ext xmlns:x14="http://schemas.microsoft.com/office/spreadsheetml/2009/9/main" uri="{B025F937-C7B1-47D3-B67F-A62EFF666E3E}">
          <x14:id>{09900229-9536-43AB-AAE0-FC121BDECD61}</x14:id>
        </ext>
      </extLst>
    </cfRule>
  </conditionalFormatting>
  <dataValidations count="15">
    <dataValidation allowBlank="1" showInputMessage="1" showErrorMessage="1" prompt="Los días laborables en esta fila se actualizan automáticamente durante el mes según el año en AH4. Cada día del mes es una columna para indicar la ausencia del empleado y el tipo de ausencia" sqref="C7" xr:uid="{C31066D8-39EA-EB48-A883-D56040D3EA81}"/>
    <dataValidation allowBlank="1" showInputMessage="1" showErrorMessage="1" prompt="Año actualizado automáticamente en función del año introducido en la hoja de cálculo de enero" sqref="AH6" xr:uid="{4F3A1A67-5AD0-224A-B9EB-2AA94773859B}"/>
    <dataValidation allowBlank="1" showInputMessage="1" showErrorMessage="1" prompt="Cálculo automático del número total de días que un empleado ha estado ausente este mes en esta columna" sqref="AH8" xr:uid="{AC80500B-13F9-964F-8855-BCABB1C8AF13}"/>
    <dataValidation allowBlank="1" showInputMessage="1" showErrorMessage="1" prompt="Realice un seguimiento de las ausencias de agosto en esta hoja de cálculo." sqref="A1" xr:uid="{00000000-0002-0000-0700-000003000000}"/>
    <dataValidation errorStyle="warning" allowBlank="1" showInputMessage="1" showErrorMessage="1" error="Seleccione un nombre de la lista. Seleccione CANCELAR y, después, ALT+FLECHA ABAJO y ENTRAR para seleccionar un nombre" prompt="Escriba los nombres de los empleados en la hoja de cálculo Nombres de empleados y, después, seleccione uno de los nombres de la lista de esta columna. Presione ALT+FLECHA ABAJO y ENTRAR para seleccionar un nombre" sqref="B8" xr:uid="{3B37E336-5BFF-874C-B045-F359DA78F99B}"/>
    <dataValidation allowBlank="1" showInputMessage="1" showErrorMessage="1" prompt="El título se actualiza automáticamente en esta celda. Para modificarlo, actualice la celda B1 en la hoja de cálculo de enero" sqref="B2" xr:uid="{00000000-0002-0000-0700-000005000000}"/>
    <dataValidation allowBlank="1" showInputMessage="1" showErrorMessage="1" prompt="La letra “V” indica una ausencia por vacaciones" sqref="C4" xr:uid="{D51BF6D6-681F-4FC6-8165-F015CD74D635}"/>
    <dataValidation allowBlank="1" showInputMessage="1" showErrorMessage="1" prompt="La letra “P” indica una ausencia por motivos personales" sqref="G4" xr:uid="{3D3AED7F-CC0D-4634-96DF-79E749A31C7B}"/>
    <dataValidation allowBlank="1" showInputMessage="1" showErrorMessage="1" prompt="La letra “E” indica una ausencia por enfermedad" sqref="K4" xr:uid="{03081178-6629-4187-BCB2-CE34FB821B3B}"/>
    <dataValidation allowBlank="1" showInputMessage="1" showErrorMessage="1" prompt="Escriba una letra y personalice la etiqueta de la derecha para agregar otro elemento clave." sqref="O4 T4" xr:uid="{2CF8FD8A-BDBD-4FED-A43E-3CB3FFC62904}"/>
    <dataValidation allowBlank="1" showInputMessage="1" showErrorMessage="1" prompt="El nombre del mes de este plan de ausencias está en esta celda. Los totales de las ausencias para este mes aparecen en la última celda de la tabla. Seleccione los nombres de los empleados en la columna B de la tabla" sqref="B2" xr:uid="{00000000-0002-0000-0700-00000C000000}"/>
    <dataValidation allowBlank="1" showInputMessage="1" showErrorMessage="1" prompt="Los días del mes se generan automáticamente en esta fila. Especifique la ausencia del empleado y el tipo en cada columna para cada día del mes. En blanco significa que no hay ninguna ausencia" sqref="C8" xr:uid="{ACF8EA0E-6010-5D46-9524-6055BFC9D4A3}"/>
    <dataValidation allowBlank="1" showInputMessage="1" showErrorMessage="1" prompt="Esta fila define las claves que se usan en la tabla: la celda C4 es para vacaciones, la celda G4 es para asuntos personales y la celda K4 es baja por enfermedad. Las celdas N4 y R4 se pueden personalizar" sqref="B4" xr:uid="{2AD8EE52-D84F-4685-9E2E-4F8D1A731125}"/>
    <dataValidation allowBlank="1" showInputMessage="1" showErrorMessage="1" prompt="Esta celda contiene el título de la hoja de cálculo. " sqref="B1" xr:uid="{3F261A71-5753-4B06-A7AE-03F6BBA4818C}"/>
    <dataValidation allowBlank="1" showInputMessage="1" showErrorMessage="1" prompt="Escriba una etiqueta para describir la clave personalizada de la izquierda" sqref="U4 P4" xr:uid="{14D1DBB5-A666-41AF-85A5-BD14F9DE3BE2}"/>
  </dataValidations>
  <pageMargins left="0.7" right="0.7" top="0.75" bottom="0.75" header="0.3" footer="0.3"/>
  <pageSetup paperSize="9" fitToHeight="0" orientation="portrait" verticalDpi="4294967293"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09900229-9536-43AB-AAE0-FC121BDECD61}">
            <x14:dataBar minLength="0" maxLength="100">
              <x14:cfvo type="autoMin"/>
              <x14:cfvo type="formula">
                <xm:f>DATEDIF(DATE(CalendarYear,2,1),DATE(CalendarYear,3,1),"d")</xm:f>
              </x14:cfvo>
              <x14:negativeFillColor rgb="FFFF0000"/>
              <x14:axisColor rgb="FF000000"/>
            </x14:dataBar>
          </x14:cfRule>
          <xm:sqref>AH9:AH27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E000000}">
          <x14:formula1>
            <xm:f>'Nombres de los empleados'!$B$5:$B$9</xm:f>
          </x14:formula1>
          <xm:sqref>B10:B12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sheetPr>
  <dimension ref="B1:AH28"/>
  <sheetViews>
    <sheetView showGridLines="0" topLeftCell="A3" zoomScale="59" zoomScaleNormal="100" workbookViewId="0">
      <selection activeCell="P4" sqref="P4:S4"/>
    </sheetView>
  </sheetViews>
  <sheetFormatPr baseColWidth="10" defaultColWidth="8.6328125" defaultRowHeight="30" customHeight="1"/>
  <cols>
    <col min="1" max="1" width="2.6328125" customWidth="1"/>
    <col min="2" max="2" width="37.54296875" customWidth="1"/>
    <col min="3" max="33" width="4.6328125" customWidth="1"/>
    <col min="34" max="34" width="13.453125" customWidth="1"/>
    <col min="35" max="35" width="2.6328125" customWidth="1"/>
  </cols>
  <sheetData>
    <row r="1" spans="2:34" ht="50" customHeight="1">
      <c r="B1" s="24" t="s">
        <v>0</v>
      </c>
    </row>
    <row r="2" spans="2:34" ht="100.25" customHeight="1">
      <c r="B2" s="30" t="s">
        <v>49</v>
      </c>
    </row>
    <row r="3" spans="2:34" ht="15" customHeight="1">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row>
    <row r="4" spans="2:34" ht="30" customHeight="1">
      <c r="B4" s="7" t="s">
        <v>2</v>
      </c>
      <c r="C4" s="29" t="s">
        <v>4</v>
      </c>
      <c r="D4" s="68" t="s">
        <v>7</v>
      </c>
      <c r="E4" s="68"/>
      <c r="F4" s="68"/>
      <c r="G4" s="27" t="s">
        <v>10</v>
      </c>
      <c r="H4" s="69" t="s">
        <v>77</v>
      </c>
      <c r="I4" s="69"/>
      <c r="J4" s="69"/>
      <c r="K4" s="28" t="s">
        <v>75</v>
      </c>
      <c r="L4" s="68" t="s">
        <v>76</v>
      </c>
      <c r="M4" s="68"/>
      <c r="N4" s="68"/>
      <c r="O4" s="17" t="s">
        <v>79</v>
      </c>
      <c r="P4" s="68" t="s">
        <v>160</v>
      </c>
      <c r="Q4" s="68"/>
      <c r="R4" s="68"/>
      <c r="S4" s="68"/>
      <c r="T4" s="18" t="s">
        <v>73</v>
      </c>
      <c r="U4" s="68" t="s">
        <v>74</v>
      </c>
      <c r="V4" s="68"/>
      <c r="W4" s="68"/>
      <c r="X4" s="68"/>
      <c r="Y4" s="36" t="s">
        <v>78</v>
      </c>
      <c r="Z4" s="70" t="s">
        <v>72</v>
      </c>
      <c r="AA4" s="70"/>
      <c r="AB4" s="70"/>
    </row>
    <row r="5" spans="2:34" ht="15" customHeight="1">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row>
    <row r="6" spans="2:34" ht="50" customHeight="1">
      <c r="B6" s="6"/>
      <c r="C6" s="67" t="s">
        <v>5</v>
      </c>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
        <f>CalendarYear</f>
        <v>2023</v>
      </c>
    </row>
    <row r="7" spans="2:34" ht="30" customHeight="1">
      <c r="B7" s="6"/>
      <c r="C7" s="21" t="str">
        <f>TEXT(WEEKDAY(DATE(CalendarYear,9,1),1),"ddd")</f>
        <v>vie</v>
      </c>
      <c r="D7" s="21" t="str">
        <f>TEXT(WEEKDAY(DATE(CalendarYear,9,2),1),"ddd")</f>
        <v>sáb</v>
      </c>
      <c r="E7" s="21" t="str">
        <f>TEXT(WEEKDAY(DATE(CalendarYear,9,3),1),"ddd")</f>
        <v>dom</v>
      </c>
      <c r="F7" s="21" t="str">
        <f>TEXT(WEEKDAY(DATE(CalendarYear,9,4),1),"ddd")</f>
        <v>lun</v>
      </c>
      <c r="G7" s="21" t="str">
        <f>TEXT(WEEKDAY(DATE(CalendarYear,9,5),1),"ddd")</f>
        <v>mar</v>
      </c>
      <c r="H7" s="21" t="str">
        <f>TEXT(WEEKDAY(DATE(CalendarYear,9,6),1),"ddd")</f>
        <v>mié</v>
      </c>
      <c r="I7" s="21" t="str">
        <f>TEXT(WEEKDAY(DATE(CalendarYear,9,7),1),"ddd")</f>
        <v>jue</v>
      </c>
      <c r="J7" s="21" t="str">
        <f>TEXT(WEEKDAY(DATE(CalendarYear,9,8),1),"ddd")</f>
        <v>vie</v>
      </c>
      <c r="K7" s="21" t="str">
        <f>TEXT(WEEKDAY(DATE(CalendarYear,9,9),1),"ddd")</f>
        <v>sáb</v>
      </c>
      <c r="L7" s="21" t="str">
        <f>TEXT(WEEKDAY(DATE(CalendarYear,9,10),1),"ddd")</f>
        <v>dom</v>
      </c>
      <c r="M7" s="21" t="str">
        <f>TEXT(WEEKDAY(DATE(CalendarYear,9,11),1),"ddd")</f>
        <v>lun</v>
      </c>
      <c r="N7" s="21" t="str">
        <f>TEXT(WEEKDAY(DATE(CalendarYear,9,12),1),"ddd")</f>
        <v>mar</v>
      </c>
      <c r="O7" s="21" t="str">
        <f>TEXT(WEEKDAY(DATE(CalendarYear,9,13),1),"ddd")</f>
        <v>mié</v>
      </c>
      <c r="P7" s="21" t="str">
        <f>TEXT(WEEKDAY(DATE(CalendarYear,9,14),1),"ddd")</f>
        <v>jue</v>
      </c>
      <c r="Q7" s="21" t="str">
        <f>TEXT(WEEKDAY(DATE(CalendarYear,9,15),1),"ddd")</f>
        <v>vie</v>
      </c>
      <c r="R7" s="21" t="str">
        <f>TEXT(WEEKDAY(DATE(CalendarYear,9,16),1),"ddd")</f>
        <v>sáb</v>
      </c>
      <c r="S7" s="21" t="str">
        <f>TEXT(WEEKDAY(DATE(CalendarYear,9,17),1),"ddd")</f>
        <v>dom</v>
      </c>
      <c r="T7" s="21" t="str">
        <f>TEXT(WEEKDAY(DATE(CalendarYear,9,18),1),"ddd")</f>
        <v>lun</v>
      </c>
      <c r="U7" s="21" t="str">
        <f>TEXT(WEEKDAY(DATE(CalendarYear,9,19),1),"ddd")</f>
        <v>mar</v>
      </c>
      <c r="V7" s="21" t="str">
        <f>TEXT(WEEKDAY(DATE(CalendarYear,9,20),1),"ddd")</f>
        <v>mié</v>
      </c>
      <c r="W7" s="21" t="str">
        <f>TEXT(WEEKDAY(DATE(CalendarYear,9,21),1),"ddd")</f>
        <v>jue</v>
      </c>
      <c r="X7" s="21" t="str">
        <f>TEXT(WEEKDAY(DATE(CalendarYear,9,22),1),"ddd")</f>
        <v>vie</v>
      </c>
      <c r="Y7" s="21" t="str">
        <f>TEXT(WEEKDAY(DATE(CalendarYear,9,23),1),"ddd")</f>
        <v>sáb</v>
      </c>
      <c r="Z7" s="21" t="str">
        <f>TEXT(WEEKDAY(DATE(CalendarYear,9,24),1),"ddd")</f>
        <v>dom</v>
      </c>
      <c r="AA7" s="21" t="str">
        <f>TEXT(WEEKDAY(DATE(CalendarYear,9,25),1),"ddd")</f>
        <v>lun</v>
      </c>
      <c r="AB7" s="21" t="str">
        <f>TEXT(WEEKDAY(DATE(CalendarYear,9,26),1),"ddd")</f>
        <v>mar</v>
      </c>
      <c r="AC7" s="21" t="str">
        <f>TEXT(WEEKDAY(DATE(CalendarYear,9,27),1),"ddd")</f>
        <v>mié</v>
      </c>
      <c r="AD7" s="21" t="str">
        <f>TEXT(WEEKDAY(DATE(CalendarYear,9,28),1),"ddd")</f>
        <v>jue</v>
      </c>
      <c r="AE7" s="21" t="str">
        <f>TEXT(WEEKDAY(DATE(CalendarYear,9,29),1),"ddd")</f>
        <v>vie</v>
      </c>
      <c r="AF7" s="21" t="str">
        <f>TEXT(WEEKDAY(DATE(CalendarYear,9,30),1),"ddd")</f>
        <v>sáb</v>
      </c>
      <c r="AG7" s="21"/>
      <c r="AH7" s="6"/>
    </row>
    <row r="8" spans="2:34" ht="30" customHeight="1">
      <c r="B8" s="20" t="s">
        <v>3</v>
      </c>
      <c r="C8" s="1" t="s">
        <v>6</v>
      </c>
      <c r="D8" s="1" t="s">
        <v>8</v>
      </c>
      <c r="E8" s="1" t="s">
        <v>9</v>
      </c>
      <c r="F8" s="1" t="s">
        <v>11</v>
      </c>
      <c r="G8" s="1" t="s">
        <v>12</v>
      </c>
      <c r="H8" s="1" t="s">
        <v>13</v>
      </c>
      <c r="I8" s="1" t="s">
        <v>14</v>
      </c>
      <c r="J8" s="1" t="s">
        <v>15</v>
      </c>
      <c r="K8" s="1" t="s">
        <v>16</v>
      </c>
      <c r="L8" s="1" t="s">
        <v>17</v>
      </c>
      <c r="M8" s="1" t="s">
        <v>18</v>
      </c>
      <c r="N8" s="1" t="s">
        <v>19</v>
      </c>
      <c r="O8" s="1" t="s">
        <v>20</v>
      </c>
      <c r="P8" s="1" t="s">
        <v>21</v>
      </c>
      <c r="Q8" s="1" t="s">
        <v>22</v>
      </c>
      <c r="R8" s="1" t="s">
        <v>23</v>
      </c>
      <c r="S8" s="1" t="s">
        <v>24</v>
      </c>
      <c r="T8" s="1" t="s">
        <v>25</v>
      </c>
      <c r="U8" s="1" t="s">
        <v>26</v>
      </c>
      <c r="V8" s="1" t="s">
        <v>27</v>
      </c>
      <c r="W8" s="1" t="s">
        <v>28</v>
      </c>
      <c r="X8" s="1" t="s">
        <v>29</v>
      </c>
      <c r="Y8" s="1" t="s">
        <v>30</v>
      </c>
      <c r="Z8" s="1" t="s">
        <v>31</v>
      </c>
      <c r="AA8" s="1" t="s">
        <v>32</v>
      </c>
      <c r="AB8" s="1" t="s">
        <v>33</v>
      </c>
      <c r="AC8" s="1" t="s">
        <v>34</v>
      </c>
      <c r="AD8" s="1" t="s">
        <v>35</v>
      </c>
      <c r="AE8" s="1" t="s">
        <v>36</v>
      </c>
      <c r="AF8" s="1" t="s">
        <v>37</v>
      </c>
      <c r="AG8" s="1" t="s">
        <v>41</v>
      </c>
      <c r="AH8" s="22" t="s">
        <v>39</v>
      </c>
    </row>
    <row r="9" spans="2:34" ht="30" customHeight="1">
      <c r="B9" s="62" t="s">
        <v>158</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3">
        <f>COUNTA(Septiembre[[#This Row],[1]:[ ]])</f>
        <v>0</v>
      </c>
    </row>
    <row r="10" spans="2:34" ht="30" customHeight="1">
      <c r="B10" s="63" t="s">
        <v>55</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3">
        <f>COUNTA(Septiembre[[#This Row],[1]:[ ]])</f>
        <v>0</v>
      </c>
    </row>
    <row r="11" spans="2:34" ht="30" customHeight="1">
      <c r="B11" s="63" t="s">
        <v>56</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3">
        <f>COUNTA(Septiembre[[#This Row],[1]:[ ]])</f>
        <v>0</v>
      </c>
    </row>
    <row r="12" spans="2:34" ht="30" customHeight="1">
      <c r="B12" s="63" t="s">
        <v>57</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3">
        <f>COUNTA(Septiembre[[#This Row],[1]:[ ]])</f>
        <v>0</v>
      </c>
    </row>
    <row r="13" spans="2:34" ht="30" customHeight="1">
      <c r="B13" s="64" t="s">
        <v>58</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35"/>
      <c r="AH13" s="3">
        <f>COUNTA(Septiembre[[#This Row],[1]:[ ]])</f>
        <v>0</v>
      </c>
    </row>
    <row r="14" spans="2:34" ht="30" customHeight="1">
      <c r="B14" s="64" t="s">
        <v>59</v>
      </c>
      <c r="C14" s="1" t="s">
        <v>73</v>
      </c>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35"/>
      <c r="AH14" s="3">
        <f>COUNTA(Septiembre[[#This Row],[1]:[ ]])</f>
        <v>1</v>
      </c>
    </row>
    <row r="15" spans="2:34" ht="30" customHeight="1">
      <c r="B15" s="64" t="s">
        <v>60</v>
      </c>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35"/>
      <c r="AH15" s="3">
        <f>COUNTA(Septiembre[[#This Row],[1]:[ ]])</f>
        <v>0</v>
      </c>
    </row>
    <row r="16" spans="2:34" ht="30" customHeight="1">
      <c r="B16" s="64" t="s">
        <v>61</v>
      </c>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35"/>
      <c r="AH16" s="3">
        <f>COUNTA(Septiembre[[#This Row],[1]:[ ]])</f>
        <v>0</v>
      </c>
    </row>
    <row r="17" spans="2:34" ht="30" customHeight="1">
      <c r="B17" s="64" t="s">
        <v>62</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35"/>
      <c r="AH17" s="3">
        <f>COUNTA(Septiembre[[#This Row],[1]:[ ]])</f>
        <v>0</v>
      </c>
    </row>
    <row r="18" spans="2:34" ht="30" customHeight="1">
      <c r="B18" s="64" t="s">
        <v>63</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35"/>
      <c r="AH18" s="3">
        <f>COUNTA(Septiembre[[#This Row],[1]:[ ]])</f>
        <v>0</v>
      </c>
    </row>
    <row r="19" spans="2:34" ht="30" customHeight="1">
      <c r="B19" s="64" t="s">
        <v>64</v>
      </c>
      <c r="C19" s="1"/>
      <c r="D19" s="1"/>
      <c r="E19" s="1"/>
      <c r="F19" s="1"/>
      <c r="G19" s="1"/>
      <c r="H19" s="1"/>
      <c r="I19" s="1"/>
      <c r="J19" s="1" t="s">
        <v>10</v>
      </c>
      <c r="K19" s="1"/>
      <c r="L19" s="1"/>
      <c r="M19" s="1"/>
      <c r="N19" s="1"/>
      <c r="O19" s="1"/>
      <c r="P19" s="1"/>
      <c r="Q19" s="39" t="s">
        <v>78</v>
      </c>
      <c r="R19" s="1"/>
      <c r="S19" s="1"/>
      <c r="T19" s="1"/>
      <c r="U19" s="1"/>
      <c r="V19" s="1"/>
      <c r="W19" s="1"/>
      <c r="X19" s="1"/>
      <c r="Y19" s="1"/>
      <c r="Z19" s="1"/>
      <c r="AA19" s="1"/>
      <c r="AB19" s="1"/>
      <c r="AC19" s="1"/>
      <c r="AD19" s="1"/>
      <c r="AE19" s="39" t="s">
        <v>78</v>
      </c>
      <c r="AF19" s="1"/>
      <c r="AG19" s="35"/>
      <c r="AH19" s="3">
        <f>COUNTA(Septiembre[[#This Row],[1]:[ ]])</f>
        <v>3</v>
      </c>
    </row>
    <row r="20" spans="2:34" ht="30" customHeight="1">
      <c r="B20" s="64" t="s">
        <v>138</v>
      </c>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35"/>
      <c r="AH20" s="3">
        <f>COUNTA(Septiembre[[#This Row],[1]:[ ]])</f>
        <v>0</v>
      </c>
    </row>
    <row r="21" spans="2:34" ht="30" customHeight="1">
      <c r="B21" s="64" t="s">
        <v>66</v>
      </c>
      <c r="C21" s="1"/>
      <c r="D21" s="1"/>
      <c r="E21" s="1"/>
      <c r="F21" s="1"/>
      <c r="G21" s="1"/>
      <c r="H21" s="1"/>
      <c r="I21" s="1" t="s">
        <v>10</v>
      </c>
      <c r="J21" s="1"/>
      <c r="K21" s="1"/>
      <c r="L21" s="1"/>
      <c r="M21" s="1"/>
      <c r="N21" s="1"/>
      <c r="O21" s="1"/>
      <c r="P21" s="1"/>
      <c r="Q21" s="1"/>
      <c r="R21" s="1"/>
      <c r="S21" s="1"/>
      <c r="T21" s="1"/>
      <c r="U21" s="1"/>
      <c r="V21" s="1"/>
      <c r="W21" s="1"/>
      <c r="X21" s="1"/>
      <c r="Y21" s="1"/>
      <c r="Z21" s="1"/>
      <c r="AA21" s="1"/>
      <c r="AB21" s="1"/>
      <c r="AC21" s="1"/>
      <c r="AD21" s="1"/>
      <c r="AE21" s="1"/>
      <c r="AF21" s="1"/>
      <c r="AG21" s="35"/>
      <c r="AH21" s="3">
        <f>COUNTA(Septiembre[[#This Row],[1]:[ ]])</f>
        <v>1</v>
      </c>
    </row>
    <row r="22" spans="2:34" ht="30" customHeight="1">
      <c r="B22" s="64" t="s">
        <v>67</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35"/>
      <c r="AH22" s="3">
        <f>COUNTA(Septiembre[[#This Row],[1]:[ ]])</f>
        <v>0</v>
      </c>
    </row>
    <row r="23" spans="2:34" ht="30" customHeight="1">
      <c r="B23" s="64" t="s">
        <v>68</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35"/>
      <c r="AH23" s="3">
        <f>COUNTA(Septiembre[[#This Row],[1]:[ ]])</f>
        <v>0</v>
      </c>
    </row>
    <row r="24" spans="2:34" ht="30" customHeight="1">
      <c r="B24" s="64" t="s">
        <v>69</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35"/>
      <c r="AH24" s="3">
        <f>COUNTA(Septiembre[[#This Row],[1]:[ ]])</f>
        <v>0</v>
      </c>
    </row>
    <row r="25" spans="2:34" ht="30" customHeight="1">
      <c r="B25" s="64" t="s">
        <v>70</v>
      </c>
      <c r="C25" s="1"/>
      <c r="D25" s="1"/>
      <c r="E25" s="1"/>
      <c r="F25" s="1" t="s">
        <v>73</v>
      </c>
      <c r="G25" s="1" t="s">
        <v>79</v>
      </c>
      <c r="H25" s="1"/>
      <c r="I25" s="1"/>
      <c r="J25" s="1"/>
      <c r="K25" s="1"/>
      <c r="L25" s="1"/>
      <c r="M25" s="1" t="s">
        <v>79</v>
      </c>
      <c r="N25" s="1" t="s">
        <v>79</v>
      </c>
      <c r="O25" s="1"/>
      <c r="P25" s="1"/>
      <c r="Q25" s="1"/>
      <c r="R25" s="1"/>
      <c r="S25" s="1"/>
      <c r="T25" s="1"/>
      <c r="U25" s="1"/>
      <c r="V25" s="1"/>
      <c r="W25" s="1"/>
      <c r="X25" s="1"/>
      <c r="Y25" s="1"/>
      <c r="Z25" s="1"/>
      <c r="AA25" s="1"/>
      <c r="AB25" s="1"/>
      <c r="AC25" s="1"/>
      <c r="AD25" s="1"/>
      <c r="AE25" s="1"/>
      <c r="AF25" s="1"/>
      <c r="AG25" s="35"/>
      <c r="AH25" s="3">
        <f>COUNTA(Septiembre[[#This Row],[1]:[ ]])</f>
        <v>4</v>
      </c>
    </row>
    <row r="26" spans="2:34" ht="30" customHeight="1">
      <c r="B26" s="64" t="s">
        <v>71</v>
      </c>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35"/>
      <c r="AH26" s="3">
        <f>COUNTA(Septiembre[[#This Row],[1]:[ ]])</f>
        <v>0</v>
      </c>
    </row>
    <row r="27" spans="2:34" ht="30" customHeight="1">
      <c r="B27" s="65" t="s">
        <v>148</v>
      </c>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35"/>
      <c r="AH27" s="3">
        <f>COUNTA(Septiembre[[#This Row],[1]:[ ]])</f>
        <v>0</v>
      </c>
    </row>
    <row r="28" spans="2:34" ht="30" customHeight="1">
      <c r="B28" s="5" t="str">
        <f>MonthName&amp;" Total"</f>
        <v>Septiembre Total</v>
      </c>
      <c r="C28" s="4">
        <f>SUBTOTAL(103,Septiembre[1])</f>
        <v>1</v>
      </c>
      <c r="D28" s="4">
        <f>SUBTOTAL(103,Septiembre[2])</f>
        <v>0</v>
      </c>
      <c r="E28" s="4">
        <f>SUBTOTAL(103,Septiembre[3])</f>
        <v>0</v>
      </c>
      <c r="F28" s="4">
        <f>SUBTOTAL(103,Septiembre[4])</f>
        <v>1</v>
      </c>
      <c r="G28" s="4">
        <f>SUBTOTAL(103,Septiembre[5])</f>
        <v>1</v>
      </c>
      <c r="H28" s="4">
        <f>SUBTOTAL(103,Septiembre[6])</f>
        <v>0</v>
      </c>
      <c r="I28" s="4">
        <f>SUBTOTAL(103,Septiembre[7])</f>
        <v>1</v>
      </c>
      <c r="J28" s="4">
        <f>SUBTOTAL(103,Septiembre[8])</f>
        <v>1</v>
      </c>
      <c r="K28" s="4">
        <f>SUBTOTAL(103,Septiembre[9])</f>
        <v>0</v>
      </c>
      <c r="L28" s="4">
        <f>SUBTOTAL(103,Septiembre[10])</f>
        <v>0</v>
      </c>
      <c r="M28" s="4">
        <f>SUBTOTAL(103,Septiembre[11])</f>
        <v>1</v>
      </c>
      <c r="N28" s="4">
        <f>SUBTOTAL(103,Septiembre[12])</f>
        <v>1</v>
      </c>
      <c r="O28" s="4">
        <f>SUBTOTAL(103,Septiembre[13])</f>
        <v>0</v>
      </c>
      <c r="P28" s="4">
        <f>SUBTOTAL(103,Septiembre[14])</f>
        <v>0</v>
      </c>
      <c r="Q28" s="4">
        <f>SUBTOTAL(103,Septiembre[15])</f>
        <v>1</v>
      </c>
      <c r="R28" s="4">
        <f>SUBTOTAL(103,Septiembre[16])</f>
        <v>0</v>
      </c>
      <c r="S28" s="4">
        <f>SUBTOTAL(103,Septiembre[17])</f>
        <v>0</v>
      </c>
      <c r="T28" s="4">
        <f>SUBTOTAL(103,Septiembre[18])</f>
        <v>0</v>
      </c>
      <c r="U28" s="4">
        <f>SUBTOTAL(103,Septiembre[19])</f>
        <v>0</v>
      </c>
      <c r="V28" s="4">
        <f>SUBTOTAL(103,Septiembre[20])</f>
        <v>0</v>
      </c>
      <c r="W28" s="4">
        <f>SUBTOTAL(103,Septiembre[21])</f>
        <v>0</v>
      </c>
      <c r="X28" s="4">
        <f>SUBTOTAL(103,Septiembre[22])</f>
        <v>0</v>
      </c>
      <c r="Y28" s="4">
        <f>SUBTOTAL(103,Septiembre[23])</f>
        <v>0</v>
      </c>
      <c r="Z28" s="4">
        <f>SUBTOTAL(103,Septiembre[24])</f>
        <v>0</v>
      </c>
      <c r="AA28" s="4">
        <f>SUBTOTAL(103,Septiembre[25])</f>
        <v>0</v>
      </c>
      <c r="AB28" s="4">
        <f>SUBTOTAL(103,Septiembre[26])</f>
        <v>0</v>
      </c>
      <c r="AC28" s="4">
        <f>SUBTOTAL(103,Septiembre[27])</f>
        <v>0</v>
      </c>
      <c r="AD28" s="4">
        <f>SUBTOTAL(103,Septiembre[28])</f>
        <v>0</v>
      </c>
      <c r="AE28" s="4">
        <f>SUBTOTAL(103,Septiembre[29])</f>
        <v>1</v>
      </c>
      <c r="AF28" s="4">
        <f>SUBTOTAL(109,Septiembre[30])</f>
        <v>0</v>
      </c>
      <c r="AG28" s="4">
        <f>SUBTOTAL(109,Septiembre[[ ]])</f>
        <v>0</v>
      </c>
      <c r="AH28" s="4">
        <f>SUBTOTAL(109,Septiembre[Total de días])</f>
        <v>9</v>
      </c>
    </row>
  </sheetData>
  <mergeCells count="7">
    <mergeCell ref="C6:AG6"/>
    <mergeCell ref="D4:F4"/>
    <mergeCell ref="H4:J4"/>
    <mergeCell ref="L4:N4"/>
    <mergeCell ref="P4:S4"/>
    <mergeCell ref="U4:X4"/>
    <mergeCell ref="Z4:AB4"/>
  </mergeCells>
  <phoneticPr fontId="34" type="noConversion"/>
  <conditionalFormatting sqref="C9:AG27">
    <cfRule type="expression" priority="1" stopIfTrue="1">
      <formula>C9=""</formula>
    </cfRule>
    <cfRule type="expression" dxfId="129" priority="2" stopIfTrue="1">
      <formula>C9=KeyCustom2</formula>
    </cfRule>
    <cfRule type="expression" dxfId="128" priority="3" stopIfTrue="1">
      <formula>C9=KeyCustom1</formula>
    </cfRule>
    <cfRule type="expression" dxfId="127" priority="4" stopIfTrue="1">
      <formula>C9=KeySick</formula>
    </cfRule>
    <cfRule type="expression" dxfId="126" priority="5" stopIfTrue="1">
      <formula>C9=KeyPersonal</formula>
    </cfRule>
    <cfRule type="expression" dxfId="125" priority="6" stopIfTrue="1">
      <formula>C9=KeyVacation</formula>
    </cfRule>
  </conditionalFormatting>
  <conditionalFormatting sqref="AH9:AH27">
    <cfRule type="dataBar" priority="302">
      <dataBar>
        <cfvo type="min"/>
        <cfvo type="formula" val="DATEDIF(DATE(CalendarYear,2,1),DATE(CalendarYear,3,1),&quot;d&quot;)"/>
        <color theme="2" tint="-0.249977111117893"/>
      </dataBar>
      <extLst>
        <ext xmlns:x14="http://schemas.microsoft.com/office/spreadsheetml/2009/9/main" uri="{B025F937-C7B1-47D3-B67F-A62EFF666E3E}">
          <x14:id>{1A021984-06A1-41D9-90D2-8C16E885020B}</x14:id>
        </ext>
      </extLst>
    </cfRule>
  </conditionalFormatting>
  <dataValidations count="15">
    <dataValidation allowBlank="1" showInputMessage="1" showErrorMessage="1" prompt="Los días del mes se generan automáticamente en esta fila. Especifique la ausencia del empleado y el tipo en cada columna para cada día del mes. En blanco significa que no hay ninguna ausencia" sqref="C8" xr:uid="{9DDE2A21-51EA-3649-A2EE-B04BD18F4ABA}"/>
    <dataValidation allowBlank="1" showInputMessage="1" showErrorMessage="1" prompt="El nombre del mes de este plan de ausencias está en esta celda. Los totales de las ausencias para este mes aparecen en la última celda de la tabla. Seleccione los nombres de los empleados en la columna B de la tabla" sqref="B2" xr:uid="{00000000-0002-0000-0800-000001000000}"/>
    <dataValidation allowBlank="1" showInputMessage="1" showErrorMessage="1" prompt="Escriba una letra y personalice la etiqueta de la derecha para agregar otro elemento clave." sqref="O4 T4" xr:uid="{F37F36BD-60DD-4612-B83A-ACA5F68DCC7B}"/>
    <dataValidation allowBlank="1" showInputMessage="1" showErrorMessage="1" prompt="La letra “E” indica una ausencia por enfermedad" sqref="K4" xr:uid="{1BE54DEF-C887-4867-B4E2-E0524FF4BDAC}"/>
    <dataValidation allowBlank="1" showInputMessage="1" showErrorMessage="1" prompt="La letra “P” indica una ausencia por motivos personales" sqref="G4" xr:uid="{F295E7BB-077E-4A89-AE5A-C8F5D11C6717}"/>
    <dataValidation allowBlank="1" showInputMessage="1" showErrorMessage="1" prompt="La letra “V” indica una ausencia por vacaciones" sqref="C4" xr:uid="{E3FE5436-AC1A-4DEC-B6E4-3F896B119F6B}"/>
    <dataValidation allowBlank="1" showInputMessage="1" showErrorMessage="1" prompt="El título se actualiza automáticamente en esta celda. Para modificarlo, actualice la celda B1 en la hoja de cálculo de enero" sqref="B2" xr:uid="{00000000-0002-0000-0800-000008000000}"/>
    <dataValidation errorStyle="warning" allowBlank="1" showInputMessage="1" showErrorMessage="1" error="Seleccione un nombre de la lista. Seleccione CANCELAR y, después, ALT+FLECHA ABAJO y ENTRAR para seleccionar un nombre" prompt="Escriba los nombres de los empleados en la hoja de cálculo Nombres de empleados y, después, seleccione uno de los nombres de la lista de esta columna. Presione ALT+FLECHA ABAJO y ENTRAR para seleccionar un nombre" sqref="B8" xr:uid="{C813148F-9330-314A-8F3F-150F6150691C}"/>
    <dataValidation allowBlank="1" showInputMessage="1" showErrorMessage="1" prompt="Realice un seguimiento de las ausencias de septiembre en esta hoja de cálculo." sqref="A1" xr:uid="{00000000-0002-0000-0800-00000A000000}"/>
    <dataValidation allowBlank="1" showInputMessage="1" showErrorMessage="1" prompt="Cálculo automático del número total de días que un empleado ha estado ausente este mes en esta columna" sqref="AH8" xr:uid="{5C77DC9E-A1AE-7C41-B518-6426DAF8D1EE}"/>
    <dataValidation allowBlank="1" showInputMessage="1" showErrorMessage="1" prompt="Año actualizado automáticamente en función del año introducido en la hoja de cálculo de enero" sqref="AH6" xr:uid="{075296AD-6F4A-1446-94E5-CA2E94C7BFCE}"/>
    <dataValidation allowBlank="1" showInputMessage="1" showErrorMessage="1" prompt="Los días laborables en esta fila se actualizan automáticamente durante el mes según el año en AH4. Cada día del mes es una columna para indicar la ausencia del empleado y el tipo de ausencia" sqref="C7" xr:uid="{D85777C8-14EB-B748-8BBD-8B9BF124E384}"/>
    <dataValidation allowBlank="1" showInputMessage="1" showErrorMessage="1" prompt="Esta fila define las claves que se usan en la tabla: la celda C4 es para vacaciones, la celda G4 es para asuntos personales y la celda K4 es baja por enfermedad. Las celdas N4 y R4 se pueden personalizar" sqref="B4" xr:uid="{258809B3-02AD-47F3-A0C7-61BAF9DAB51A}"/>
    <dataValidation allowBlank="1" showInputMessage="1" showErrorMessage="1" prompt="Esta celda contiene el título de la hoja de cálculo. " sqref="B1" xr:uid="{EDB7A32F-2F43-4B5F-BF9B-69D720D668DD}"/>
    <dataValidation allowBlank="1" showInputMessage="1" showErrorMessage="1" prompt="Escriba una etiqueta para describir la clave personalizada de la izquierda" sqref="U4 P4" xr:uid="{38B38FD0-8B84-4755-BB3E-B2A50AB8146C}"/>
  </dataValidations>
  <pageMargins left="0.7" right="0.7" top="0.75" bottom="0.75" header="0.3" footer="0.3"/>
  <pageSetup paperSize="9" fitToHeight="0" orientation="portrait" verticalDpi="4294967293"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1A021984-06A1-41D9-90D2-8C16E885020B}">
            <x14:dataBar minLength="0" maxLength="100">
              <x14:cfvo type="autoMin"/>
              <x14:cfvo type="formula">
                <xm:f>DATEDIF(DATE(CalendarYear,2,1),DATE(CalendarYear,3,1),"d")</xm:f>
              </x14:cfvo>
              <x14:negativeFillColor rgb="FFFF0000"/>
              <x14:axisColor rgb="FF000000"/>
            </x14:dataBar>
          </x14:cfRule>
          <xm:sqref>AH9:AH27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E000000}">
          <x14:formula1>
            <xm:f>'Nombres de los empleados'!$B$5:$B$9</xm:f>
          </x14:formula1>
          <xm:sqref>B10:B12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Props1.xml><?xml version="1.0" encoding="utf-8"?>
<ds:datastoreItem xmlns:ds="http://schemas.openxmlformats.org/officeDocument/2006/customXml" ds:itemID="{07D05670-3C2E-4910-93A4-3F46AB1A1C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1DB48D-B39A-4027-AC09-EC0D149B5064}">
  <ds:schemaRefs>
    <ds:schemaRef ds:uri="http://schemas.microsoft.com/sharepoint/v3/contenttype/forms"/>
  </ds:schemaRefs>
</ds:datastoreItem>
</file>

<file path=customXml/itemProps3.xml><?xml version="1.0" encoding="utf-8"?>
<ds:datastoreItem xmlns:ds="http://schemas.openxmlformats.org/officeDocument/2006/customXml" ds:itemID="{CF416EBA-1ECE-4253-8F5F-379C4C21BCA1}">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TM03987167</Template>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126</vt:i4>
      </vt:variant>
    </vt:vector>
  </HeadingPairs>
  <TitlesOfParts>
    <vt:vector size="143" baseType="lpstr">
      <vt:lpstr>Enero</vt:lpstr>
      <vt:lpstr>Febrero</vt:lpstr>
      <vt:lpstr>Marzo</vt:lpstr>
      <vt:lpstr>Abril</vt:lpstr>
      <vt:lpstr>Mayo</vt:lpstr>
      <vt:lpstr>Junio</vt:lpstr>
      <vt:lpstr>Julio</vt:lpstr>
      <vt:lpstr>Agosto</vt:lpstr>
      <vt:lpstr>Septiembre</vt:lpstr>
      <vt:lpstr>Octubre</vt:lpstr>
      <vt:lpstr>Noviembre</vt:lpstr>
      <vt:lpstr>Diciembre</vt:lpstr>
      <vt:lpstr>Enero (2024)</vt:lpstr>
      <vt:lpstr>Febrero (2024)</vt:lpstr>
      <vt:lpstr>Marzo (2024)</vt:lpstr>
      <vt:lpstr>Nombres de los empleados</vt:lpstr>
      <vt:lpstr>Información</vt:lpstr>
      <vt:lpstr>'Enero (2024)'!CalendarYear</vt:lpstr>
      <vt:lpstr>'Febrero (2024)'!CalendarYear</vt:lpstr>
      <vt:lpstr>CalendarYear</vt:lpstr>
      <vt:lpstr>'Enero (2024)'!ColumnTitle13</vt:lpstr>
      <vt:lpstr>'Febrero (2024)'!ColumnTitle13</vt:lpstr>
      <vt:lpstr>'Marzo (2024)'!ColumnTitle13</vt:lpstr>
      <vt:lpstr>ColumnTitle13</vt:lpstr>
      <vt:lpstr>'Enero (2024)'!Employee_Absence_Title</vt:lpstr>
      <vt:lpstr>'Febrero (2024)'!Employee_Absence_Title</vt:lpstr>
      <vt:lpstr>Employee_Absence_Title</vt:lpstr>
      <vt:lpstr>fEBREOR</vt:lpstr>
      <vt:lpstr>JJ</vt:lpstr>
      <vt:lpstr>K</vt:lpstr>
      <vt:lpstr>'Enero (2024)'!Key_name</vt:lpstr>
      <vt:lpstr>'Febrero (2024)'!Key_name</vt:lpstr>
      <vt:lpstr>Key_name</vt:lpstr>
      <vt:lpstr>'Enero (2024)'!KeyCustom1</vt:lpstr>
      <vt:lpstr>'Febrero (2024)'!KeyCustom1</vt:lpstr>
      <vt:lpstr>KeyCustom1</vt:lpstr>
      <vt:lpstr>'Enero (2024)'!KeyCustom1Label</vt:lpstr>
      <vt:lpstr>'Febrero (2024)'!KeyCustom1Label</vt:lpstr>
      <vt:lpstr>KeyCustom1Label</vt:lpstr>
      <vt:lpstr>'Enero (2024)'!KeyCustom2</vt:lpstr>
      <vt:lpstr>'Febrero (2024)'!KeyCustom2</vt:lpstr>
      <vt:lpstr>KeyCustom2</vt:lpstr>
      <vt:lpstr>'Enero (2024)'!KeyCustom2Label</vt:lpstr>
      <vt:lpstr>'Febrero (2024)'!KeyCustom2Label</vt:lpstr>
      <vt:lpstr>KeyCustom2Label</vt:lpstr>
      <vt:lpstr>'Enero (2024)'!KeyPersonal</vt:lpstr>
      <vt:lpstr>'Febrero (2024)'!KeyPersonal</vt:lpstr>
      <vt:lpstr>KeyPersonal</vt:lpstr>
      <vt:lpstr>'Enero (2024)'!KeyPersonalLabel</vt:lpstr>
      <vt:lpstr>'Febrero (2024)'!KeyPersonalLabel</vt:lpstr>
      <vt:lpstr>KeyPersonalLabel</vt:lpstr>
      <vt:lpstr>'Enero (2024)'!KeySick</vt:lpstr>
      <vt:lpstr>'Febrero (2024)'!KeySick</vt:lpstr>
      <vt:lpstr>KeySick</vt:lpstr>
      <vt:lpstr>'Enero (2024)'!KeySickLabel</vt:lpstr>
      <vt:lpstr>'Febrero (2024)'!KeySickLabel</vt:lpstr>
      <vt:lpstr>KeySickLabel</vt:lpstr>
      <vt:lpstr>'Enero (2024)'!KeyVacation</vt:lpstr>
      <vt:lpstr>'Febrero (2024)'!KeyVacation</vt:lpstr>
      <vt:lpstr>KeyVacation</vt:lpstr>
      <vt:lpstr>'Enero (2024)'!KeyVacationLabel</vt:lpstr>
      <vt:lpstr>'Febrero (2024)'!KeyVacationLabel</vt:lpstr>
      <vt:lpstr>KeyVacationLabel</vt:lpstr>
      <vt:lpstr>Keyysick</vt:lpstr>
      <vt:lpstr>M</vt:lpstr>
      <vt:lpstr>Abril!MonthName</vt:lpstr>
      <vt:lpstr>Agosto!MonthName</vt:lpstr>
      <vt:lpstr>Diciembre!MonthName</vt:lpstr>
      <vt:lpstr>Enero!MonthName</vt:lpstr>
      <vt:lpstr>'Enero (2024)'!MonthName</vt:lpstr>
      <vt:lpstr>'Febrero'!MonthName</vt:lpstr>
      <vt:lpstr>'Febrero (2024)'!MonthName</vt:lpstr>
      <vt:lpstr>Julio!MonthName</vt:lpstr>
      <vt:lpstr>Junio!MonthName</vt:lpstr>
      <vt:lpstr>Marzo!MonthName</vt:lpstr>
      <vt:lpstr>'Marzo (2024)'!MonthName</vt:lpstr>
      <vt:lpstr>Mayo!MonthName</vt:lpstr>
      <vt:lpstr>Noviembre!MonthName</vt:lpstr>
      <vt:lpstr>Octubre!MonthName</vt:lpstr>
      <vt:lpstr>Septiembre!MonthName</vt:lpstr>
      <vt:lpstr>'Enero (2024)'!Title1</vt:lpstr>
      <vt:lpstr>'Febrero (2024)'!Title1</vt:lpstr>
      <vt:lpstr>'Marzo (2024)'!Title1</vt:lpstr>
      <vt:lpstr>Title1</vt:lpstr>
      <vt:lpstr>'Enero (2024)'!Title10</vt:lpstr>
      <vt:lpstr>'Febrero (2024)'!Title10</vt:lpstr>
      <vt:lpstr>'Marzo (2024)'!Title10</vt:lpstr>
      <vt:lpstr>Title10</vt:lpstr>
      <vt:lpstr>'Enero (2024)'!Title11</vt:lpstr>
      <vt:lpstr>'Febrero (2024)'!Title11</vt:lpstr>
      <vt:lpstr>'Marzo (2024)'!Title11</vt:lpstr>
      <vt:lpstr>Title11</vt:lpstr>
      <vt:lpstr>'Enero (2024)'!Title12</vt:lpstr>
      <vt:lpstr>'Febrero (2024)'!Title12</vt:lpstr>
      <vt:lpstr>'Marzo (2024)'!Title12</vt:lpstr>
      <vt:lpstr>Title12</vt:lpstr>
      <vt:lpstr>'Enero (2024)'!Title2</vt:lpstr>
      <vt:lpstr>'Febrero (2024)'!Title2</vt:lpstr>
      <vt:lpstr>'Marzo (2024)'!Title2</vt:lpstr>
      <vt:lpstr>Title2</vt:lpstr>
      <vt:lpstr>'Enero (2024)'!Title3</vt:lpstr>
      <vt:lpstr>'Febrero (2024)'!Title3</vt:lpstr>
      <vt:lpstr>'Marzo (2024)'!Title3</vt:lpstr>
      <vt:lpstr>Title3</vt:lpstr>
      <vt:lpstr>'Enero (2024)'!Title4</vt:lpstr>
      <vt:lpstr>'Febrero (2024)'!Title4</vt:lpstr>
      <vt:lpstr>'Marzo (2024)'!Title4</vt:lpstr>
      <vt:lpstr>Title4</vt:lpstr>
      <vt:lpstr>'Enero (2024)'!Title5</vt:lpstr>
      <vt:lpstr>'Febrero (2024)'!Title5</vt:lpstr>
      <vt:lpstr>'Marzo (2024)'!Title5</vt:lpstr>
      <vt:lpstr>Title5</vt:lpstr>
      <vt:lpstr>'Enero (2024)'!Title6</vt:lpstr>
      <vt:lpstr>'Febrero (2024)'!Title6</vt:lpstr>
      <vt:lpstr>'Marzo (2024)'!Title6</vt:lpstr>
      <vt:lpstr>Title6</vt:lpstr>
      <vt:lpstr>'Enero (2024)'!Title7</vt:lpstr>
      <vt:lpstr>'Febrero (2024)'!Title7</vt:lpstr>
      <vt:lpstr>'Marzo (2024)'!Title7</vt:lpstr>
      <vt:lpstr>Title7</vt:lpstr>
      <vt:lpstr>'Enero (2024)'!Title8</vt:lpstr>
      <vt:lpstr>'Febrero (2024)'!Title8</vt:lpstr>
      <vt:lpstr>'Marzo (2024)'!Title8</vt:lpstr>
      <vt:lpstr>Title8</vt:lpstr>
      <vt:lpstr>'Enero (2024)'!Title9</vt:lpstr>
      <vt:lpstr>'Febrero (2024)'!Title9</vt:lpstr>
      <vt:lpstr>'Marzo (2024)'!Title9</vt:lpstr>
      <vt:lpstr>Title9</vt:lpstr>
      <vt:lpstr>Abril!Títulos_a_imprimir</vt:lpstr>
      <vt:lpstr>Agosto!Títulos_a_imprimir</vt:lpstr>
      <vt:lpstr>Diciembre!Títulos_a_imprimir</vt:lpstr>
      <vt:lpstr>Enero!Títulos_a_imprimir</vt:lpstr>
      <vt:lpstr>'Enero (2024)'!Títulos_a_imprimir</vt:lpstr>
      <vt:lpstr>'Febrero'!Títulos_a_imprimir</vt:lpstr>
      <vt:lpstr>'Febrero (2024)'!Títulos_a_imprimir</vt:lpstr>
      <vt:lpstr>Julio!Títulos_a_imprimir</vt:lpstr>
      <vt:lpstr>Junio!Títulos_a_imprimir</vt:lpstr>
      <vt:lpstr>Marzo!Títulos_a_imprimir</vt:lpstr>
      <vt:lpstr>'Marzo (2024)'!Títulos_a_imprimir</vt:lpstr>
      <vt:lpstr>Mayo!Títulos_a_imprimir</vt:lpstr>
      <vt:lpstr>Noviembre!Títulos_a_imprimir</vt:lpstr>
      <vt:lpstr>Octubre!Títulos_a_imprimir</vt:lpstr>
      <vt:lpstr>Septiembre!Títulos_a_imprimir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2023-01-31T06:59:27Z</dcterms:created>
  <dcterms:modified xsi:type="dcterms:W3CDTF">2024-03-14T19:38:35Z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