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omments4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Ecofill\Apendices\"/>
    </mc:Choice>
  </mc:AlternateContent>
  <xr:revisionPtr revIDLastSave="0" documentId="13_ncr:1_{A1E34D53-7A47-41AF-894F-8705162B79F2}" xr6:coauthVersionLast="47" xr6:coauthVersionMax="47" xr10:uidLastSave="{00000000-0000-0000-0000-000000000000}"/>
  <bookViews>
    <workbookView xWindow="-120" yWindow="-120" windowWidth="20730" windowHeight="11760" firstSheet="9" activeTab="12" xr2:uid="{3C8EFE3D-D786-4AE3-B03D-C9322EB861F1}"/>
  </bookViews>
  <sheets>
    <sheet name="Estado de Resultados " sheetId="3" state="hidden" r:id="rId1"/>
    <sheet name="Estado resul corregido" sheetId="18" r:id="rId2"/>
    <sheet name="flujo de caja" sheetId="12" r:id="rId3"/>
    <sheet name="Market Share " sheetId="16" r:id="rId4"/>
    <sheet name="Costos " sheetId="1" r:id="rId5"/>
    <sheet name="Depreciaciones" sheetId="6" r:id="rId6"/>
    <sheet name="Estado de Situacion Financiera " sheetId="10" r:id="rId7"/>
    <sheet name="Tabla depreciaciones" sheetId="14" r:id="rId8"/>
    <sheet name="GO,CT,PV" sheetId="11" r:id="rId9"/>
    <sheet name="GV, GAD,INV,GCP,INSU,PRORRATEO" sheetId="7" r:id="rId10"/>
    <sheet name="Punto de Equilibrio" sheetId="9" r:id="rId11"/>
    <sheet name="Indicadores Financieros " sheetId="17" r:id="rId12"/>
    <sheet name="WACC" sheetId="21" r:id="rId13"/>
    <sheet name="VPN TIR " sheetId="19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6" l="1"/>
  <c r="D53" i="19"/>
  <c r="D32" i="19"/>
  <c r="C16" i="21"/>
  <c r="D5" i="21"/>
  <c r="D4" i="21"/>
  <c r="C5" i="21"/>
  <c r="G5" i="21" s="1"/>
  <c r="C4" i="21"/>
  <c r="C8" i="21" l="1"/>
  <c r="G4" i="21"/>
  <c r="G8" i="21" s="1"/>
  <c r="G9" i="21" s="1"/>
  <c r="G10" i="21" s="1"/>
  <c r="B5" i="19" l="1"/>
  <c r="B25" i="19" s="1"/>
  <c r="B44" i="19" s="1"/>
  <c r="D13" i="19"/>
  <c r="D33" i="19" s="1"/>
  <c r="C13" i="7"/>
  <c r="I24" i="1"/>
  <c r="I34" i="1" s="1"/>
  <c r="J75" i="11"/>
  <c r="C28" i="12"/>
  <c r="H15" i="18" l="1"/>
  <c r="G32" i="12" s="1"/>
  <c r="D15" i="18"/>
  <c r="C32" i="12" s="1"/>
  <c r="C56" i="1"/>
  <c r="C57" i="1"/>
  <c r="C58" i="1" s="1"/>
  <c r="D56" i="1"/>
  <c r="D57" i="1"/>
  <c r="G15" i="18" s="1"/>
  <c r="F32" i="12" s="1"/>
  <c r="D58" i="1"/>
  <c r="D55" i="1"/>
  <c r="C55" i="1" s="1"/>
  <c r="E58" i="1"/>
  <c r="D47" i="10" l="1"/>
  <c r="E47" i="10"/>
  <c r="F47" i="10"/>
  <c r="G47" i="10"/>
  <c r="C47" i="10"/>
  <c r="C51" i="10"/>
  <c r="I30" i="1"/>
  <c r="C4" i="7"/>
  <c r="I25" i="1"/>
  <c r="G51" i="10"/>
  <c r="D10" i="16" l="1"/>
  <c r="E10" i="16"/>
  <c r="C10" i="16"/>
  <c r="F9" i="16"/>
  <c r="E8" i="16"/>
  <c r="D8" i="16"/>
  <c r="C8" i="16"/>
  <c r="E7" i="16"/>
  <c r="D7" i="16"/>
  <c r="C7" i="16"/>
  <c r="E6" i="16"/>
  <c r="D6" i="16"/>
  <c r="C6" i="16"/>
  <c r="E5" i="16"/>
  <c r="D5" i="16"/>
  <c r="C5" i="16"/>
  <c r="K75" i="11" l="1"/>
  <c r="L75" i="11" s="1"/>
  <c r="M75" i="11" s="1"/>
  <c r="N75" i="11" s="1"/>
  <c r="D36" i="3"/>
  <c r="E36" i="3" s="1"/>
  <c r="F36" i="3" s="1"/>
  <c r="G36" i="3" s="1"/>
  <c r="H36" i="3" s="1"/>
  <c r="C5" i="9"/>
  <c r="D76" i="11"/>
  <c r="K67" i="14"/>
  <c r="K66" i="14"/>
  <c r="K65" i="14"/>
  <c r="K64" i="14"/>
  <c r="G27" i="12"/>
  <c r="G29" i="12" s="1"/>
  <c r="D51" i="10"/>
  <c r="D27" i="12" s="1"/>
  <c r="D29" i="12" s="1"/>
  <c r="E51" i="10"/>
  <c r="E27" i="12" s="1"/>
  <c r="E29" i="12" s="1"/>
  <c r="F51" i="10"/>
  <c r="F27" i="12" s="1"/>
  <c r="F29" i="12" s="1"/>
  <c r="B41" i="3"/>
  <c r="D45" i="7"/>
  <c r="E76" i="11" l="1"/>
  <c r="F76" i="11" s="1"/>
  <c r="G76" i="11" s="1"/>
  <c r="C27" i="12"/>
  <c r="C57" i="7"/>
  <c r="C56" i="7"/>
  <c r="I4" i="1"/>
  <c r="I5" i="1" s="1"/>
  <c r="I6" i="1" s="1"/>
  <c r="O16" i="11"/>
  <c r="E19" i="16"/>
  <c r="F15" i="16" s="1"/>
  <c r="F16" i="16" s="1"/>
  <c r="O37" i="11"/>
  <c r="P37" i="11" s="1"/>
  <c r="T17" i="11"/>
  <c r="G19" i="3"/>
  <c r="H19" i="3"/>
  <c r="O45" i="11" l="1"/>
  <c r="P45" i="11" s="1"/>
  <c r="R45" i="11" s="1"/>
  <c r="O39" i="11"/>
  <c r="P39" i="11" s="1"/>
  <c r="R39" i="11" s="1"/>
  <c r="O44" i="11"/>
  <c r="P44" i="11" s="1"/>
  <c r="S44" i="11" s="1"/>
  <c r="O43" i="11"/>
  <c r="P43" i="11" s="1"/>
  <c r="S43" i="11" s="1"/>
  <c r="C58" i="7"/>
  <c r="E15" i="16"/>
  <c r="D15" i="16"/>
  <c r="D16" i="16" s="1"/>
  <c r="C15" i="16"/>
  <c r="C16" i="16" s="1"/>
  <c r="B15" i="16"/>
  <c r="B16" i="16" s="1"/>
  <c r="R44" i="11"/>
  <c r="O40" i="11"/>
  <c r="P40" i="11" s="1"/>
  <c r="O41" i="11"/>
  <c r="P41" i="11" s="1"/>
  <c r="C28" i="10"/>
  <c r="C29" i="10"/>
  <c r="C23" i="10"/>
  <c r="C24" i="10"/>
  <c r="C18" i="10"/>
  <c r="C19" i="10"/>
  <c r="C14" i="10"/>
  <c r="C13" i="10"/>
  <c r="R43" i="11" l="1"/>
  <c r="S45" i="11"/>
  <c r="S39" i="11"/>
  <c r="S41" i="11"/>
  <c r="R41" i="11"/>
  <c r="S40" i="11"/>
  <c r="R40" i="11"/>
  <c r="F33" i="14"/>
  <c r="G33" i="14"/>
  <c r="H33" i="14"/>
  <c r="I33" i="14"/>
  <c r="J33" i="14"/>
  <c r="K33" i="14"/>
  <c r="L33" i="14"/>
  <c r="M33" i="14"/>
  <c r="N33" i="14"/>
  <c r="O33" i="14"/>
  <c r="P33" i="14"/>
  <c r="E33" i="14"/>
  <c r="C19" i="7" l="1"/>
  <c r="C6" i="14" s="1"/>
  <c r="C90" i="7"/>
  <c r="I32" i="1"/>
  <c r="I31" i="1"/>
  <c r="B39" i="14"/>
  <c r="B38" i="14"/>
  <c r="B49" i="14" s="1"/>
  <c r="B37" i="14"/>
  <c r="B48" i="14" s="1"/>
  <c r="B36" i="14"/>
  <c r="B47" i="14" s="1"/>
  <c r="P44" i="14"/>
  <c r="O44" i="14"/>
  <c r="N44" i="14"/>
  <c r="M44" i="14"/>
  <c r="L44" i="14"/>
  <c r="K44" i="14"/>
  <c r="J44" i="14"/>
  <c r="I44" i="14"/>
  <c r="H44" i="14"/>
  <c r="G44" i="14"/>
  <c r="F44" i="14"/>
  <c r="E44" i="14"/>
  <c r="B27" i="14"/>
  <c r="B22" i="14"/>
  <c r="B17" i="14"/>
  <c r="E90" i="7" l="1"/>
  <c r="F90" i="7" s="1"/>
  <c r="C101" i="7" s="1"/>
  <c r="G101" i="7" s="1"/>
  <c r="C5" i="14"/>
  <c r="BG22" i="14" s="1"/>
  <c r="BG23" i="14" s="1"/>
  <c r="BH27" i="14"/>
  <c r="BH28" i="14" s="1"/>
  <c r="AZ27" i="14"/>
  <c r="AZ28" i="14" s="1"/>
  <c r="AI27" i="14"/>
  <c r="AI28" i="14" s="1"/>
  <c r="S27" i="14"/>
  <c r="S28" i="14" s="1"/>
  <c r="Z27" i="14"/>
  <c r="Z28" i="14" s="1"/>
  <c r="AY27" i="14"/>
  <c r="AY28" i="14" s="1"/>
  <c r="AH27" i="14"/>
  <c r="AH28" i="14" s="1"/>
  <c r="R27" i="14"/>
  <c r="R28" i="14" s="1"/>
  <c r="AP27" i="14"/>
  <c r="AP28" i="14" s="1"/>
  <c r="J27" i="14"/>
  <c r="J28" i="14" s="1"/>
  <c r="F27" i="14"/>
  <c r="AX27" i="14"/>
  <c r="AX28" i="14" s="1"/>
  <c r="AD27" i="14"/>
  <c r="AD28" i="14" s="1"/>
  <c r="N27" i="14"/>
  <c r="N28" i="14" s="1"/>
  <c r="BG27" i="14"/>
  <c r="BG28" i="14" s="1"/>
  <c r="V27" i="14"/>
  <c r="V28" i="14" s="1"/>
  <c r="T27" i="14"/>
  <c r="T28" i="14" s="1"/>
  <c r="AR27" i="14"/>
  <c r="AR28" i="14" s="1"/>
  <c r="AB27" i="14"/>
  <c r="AB28" i="14" s="1"/>
  <c r="L27" i="14"/>
  <c r="L28" i="14" s="1"/>
  <c r="AL27" i="14"/>
  <c r="AL28" i="14" s="1"/>
  <c r="AQ27" i="14"/>
  <c r="AQ28" i="14" s="1"/>
  <c r="AA27" i="14"/>
  <c r="AA28" i="14" s="1"/>
  <c r="K27" i="14"/>
  <c r="K28" i="14" s="1"/>
  <c r="BF27" i="14"/>
  <c r="BF28" i="14" s="1"/>
  <c r="AJ27" i="14"/>
  <c r="AJ28" i="14" s="1"/>
  <c r="E27" i="14"/>
  <c r="M27" i="14"/>
  <c r="M28" i="14" s="1"/>
  <c r="U27" i="14"/>
  <c r="U28" i="14" s="1"/>
  <c r="AC27" i="14"/>
  <c r="AC28" i="14" s="1"/>
  <c r="AK27" i="14"/>
  <c r="AK28" i="14" s="1"/>
  <c r="AS27" i="14"/>
  <c r="AS28" i="14" s="1"/>
  <c r="BA27" i="14"/>
  <c r="BA28" i="14" s="1"/>
  <c r="BI27" i="14"/>
  <c r="BI28" i="14" s="1"/>
  <c r="AT27" i="14"/>
  <c r="AT28" i="14" s="1"/>
  <c r="BJ27" i="14"/>
  <c r="BJ28" i="14" s="1"/>
  <c r="O27" i="14"/>
  <c r="O28" i="14" s="1"/>
  <c r="AE27" i="14"/>
  <c r="AE28" i="14" s="1"/>
  <c r="AM27" i="14"/>
  <c r="AM28" i="14" s="1"/>
  <c r="BC27" i="14"/>
  <c r="BC28" i="14" s="1"/>
  <c r="BK27" i="14"/>
  <c r="BK28" i="14" s="1"/>
  <c r="H27" i="14"/>
  <c r="P27" i="14"/>
  <c r="P28" i="14" s="1"/>
  <c r="X27" i="14"/>
  <c r="X28" i="14" s="1"/>
  <c r="AF27" i="14"/>
  <c r="AF28" i="14" s="1"/>
  <c r="AN27" i="14"/>
  <c r="AN28" i="14" s="1"/>
  <c r="AV27" i="14"/>
  <c r="AV28" i="14" s="1"/>
  <c r="BD27" i="14"/>
  <c r="BD28" i="14" s="1"/>
  <c r="BL27" i="14"/>
  <c r="BL28" i="14" s="1"/>
  <c r="BB27" i="14"/>
  <c r="BB28" i="14" s="1"/>
  <c r="G27" i="14"/>
  <c r="W27" i="14"/>
  <c r="W28" i="14" s="1"/>
  <c r="AU27" i="14"/>
  <c r="AU28" i="14" s="1"/>
  <c r="I27" i="14"/>
  <c r="G27" i="10" s="1"/>
  <c r="Q27" i="14"/>
  <c r="Q28" i="14" s="1"/>
  <c r="Y27" i="14"/>
  <c r="Y28" i="14" s="1"/>
  <c r="AG27" i="14"/>
  <c r="AG28" i="14" s="1"/>
  <c r="AO27" i="14"/>
  <c r="AO28" i="14" s="1"/>
  <c r="AW27" i="14"/>
  <c r="AW28" i="14" s="1"/>
  <c r="BE27" i="14"/>
  <c r="BE28" i="14" s="1"/>
  <c r="BM27" i="14"/>
  <c r="BM28" i="14" s="1"/>
  <c r="C39" i="14"/>
  <c r="E39" i="14" s="1"/>
  <c r="F39" i="14" s="1"/>
  <c r="G39" i="14" s="1"/>
  <c r="H39" i="14" s="1"/>
  <c r="I39" i="14" s="1"/>
  <c r="J39" i="14" s="1"/>
  <c r="K39" i="14" s="1"/>
  <c r="L39" i="14" s="1"/>
  <c r="M39" i="14" s="1"/>
  <c r="N39" i="14" s="1"/>
  <c r="O39" i="14" s="1"/>
  <c r="P39" i="14" s="1"/>
  <c r="BC22" i="14" l="1"/>
  <c r="BC23" i="14" s="1"/>
  <c r="BB22" i="14"/>
  <c r="BB23" i="14" s="1"/>
  <c r="AS22" i="14"/>
  <c r="AS23" i="14" s="1"/>
  <c r="K22" i="14"/>
  <c r="K23" i="14" s="1"/>
  <c r="AZ22" i="14"/>
  <c r="AZ23" i="14" s="1"/>
  <c r="Q22" i="14"/>
  <c r="Q23" i="14" s="1"/>
  <c r="AN22" i="14"/>
  <c r="AN23" i="14" s="1"/>
  <c r="BF22" i="14"/>
  <c r="BF23" i="14" s="1"/>
  <c r="AF22" i="14"/>
  <c r="AF23" i="14" s="1"/>
  <c r="AT22" i="14"/>
  <c r="AT23" i="14" s="1"/>
  <c r="AX22" i="14"/>
  <c r="AX23" i="14" s="1"/>
  <c r="X22" i="14"/>
  <c r="X23" i="14" s="1"/>
  <c r="AD22" i="14"/>
  <c r="AD23" i="14" s="1"/>
  <c r="AY22" i="14"/>
  <c r="AY23" i="14" s="1"/>
  <c r="AP22" i="14"/>
  <c r="AP23" i="14" s="1"/>
  <c r="BE22" i="14"/>
  <c r="BE23" i="14" s="1"/>
  <c r="V22" i="14"/>
  <c r="V23" i="14" s="1"/>
  <c r="P22" i="14"/>
  <c r="P23" i="14" s="1"/>
  <c r="AE22" i="14"/>
  <c r="AE23" i="14" s="1"/>
  <c r="F22" i="14"/>
  <c r="D22" i="10" s="1"/>
  <c r="U22" i="14"/>
  <c r="U23" i="14" s="1"/>
  <c r="L22" i="14"/>
  <c r="L23" i="14" s="1"/>
  <c r="AJ22" i="14"/>
  <c r="AJ23" i="14" s="1"/>
  <c r="AU22" i="14"/>
  <c r="AU23" i="14" s="1"/>
  <c r="BM22" i="14"/>
  <c r="BM23" i="14" s="1"/>
  <c r="AM22" i="14"/>
  <c r="AM23" i="14" s="1"/>
  <c r="AC22" i="14"/>
  <c r="AC23" i="14" s="1"/>
  <c r="T22" i="14"/>
  <c r="T23" i="14" s="1"/>
  <c r="AQ22" i="14"/>
  <c r="AQ23" i="14" s="1"/>
  <c r="AW22" i="14"/>
  <c r="AW23" i="14" s="1"/>
  <c r="AR22" i="14"/>
  <c r="AR23" i="14" s="1"/>
  <c r="W22" i="14"/>
  <c r="W23" i="14" s="1"/>
  <c r="M22" i="14"/>
  <c r="M23" i="14" s="1"/>
  <c r="O22" i="14"/>
  <c r="O23" i="14" s="1"/>
  <c r="I22" i="14"/>
  <c r="I23" i="14" s="1"/>
  <c r="G23" i="10" s="1"/>
  <c r="AL22" i="14"/>
  <c r="AL23" i="14" s="1"/>
  <c r="AH22" i="14"/>
  <c r="AH23" i="14" s="1"/>
  <c r="H22" i="14"/>
  <c r="H23" i="14" s="1"/>
  <c r="F23" i="10" s="1"/>
  <c r="BH22" i="14"/>
  <c r="BH23" i="14" s="1"/>
  <c r="F101" i="7"/>
  <c r="AI22" i="14"/>
  <c r="AI23" i="14" s="1"/>
  <c r="Z22" i="14"/>
  <c r="Z23" i="14" s="1"/>
  <c r="AO22" i="14"/>
  <c r="AO23" i="14" s="1"/>
  <c r="BL22" i="14"/>
  <c r="BL23" i="14" s="1"/>
  <c r="N22" i="14"/>
  <c r="N23" i="14" s="1"/>
  <c r="AB22" i="14"/>
  <c r="AB23" i="14" s="1"/>
  <c r="E22" i="14"/>
  <c r="E25" i="14" s="1"/>
  <c r="AA22" i="14"/>
  <c r="AA23" i="14" s="1"/>
  <c r="R22" i="14"/>
  <c r="R23" i="14" s="1"/>
  <c r="AG22" i="14"/>
  <c r="AG23" i="14" s="1"/>
  <c r="BD22" i="14"/>
  <c r="BD23" i="14" s="1"/>
  <c r="C38" i="14"/>
  <c r="E38" i="14" s="1"/>
  <c r="F38" i="14" s="1"/>
  <c r="G38" i="14" s="1"/>
  <c r="H38" i="14" s="1"/>
  <c r="I38" i="14" s="1"/>
  <c r="J38" i="14" s="1"/>
  <c r="K38" i="14" s="1"/>
  <c r="L38" i="14" s="1"/>
  <c r="M38" i="14" s="1"/>
  <c r="N38" i="14" s="1"/>
  <c r="O38" i="14" s="1"/>
  <c r="P38" i="14" s="1"/>
  <c r="G22" i="14"/>
  <c r="G23" i="14" s="1"/>
  <c r="E23" i="10" s="1"/>
  <c r="BI22" i="14"/>
  <c r="BI23" i="14" s="1"/>
  <c r="S22" i="14"/>
  <c r="S23" i="14" s="1"/>
  <c r="J22" i="14"/>
  <c r="J23" i="14" s="1"/>
  <c r="Y22" i="14"/>
  <c r="Y23" i="14" s="1"/>
  <c r="AV22" i="14"/>
  <c r="AV23" i="14" s="1"/>
  <c r="BK22" i="14"/>
  <c r="BK23" i="14" s="1"/>
  <c r="BJ22" i="14"/>
  <c r="BJ23" i="14" s="1"/>
  <c r="BA22" i="14"/>
  <c r="BA23" i="14" s="1"/>
  <c r="AK22" i="14"/>
  <c r="AK23" i="14" s="1"/>
  <c r="I28" i="14"/>
  <c r="G28" i="10" s="1"/>
  <c r="G90" i="7"/>
  <c r="G28" i="14"/>
  <c r="E27" i="10"/>
  <c r="E30" i="14"/>
  <c r="C27" i="10"/>
  <c r="C30" i="10" s="1"/>
  <c r="H28" i="14"/>
  <c r="F28" i="10" s="1"/>
  <c r="F27" i="10"/>
  <c r="F28" i="14"/>
  <c r="D27" i="10"/>
  <c r="F23" i="14" l="1"/>
  <c r="F24" i="14" s="1"/>
  <c r="G24" i="14" s="1"/>
  <c r="F22" i="10"/>
  <c r="G22" i="10"/>
  <c r="C22" i="10"/>
  <c r="C25" i="10" s="1"/>
  <c r="E22" i="10"/>
  <c r="C49" i="14"/>
  <c r="E49" i="14" s="1"/>
  <c r="F49" i="14" s="1"/>
  <c r="G49" i="14" s="1"/>
  <c r="H49" i="14" s="1"/>
  <c r="I49" i="14" s="1"/>
  <c r="J49" i="14" s="1"/>
  <c r="K49" i="14" s="1"/>
  <c r="L49" i="14" s="1"/>
  <c r="M49" i="14" s="1"/>
  <c r="N49" i="14" s="1"/>
  <c r="O49" i="14" s="1"/>
  <c r="P49" i="14" s="1"/>
  <c r="E28" i="10"/>
  <c r="F29" i="14"/>
  <c r="D28" i="10"/>
  <c r="D24" i="10" l="1"/>
  <c r="D25" i="10" s="1"/>
  <c r="F25" i="14"/>
  <c r="O66" i="14"/>
  <c r="O72" i="14"/>
  <c r="D23" i="10"/>
  <c r="E24" i="10"/>
  <c r="E25" i="10" s="1"/>
  <c r="P72" i="14"/>
  <c r="P66" i="14"/>
  <c r="O65" i="14"/>
  <c r="O71" i="14"/>
  <c r="F30" i="14"/>
  <c r="D29" i="10"/>
  <c r="G29" i="14"/>
  <c r="H24" i="14"/>
  <c r="G25" i="14"/>
  <c r="P65" i="14" l="1"/>
  <c r="P71" i="14"/>
  <c r="F24" i="10"/>
  <c r="F25" i="10" s="1"/>
  <c r="Q66" i="14"/>
  <c r="Q72" i="14"/>
  <c r="I24" i="14"/>
  <c r="H25" i="14"/>
  <c r="D30" i="10"/>
  <c r="G30" i="14"/>
  <c r="E29" i="10"/>
  <c r="H29" i="14"/>
  <c r="Q65" i="14" l="1"/>
  <c r="Q71" i="14"/>
  <c r="G24" i="10"/>
  <c r="G25" i="10" s="1"/>
  <c r="R72" i="14"/>
  <c r="R66" i="14"/>
  <c r="I25" i="14"/>
  <c r="J24" i="14"/>
  <c r="J25" i="14" s="1"/>
  <c r="E30" i="10"/>
  <c r="H30" i="14"/>
  <c r="F29" i="10"/>
  <c r="I29" i="14"/>
  <c r="K24" i="14" l="1"/>
  <c r="K25" i="14" s="1"/>
  <c r="R65" i="14"/>
  <c r="R71" i="14"/>
  <c r="F30" i="10"/>
  <c r="I30" i="14"/>
  <c r="G29" i="10"/>
  <c r="J29" i="14"/>
  <c r="L24" i="14" l="1"/>
  <c r="M24" i="14" s="1"/>
  <c r="G30" i="10"/>
  <c r="J30" i="14"/>
  <c r="K29" i="14"/>
  <c r="L25" i="14" l="1"/>
  <c r="K30" i="14"/>
  <c r="L29" i="14"/>
  <c r="M25" i="14"/>
  <c r="N24" i="14"/>
  <c r="L30" i="14" l="1"/>
  <c r="M29" i="14"/>
  <c r="N25" i="14"/>
  <c r="O24" i="14"/>
  <c r="M30" i="14" l="1"/>
  <c r="N29" i="14"/>
  <c r="P24" i="14"/>
  <c r="O25" i="14"/>
  <c r="O29" i="14" l="1"/>
  <c r="N30" i="14"/>
  <c r="P25" i="14"/>
  <c r="Q24" i="14"/>
  <c r="O30" i="14" l="1"/>
  <c r="P29" i="14"/>
  <c r="Q25" i="14"/>
  <c r="R24" i="14"/>
  <c r="P30" i="14" l="1"/>
  <c r="Q29" i="14"/>
  <c r="R25" i="14"/>
  <c r="S24" i="14"/>
  <c r="R29" i="14" l="1"/>
  <c r="Q30" i="14"/>
  <c r="S25" i="14"/>
  <c r="T24" i="14"/>
  <c r="S29" i="14" l="1"/>
  <c r="R30" i="14"/>
  <c r="T25" i="14"/>
  <c r="U24" i="14"/>
  <c r="T29" i="14" l="1"/>
  <c r="S30" i="14"/>
  <c r="U25" i="14"/>
  <c r="V24" i="14"/>
  <c r="U29" i="14" l="1"/>
  <c r="T30" i="14"/>
  <c r="V25" i="14"/>
  <c r="W24" i="14"/>
  <c r="V29" i="14" l="1"/>
  <c r="U30" i="14"/>
  <c r="X24" i="14"/>
  <c r="W25" i="14"/>
  <c r="W29" i="14" l="1"/>
  <c r="V30" i="14"/>
  <c r="X25" i="14"/>
  <c r="Y24" i="14"/>
  <c r="W30" i="14" l="1"/>
  <c r="X29" i="14"/>
  <c r="Y25" i="14"/>
  <c r="Z24" i="14"/>
  <c r="X30" i="14" l="1"/>
  <c r="Y29" i="14"/>
  <c r="Z25" i="14"/>
  <c r="AA24" i="14"/>
  <c r="Y30" i="14" l="1"/>
  <c r="Z29" i="14"/>
  <c r="AA25" i="14"/>
  <c r="AB24" i="14"/>
  <c r="Z30" i="14" l="1"/>
  <c r="AA29" i="14"/>
  <c r="AC24" i="14"/>
  <c r="AB25" i="14"/>
  <c r="AA30" i="14" l="1"/>
  <c r="AB29" i="14"/>
  <c r="AC25" i="14"/>
  <c r="AD24" i="14"/>
  <c r="AC29" i="14" l="1"/>
  <c r="AB30" i="14"/>
  <c r="AD25" i="14"/>
  <c r="AE24" i="14"/>
  <c r="AC30" i="14" l="1"/>
  <c r="AD29" i="14"/>
  <c r="AE25" i="14"/>
  <c r="AF24" i="14"/>
  <c r="AD30" i="14" l="1"/>
  <c r="AE29" i="14"/>
  <c r="AF25" i="14"/>
  <c r="AG24" i="14"/>
  <c r="AE30" i="14" l="1"/>
  <c r="AF29" i="14"/>
  <c r="AG25" i="14"/>
  <c r="AH24" i="14"/>
  <c r="AG29" i="14" l="1"/>
  <c r="AF30" i="14"/>
  <c r="AH25" i="14"/>
  <c r="AI24" i="14"/>
  <c r="AG30" i="14" l="1"/>
  <c r="AH29" i="14"/>
  <c r="AI25" i="14"/>
  <c r="AJ24" i="14"/>
  <c r="AH30" i="14" l="1"/>
  <c r="AI29" i="14"/>
  <c r="AK24" i="14"/>
  <c r="AJ25" i="14"/>
  <c r="AI30" i="14" l="1"/>
  <c r="AJ29" i="14"/>
  <c r="AL24" i="14"/>
  <c r="AK25" i="14"/>
  <c r="AK29" i="14" l="1"/>
  <c r="AJ30" i="14"/>
  <c r="AM24" i="14"/>
  <c r="AL25" i="14"/>
  <c r="AK30" i="14" l="1"/>
  <c r="AL29" i="14"/>
  <c r="AM25" i="14"/>
  <c r="AN24" i="14"/>
  <c r="AM29" i="14" l="1"/>
  <c r="AL30" i="14"/>
  <c r="AN25" i="14"/>
  <c r="AO24" i="14"/>
  <c r="AM30" i="14" l="1"/>
  <c r="AN29" i="14"/>
  <c r="AO25" i="14"/>
  <c r="AP24" i="14"/>
  <c r="AO29" i="14" l="1"/>
  <c r="AN30" i="14"/>
  <c r="AQ24" i="14"/>
  <c r="AP25" i="14"/>
  <c r="AO30" i="14" l="1"/>
  <c r="AP29" i="14"/>
  <c r="AQ25" i="14"/>
  <c r="AR24" i="14"/>
  <c r="AP30" i="14" l="1"/>
  <c r="AQ29" i="14"/>
  <c r="AS24" i="14"/>
  <c r="AR25" i="14"/>
  <c r="AQ30" i="14" l="1"/>
  <c r="AR29" i="14"/>
  <c r="AS25" i="14"/>
  <c r="AT24" i="14"/>
  <c r="AR30" i="14" l="1"/>
  <c r="AS29" i="14"/>
  <c r="AT25" i="14"/>
  <c r="AU24" i="14"/>
  <c r="AS30" i="14" l="1"/>
  <c r="AT29" i="14"/>
  <c r="AV24" i="14"/>
  <c r="AU25" i="14"/>
  <c r="AT30" i="14" l="1"/>
  <c r="AU29" i="14"/>
  <c r="AV25" i="14"/>
  <c r="AW24" i="14"/>
  <c r="E68" i="11"/>
  <c r="E69" i="11" s="1"/>
  <c r="C38" i="7"/>
  <c r="D38" i="7" s="1"/>
  <c r="C58" i="11"/>
  <c r="E58" i="11" s="1"/>
  <c r="C39" i="9"/>
  <c r="C6" i="9"/>
  <c r="C7" i="9" s="1"/>
  <c r="E62" i="11"/>
  <c r="E61" i="11"/>
  <c r="E63" i="11" s="1"/>
  <c r="E57" i="11"/>
  <c r="G48" i="11"/>
  <c r="G49" i="11" s="1"/>
  <c r="D47" i="11"/>
  <c r="E47" i="11"/>
  <c r="F47" i="11"/>
  <c r="G47" i="11"/>
  <c r="C47" i="11"/>
  <c r="G46" i="11"/>
  <c r="C26" i="11"/>
  <c r="C38" i="11" s="1"/>
  <c r="C27" i="11"/>
  <c r="E39" i="11" s="1"/>
  <c r="C42" i="11"/>
  <c r="F43" i="11"/>
  <c r="F40" i="11"/>
  <c r="F41" i="11"/>
  <c r="E40" i="11"/>
  <c r="E41" i="11"/>
  <c r="E42" i="11"/>
  <c r="E43" i="11"/>
  <c r="D40" i="11"/>
  <c r="D41" i="11"/>
  <c r="D42" i="11"/>
  <c r="D43" i="11"/>
  <c r="C41" i="11"/>
  <c r="C40" i="11"/>
  <c r="I44" i="1"/>
  <c r="C25" i="11"/>
  <c r="C37" i="11" s="1"/>
  <c r="F4" i="11"/>
  <c r="F5" i="11"/>
  <c r="F6" i="11"/>
  <c r="F7" i="11"/>
  <c r="F10" i="11"/>
  <c r="F11" i="11"/>
  <c r="F14" i="11"/>
  <c r="F15" i="11" s="1"/>
  <c r="F17" i="11"/>
  <c r="F18" i="11" s="1"/>
  <c r="D10" i="10" l="1"/>
  <c r="E10" i="10"/>
  <c r="F10" i="10"/>
  <c r="G10" i="10"/>
  <c r="C10" i="10"/>
  <c r="C21" i="7"/>
  <c r="AU30" i="14"/>
  <c r="AV29" i="14"/>
  <c r="AW25" i="14"/>
  <c r="AX24" i="14"/>
  <c r="F12" i="11"/>
  <c r="E59" i="11"/>
  <c r="C33" i="9"/>
  <c r="C35" i="9"/>
  <c r="C38" i="9"/>
  <c r="C37" i="9"/>
  <c r="C36" i="9"/>
  <c r="C32" i="9"/>
  <c r="E38" i="11"/>
  <c r="C39" i="11"/>
  <c r="F37" i="11"/>
  <c r="D38" i="11"/>
  <c r="D37" i="11"/>
  <c r="D39" i="11"/>
  <c r="E37" i="11"/>
  <c r="C32" i="11"/>
  <c r="F8" i="11"/>
  <c r="F39" i="11"/>
  <c r="F38" i="11"/>
  <c r="F42" i="11"/>
  <c r="C43" i="11"/>
  <c r="C44" i="11" s="1"/>
  <c r="C34" i="9"/>
  <c r="F19" i="11" l="1"/>
  <c r="F44" i="11"/>
  <c r="F48" i="11" s="1"/>
  <c r="F49" i="11" s="1"/>
  <c r="AV30" i="14"/>
  <c r="AW29" i="14"/>
  <c r="AX25" i="14"/>
  <c r="AY24" i="14"/>
  <c r="D44" i="11"/>
  <c r="D46" i="11" s="1"/>
  <c r="E44" i="11"/>
  <c r="E46" i="11" s="1"/>
  <c r="F46" i="11"/>
  <c r="C48" i="11"/>
  <c r="C46" i="11"/>
  <c r="E48" i="11" l="1"/>
  <c r="E49" i="11" s="1"/>
  <c r="AW30" i="14"/>
  <c r="AX29" i="14"/>
  <c r="AY25" i="14"/>
  <c r="AZ24" i="14"/>
  <c r="D48" i="11"/>
  <c r="D49" i="11" s="1"/>
  <c r="C49" i="11"/>
  <c r="C82" i="7"/>
  <c r="E81" i="7" s="1"/>
  <c r="D57" i="7"/>
  <c r="D58" i="7"/>
  <c r="D56" i="7"/>
  <c r="C89" i="7"/>
  <c r="C9" i="7"/>
  <c r="D39" i="7"/>
  <c r="D36" i="7"/>
  <c r="E30" i="7"/>
  <c r="E28" i="7"/>
  <c r="E29" i="7"/>
  <c r="B53" i="11" l="1"/>
  <c r="C53" i="11" s="1"/>
  <c r="C91" i="7"/>
  <c r="E91" i="7" s="1"/>
  <c r="C23" i="7"/>
  <c r="C72" i="7" s="1"/>
  <c r="B51" i="11"/>
  <c r="C67" i="7"/>
  <c r="D59" i="7"/>
  <c r="C83" i="7"/>
  <c r="C29" i="12"/>
  <c r="AY29" i="14"/>
  <c r="AX30" i="14"/>
  <c r="C88" i="7"/>
  <c r="E88" i="7" s="1"/>
  <c r="AZ25" i="14"/>
  <c r="BA24" i="14"/>
  <c r="E89" i="7"/>
  <c r="E31" i="7"/>
  <c r="C15" i="12" s="1"/>
  <c r="C10" i="9" l="1"/>
  <c r="C51" i="11"/>
  <c r="D10" i="18"/>
  <c r="D15" i="12"/>
  <c r="C21" i="12"/>
  <c r="AY30" i="14"/>
  <c r="AZ29" i="14"/>
  <c r="C64" i="7"/>
  <c r="C92" i="7"/>
  <c r="BA25" i="14"/>
  <c r="BB24" i="14"/>
  <c r="G89" i="7"/>
  <c r="F89" i="7"/>
  <c r="C100" i="7" s="1"/>
  <c r="G88" i="7"/>
  <c r="F88" i="7"/>
  <c r="C99" i="7" s="1"/>
  <c r="G91" i="7"/>
  <c r="F91" i="7"/>
  <c r="C102" i="7" s="1"/>
  <c r="G102" i="7" s="1"/>
  <c r="E92" i="7"/>
  <c r="D18" i="3"/>
  <c r="B5" i="6"/>
  <c r="D5" i="6" s="1"/>
  <c r="I29" i="1"/>
  <c r="C4" i="14" s="1"/>
  <c r="C3" i="14"/>
  <c r="D10" i="6"/>
  <c r="D11" i="6"/>
  <c r="D12" i="6"/>
  <c r="D13" i="6"/>
  <c r="D14" i="6"/>
  <c r="B15" i="6"/>
  <c r="C20" i="6"/>
  <c r="D20" i="6"/>
  <c r="C21" i="6"/>
  <c r="D21" i="6"/>
  <c r="C22" i="6"/>
  <c r="C24" i="6" s="1"/>
  <c r="C25" i="6" s="1"/>
  <c r="C23" i="6"/>
  <c r="D23" i="6"/>
  <c r="B32" i="6"/>
  <c r="B35" i="6"/>
  <c r="B38" i="6"/>
  <c r="I33" i="1"/>
  <c r="I45" i="1"/>
  <c r="B40" i="6" l="1"/>
  <c r="C66" i="7"/>
  <c r="C16" i="12"/>
  <c r="D16" i="12" s="1"/>
  <c r="E16" i="12" s="1"/>
  <c r="F16" i="12" s="1"/>
  <c r="G16" i="12" s="1"/>
  <c r="C24" i="9"/>
  <c r="C79" i="11" s="1"/>
  <c r="C75" i="11" s="1"/>
  <c r="C21" i="9"/>
  <c r="C26" i="9" s="1"/>
  <c r="D32" i="9"/>
  <c r="E32" i="9" s="1"/>
  <c r="C14" i="9"/>
  <c r="B31" i="9" s="1"/>
  <c r="D33" i="9"/>
  <c r="E33" i="9" s="1"/>
  <c r="D38" i="9"/>
  <c r="E38" i="9" s="1"/>
  <c r="D35" i="9"/>
  <c r="E35" i="9" s="1"/>
  <c r="C17" i="9"/>
  <c r="C18" i="9" s="1"/>
  <c r="D34" i="9"/>
  <c r="E34" i="9" s="1"/>
  <c r="D39" i="9"/>
  <c r="E39" i="9" s="1"/>
  <c r="D37" i="9"/>
  <c r="E37" i="9" s="1"/>
  <c r="D36" i="9"/>
  <c r="E36" i="9" s="1"/>
  <c r="BM17" i="14"/>
  <c r="BM18" i="14" s="1"/>
  <c r="BG17" i="14"/>
  <c r="BG18" i="14" s="1"/>
  <c r="BF17" i="14"/>
  <c r="BF18" i="14" s="1"/>
  <c r="AS17" i="14"/>
  <c r="AZ17" i="14"/>
  <c r="AE17" i="14"/>
  <c r="Z17" i="14"/>
  <c r="O17" i="14"/>
  <c r="X17" i="14"/>
  <c r="H17" i="14"/>
  <c r="E17" i="14"/>
  <c r="AB17" i="14"/>
  <c r="BK17" i="14"/>
  <c r="BK18" i="14" s="1"/>
  <c r="AH17" i="14"/>
  <c r="AT17" i="14"/>
  <c r="AG17" i="14"/>
  <c r="F17" i="14"/>
  <c r="BA17" i="14"/>
  <c r="L17" i="14"/>
  <c r="AU17" i="14"/>
  <c r="AL17" i="14"/>
  <c r="AI17" i="14"/>
  <c r="P17" i="14"/>
  <c r="AM17" i="14"/>
  <c r="K17" i="14"/>
  <c r="AR17" i="14"/>
  <c r="BB17" i="14"/>
  <c r="AO17" i="14"/>
  <c r="BI17" i="14"/>
  <c r="BI18" i="14" s="1"/>
  <c r="BD17" i="14"/>
  <c r="BD18" i="14" s="1"/>
  <c r="AP17" i="14"/>
  <c r="V17" i="14"/>
  <c r="AD17" i="14"/>
  <c r="C37" i="14"/>
  <c r="J17" i="14"/>
  <c r="AA17" i="14"/>
  <c r="AX17" i="14"/>
  <c r="U17" i="14"/>
  <c r="BC17" i="14"/>
  <c r="BJ17" i="14"/>
  <c r="BJ18" i="14" s="1"/>
  <c r="AW17" i="14"/>
  <c r="AK17" i="14"/>
  <c r="BE17" i="14"/>
  <c r="BE18" i="14" s="1"/>
  <c r="AY17" i="14"/>
  <c r="AJ17" i="14"/>
  <c r="AF17" i="14"/>
  <c r="BH17" i="14"/>
  <c r="BH18" i="14" s="1"/>
  <c r="M17" i="14"/>
  <c r="AV17" i="14"/>
  <c r="S17" i="14"/>
  <c r="AQ17" i="14"/>
  <c r="N17" i="14"/>
  <c r="BL17" i="14"/>
  <c r="BL18" i="14" s="1"/>
  <c r="I17" i="14"/>
  <c r="R17" i="14"/>
  <c r="Y17" i="14"/>
  <c r="AC17" i="14"/>
  <c r="T17" i="14"/>
  <c r="G17" i="14"/>
  <c r="AN17" i="14"/>
  <c r="Q17" i="14"/>
  <c r="W17" i="14"/>
  <c r="B6" i="6"/>
  <c r="D6" i="6" s="1"/>
  <c r="E10" i="18"/>
  <c r="E15" i="12"/>
  <c r="BH12" i="14"/>
  <c r="BH13" i="14" s="1"/>
  <c r="AW12" i="14"/>
  <c r="AD12" i="14"/>
  <c r="M12" i="14"/>
  <c r="M13" i="14" s="1"/>
  <c r="AV12" i="14"/>
  <c r="AC12" i="14"/>
  <c r="J12" i="14"/>
  <c r="J13" i="14" s="1"/>
  <c r="AU12" i="14"/>
  <c r="X12" i="14"/>
  <c r="W12" i="14"/>
  <c r="AN12" i="14"/>
  <c r="AL12" i="14"/>
  <c r="P12" i="14"/>
  <c r="N12" i="14"/>
  <c r="N13" i="14" s="1"/>
  <c r="BM12" i="14"/>
  <c r="BM13" i="14" s="1"/>
  <c r="G12" i="14"/>
  <c r="BJ12" i="14"/>
  <c r="BJ13" i="14" s="1"/>
  <c r="V12" i="14"/>
  <c r="Q12" i="14"/>
  <c r="BC12" i="14"/>
  <c r="AG12" i="14"/>
  <c r="BK12" i="14"/>
  <c r="BK13" i="14" s="1"/>
  <c r="AO12" i="14"/>
  <c r="F12" i="14"/>
  <c r="BI12" i="14"/>
  <c r="BI13" i="14" s="1"/>
  <c r="AK12" i="14"/>
  <c r="BB12" i="14"/>
  <c r="Y12" i="14"/>
  <c r="BD12" i="14"/>
  <c r="AY12" i="14"/>
  <c r="L12" i="14"/>
  <c r="L13" i="14" s="1"/>
  <c r="I12" i="14"/>
  <c r="BG12" i="14"/>
  <c r="BG13" i="14" s="1"/>
  <c r="T12" i="14"/>
  <c r="BA12" i="14"/>
  <c r="Z12" i="14"/>
  <c r="AF12" i="14"/>
  <c r="AH12" i="14"/>
  <c r="AM12" i="14"/>
  <c r="U12" i="14"/>
  <c r="AB12" i="14"/>
  <c r="BL12" i="14"/>
  <c r="BL13" i="14" s="1"/>
  <c r="K12" i="14"/>
  <c r="AJ12" i="14"/>
  <c r="AE12" i="14"/>
  <c r="AT12" i="14"/>
  <c r="S12" i="14"/>
  <c r="AP12" i="14"/>
  <c r="AR12" i="14"/>
  <c r="R12" i="14"/>
  <c r="BF12" i="14"/>
  <c r="BF13" i="14" s="1"/>
  <c r="AS12" i="14"/>
  <c r="AQ12" i="14"/>
  <c r="H12" i="14"/>
  <c r="BE12" i="14"/>
  <c r="AA12" i="14"/>
  <c r="AX12" i="14"/>
  <c r="AZ12" i="14"/>
  <c r="E12" i="14"/>
  <c r="C36" i="14"/>
  <c r="AI12" i="14"/>
  <c r="O12" i="14"/>
  <c r="C7" i="14"/>
  <c r="B4" i="6"/>
  <c r="D4" i="6" s="1"/>
  <c r="E4" i="6" s="1"/>
  <c r="BA29" i="14"/>
  <c r="AZ30" i="14"/>
  <c r="F99" i="7"/>
  <c r="C103" i="7"/>
  <c r="G99" i="7"/>
  <c r="G100" i="7"/>
  <c r="F100" i="7"/>
  <c r="F102" i="7"/>
  <c r="BB25" i="14"/>
  <c r="BC24" i="14"/>
  <c r="G92" i="7"/>
  <c r="F92" i="7"/>
  <c r="D22" i="6"/>
  <c r="D24" i="6" s="1"/>
  <c r="E25" i="6" s="1"/>
  <c r="D15" i="6"/>
  <c r="E5" i="6"/>
  <c r="E6" i="6"/>
  <c r="J6" i="6"/>
  <c r="D25" i="6" l="1"/>
  <c r="D75" i="11"/>
  <c r="D77" i="11" s="1"/>
  <c r="C77" i="11"/>
  <c r="D31" i="9"/>
  <c r="C31" i="9"/>
  <c r="E31" i="9" s="1"/>
  <c r="C27" i="9"/>
  <c r="C2" i="3"/>
  <c r="C3" i="3" s="1"/>
  <c r="C2" i="18"/>
  <c r="C3" i="18" s="1"/>
  <c r="AC18" i="14"/>
  <c r="AV18" i="14"/>
  <c r="AW18" i="14"/>
  <c r="AD18" i="14"/>
  <c r="K18" i="14"/>
  <c r="F18" i="14"/>
  <c r="D17" i="10"/>
  <c r="X18" i="14"/>
  <c r="AK18" i="14"/>
  <c r="Y18" i="14"/>
  <c r="M18" i="14"/>
  <c r="V18" i="14"/>
  <c r="AM18" i="14"/>
  <c r="AG18" i="14"/>
  <c r="O18" i="14"/>
  <c r="F17" i="10"/>
  <c r="H18" i="14"/>
  <c r="R18" i="14"/>
  <c r="BC18" i="14"/>
  <c r="AP18" i="14"/>
  <c r="P18" i="14"/>
  <c r="AT18" i="14"/>
  <c r="Z18" i="14"/>
  <c r="E37" i="14"/>
  <c r="F37" i="14" s="1"/>
  <c r="G37" i="14" s="1"/>
  <c r="H37" i="14" s="1"/>
  <c r="I37" i="14" s="1"/>
  <c r="J37" i="14" s="1"/>
  <c r="K37" i="14" s="1"/>
  <c r="L37" i="14" s="1"/>
  <c r="M37" i="14" s="1"/>
  <c r="N37" i="14" s="1"/>
  <c r="O37" i="14" s="1"/>
  <c r="P37" i="14" s="1"/>
  <c r="C48" i="14"/>
  <c r="E48" i="14" s="1"/>
  <c r="F48" i="14" s="1"/>
  <c r="G48" i="14" s="1"/>
  <c r="H48" i="14" s="1"/>
  <c r="I48" i="14" s="1"/>
  <c r="J48" i="14" s="1"/>
  <c r="K48" i="14" s="1"/>
  <c r="L48" i="14" s="1"/>
  <c r="M48" i="14" s="1"/>
  <c r="N48" i="14" s="1"/>
  <c r="O48" i="14" s="1"/>
  <c r="P48" i="14" s="1"/>
  <c r="W18" i="14"/>
  <c r="I18" i="14"/>
  <c r="G17" i="10"/>
  <c r="AF18" i="14"/>
  <c r="U18" i="14"/>
  <c r="AI18" i="14"/>
  <c r="AH18" i="14"/>
  <c r="AE18" i="14"/>
  <c r="S18" i="14"/>
  <c r="AR18" i="14"/>
  <c r="Q18" i="14"/>
  <c r="AJ18" i="14"/>
  <c r="AX18" i="14"/>
  <c r="AL18" i="14"/>
  <c r="AZ18" i="14"/>
  <c r="T18" i="14"/>
  <c r="BA18" i="14"/>
  <c r="AN18" i="14"/>
  <c r="N18" i="14"/>
  <c r="AY18" i="14"/>
  <c r="AA18" i="14"/>
  <c r="AO18" i="14"/>
  <c r="AU18" i="14"/>
  <c r="AB18" i="14"/>
  <c r="AS18" i="14"/>
  <c r="G18" i="14"/>
  <c r="E17" i="10"/>
  <c r="AQ18" i="14"/>
  <c r="J18" i="14"/>
  <c r="BB18" i="14"/>
  <c r="L18" i="14"/>
  <c r="E20" i="14"/>
  <c r="C17" i="10"/>
  <c r="C20" i="10" s="1"/>
  <c r="F15" i="12"/>
  <c r="F10" i="18"/>
  <c r="S13" i="14"/>
  <c r="AO13" i="14"/>
  <c r="AT13" i="14"/>
  <c r="AA13" i="14"/>
  <c r="AP13" i="14"/>
  <c r="U13" i="14"/>
  <c r="I13" i="14"/>
  <c r="G13" i="10" s="1"/>
  <c r="G12" i="10"/>
  <c r="F13" i="14"/>
  <c r="D12" i="10"/>
  <c r="G13" i="14"/>
  <c r="E12" i="10"/>
  <c r="AU13" i="14"/>
  <c r="H13" i="14"/>
  <c r="F12" i="10"/>
  <c r="AC13" i="14"/>
  <c r="AI13" i="14"/>
  <c r="AQ13" i="14"/>
  <c r="AE13" i="14"/>
  <c r="AF13" i="14"/>
  <c r="BD13" i="14"/>
  <c r="AG13" i="14"/>
  <c r="P13" i="14"/>
  <c r="AV13" i="14"/>
  <c r="AM13" i="14"/>
  <c r="O13" i="14"/>
  <c r="C47" i="14"/>
  <c r="C40" i="14"/>
  <c r="C41" i="14" s="1"/>
  <c r="E36" i="14"/>
  <c r="AJ13" i="14"/>
  <c r="Y13" i="14"/>
  <c r="BC13" i="14"/>
  <c r="AL13" i="14"/>
  <c r="B7" i="6"/>
  <c r="K13" i="14"/>
  <c r="BB13" i="14"/>
  <c r="Q13" i="14"/>
  <c r="AN13" i="14"/>
  <c r="AD13" i="14"/>
  <c r="AZ13" i="14"/>
  <c r="R13" i="14"/>
  <c r="T13" i="14"/>
  <c r="AK13" i="14"/>
  <c r="V13" i="14"/>
  <c r="W13" i="14"/>
  <c r="AW13" i="14"/>
  <c r="BE13" i="14"/>
  <c r="AH13" i="14"/>
  <c r="AY13" i="14"/>
  <c r="AS13" i="14"/>
  <c r="Z13" i="14"/>
  <c r="E15" i="14"/>
  <c r="C12" i="10"/>
  <c r="C15" i="10" s="1"/>
  <c r="BA13" i="14"/>
  <c r="D7" i="6"/>
  <c r="AX13" i="14"/>
  <c r="AR13" i="14"/>
  <c r="AB13" i="14"/>
  <c r="X13" i="14"/>
  <c r="F103" i="7"/>
  <c r="G103" i="7"/>
  <c r="BA30" i="14"/>
  <c r="BB29" i="14"/>
  <c r="BD24" i="14"/>
  <c r="BC25" i="14"/>
  <c r="E7" i="6"/>
  <c r="D80" i="11" l="1"/>
  <c r="D79" i="11"/>
  <c r="J4" i="6"/>
  <c r="C34" i="10"/>
  <c r="F18" i="10"/>
  <c r="E18" i="10"/>
  <c r="G18" i="10"/>
  <c r="F19" i="14"/>
  <c r="D18" i="10"/>
  <c r="G15" i="12"/>
  <c r="H10" i="18" s="1"/>
  <c r="G10" i="18"/>
  <c r="F14" i="14"/>
  <c r="D13" i="10"/>
  <c r="E10" i="3"/>
  <c r="F13" i="10"/>
  <c r="C43" i="14"/>
  <c r="C50" i="7" s="1"/>
  <c r="E41" i="14"/>
  <c r="E13" i="10"/>
  <c r="E40" i="14"/>
  <c r="F36" i="14"/>
  <c r="E47" i="14"/>
  <c r="C50" i="14"/>
  <c r="C51" i="14" s="1"/>
  <c r="BC29" i="14"/>
  <c r="BB30" i="14"/>
  <c r="C105" i="7"/>
  <c r="C65" i="11"/>
  <c r="C104" i="7"/>
  <c r="C37" i="7"/>
  <c r="D37" i="7" s="1"/>
  <c r="BD25" i="14"/>
  <c r="BE24" i="14"/>
  <c r="O67" i="14" l="1"/>
  <c r="O73" i="14"/>
  <c r="D19" i="10"/>
  <c r="D20" i="10" s="1"/>
  <c r="F20" i="14"/>
  <c r="G19" i="14"/>
  <c r="E65" i="11"/>
  <c r="E66" i="11" s="1"/>
  <c r="C55" i="11" s="1"/>
  <c r="F10" i="3"/>
  <c r="E18" i="3"/>
  <c r="F15" i="14"/>
  <c r="O70" i="14"/>
  <c r="O74" i="14" s="1"/>
  <c r="D8" i="12" s="1"/>
  <c r="O64" i="14"/>
  <c r="D14" i="10"/>
  <c r="D15" i="10" s="1"/>
  <c r="D50" i="7"/>
  <c r="D51" i="7" s="1"/>
  <c r="C51" i="7"/>
  <c r="C73" i="7" s="1"/>
  <c r="G14" i="14"/>
  <c r="G36" i="14"/>
  <c r="F40" i="14"/>
  <c r="F47" i="14"/>
  <c r="E50" i="14"/>
  <c r="BC30" i="14"/>
  <c r="BD29" i="14"/>
  <c r="BE25" i="14"/>
  <c r="BF24" i="14"/>
  <c r="D21" i="3"/>
  <c r="D55" i="11" l="1"/>
  <c r="E55" i="11" s="1"/>
  <c r="F55" i="11" s="1"/>
  <c r="G55" i="11" s="1"/>
  <c r="H55" i="11" s="1"/>
  <c r="I55" i="11" s="1"/>
  <c r="D34" i="10"/>
  <c r="G20" i="14"/>
  <c r="P73" i="14"/>
  <c r="P67" i="14"/>
  <c r="E19" i="10"/>
  <c r="E20" i="10" s="1"/>
  <c r="H19" i="14"/>
  <c r="O68" i="14"/>
  <c r="D14" i="12" s="1"/>
  <c r="D9" i="3"/>
  <c r="E9" i="3" s="1"/>
  <c r="F9" i="3" s="1"/>
  <c r="G9" i="3" s="1"/>
  <c r="H9" i="3" s="1"/>
  <c r="D37" i="10"/>
  <c r="E13" i="12"/>
  <c r="F13" i="12"/>
  <c r="G13" i="12"/>
  <c r="C13" i="12"/>
  <c r="D13" i="12"/>
  <c r="G36" i="10"/>
  <c r="C36" i="10"/>
  <c r="C38" i="10" s="1"/>
  <c r="F36" i="10"/>
  <c r="D36" i="10"/>
  <c r="E36" i="10"/>
  <c r="C22" i="12"/>
  <c r="F50" i="14"/>
  <c r="G47" i="14"/>
  <c r="G40" i="14"/>
  <c r="H36" i="14"/>
  <c r="E53" i="14"/>
  <c r="P64" i="14"/>
  <c r="P68" i="14" s="1"/>
  <c r="E14" i="12" s="1"/>
  <c r="P70" i="14"/>
  <c r="P74" i="14" s="1"/>
  <c r="E8" i="12" s="1"/>
  <c r="E14" i="10"/>
  <c r="E15" i="10" s="1"/>
  <c r="G15" i="14"/>
  <c r="H14" i="14"/>
  <c r="F18" i="3"/>
  <c r="G10" i="3"/>
  <c r="BD30" i="14"/>
  <c r="BE29" i="14"/>
  <c r="C65" i="7"/>
  <c r="C7" i="12"/>
  <c r="BF25" i="14"/>
  <c r="BG24" i="14"/>
  <c r="E34" i="10" l="1"/>
  <c r="H20" i="14"/>
  <c r="Q73" i="14"/>
  <c r="Q67" i="14"/>
  <c r="F19" i="10"/>
  <c r="F20" i="10" s="1"/>
  <c r="I19" i="14"/>
  <c r="D7" i="12"/>
  <c r="D38" i="10"/>
  <c r="I36" i="14"/>
  <c r="H40" i="14"/>
  <c r="G18" i="3"/>
  <c r="H10" i="3"/>
  <c r="H18" i="3" s="1"/>
  <c r="H47" i="14"/>
  <c r="G50" i="14"/>
  <c r="I14" i="14"/>
  <c r="Q64" i="14"/>
  <c r="Q68" i="14" s="1"/>
  <c r="F14" i="12" s="1"/>
  <c r="Q70" i="14"/>
  <c r="Q74" i="14" s="1"/>
  <c r="F8" i="12" s="1"/>
  <c r="F14" i="10"/>
  <c r="F15" i="10" s="1"/>
  <c r="H15" i="14"/>
  <c r="G37" i="10"/>
  <c r="F37" i="10"/>
  <c r="F38" i="10" s="1"/>
  <c r="E37" i="10"/>
  <c r="E38" i="10" s="1"/>
  <c r="BE30" i="14"/>
  <c r="BF29" i="14"/>
  <c r="BG25" i="14"/>
  <c r="BH24" i="14"/>
  <c r="G38" i="10" l="1"/>
  <c r="F34" i="10"/>
  <c r="E7" i="12"/>
  <c r="J19" i="14"/>
  <c r="R67" i="14"/>
  <c r="R73" i="14"/>
  <c r="G19" i="10"/>
  <c r="G20" i="10" s="1"/>
  <c r="I20" i="14"/>
  <c r="R70" i="14"/>
  <c r="R74" i="14" s="1"/>
  <c r="G8" i="12" s="1"/>
  <c r="R64" i="14"/>
  <c r="R68" i="14" s="1"/>
  <c r="G14" i="12" s="1"/>
  <c r="G14" i="10"/>
  <c r="G15" i="10" s="1"/>
  <c r="J14" i="14"/>
  <c r="I15" i="14"/>
  <c r="I40" i="14"/>
  <c r="J36" i="14"/>
  <c r="I47" i="14"/>
  <c r="H50" i="14"/>
  <c r="BG29" i="14"/>
  <c r="BF30" i="14"/>
  <c r="BH25" i="14"/>
  <c r="BI24" i="14"/>
  <c r="F7" i="12" l="1"/>
  <c r="G34" i="10"/>
  <c r="K19" i="14"/>
  <c r="J20" i="14"/>
  <c r="J15" i="14"/>
  <c r="K14" i="14"/>
  <c r="J47" i="14"/>
  <c r="I50" i="14"/>
  <c r="K36" i="14"/>
  <c r="J40" i="14"/>
  <c r="BG30" i="14"/>
  <c r="BH29" i="14"/>
  <c r="BJ24" i="14"/>
  <c r="BI25" i="14"/>
  <c r="C44" i="1"/>
  <c r="E44" i="1" s="1"/>
  <c r="G7" i="12" l="1"/>
  <c r="K20" i="14"/>
  <c r="L19" i="14"/>
  <c r="K40" i="14"/>
  <c r="L36" i="14"/>
  <c r="K47" i="14"/>
  <c r="J50" i="14"/>
  <c r="L14" i="14"/>
  <c r="K15" i="14"/>
  <c r="BI29" i="14"/>
  <c r="BH30" i="14"/>
  <c r="BJ25" i="14"/>
  <c r="BK24" i="14"/>
  <c r="D23" i="1"/>
  <c r="E45" i="1"/>
  <c r="L20" i="14" l="1"/>
  <c r="M19" i="14"/>
  <c r="K50" i="14"/>
  <c r="L47" i="14"/>
  <c r="L40" i="14"/>
  <c r="M36" i="14"/>
  <c r="L15" i="14"/>
  <c r="M14" i="14"/>
  <c r="BI30" i="14"/>
  <c r="BJ29" i="14"/>
  <c r="BL24" i="14"/>
  <c r="BK25" i="14"/>
  <c r="C28" i="1"/>
  <c r="C35" i="1"/>
  <c r="C37" i="1"/>
  <c r="C38" i="1"/>
  <c r="C39" i="1"/>
  <c r="C33" i="1"/>
  <c r="C34" i="1"/>
  <c r="C36" i="1"/>
  <c r="C29" i="1"/>
  <c r="C30" i="1"/>
  <c r="C31" i="1"/>
  <c r="C32" i="1"/>
  <c r="C40" i="1"/>
  <c r="C25" i="1"/>
  <c r="C24" i="1"/>
  <c r="C26" i="1"/>
  <c r="C27" i="1"/>
  <c r="C23" i="1"/>
  <c r="E23" i="1" s="1"/>
  <c r="F23" i="1" s="1"/>
  <c r="D24" i="1" s="1"/>
  <c r="M20" i="14" l="1"/>
  <c r="N19" i="14"/>
  <c r="M47" i="14"/>
  <c r="L50" i="14"/>
  <c r="M15" i="14"/>
  <c r="N14" i="14"/>
  <c r="M40" i="14"/>
  <c r="N36" i="14"/>
  <c r="BK29" i="14"/>
  <c r="BJ30" i="14"/>
  <c r="BL25" i="14"/>
  <c r="BM24" i="14"/>
  <c r="BM25" i="14" s="1"/>
  <c r="E24" i="1"/>
  <c r="F24" i="1" s="1"/>
  <c r="D25" i="1" s="1"/>
  <c r="E25" i="1" s="1"/>
  <c r="F25" i="1" s="1"/>
  <c r="D26" i="1" s="1"/>
  <c r="E26" i="1" s="1"/>
  <c r="F26" i="1" s="1"/>
  <c r="D27" i="1" s="1"/>
  <c r="N20" i="14" l="1"/>
  <c r="O19" i="14"/>
  <c r="N15" i="14"/>
  <c r="O14" i="14"/>
  <c r="N40" i="14"/>
  <c r="O36" i="14"/>
  <c r="N47" i="14"/>
  <c r="M50" i="14"/>
  <c r="BL29" i="14"/>
  <c r="BK30" i="14"/>
  <c r="E27" i="1"/>
  <c r="F27" i="1" s="1"/>
  <c r="D28" i="1" s="1"/>
  <c r="E28" i="1" s="1"/>
  <c r="F28" i="1" s="1"/>
  <c r="D29" i="1" s="1"/>
  <c r="E29" i="1" s="1"/>
  <c r="F29" i="1" s="1"/>
  <c r="O20" i="14" l="1"/>
  <c r="P19" i="14"/>
  <c r="P36" i="14"/>
  <c r="P40" i="14" s="1"/>
  <c r="O40" i="14"/>
  <c r="N50" i="14"/>
  <c r="O47" i="14"/>
  <c r="O15" i="14"/>
  <c r="P14" i="14"/>
  <c r="BM29" i="14"/>
  <c r="BM30" i="14" s="1"/>
  <c r="BL30" i="14"/>
  <c r="D30" i="1"/>
  <c r="E30" i="1" s="1"/>
  <c r="F30" i="1" s="1"/>
  <c r="D31" i="1" s="1"/>
  <c r="E31" i="1" s="1"/>
  <c r="F31" i="1" s="1"/>
  <c r="P20" i="14" l="1"/>
  <c r="Q19" i="14"/>
  <c r="P15" i="14"/>
  <c r="Q14" i="14"/>
  <c r="P47" i="14"/>
  <c r="P50" i="14" s="1"/>
  <c r="O50" i="14"/>
  <c r="D32" i="1"/>
  <c r="E32" i="1" s="1"/>
  <c r="F32" i="1" s="1"/>
  <c r="D33" i="1" s="1"/>
  <c r="E15" i="18" s="1"/>
  <c r="D32" i="12" s="1"/>
  <c r="Q20" i="14" l="1"/>
  <c r="R19" i="14"/>
  <c r="E33" i="1"/>
  <c r="F33" i="1" s="1"/>
  <c r="D42" i="10" s="1"/>
  <c r="E14" i="3"/>
  <c r="E51" i="14"/>
  <c r="Q15" i="14"/>
  <c r="R14" i="14"/>
  <c r="E19" i="3" l="1"/>
  <c r="R20" i="14"/>
  <c r="S19" i="14"/>
  <c r="D34" i="1"/>
  <c r="R15" i="14"/>
  <c r="S14" i="14"/>
  <c r="E34" i="1" l="1"/>
  <c r="F34" i="1" s="1"/>
  <c r="S20" i="14"/>
  <c r="T19" i="14"/>
  <c r="S15" i="14"/>
  <c r="T14" i="14"/>
  <c r="T20" i="14" l="1"/>
  <c r="U19" i="14"/>
  <c r="D35" i="1"/>
  <c r="T15" i="14"/>
  <c r="U14" i="14"/>
  <c r="U20" i="14" l="1"/>
  <c r="V19" i="14"/>
  <c r="E35" i="1"/>
  <c r="F35" i="1" s="1"/>
  <c r="U15" i="14"/>
  <c r="V14" i="14"/>
  <c r="D36" i="1" l="1"/>
  <c r="V20" i="14"/>
  <c r="W19" i="14"/>
  <c r="V15" i="14"/>
  <c r="W14" i="14"/>
  <c r="W20" i="14" l="1"/>
  <c r="X19" i="14"/>
  <c r="E36" i="1"/>
  <c r="F36" i="1" s="1"/>
  <c r="D37" i="1" s="1"/>
  <c r="E37" i="1" s="1"/>
  <c r="F37" i="1" s="1"/>
  <c r="W15" i="14"/>
  <c r="X14" i="14"/>
  <c r="D40" i="7"/>
  <c r="C63" i="7" s="1"/>
  <c r="C40" i="7"/>
  <c r="D38" i="1" l="1"/>
  <c r="X20" i="14"/>
  <c r="Y19" i="14"/>
  <c r="X15" i="14"/>
  <c r="Y14" i="14"/>
  <c r="C68" i="7"/>
  <c r="C12" i="12"/>
  <c r="E38" i="1" l="1"/>
  <c r="F38" i="1" s="1"/>
  <c r="Y20" i="14"/>
  <c r="Z19" i="14"/>
  <c r="D9" i="18"/>
  <c r="D12" i="12"/>
  <c r="C23" i="12"/>
  <c r="C24" i="12" s="1"/>
  <c r="Y15" i="14"/>
  <c r="Z14" i="14"/>
  <c r="C74" i="7"/>
  <c r="C75" i="7" s="1"/>
  <c r="Z20" i="14" l="1"/>
  <c r="AA19" i="14"/>
  <c r="D39" i="1"/>
  <c r="E9" i="18"/>
  <c r="E12" i="12"/>
  <c r="Z15" i="14"/>
  <c r="AA14" i="14"/>
  <c r="E39" i="1" l="1"/>
  <c r="F39" i="1" s="1"/>
  <c r="D40" i="1" s="1"/>
  <c r="AA20" i="14"/>
  <c r="AB19" i="14"/>
  <c r="F12" i="12"/>
  <c r="F9" i="18"/>
  <c r="AA15" i="14"/>
  <c r="AB14" i="14"/>
  <c r="E40" i="1" l="1"/>
  <c r="F40" i="1" s="1"/>
  <c r="E42" i="10" s="1"/>
  <c r="F15" i="18"/>
  <c r="E32" i="12" s="1"/>
  <c r="F14" i="3"/>
  <c r="AB20" i="14"/>
  <c r="AC19" i="14"/>
  <c r="F19" i="3"/>
  <c r="G12" i="12"/>
  <c r="H9" i="18" s="1"/>
  <c r="G9" i="18"/>
  <c r="AB15" i="14"/>
  <c r="AC14" i="14"/>
  <c r="AC20" i="14" l="1"/>
  <c r="AD19" i="14"/>
  <c r="AC15" i="14"/>
  <c r="AD14" i="14"/>
  <c r="AD20" i="14" l="1"/>
  <c r="AE19" i="14"/>
  <c r="AD15" i="14"/>
  <c r="AE14" i="14"/>
  <c r="AE20" i="14" l="1"/>
  <c r="AF19" i="14"/>
  <c r="AE15" i="14"/>
  <c r="AF14" i="14"/>
  <c r="AF20" i="14" l="1"/>
  <c r="AG19" i="14"/>
  <c r="AF15" i="14"/>
  <c r="AG14" i="14"/>
  <c r="AG20" i="14" l="1"/>
  <c r="AH19" i="14"/>
  <c r="AG15" i="14"/>
  <c r="AH14" i="14"/>
  <c r="AH20" i="14" l="1"/>
  <c r="AI19" i="14"/>
  <c r="AH15" i="14"/>
  <c r="AI14" i="14"/>
  <c r="AI20" i="14" l="1"/>
  <c r="AJ19" i="14"/>
  <c r="AI15" i="14"/>
  <c r="AJ14" i="14"/>
  <c r="AJ20" i="14" l="1"/>
  <c r="AK19" i="14"/>
  <c r="AJ15" i="14"/>
  <c r="AK14" i="14"/>
  <c r="AK20" i="14" l="1"/>
  <c r="AL19" i="14"/>
  <c r="AK15" i="14"/>
  <c r="AL14" i="14"/>
  <c r="AL20" i="14" l="1"/>
  <c r="AM19" i="14"/>
  <c r="AL15" i="14"/>
  <c r="AM14" i="14"/>
  <c r="AM20" i="14" l="1"/>
  <c r="AN19" i="14"/>
  <c r="AM15" i="14"/>
  <c r="AN14" i="14"/>
  <c r="AN20" i="14" l="1"/>
  <c r="AO19" i="14"/>
  <c r="AN15" i="14"/>
  <c r="AO14" i="14"/>
  <c r="AO20" i="14" l="1"/>
  <c r="AP19" i="14"/>
  <c r="AO15" i="14"/>
  <c r="AP14" i="14"/>
  <c r="AP20" i="14" l="1"/>
  <c r="AQ19" i="14"/>
  <c r="AP15" i="14"/>
  <c r="AQ14" i="14"/>
  <c r="AQ20" i="14" l="1"/>
  <c r="AR19" i="14"/>
  <c r="AQ15" i="14"/>
  <c r="AR14" i="14"/>
  <c r="AR20" i="14" l="1"/>
  <c r="AS19" i="14"/>
  <c r="AR15" i="14"/>
  <c r="AS14" i="14"/>
  <c r="AS20" i="14" l="1"/>
  <c r="AT19" i="14"/>
  <c r="AS15" i="14"/>
  <c r="AT14" i="14"/>
  <c r="AT20" i="14" l="1"/>
  <c r="AU19" i="14"/>
  <c r="AT15" i="14"/>
  <c r="AU14" i="14"/>
  <c r="AU20" i="14" l="1"/>
  <c r="AV19" i="14"/>
  <c r="AU15" i="14"/>
  <c r="AV14" i="14"/>
  <c r="AV20" i="14" l="1"/>
  <c r="AW19" i="14"/>
  <c r="AV15" i="14"/>
  <c r="AW14" i="14"/>
  <c r="AW20" i="14" l="1"/>
  <c r="AX19" i="14"/>
  <c r="AW15" i="14"/>
  <c r="AX14" i="14"/>
  <c r="AX20" i="14" l="1"/>
  <c r="AY19" i="14"/>
  <c r="AX15" i="14"/>
  <c r="AY14" i="14"/>
  <c r="AY20" i="14" l="1"/>
  <c r="AZ19" i="14"/>
  <c r="AY15" i="14"/>
  <c r="AZ14" i="14"/>
  <c r="AZ20" i="14" l="1"/>
  <c r="BA19" i="14"/>
  <c r="AZ15" i="14"/>
  <c r="BA14" i="14"/>
  <c r="BA20" i="14" l="1"/>
  <c r="BB19" i="14"/>
  <c r="BA15" i="14"/>
  <c r="BB14" i="14"/>
  <c r="BB20" i="14" l="1"/>
  <c r="BC19" i="14"/>
  <c r="BB15" i="14"/>
  <c r="BC14" i="14"/>
  <c r="BD19" i="14" l="1"/>
  <c r="BC20" i="14"/>
  <c r="BC15" i="14"/>
  <c r="BD14" i="14"/>
  <c r="BE19" i="14" l="1"/>
  <c r="BD20" i="14"/>
  <c r="BD15" i="14"/>
  <c r="BE14" i="14"/>
  <c r="BE20" i="14" l="1"/>
  <c r="BF19" i="14"/>
  <c r="BE15" i="14"/>
  <c r="BF14" i="14"/>
  <c r="BG19" i="14" l="1"/>
  <c r="BF20" i="14"/>
  <c r="BG14" i="14"/>
  <c r="BF15" i="14"/>
  <c r="BH19" i="14" l="1"/>
  <c r="BG20" i="14"/>
  <c r="BH14" i="14"/>
  <c r="BG15" i="14"/>
  <c r="BH20" i="14" l="1"/>
  <c r="BI19" i="14"/>
  <c r="BH15" i="14"/>
  <c r="BI14" i="14"/>
  <c r="BI20" i="14" l="1"/>
  <c r="BJ19" i="14"/>
  <c r="BJ14" i="14"/>
  <c r="BI15" i="14"/>
  <c r="BK19" i="14" l="1"/>
  <c r="BJ20" i="14"/>
  <c r="BJ15" i="14"/>
  <c r="BK14" i="14"/>
  <c r="BK20" i="14" l="1"/>
  <c r="BL19" i="14"/>
  <c r="BK15" i="14"/>
  <c r="BL14" i="14"/>
  <c r="BL20" i="14" l="1"/>
  <c r="BM19" i="14"/>
  <c r="BM20" i="14" s="1"/>
  <c r="BM14" i="14"/>
  <c r="BM15" i="14" s="1"/>
  <c r="BL15" i="14"/>
  <c r="E6" i="18" l="1"/>
  <c r="D84" i="11"/>
  <c r="D3" i="12"/>
  <c r="D4" i="12" s="1"/>
  <c r="E6" i="3"/>
  <c r="D85" i="11"/>
  <c r="K76" i="11"/>
  <c r="K77" i="11" s="1"/>
  <c r="E75" i="11"/>
  <c r="C85" i="11"/>
  <c r="J76" i="11"/>
  <c r="J77" i="11" s="1"/>
  <c r="D7" i="3"/>
  <c r="E7" i="3"/>
  <c r="E77" i="11" l="1"/>
  <c r="L76" i="11"/>
  <c r="L77" i="11" s="1"/>
  <c r="F7" i="3"/>
  <c r="E85" i="11"/>
  <c r="F75" i="11"/>
  <c r="E7" i="18"/>
  <c r="E8" i="18" s="1"/>
  <c r="E11" i="18" s="1"/>
  <c r="D6" i="12"/>
  <c r="D9" i="12" s="1"/>
  <c r="D10" i="12" s="1"/>
  <c r="C80" i="11"/>
  <c r="C84" i="11" s="1"/>
  <c r="C86" i="11" s="1"/>
  <c r="C87" i="11" s="1"/>
  <c r="C3" i="12"/>
  <c r="C4" i="12" s="1"/>
  <c r="D6" i="18"/>
  <c r="D6" i="3"/>
  <c r="D8" i="3" s="1"/>
  <c r="D11" i="3" s="1"/>
  <c r="D13" i="3" s="1"/>
  <c r="E8" i="3"/>
  <c r="E11" i="3" s="1"/>
  <c r="E13" i="3" s="1"/>
  <c r="D86" i="11"/>
  <c r="D87" i="11" s="1"/>
  <c r="D7" i="18"/>
  <c r="C6" i="12"/>
  <c r="C9" i="12" s="1"/>
  <c r="D33" i="12" l="1"/>
  <c r="D34" i="12" s="1"/>
  <c r="D35" i="12" s="1"/>
  <c r="E14" i="18"/>
  <c r="E16" i="18" s="1"/>
  <c r="E20" i="17"/>
  <c r="F85" i="11"/>
  <c r="M76" i="11"/>
  <c r="M77" i="11" s="1"/>
  <c r="F77" i="11"/>
  <c r="G7" i="3"/>
  <c r="G75" i="11"/>
  <c r="D15" i="3"/>
  <c r="C43" i="10" s="1"/>
  <c r="C44" i="10" s="1"/>
  <c r="D8" i="18"/>
  <c r="D11" i="18" s="1"/>
  <c r="E15" i="3"/>
  <c r="D43" i="10" s="1"/>
  <c r="D44" i="10" s="1"/>
  <c r="E17" i="3"/>
  <c r="E6" i="12"/>
  <c r="E9" i="12" s="1"/>
  <c r="F7" i="18"/>
  <c r="C10" i="12"/>
  <c r="E79" i="11"/>
  <c r="E3" i="12"/>
  <c r="E4" i="12" s="1"/>
  <c r="E80" i="11"/>
  <c r="E84" i="11" s="1"/>
  <c r="E86" i="11" s="1"/>
  <c r="E87" i="11" s="1"/>
  <c r="F6" i="18"/>
  <c r="F6" i="3"/>
  <c r="F8" i="3" s="1"/>
  <c r="F11" i="3" s="1"/>
  <c r="F13" i="3" s="1"/>
  <c r="D16" i="3" l="1"/>
  <c r="F8" i="18"/>
  <c r="F11" i="18" s="1"/>
  <c r="E16" i="3"/>
  <c r="D17" i="3"/>
  <c r="C53" i="10" s="1"/>
  <c r="E10" i="12"/>
  <c r="E15" i="17"/>
  <c r="E17" i="17" s="1"/>
  <c r="D49" i="10"/>
  <c r="E30" i="17" s="1"/>
  <c r="G6" i="18"/>
  <c r="G6" i="3"/>
  <c r="G8" i="3" s="1"/>
  <c r="G11" i="3" s="1"/>
  <c r="G13" i="3" s="1"/>
  <c r="F79" i="11"/>
  <c r="F3" i="12"/>
  <c r="F4" i="12" s="1"/>
  <c r="F80" i="11"/>
  <c r="F84" i="11" s="1"/>
  <c r="F86" i="11" s="1"/>
  <c r="F87" i="11" s="1"/>
  <c r="F15" i="3"/>
  <c r="E43" i="10" s="1"/>
  <c r="E44" i="10" s="1"/>
  <c r="G85" i="11"/>
  <c r="G77" i="11"/>
  <c r="G80" i="11" s="1"/>
  <c r="N76" i="11"/>
  <c r="N77" i="11" s="1"/>
  <c r="H7" i="3"/>
  <c r="E24" i="17"/>
  <c r="E20" i="3"/>
  <c r="D53" i="10"/>
  <c r="D55" i="10" s="1"/>
  <c r="G7" i="18"/>
  <c r="F6" i="12"/>
  <c r="F9" i="12" s="1"/>
  <c r="C49" i="10"/>
  <c r="D30" i="17" s="1"/>
  <c r="D15" i="17"/>
  <c r="D17" i="17" s="1"/>
  <c r="E22" i="17"/>
  <c r="E17" i="18"/>
  <c r="D17" i="12" s="1"/>
  <c r="D18" i="12" s="1"/>
  <c r="D19" i="12" s="1"/>
  <c r="D25" i="12" s="1"/>
  <c r="D36" i="12" s="1"/>
  <c r="D37" i="12" s="1"/>
  <c r="E33" i="12"/>
  <c r="E34" i="12" s="1"/>
  <c r="E35" i="12" s="1"/>
  <c r="F20" i="17"/>
  <c r="F14" i="18"/>
  <c r="F16" i="18" s="1"/>
  <c r="D20" i="17"/>
  <c r="D14" i="18"/>
  <c r="D16" i="18" s="1"/>
  <c r="C33" i="12"/>
  <c r="C34" i="12" s="1"/>
  <c r="C35" i="12" s="1"/>
  <c r="D20" i="3" l="1"/>
  <c r="D23" i="3" s="1"/>
  <c r="D29" i="3" s="1"/>
  <c r="D24" i="17"/>
  <c r="F10" i="12"/>
  <c r="D17" i="18"/>
  <c r="C17" i="12" s="1"/>
  <c r="C18" i="12" s="1"/>
  <c r="C19" i="12" s="1"/>
  <c r="C25" i="12" s="1"/>
  <c r="C36" i="12" s="1"/>
  <c r="C37" i="12" s="1"/>
  <c r="C39" i="12" s="1"/>
  <c r="D22" i="17"/>
  <c r="H6" i="3"/>
  <c r="H8" i="3" s="1"/>
  <c r="H11" i="3" s="1"/>
  <c r="H13" i="3" s="1"/>
  <c r="H6" i="18"/>
  <c r="G3" i="12"/>
  <c r="G4" i="12" s="1"/>
  <c r="G79" i="11"/>
  <c r="G84" i="11"/>
  <c r="G86" i="11" s="1"/>
  <c r="G87" i="11" s="1"/>
  <c r="C55" i="10"/>
  <c r="C18" i="21"/>
  <c r="C20" i="21" s="1"/>
  <c r="E18" i="18"/>
  <c r="F17" i="3"/>
  <c r="E28" i="17"/>
  <c r="F17" i="18"/>
  <c r="E17" i="12" s="1"/>
  <c r="E18" i="12" s="1"/>
  <c r="E19" i="12" s="1"/>
  <c r="E25" i="12" s="1"/>
  <c r="E36" i="12" s="1"/>
  <c r="E37" i="12" s="1"/>
  <c r="F22" i="17"/>
  <c r="H7" i="18"/>
  <c r="G6" i="12"/>
  <c r="G9" i="12" s="1"/>
  <c r="G8" i="18"/>
  <c r="G11" i="18" s="1"/>
  <c r="G15" i="3"/>
  <c r="F43" i="10" s="1"/>
  <c r="F44" i="10" s="1"/>
  <c r="D28" i="17"/>
  <c r="E49" i="10"/>
  <c r="F30" i="17" s="1"/>
  <c r="F15" i="17"/>
  <c r="F17" i="17" s="1"/>
  <c r="E26" i="17"/>
  <c r="D57" i="10"/>
  <c r="F16" i="3"/>
  <c r="D18" i="18" l="1"/>
  <c r="G10" i="12"/>
  <c r="H8" i="18"/>
  <c r="H11" i="18" s="1"/>
  <c r="H20" i="17" s="1"/>
  <c r="F18" i="18"/>
  <c r="H15" i="3"/>
  <c r="G43" i="10" s="1"/>
  <c r="G44" i="10" s="1"/>
  <c r="G33" i="12"/>
  <c r="G34" i="12" s="1"/>
  <c r="G35" i="12" s="1"/>
  <c r="C24" i="21"/>
  <c r="C10" i="21" s="1"/>
  <c r="G20" i="17"/>
  <c r="G14" i="18"/>
  <c r="G16" i="18" s="1"/>
  <c r="F33" i="12"/>
  <c r="F34" i="12" s="1"/>
  <c r="F35" i="12" s="1"/>
  <c r="E53" i="10"/>
  <c r="E55" i="10" s="1"/>
  <c r="F24" i="17"/>
  <c r="F20" i="3"/>
  <c r="G16" i="3"/>
  <c r="F26" i="17"/>
  <c r="C57" i="10"/>
  <c r="D27" i="17"/>
  <c r="D29" i="17" s="1"/>
  <c r="I28" i="17" s="1"/>
  <c r="E27" i="17"/>
  <c r="E29" i="17" s="1"/>
  <c r="K28" i="17" s="1"/>
  <c r="D26" i="17"/>
  <c r="G15" i="17"/>
  <c r="G17" i="17" s="1"/>
  <c r="F49" i="10"/>
  <c r="G30" i="17" s="1"/>
  <c r="G17" i="3"/>
  <c r="D38" i="12"/>
  <c r="D39" i="12" s="1"/>
  <c r="C5" i="10"/>
  <c r="C8" i="10" s="1"/>
  <c r="H14" i="18" l="1"/>
  <c r="H16" i="18" s="1"/>
  <c r="H22" i="17" s="1"/>
  <c r="H16" i="3"/>
  <c r="E57" i="10"/>
  <c r="F27" i="17"/>
  <c r="F29" i="17" s="1"/>
  <c r="F28" i="17"/>
  <c r="D10" i="21"/>
  <c r="G20" i="3"/>
  <c r="F53" i="10"/>
  <c r="F55" i="10" s="1"/>
  <c r="G24" i="17"/>
  <c r="H17" i="18"/>
  <c r="G17" i="12" s="1"/>
  <c r="G18" i="12" s="1"/>
  <c r="G19" i="12" s="1"/>
  <c r="G25" i="12" s="1"/>
  <c r="G36" i="12" s="1"/>
  <c r="G37" i="12" s="1"/>
  <c r="G17" i="18"/>
  <c r="F17" i="12" s="1"/>
  <c r="F18" i="12" s="1"/>
  <c r="F19" i="12" s="1"/>
  <c r="F25" i="12" s="1"/>
  <c r="F36" i="12" s="1"/>
  <c r="F37" i="12" s="1"/>
  <c r="G22" i="17"/>
  <c r="D18" i="17"/>
  <c r="D14" i="17"/>
  <c r="I14" i="17" s="1"/>
  <c r="C40" i="10"/>
  <c r="C59" i="10" s="1"/>
  <c r="D16" i="17"/>
  <c r="I16" i="17" s="1"/>
  <c r="I26" i="17"/>
  <c r="K26" i="17"/>
  <c r="H15" i="17"/>
  <c r="H17" i="17" s="1"/>
  <c r="G49" i="10"/>
  <c r="H30" i="17" s="1"/>
  <c r="D5" i="10"/>
  <c r="D8" i="10" s="1"/>
  <c r="E38" i="12"/>
  <c r="E39" i="12" s="1"/>
  <c r="C21" i="21"/>
  <c r="D20" i="21" s="1"/>
  <c r="H17" i="3"/>
  <c r="M28" i="17" l="1"/>
  <c r="G18" i="18"/>
  <c r="H18" i="18"/>
  <c r="D19" i="17"/>
  <c r="I18" i="17" s="1"/>
  <c r="D21" i="17"/>
  <c r="C58" i="10"/>
  <c r="D31" i="17"/>
  <c r="I30" i="17" s="1"/>
  <c r="H26" i="17"/>
  <c r="G28" i="17"/>
  <c r="E18" i="17"/>
  <c r="E14" i="17"/>
  <c r="K14" i="17" s="1"/>
  <c r="D40" i="10"/>
  <c r="E21" i="17" s="1"/>
  <c r="E16" i="17"/>
  <c r="K16" i="17" s="1"/>
  <c r="F57" i="10"/>
  <c r="G27" i="17"/>
  <c r="G29" i="17" s="1"/>
  <c r="F38" i="12"/>
  <c r="F39" i="12" s="1"/>
  <c r="E5" i="10"/>
  <c r="E8" i="10" s="1"/>
  <c r="G26" i="17"/>
  <c r="C23" i="21"/>
  <c r="B31" i="21"/>
  <c r="H24" i="17"/>
  <c r="G53" i="10"/>
  <c r="G55" i="10" s="1"/>
  <c r="G57" i="10" s="1"/>
  <c r="H20" i="3"/>
  <c r="M26" i="17"/>
  <c r="H27" i="17" l="1"/>
  <c r="H29" i="17" s="1"/>
  <c r="O26" i="17"/>
  <c r="E23" i="17"/>
  <c r="K20" i="17"/>
  <c r="G38" i="12"/>
  <c r="G39" i="12" s="1"/>
  <c r="G5" i="10" s="1"/>
  <c r="G8" i="10" s="1"/>
  <c r="F5" i="10"/>
  <c r="F8" i="10" s="1"/>
  <c r="Q26" i="17"/>
  <c r="D58" i="10"/>
  <c r="E19" i="17"/>
  <c r="K18" i="17" s="1"/>
  <c r="E31" i="17"/>
  <c r="K30" i="17" s="1"/>
  <c r="D59" i="10"/>
  <c r="D23" i="17"/>
  <c r="I20" i="17"/>
  <c r="F14" i="17"/>
  <c r="M14" i="17" s="1"/>
  <c r="F16" i="17"/>
  <c r="M16" i="17" s="1"/>
  <c r="F18" i="17"/>
  <c r="E40" i="10"/>
  <c r="H28" i="17"/>
  <c r="E34" i="21"/>
  <c r="E36" i="21" s="1"/>
  <c r="B2" i="19"/>
  <c r="O28" i="17"/>
  <c r="C49" i="19" l="1"/>
  <c r="B41" i="19"/>
  <c r="C45" i="19"/>
  <c r="C46" i="19"/>
  <c r="C48" i="19"/>
  <c r="B22" i="19"/>
  <c r="C47" i="19"/>
  <c r="C44" i="19"/>
  <c r="D44" i="19" s="1"/>
  <c r="D45" i="19" s="1"/>
  <c r="C26" i="19"/>
  <c r="C27" i="19"/>
  <c r="C28" i="19"/>
  <c r="C30" i="19"/>
  <c r="C25" i="19"/>
  <c r="C29" i="19"/>
  <c r="Q28" i="17"/>
  <c r="D25" i="17"/>
  <c r="I24" i="17" s="1"/>
  <c r="I22" i="17"/>
  <c r="F5" i="19"/>
  <c r="C10" i="19"/>
  <c r="C6" i="19"/>
  <c r="C9" i="19"/>
  <c r="D15" i="19" s="1"/>
  <c r="C8" i="19"/>
  <c r="C5" i="19"/>
  <c r="C7" i="19"/>
  <c r="G14" i="17"/>
  <c r="O14" i="17" s="1"/>
  <c r="G18" i="17"/>
  <c r="G16" i="17"/>
  <c r="O16" i="17" s="1"/>
  <c r="F40" i="10"/>
  <c r="H14" i="17"/>
  <c r="Q14" i="17" s="1"/>
  <c r="H16" i="17"/>
  <c r="Q16" i="17" s="1"/>
  <c r="H18" i="17"/>
  <c r="G40" i="10"/>
  <c r="F19" i="17"/>
  <c r="M18" i="17" s="1"/>
  <c r="E58" i="10"/>
  <c r="F31" i="17"/>
  <c r="M30" i="17" s="1"/>
  <c r="G21" i="17"/>
  <c r="E59" i="10"/>
  <c r="F21" i="17"/>
  <c r="E25" i="17"/>
  <c r="K24" i="17" s="1"/>
  <c r="K22" i="17"/>
  <c r="D46" i="19" l="1"/>
  <c r="D47" i="19"/>
  <c r="D25" i="19"/>
  <c r="D26" i="19" s="1"/>
  <c r="D27" i="19" s="1"/>
  <c r="D28" i="19" s="1"/>
  <c r="D5" i="19"/>
  <c r="D6" i="19" s="1"/>
  <c r="D7" i="19" s="1"/>
  <c r="D8" i="19" s="1"/>
  <c r="D12" i="19"/>
  <c r="F23" i="17"/>
  <c r="M20" i="17"/>
  <c r="G23" i="17"/>
  <c r="O20" i="17"/>
  <c r="F58" i="10"/>
  <c r="G19" i="17"/>
  <c r="O18" i="17" s="1"/>
  <c r="H21" i="17"/>
  <c r="G31" i="17"/>
  <c r="O30" i="17" s="1"/>
  <c r="F59" i="10"/>
  <c r="H31" i="17"/>
  <c r="Q30" i="17" s="1"/>
  <c r="H19" i="17"/>
  <c r="Q18" i="17" s="1"/>
  <c r="G58" i="10"/>
  <c r="G59" i="10"/>
  <c r="D48" i="19" l="1"/>
  <c r="D49" i="19" s="1"/>
  <c r="D29" i="19"/>
  <c r="D30" i="19" s="1"/>
  <c r="H23" i="17"/>
  <c r="Q20" i="17"/>
  <c r="D14" i="19"/>
  <c r="D16" i="19"/>
  <c r="D9" i="19"/>
  <c r="D10" i="19" s="1"/>
  <c r="G25" i="17"/>
  <c r="O24" i="17" s="1"/>
  <c r="O22" i="17"/>
  <c r="F25" i="17"/>
  <c r="M24" i="17" s="1"/>
  <c r="M22" i="17"/>
  <c r="H25" i="17" l="1"/>
  <c r="Q24" i="17" s="1"/>
  <c r="Q22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15" authorId="0" shapeId="0" xr:uid="{FC512101-4D42-421E-AEBA-DAB587A9C18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Impuesto sobre la renta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17" authorId="0" shapeId="0" xr:uid="{7C1798BF-E306-4C76-87DE-79CB2DFF3877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Impuesto sobre la renta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F3" authorId="0" shapeId="0" xr:uid="{61D0879D-8AA9-4A2D-958D-D424CAAEEF68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https://www.fincaraiz.com.co/inmueble/local-en-arriendo/centro/bucaramanga/6752753</t>
        </r>
      </text>
    </comment>
    <comment ref="F4" authorId="0" shapeId="0" xr:uid="{D1B7F873-EB5C-491C-8483-AD73984BA4F6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Instagram </t>
        </r>
      </text>
    </comment>
    <comment ref="F5" authorId="0" shapeId="0" xr:uid="{EE4B2A78-DCE4-428B-B1C1-B1498F211E81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agua, luz, gas
</t>
        </r>
      </text>
    </comment>
    <comment ref="F6" authorId="0" shapeId="0" xr:uid="{989DBC7B-5DD4-4A3B-8AD6-D3977C5A270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ttps://plane-telcolombia.com/hogar/?tlid=01447026-0a13-4f90-b639-55e34b9631dc&amp;adw_campaignid=15519996894&amp;adw_creative=568243447665&amp;adw_keyword=planes%20movistar%20hogar&amp;adw_adgroupid=130404599945&amp;adw_targetid=kwd-296957875579&amp;adw_matchtype=b&amp;adw_network=g&amp;adw_device=c&amp;adw_devicemodel=&amp;adw_placement=&amp;adw_target=&amp;adw_adposition=&amp;gclid=Cj0KCQiAjc2QBhDgARIsAMc3SqQuAMMAr-O1iqxB2rJ1Q32ZKDHnew-WZWADcKa-pB_B7i1QlGMPt6oaAkBvEALw_wcB</t>
        </r>
      </text>
    </comment>
    <comment ref="F7" authorId="0" shapeId="0" xr:uid="{45CFE47D-7199-482C-8D95-F60FF4AFF2BC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mensual 
tanqueada full 10.000
</t>
        </r>
      </text>
    </comment>
    <comment ref="B43" authorId="0" shapeId="0" xr:uid="{6B4C7388-7AA1-4AE9-A5BB-3CC4327F4C2F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https://www.investlatam.com/es/Home/Borrower?gclid=CjwKCAiA9tyQBhAIEiwA6tdCrIHP4guqx3fcWaRnLBFpjN5G_9nD6u0AAq4TyNY1UZ8UMQRqvj8f0BoCDtwQAvD_BwE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4" authorId="0" shapeId="0" xr:uid="{A8F834CF-A137-458E-BACE-BA9EDE493EDB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https://www.semana.com/economia/macroeconomia/articulo/atencion-inflacion-de-colombia-en-enero-de-2022-fue-de-167/202228/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M16" authorId="0" shapeId="0" xr:uid="{6C6784E9-29FE-4099-8473-44E9F7906932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https://spanish.alibaba.com/product-detail/chemical-raw-material-in-bulk-for-household-kitchen-detergent-dishwasher-liquid-cleaner-in-detergent-1000l-barrel-1600185990553.html
1000 L 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44" authorId="0" shapeId="0" xr:uid="{77F8E043-4982-4534-90C8-1A6F04D491E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file:///C:/Users/Usuario/AppData/Local/Temp/MicrosoftEdgeDownloads/e135e72c-6a82-426e-9989-ceca5338f593/creacion_de_empresas.pdf</t>
        </r>
      </text>
    </comment>
    <comment ref="G47" authorId="0" shapeId="0" xr:uid="{50953B1C-D90F-49EE-AF8A-9B60A99ABD5D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https://www.google.com/search?sxsrf=APq-WBtH1EVy5qVdzqMx2N_-v6gyCwGXsg:1646086094981&amp;q=estratos+porcentaje+en+bucaraman&amp;spell=1&amp;sa=X&amp;ved=2ahUKEwiVzdfHtKP2AhXwRDABHW8YBJgQBSgAegQIARA3&amp;biw=1366&amp;bih=663&amp;dpr=1</t>
        </r>
      </text>
    </comment>
    <comment ref="B81" authorId="0" shapeId="0" xr:uid="{295AEE3A-16EF-4202-9650-2C048AFF70CE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https://www.fondoemprender.com/SitePages/FondoEmprenderConvocatorias2020.aspx</t>
        </r>
      </text>
    </comment>
    <comment ref="C81" authorId="0" shapeId="0" xr:uid="{F3781BCD-DB6D-44D6-AC7E-ED124F3B008D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https://www.sena.edu.co/es-co/Noticias/Paginas/noticia.aspx?IdNoticia=4521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5" authorId="0" shapeId="0" xr:uid="{BFB6F9BE-E40B-41A0-BF32-25A55A7F271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https://rentaespacio.co/blog/como-conocer-el-costo-de-almacenamiento-en-mi-oficina/
</t>
        </r>
      </text>
    </comment>
    <comment ref="B21" authorId="0" shapeId="0" xr:uid="{3908721F-273F-4194-BB1E-DE0957313036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 que se debe vender para tener un beneficio deseado 24.000.000
</t>
        </r>
      </text>
    </comment>
    <comment ref="B24" authorId="0" shapeId="0" xr:uid="{B882E2FC-5979-46E4-BD9F-CC47A4288C82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El ingreso que permite tener un benefico de 7.200.000 es de ese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29" authorId="0" shapeId="0" xr:uid="{D84403A9-B660-49CD-866E-8A2AAED189DD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https://www.bursitia.com/2020/07/20/que-es-y-como-se-calcula-el-wacc/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13" authorId="0" shapeId="0" xr:uid="{D2AC8669-BAA8-43F6-9A0C-5E0773F4FFEA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https://www.tribal.mx/blog/calcular-costo-de-capital#:~:text=El%20WACC%20es%20simplemente%20un,social%20com%C3%BAn%20de%20tu%20empresa.&amp;text=WACC%20%3D%20%5B(1%2DTasa%20de,%C3%B7%20(Deuda%20%2B%20Equity))%5D
</t>
        </r>
      </text>
    </comment>
    <comment ref="C33" authorId="0" shapeId="0" xr:uid="{601B0C46-BE5E-420D-AC60-8D7354983482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https://www.tribal.mx/blog/calcular-costo-de-capital#:~:text=El%20WACC%20es%20simplemente%20un,social%20com%C3%BAn%20de%20tu%20empresa.&amp;text=WACC%20%3D%20%5B(1%2DTasa%20de,%C3%B7%20(Deuda%20%2B%20Equity))%5D
</t>
        </r>
      </text>
    </comment>
    <comment ref="C53" authorId="0" shapeId="0" xr:uid="{549D5A2F-74A0-43CB-B8F9-C31CF2383179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https://www.tribal.mx/blog/calcular-costo-de-capital#:~:text=El%20WACC%20es%20simplemente%20un,social%20com%C3%BAn%20de%20tu%20empresa.&amp;text=WACC%20%3D%20%5B(1%2DTasa%20de,%C3%B7%20(Deuda%20%2B%20Equity))%5D
</t>
        </r>
      </text>
    </comment>
  </commentList>
</comments>
</file>

<file path=xl/sharedStrings.xml><?xml version="1.0" encoding="utf-8"?>
<sst xmlns="http://schemas.openxmlformats.org/spreadsheetml/2006/main" count="983" uniqueCount="572">
  <si>
    <t>Costos Variables</t>
  </si>
  <si>
    <t xml:space="preserve">Costos Fijos </t>
  </si>
  <si>
    <t xml:space="preserve">Materia Prima </t>
  </si>
  <si>
    <t>Renta</t>
  </si>
  <si>
    <t>Publicidad</t>
  </si>
  <si>
    <t>Servicios Publicos</t>
  </si>
  <si>
    <t>Gastos Variables</t>
  </si>
  <si>
    <t xml:space="preserve">Gastos Fijos </t>
  </si>
  <si>
    <t xml:space="preserve">Gastos por mantenimiento </t>
  </si>
  <si>
    <t>Gastos de Operación</t>
  </si>
  <si>
    <t>Gastos administrativos</t>
  </si>
  <si>
    <t>Gastos de transporte</t>
  </si>
  <si>
    <t xml:space="preserve">Gastos de depreciación </t>
  </si>
  <si>
    <t xml:space="preserve">Gastos por impuestos </t>
  </si>
  <si>
    <t>Gastos de Organización (puesta en marcha)</t>
  </si>
  <si>
    <t>Internet</t>
  </si>
  <si>
    <t>Servicio Publico</t>
  </si>
  <si>
    <t>Gasolina</t>
  </si>
  <si>
    <t>Capital Social</t>
  </si>
  <si>
    <t xml:space="preserve">Activos inversión </t>
  </si>
  <si>
    <t xml:space="preserve">2 Motos </t>
  </si>
  <si>
    <t>Envases larga vida 20 L</t>
  </si>
  <si>
    <t>Envases larga vida 4 L</t>
  </si>
  <si>
    <t>Envases larga vida 2 L</t>
  </si>
  <si>
    <t>Envases larga vida 1L</t>
  </si>
  <si>
    <t>Tanque dispensador 30 L (8unidades)</t>
  </si>
  <si>
    <t xml:space="preserve">Activos Inversión </t>
  </si>
  <si>
    <t xml:space="preserve">Nomina </t>
  </si>
  <si>
    <t xml:space="preserve">Auxiliar </t>
  </si>
  <si>
    <t>LP</t>
  </si>
  <si>
    <t xml:space="preserve">Fecha </t>
  </si>
  <si>
    <t>Cuota</t>
  </si>
  <si>
    <t>Interés</t>
  </si>
  <si>
    <t>Capitall</t>
  </si>
  <si>
    <t>Saldo</t>
  </si>
  <si>
    <t>EA</t>
  </si>
  <si>
    <t>PLAZO</t>
  </si>
  <si>
    <t>CAPITAL</t>
  </si>
  <si>
    <t xml:space="preserve">Optimista </t>
  </si>
  <si>
    <t>Más probable</t>
  </si>
  <si>
    <t xml:space="preserve">Pesimista </t>
  </si>
  <si>
    <t xml:space="preserve">Otros </t>
  </si>
  <si>
    <t>Almacenes Éxito S.A</t>
  </si>
  <si>
    <t>Fiamme S.A</t>
  </si>
  <si>
    <t>Belleza Express S.A</t>
  </si>
  <si>
    <t>%</t>
  </si>
  <si>
    <t xml:space="preserve">Empresa </t>
  </si>
  <si>
    <t>Cifras Millones Pesos</t>
  </si>
  <si>
    <t>Market Share JL Col</t>
  </si>
  <si>
    <t>EM</t>
  </si>
  <si>
    <t>TASA EFECTIVA A</t>
  </si>
  <si>
    <t>TASA EFECTIVA M</t>
  </si>
  <si>
    <t xml:space="preserve">PARAMETROS </t>
  </si>
  <si>
    <t>AÑO 1</t>
  </si>
  <si>
    <t>VENTAS</t>
  </si>
  <si>
    <t>(-) COSTO VENTA</t>
  </si>
  <si>
    <t>(=) UTILIDAD BRUTA</t>
  </si>
  <si>
    <t xml:space="preserve">(-) GASTOS OPERACIONALES </t>
  </si>
  <si>
    <t xml:space="preserve">(-) DEPRECIACIONES Y AMORTICACIONES </t>
  </si>
  <si>
    <t xml:space="preserve">(=)  UTILIDAD OPERATIVA </t>
  </si>
  <si>
    <t>(=) UAI</t>
  </si>
  <si>
    <t xml:space="preserve">(-) IMPUESTO </t>
  </si>
  <si>
    <t>(=) UTILIDAD NETA</t>
  </si>
  <si>
    <t xml:space="preserve">(+) DEPRECIACIONES Y AMORTICACIONES </t>
  </si>
  <si>
    <t>(+) INTERESES</t>
  </si>
  <si>
    <t>(=) FLUJO DE  CAJA BRUTO</t>
  </si>
  <si>
    <t>INVERSIÓN DE KTNO</t>
  </si>
  <si>
    <t>INVERSIÓN DE ANC</t>
  </si>
  <si>
    <t xml:space="preserve">(=) FLUJO DE CAJA LIBRE </t>
  </si>
  <si>
    <t>PRESTAMO</t>
  </si>
  <si>
    <t xml:space="preserve">APORTE DE SOCIOS </t>
  </si>
  <si>
    <t xml:space="preserve">SERVICIO A LA DEUDA </t>
  </si>
  <si>
    <t xml:space="preserve">DIVIDENDOS </t>
  </si>
  <si>
    <t xml:space="preserve">VALO DE SALVAMENTO </t>
  </si>
  <si>
    <t xml:space="preserve">(=)FLUJO NETO DE EFECTIVO </t>
  </si>
  <si>
    <t xml:space="preserve">Ventas mensuales </t>
  </si>
  <si>
    <t xml:space="preserve">Domiciliarios </t>
  </si>
  <si>
    <t>Gerente C</t>
  </si>
  <si>
    <t>Gerente G</t>
  </si>
  <si>
    <t xml:space="preserve">3 Escritorios </t>
  </si>
  <si>
    <t xml:space="preserve">3 Computadores </t>
  </si>
  <si>
    <t xml:space="preserve">Celular empresarial xiaomi </t>
  </si>
  <si>
    <t>Ventilador</t>
  </si>
  <si>
    <t xml:space="preserve">Equipos de oficina </t>
  </si>
  <si>
    <t xml:space="preserve">KTNO </t>
  </si>
  <si>
    <t xml:space="preserve">Se puede hallar </t>
  </si>
  <si>
    <t>Rotacion CXP (VCC/COSVENTAS)*360</t>
  </si>
  <si>
    <t>Se puede hallar el VIP al terminar el año</t>
  </si>
  <si>
    <t>Rotacion inventarios (VIP/COSVENTAS)*360</t>
  </si>
  <si>
    <t xml:space="preserve">Se puede hallar la cartera </t>
  </si>
  <si>
    <t>Rotacion cxc dias (VC/VT)*360</t>
  </si>
  <si>
    <t>CV</t>
  </si>
  <si>
    <t xml:space="preserve">Aumento el 20% </t>
  </si>
  <si>
    <t xml:space="preserve">Normal </t>
  </si>
  <si>
    <t xml:space="preserve">Acá se está desinvirtiendo sumaria al fcl </t>
  </si>
  <si>
    <t xml:space="preserve">INVERSION EN KTNO </t>
  </si>
  <si>
    <t>KTNO</t>
  </si>
  <si>
    <t>CXP PAS CTE</t>
  </si>
  <si>
    <t>KTO AC CTE</t>
  </si>
  <si>
    <t xml:space="preserve">INVENTARIOS </t>
  </si>
  <si>
    <t>CXC   (CARTERA)</t>
  </si>
  <si>
    <t>EFECTIVO</t>
  </si>
  <si>
    <t>AÑO 3</t>
  </si>
  <si>
    <t xml:space="preserve">AÑO 2 </t>
  </si>
  <si>
    <t>AÑO</t>
  </si>
  <si>
    <t xml:space="preserve">CAPITAL DE TRABAJO </t>
  </si>
  <si>
    <t xml:space="preserve">Acciones </t>
  </si>
  <si>
    <t xml:space="preserve">Gastos legales </t>
  </si>
  <si>
    <t xml:space="preserve">Patente </t>
  </si>
  <si>
    <t xml:space="preserve">Publicidad </t>
  </si>
  <si>
    <t xml:space="preserve">Capacitación (no se deprecia, se amortiza) </t>
  </si>
  <si>
    <t xml:space="preserve">Amortizaciones </t>
  </si>
  <si>
    <t xml:space="preserve">Valor util </t>
  </si>
  <si>
    <t>Valor</t>
  </si>
  <si>
    <t xml:space="preserve">Activos diferidos, intangibles, amortizaciones </t>
  </si>
  <si>
    <t xml:space="preserve">Con esto hago la valoracion </t>
  </si>
  <si>
    <t>adn</t>
  </si>
  <si>
    <t xml:space="preserve">Vehiculos </t>
  </si>
  <si>
    <t xml:space="preserve">Muebles y enseres </t>
  </si>
  <si>
    <t>afn</t>
  </si>
  <si>
    <t>Maquinaria y equipo</t>
  </si>
  <si>
    <t xml:space="preserve">HORIZONTE </t>
  </si>
  <si>
    <t xml:space="preserve">Valor salvamento </t>
  </si>
  <si>
    <t xml:space="preserve">Depreciaciones Anual </t>
  </si>
  <si>
    <t>Vida util</t>
  </si>
  <si>
    <t xml:space="preserve">Activos fijos, tangibles, depreciaciones </t>
  </si>
  <si>
    <t xml:space="preserve">Activnos no corrientes </t>
  </si>
  <si>
    <t xml:space="preserve">Maquinaria </t>
  </si>
  <si>
    <t xml:space="preserve">Carretilla moto </t>
  </si>
  <si>
    <t xml:space="preserve">Flete </t>
  </si>
  <si>
    <t>Margen ganancia 70%</t>
  </si>
  <si>
    <t>Estatutos</t>
  </si>
  <si>
    <t>Libro de actas</t>
  </si>
  <si>
    <t>Libro de resgistro de socios</t>
  </si>
  <si>
    <t xml:space="preserve">Impuesto de registro </t>
  </si>
  <si>
    <t xml:space="preserve">Seguro </t>
  </si>
  <si>
    <t xml:space="preserve">Valor mensual </t>
  </si>
  <si>
    <t xml:space="preserve">Valor Anual </t>
  </si>
  <si>
    <t xml:space="preserve">Promoción inicial </t>
  </si>
  <si>
    <t xml:space="preserve">Cantidad de meses </t>
  </si>
  <si>
    <t>Publiciad Google Ads</t>
  </si>
  <si>
    <t xml:space="preserve">Publicidad Instagram </t>
  </si>
  <si>
    <t xml:space="preserve">Total </t>
  </si>
  <si>
    <t xml:space="preserve">Gastos Administrativos </t>
  </si>
  <si>
    <t xml:space="preserve">Internet y telefonia </t>
  </si>
  <si>
    <t>Depreciación</t>
  </si>
  <si>
    <t>Total</t>
  </si>
  <si>
    <t xml:space="preserve">Total Inversión Fija </t>
  </si>
  <si>
    <t>Total Gastos Adm</t>
  </si>
  <si>
    <t xml:space="preserve">Inversión Diferida </t>
  </si>
  <si>
    <t xml:space="preserve">Valor </t>
  </si>
  <si>
    <t xml:space="preserve">Insumos </t>
  </si>
  <si>
    <t>Costo materia prima (Maquila)</t>
  </si>
  <si>
    <t xml:space="preserve">Litros a maquilar </t>
  </si>
  <si>
    <t xml:space="preserve"> </t>
  </si>
  <si>
    <t xml:space="preserve">Capital de trabajo </t>
  </si>
  <si>
    <t>Gastos Administrativos</t>
  </si>
  <si>
    <t>Gastos Ventas</t>
  </si>
  <si>
    <t xml:space="preserve">Inversión Total Requerida </t>
  </si>
  <si>
    <t>Inversión Fija</t>
  </si>
  <si>
    <t>Total Capital de Trabajo</t>
  </si>
  <si>
    <t xml:space="preserve">TOTAL INVENSION </t>
  </si>
  <si>
    <t xml:space="preserve">CAPITAL TRABAJO </t>
  </si>
  <si>
    <t xml:space="preserve">Fuentes de Financiamiento </t>
  </si>
  <si>
    <t xml:space="preserve">Aporte Socios </t>
  </si>
  <si>
    <t xml:space="preserve">Credito Bancario </t>
  </si>
  <si>
    <t xml:space="preserve">Porcentaje </t>
  </si>
  <si>
    <t xml:space="preserve">Fondo Emprender Capital Semilla </t>
  </si>
  <si>
    <t xml:space="preserve">FUENTES FINANCIEAMIENTO </t>
  </si>
  <si>
    <t xml:space="preserve">Total Activos No Corrientes </t>
  </si>
  <si>
    <t>Administración</t>
  </si>
  <si>
    <t xml:space="preserve">DEPRECIACIONES  </t>
  </si>
  <si>
    <t xml:space="preserve">PRORRATEO   </t>
  </si>
  <si>
    <t xml:space="preserve">Prorateo de la depreciacion mensual activo fijo </t>
  </si>
  <si>
    <t>Total Depreciacion</t>
  </si>
  <si>
    <t>Base de Prorrateo</t>
  </si>
  <si>
    <t xml:space="preserve">Depreciaciones Mensual </t>
  </si>
  <si>
    <t>% Administración</t>
  </si>
  <si>
    <t xml:space="preserve">% Ventas </t>
  </si>
  <si>
    <t xml:space="preserve">Prorrateo por departamento </t>
  </si>
  <si>
    <t xml:space="preserve">% por  departamento </t>
  </si>
  <si>
    <t>Tiempo</t>
  </si>
  <si>
    <t xml:space="preserve">Tiempo </t>
  </si>
  <si>
    <t>Total Depreciación Administración</t>
  </si>
  <si>
    <t>Total Depreciación Ventas</t>
  </si>
  <si>
    <t>Cantidad</t>
  </si>
  <si>
    <t>Costos variables</t>
  </si>
  <si>
    <t>Mano de obra</t>
  </si>
  <si>
    <t>Almacenmiento</t>
  </si>
  <si>
    <t>Costos V x Unidad</t>
  </si>
  <si>
    <t xml:space="preserve">Precio de Venta </t>
  </si>
  <si>
    <t xml:space="preserve">Cantidad de Equilibrio </t>
  </si>
  <si>
    <t xml:space="preserve">Cantidad para alcanzar el beneficio deseao </t>
  </si>
  <si>
    <t>L</t>
  </si>
  <si>
    <t xml:space="preserve">Ingreso </t>
  </si>
  <si>
    <t xml:space="preserve">invertir el empresario y no gana ni pierde </t>
  </si>
  <si>
    <t xml:space="preserve">Pero yo quiero vender </t>
  </si>
  <si>
    <t>ventas</t>
  </si>
  <si>
    <t>Costos Totales</t>
  </si>
  <si>
    <t xml:space="preserve">Utilidades </t>
  </si>
  <si>
    <t xml:space="preserve">Costos Fijos Ideal </t>
  </si>
  <si>
    <t>Beneficio Deseado</t>
  </si>
  <si>
    <t xml:space="preserve">Comprobacion </t>
  </si>
  <si>
    <t xml:space="preserve">Si al ingreso le resto la comprobacion da el beneficio </t>
  </si>
  <si>
    <t>Caja</t>
  </si>
  <si>
    <t>Total Activo Fijo</t>
  </si>
  <si>
    <t>Activo Total</t>
  </si>
  <si>
    <t>Obligaciones Financieras</t>
  </si>
  <si>
    <t>Impuesto Por Pagar</t>
  </si>
  <si>
    <t>Total Pasivo Corriente</t>
  </si>
  <si>
    <t>Pasivo Total</t>
  </si>
  <si>
    <t xml:space="preserve">Utilidades del Presente Ejercicio </t>
  </si>
  <si>
    <t>Patrimonio Total</t>
  </si>
  <si>
    <t xml:space="preserve">Total Pasivo + Patrimonio </t>
  </si>
  <si>
    <t xml:space="preserve">Estado de Situación Financiera </t>
  </si>
  <si>
    <t>Prestación</t>
  </si>
  <si>
    <t>Salario Mensual</t>
  </si>
  <si>
    <t>Dias trabajados Anuales</t>
  </si>
  <si>
    <t>Prima de servicios</t>
  </si>
  <si>
    <t xml:space="preserve">cesantias </t>
  </si>
  <si>
    <t xml:space="preserve">intereses cesantías </t>
  </si>
  <si>
    <t>Vacaciones</t>
  </si>
  <si>
    <t>Dias anuales</t>
  </si>
  <si>
    <t>Total provision annual</t>
  </si>
  <si>
    <t>Seguridad social</t>
  </si>
  <si>
    <t>Salud</t>
  </si>
  <si>
    <t>Pensión</t>
  </si>
  <si>
    <t>Salario</t>
  </si>
  <si>
    <t>meses</t>
  </si>
  <si>
    <t>Total provisión annual</t>
  </si>
  <si>
    <t>% aporte empleador</t>
  </si>
  <si>
    <t>Salario Por empleado</t>
  </si>
  <si>
    <t xml:space="preserve">Salario empleados </t>
  </si>
  <si>
    <t>aux transporte</t>
  </si>
  <si>
    <t>Total proyección anual</t>
  </si>
  <si>
    <t>Aportes parafiscales</t>
  </si>
  <si>
    <t>Salario min 2022</t>
  </si>
  <si>
    <t>Meses</t>
  </si>
  <si>
    <t>Total aporte</t>
  </si>
  <si>
    <t>Aporte total</t>
  </si>
  <si>
    <t>Gran total annual</t>
  </si>
  <si>
    <t>Total nomina mensual</t>
  </si>
  <si>
    <t>Concepto</t>
  </si>
  <si>
    <t>Factor prestacional</t>
  </si>
  <si>
    <t>Cesantias</t>
  </si>
  <si>
    <t>Prima</t>
  </si>
  <si>
    <t>Intereses a las cesantias</t>
  </si>
  <si>
    <t>Caja de compensación</t>
  </si>
  <si>
    <t>Pensión y Salud</t>
  </si>
  <si>
    <t>Riesgos</t>
  </si>
  <si>
    <t>Factor prestacional total</t>
  </si>
  <si>
    <t>Costo Mano de obra</t>
  </si>
  <si>
    <t>Auxiliar</t>
  </si>
  <si>
    <t>Domiciliario 2</t>
  </si>
  <si>
    <t xml:space="preserve">Intereses a las cesantias </t>
  </si>
  <si>
    <t>Caja de compesación</t>
  </si>
  <si>
    <t>Pension y salud</t>
  </si>
  <si>
    <t>Salario Total</t>
  </si>
  <si>
    <t>Numero de personas</t>
  </si>
  <si>
    <t>Salario minimo 2022</t>
  </si>
  <si>
    <t>Domiciliario  1</t>
  </si>
  <si>
    <t>Numero de Salarios min</t>
  </si>
  <si>
    <t>Sueldo</t>
  </si>
  <si>
    <t>Sueldo Neto</t>
  </si>
  <si>
    <t>Sueldo Annual</t>
  </si>
  <si>
    <t>Total M.O mensual</t>
  </si>
  <si>
    <t>M.O Annual</t>
  </si>
  <si>
    <t>Valor Mensual</t>
  </si>
  <si>
    <t>Valor annual</t>
  </si>
  <si>
    <t>Mantenimiento</t>
  </si>
  <si>
    <t>Dotaciones</t>
  </si>
  <si>
    <t>Uniforme</t>
  </si>
  <si>
    <t>personal</t>
  </si>
  <si>
    <t>Botas de caucho</t>
  </si>
  <si>
    <t>total</t>
  </si>
  <si>
    <t>Proyecciones Ventas</t>
  </si>
  <si>
    <t>Descripción</t>
  </si>
  <si>
    <t>incremento de litros</t>
  </si>
  <si>
    <t>litros vendidos</t>
  </si>
  <si>
    <t>Precio de venta</t>
  </si>
  <si>
    <t>Ventas</t>
  </si>
  <si>
    <t>Resumen Ventas</t>
  </si>
  <si>
    <t>Ventas mensuales</t>
  </si>
  <si>
    <t>Ventas Anuales</t>
  </si>
  <si>
    <t>Costo Insumo Maquilado por 1000L</t>
  </si>
  <si>
    <t xml:space="preserve">Margen del servicio </t>
  </si>
  <si>
    <t>Ingreso</t>
  </si>
  <si>
    <t>costo insumo</t>
  </si>
  <si>
    <t>Ingreso venta</t>
  </si>
  <si>
    <t>% margen</t>
  </si>
  <si>
    <t>Flujo de caja  proyectado</t>
  </si>
  <si>
    <t>Ingresos operacionales por venta</t>
  </si>
  <si>
    <t>Total de ingresos operacionales</t>
  </si>
  <si>
    <t>Pago de costos</t>
  </si>
  <si>
    <t>Pago de insumo</t>
  </si>
  <si>
    <t xml:space="preserve">costos de operacion </t>
  </si>
  <si>
    <t xml:space="preserve">depreciaciones </t>
  </si>
  <si>
    <t>Total pago de costos operacionales</t>
  </si>
  <si>
    <t>Flujo de caja operacional bruto</t>
  </si>
  <si>
    <t>Pago de gastos</t>
  </si>
  <si>
    <t>Pagos gastos administativos</t>
  </si>
  <si>
    <t>amortizaciones</t>
  </si>
  <si>
    <t>Pagos de gastos ventas</t>
  </si>
  <si>
    <t>Pago nomina</t>
  </si>
  <si>
    <t>pago de impuestos</t>
  </si>
  <si>
    <t>total pago gastos operacionales</t>
  </si>
  <si>
    <t>Flujo de caja operacional NETO</t>
  </si>
  <si>
    <t>Inversiones</t>
  </si>
  <si>
    <t>inversiones fijas</t>
  </si>
  <si>
    <t>inversiones diferidas</t>
  </si>
  <si>
    <t>inversiones de capital trabajo</t>
  </si>
  <si>
    <t>total inversiones</t>
  </si>
  <si>
    <t>Flujo de caja libre</t>
  </si>
  <si>
    <t xml:space="preserve">Ingresos de financiación </t>
  </si>
  <si>
    <t>Aportes sociales</t>
  </si>
  <si>
    <t>otras fuentes</t>
  </si>
  <si>
    <t>Total ingresos financiación</t>
  </si>
  <si>
    <t>Egresos de financiacion</t>
  </si>
  <si>
    <t>Abono a capital</t>
  </si>
  <si>
    <t>pago de intereses</t>
  </si>
  <si>
    <t>Gravamenes 4x100</t>
  </si>
  <si>
    <t>Total egresos Financiación</t>
  </si>
  <si>
    <t>Flujo de caja de Financiación</t>
  </si>
  <si>
    <t>Flujo de caja NETO</t>
  </si>
  <si>
    <t>Flujo de caja del periodo</t>
  </si>
  <si>
    <t>Saldo anterior de caja</t>
  </si>
  <si>
    <t>saldo final de caja</t>
  </si>
  <si>
    <t>Gastos operación</t>
  </si>
  <si>
    <t xml:space="preserve">Operación  </t>
  </si>
  <si>
    <t>Renta 50% adm</t>
  </si>
  <si>
    <t xml:space="preserve">Renta 50% Operación </t>
  </si>
  <si>
    <t>Aporte Socios (50% cada socio)</t>
  </si>
  <si>
    <t xml:space="preserve">Elementos de Trabajo </t>
  </si>
  <si>
    <t>ACTIVOS COMPRADOS EL PRIMERO DE ENERO 2017</t>
  </si>
  <si>
    <t>Maquinaria y equipos de planta</t>
  </si>
  <si>
    <t>Equipos computo</t>
  </si>
  <si>
    <t>Muebles y enseres</t>
  </si>
  <si>
    <t>DEPRECIACIONES</t>
  </si>
  <si>
    <t>J</t>
  </si>
  <si>
    <t>Maquinaria y equipo de planta</t>
  </si>
  <si>
    <t>DEP PERIODO</t>
  </si>
  <si>
    <t>DEP ACUM</t>
  </si>
  <si>
    <t>ACTIVO NETO</t>
  </si>
  <si>
    <t>CAMBIA</t>
  </si>
  <si>
    <t xml:space="preserve">DIFERIDO </t>
  </si>
  <si>
    <t xml:space="preserve">SEGURO </t>
  </si>
  <si>
    <t>NO DIFERIDO</t>
  </si>
  <si>
    <t>MANTENIMIENTO</t>
  </si>
  <si>
    <t>EN TODO EL AÑO</t>
  </si>
  <si>
    <t xml:space="preserve">1.F COSTOS INDIRECTOS DE FABRICACION CIF </t>
  </si>
  <si>
    <t>GASTOS ADMIN</t>
  </si>
  <si>
    <t>Vehículo (2 motos)</t>
  </si>
  <si>
    <t>Año 0</t>
  </si>
  <si>
    <t>Año 1</t>
  </si>
  <si>
    <t>Año 2</t>
  </si>
  <si>
    <t>Año 3</t>
  </si>
  <si>
    <t xml:space="preserve">Año 4 </t>
  </si>
  <si>
    <t>Año 5</t>
  </si>
  <si>
    <t>Año 6</t>
  </si>
  <si>
    <t>Año 7</t>
  </si>
  <si>
    <t>Año 8</t>
  </si>
  <si>
    <t>Año 9</t>
  </si>
  <si>
    <t>Año 10</t>
  </si>
  <si>
    <t>Año 11</t>
  </si>
  <si>
    <t>Año 12</t>
  </si>
  <si>
    <t>Año 13</t>
  </si>
  <si>
    <t>Año 14</t>
  </si>
  <si>
    <t>Año 15</t>
  </si>
  <si>
    <t>Año 16</t>
  </si>
  <si>
    <t>Año 17</t>
  </si>
  <si>
    <t>Año 18</t>
  </si>
  <si>
    <t>Año 19</t>
  </si>
  <si>
    <t>Año 20</t>
  </si>
  <si>
    <t>Equipo de computo</t>
  </si>
  <si>
    <t xml:space="preserve">Equipo de Computo </t>
  </si>
  <si>
    <t>Dep periodo Maquinaria y equipo</t>
  </si>
  <si>
    <t xml:space="preserve">Dep Acumulada Maquinaria y equipo </t>
  </si>
  <si>
    <t xml:space="preserve">Vehículo </t>
  </si>
  <si>
    <t>Dep periodo Vehículo</t>
  </si>
  <si>
    <t>Dep Acumulada Vehículo</t>
  </si>
  <si>
    <t>Dep periodo Equipos computo</t>
  </si>
  <si>
    <t xml:space="preserve">Dep Acumulada Equipos computo </t>
  </si>
  <si>
    <t>Dep periodo Muebles y enseres</t>
  </si>
  <si>
    <t>Dep Acumulada Muebles y enseres</t>
  </si>
  <si>
    <t>costo de entrega</t>
  </si>
  <si>
    <t>gasolina</t>
  </si>
  <si>
    <t>mantenimiento moto promedio</t>
  </si>
  <si>
    <t>lo que vale el señor promedio</t>
  </si>
  <si>
    <t>Pormedio</t>
  </si>
  <si>
    <t>3L</t>
  </si>
  <si>
    <t>optmista</t>
  </si>
  <si>
    <t>mas probable</t>
  </si>
  <si>
    <t>pesimista</t>
  </si>
  <si>
    <t xml:space="preserve">ventas </t>
  </si>
  <si>
    <t>costo</t>
  </si>
  <si>
    <t>numero und min</t>
  </si>
  <si>
    <t>precio de venta</t>
  </si>
  <si>
    <t>hogares</t>
  </si>
  <si>
    <t>numero de hogares (1,2,3,4) estrato</t>
  </si>
  <si>
    <t>litros que se vendaran</t>
  </si>
  <si>
    <t>precio nosotros</t>
  </si>
  <si>
    <t>precio D1</t>
  </si>
  <si>
    <t>COLOMBIA TOTAL</t>
  </si>
  <si>
    <t>BUCARAMANGA</t>
  </si>
  <si>
    <t>ANUAL ECO-FILL</t>
  </si>
  <si>
    <t>MES ECO-FILL</t>
  </si>
  <si>
    <t>estratos%</t>
  </si>
  <si>
    <t xml:space="preserve">Costo Unitario por litro  </t>
  </si>
  <si>
    <t>Costo de importar 1000 L</t>
  </si>
  <si>
    <t xml:space="preserve">Costo Total </t>
  </si>
  <si>
    <t>Costo del Producto neto 1000 L</t>
  </si>
  <si>
    <t xml:space="preserve">Costo Por litro </t>
  </si>
  <si>
    <t xml:space="preserve">Precio de venta </t>
  </si>
  <si>
    <t>Costo Total</t>
  </si>
  <si>
    <t xml:space="preserve">Precio Venta </t>
  </si>
  <si>
    <t>Por litro</t>
  </si>
  <si>
    <t>Total 1000 L</t>
  </si>
  <si>
    <t xml:space="preserve">Vehículo neto </t>
  </si>
  <si>
    <t>Equipos Neto</t>
  </si>
  <si>
    <t>Muebles neto</t>
  </si>
  <si>
    <t>Mequina neto</t>
  </si>
  <si>
    <t>Valor Toal</t>
  </si>
  <si>
    <t xml:space="preserve">Registro Mercantil </t>
  </si>
  <si>
    <t>Valor diferifo 5 años</t>
  </si>
  <si>
    <t xml:space="preserve">Activo Diferido </t>
  </si>
  <si>
    <t xml:space="preserve">Inventario </t>
  </si>
  <si>
    <t>Activo</t>
  </si>
  <si>
    <t xml:space="preserve">Costos variables </t>
  </si>
  <si>
    <t xml:space="preserve">Amortización Inversión Diferida </t>
  </si>
  <si>
    <t xml:space="preserve">% Mercado Bucaramanga </t>
  </si>
  <si>
    <t xml:space="preserve">Total % (8% * 96,4%) </t>
  </si>
  <si>
    <t xml:space="preserve">% Aceptación Bumangueses </t>
  </si>
  <si>
    <t>(=) UAII</t>
  </si>
  <si>
    <t xml:space="preserve">(-) GASTOS FINANCIEROS  INTERESES </t>
  </si>
  <si>
    <t xml:space="preserve">Otros ingresos otros egresos </t>
  </si>
  <si>
    <t xml:space="preserve">(-) Gastos Administración </t>
  </si>
  <si>
    <t>(-) Costo Venta</t>
  </si>
  <si>
    <t>Venta</t>
  </si>
  <si>
    <t>(=) Utilidad Bruta</t>
  </si>
  <si>
    <t>(+) Otros Ingresos</t>
  </si>
  <si>
    <t>(-) Otros Egresos</t>
  </si>
  <si>
    <t xml:space="preserve">(-) Gastos Financieros </t>
  </si>
  <si>
    <t>INDICE</t>
  </si>
  <si>
    <t>ECUACIÓN</t>
  </si>
  <si>
    <t>OBJETIVO</t>
  </si>
  <si>
    <t>Rotación CxC</t>
  </si>
  <si>
    <t>VENTAS CREDITO*</t>
  </si>
  <si>
    <t>PROM CXC NETAS*</t>
  </si>
  <si>
    <t>Rotación de Inv MP</t>
  </si>
  <si>
    <t>COSTO MP CONSU</t>
  </si>
  <si>
    <t>PROM INV MP*</t>
  </si>
  <si>
    <t>Rotación de Inv PP</t>
  </si>
  <si>
    <t>COSTO PT</t>
  </si>
  <si>
    <t>PROM INV PP*</t>
  </si>
  <si>
    <t>Rotación de Inv PT</t>
  </si>
  <si>
    <t>CMV</t>
  </si>
  <si>
    <t>PROM INV PT*</t>
  </si>
  <si>
    <t>Rotación de CxP</t>
  </si>
  <si>
    <t>COMPRAS CREDITO*</t>
  </si>
  <si>
    <t>PROM PROVEEDORES*</t>
  </si>
  <si>
    <t>Razón Corriente</t>
  </si>
  <si>
    <t>AC</t>
  </si>
  <si>
    <t>PC</t>
  </si>
  <si>
    <t>Prueba Acida</t>
  </si>
  <si>
    <t>AC-INV</t>
  </si>
  <si>
    <t>Importancia AC</t>
  </si>
  <si>
    <t>ACTIVO</t>
  </si>
  <si>
    <t>ROA</t>
  </si>
  <si>
    <t>U. OPERATIVA</t>
  </si>
  <si>
    <t>PROM ACTIVOS*</t>
  </si>
  <si>
    <t>Rent Activo AI</t>
  </si>
  <si>
    <t>U.A.I</t>
  </si>
  <si>
    <t>PROM ACTIVOS</t>
  </si>
  <si>
    <t>Rent Neta Activo</t>
  </si>
  <si>
    <t>U. NETA</t>
  </si>
  <si>
    <t>Rent Patrim AI</t>
  </si>
  <si>
    <t>PROM PATRIMONIO*</t>
  </si>
  <si>
    <t>Rent Neta Patrim</t>
  </si>
  <si>
    <t>PROM PATRIMONIO</t>
  </si>
  <si>
    <t>Endeudamiento</t>
  </si>
  <si>
    <t>PASIVO</t>
  </si>
  <si>
    <t>ACTIVOS</t>
  </si>
  <si>
    <t>Cubrimiento SD</t>
  </si>
  <si>
    <t>SD</t>
  </si>
  <si>
    <t>FCL</t>
  </si>
  <si>
    <t>Total Activo Corriente</t>
  </si>
  <si>
    <t>ECUACIÓN (Valores) 2022</t>
  </si>
  <si>
    <t>ECUACIÓN (Valores) 2023</t>
  </si>
  <si>
    <t>ECUACIÓN (Valores) 2024</t>
  </si>
  <si>
    <t>ECUACIÓN (Valores) 2025</t>
  </si>
  <si>
    <t>ECUACIÓN (valores) 2026</t>
  </si>
  <si>
    <t>Valor anual</t>
  </si>
  <si>
    <t>2022</t>
  </si>
  <si>
    <t>2023</t>
  </si>
  <si>
    <t>2024</t>
  </si>
  <si>
    <t>2025</t>
  </si>
  <si>
    <t>2026</t>
  </si>
  <si>
    <t>GA</t>
  </si>
  <si>
    <t xml:space="preserve">3 Sillas </t>
  </si>
  <si>
    <t>Total Pasivo No Corriente</t>
  </si>
  <si>
    <t>Bonos</t>
  </si>
  <si>
    <t xml:space="preserve">Elemento Trabajo </t>
  </si>
  <si>
    <t>costo de insumo annual</t>
  </si>
  <si>
    <t>BONOS</t>
  </si>
  <si>
    <t>Tasa</t>
  </si>
  <si>
    <t>Fecha</t>
  </si>
  <si>
    <t>Interes</t>
  </si>
  <si>
    <t>Capital</t>
  </si>
  <si>
    <t xml:space="preserve">Sueldo Anual Personal Inicial </t>
  </si>
  <si>
    <t xml:space="preserve">Sueldo Mensual Personal Inicial </t>
  </si>
  <si>
    <t>mensual</t>
  </si>
  <si>
    <t>ANUAL</t>
  </si>
  <si>
    <t>ESTO LO PAGAMOS el primer año</t>
  </si>
  <si>
    <t xml:space="preserve">Gastos Operativos </t>
  </si>
  <si>
    <t xml:space="preserve">(-) Gastos Ventas </t>
  </si>
  <si>
    <t xml:space="preserve">Gastos y costos de venta </t>
  </si>
  <si>
    <t xml:space="preserve">Otras Fuentes </t>
  </si>
  <si>
    <t xml:space="preserve">Escritorios </t>
  </si>
  <si>
    <t xml:space="preserve">Sillas </t>
  </si>
  <si>
    <t xml:space="preserve">2 Carretilla moto </t>
  </si>
  <si>
    <t>WACC</t>
  </si>
  <si>
    <t xml:space="preserve">VP TERMICA GAS </t>
  </si>
  <si>
    <t xml:space="preserve">VPN </t>
  </si>
  <si>
    <t>TIR</t>
  </si>
  <si>
    <t xml:space="preserve">PRI </t>
  </si>
  <si>
    <t>ECO-FILL</t>
  </si>
  <si>
    <t>PRI ECO-FILL</t>
  </si>
  <si>
    <t>Años</t>
  </si>
  <si>
    <t>Qu</t>
  </si>
  <si>
    <t xml:space="preserve">AJUSTANDONOS AL MARKET SHARE </t>
  </si>
  <si>
    <t>Ingreso Equilibrio Anual</t>
  </si>
  <si>
    <t>Ingreso Equilibrio Mensual</t>
  </si>
  <si>
    <t xml:space="preserve">NI GANO NI PIERDO PERO CUBRO LOS COSTOS </t>
  </si>
  <si>
    <t xml:space="preserve">MONTO </t>
  </si>
  <si>
    <t>TASA</t>
  </si>
  <si>
    <t xml:space="preserve">PASIVOS LARGO PLAZO </t>
  </si>
  <si>
    <t xml:space="preserve">IEA </t>
  </si>
  <si>
    <t xml:space="preserve">COSTO FINANCIERO </t>
  </si>
  <si>
    <t xml:space="preserve">CREDITO CONSUMO </t>
  </si>
  <si>
    <t>SV</t>
  </si>
  <si>
    <t>MA</t>
  </si>
  <si>
    <t xml:space="preserve">BONOS </t>
  </si>
  <si>
    <t>TOTAL</t>
  </si>
  <si>
    <t>COSTO FINANCIERO TOTAL</t>
  </si>
  <si>
    <t>KDT (COSTO DEUDA PROMEDIO)</t>
  </si>
  <si>
    <t>% D</t>
  </si>
  <si>
    <t xml:space="preserve">KDDI </t>
  </si>
  <si>
    <t xml:space="preserve">PATRIMONIO </t>
  </si>
  <si>
    <t xml:space="preserve">TOTAL </t>
  </si>
  <si>
    <t>% K</t>
  </si>
  <si>
    <t>RELACION D/K</t>
  </si>
  <si>
    <t>PASIVO + PATRIMONIO</t>
  </si>
  <si>
    <t xml:space="preserve">COSTO DE CAPITAL </t>
  </si>
  <si>
    <t xml:space="preserve">Ke </t>
  </si>
  <si>
    <t xml:space="preserve">WACC </t>
  </si>
  <si>
    <t xml:space="preserve">UTILIDAD NETA / ACTIVOS TOTALES </t>
  </si>
  <si>
    <t>UTILIDAD NETA</t>
  </si>
  <si>
    <t xml:space="preserve">APORTE SOCIOS </t>
  </si>
  <si>
    <t>OTRAS FUENTES</t>
  </si>
  <si>
    <t>UTILIDAD DEL PRESENTE EJERCICIO</t>
  </si>
  <si>
    <t xml:space="preserve">OPTIMISTA </t>
  </si>
  <si>
    <t>Es mayor que el wacc</t>
  </si>
  <si>
    <t>PROBABLE</t>
  </si>
  <si>
    <t xml:space="preserve">PESIMISTA </t>
  </si>
  <si>
    <t>Columna1</t>
  </si>
  <si>
    <t>Columna2</t>
  </si>
  <si>
    <t>Columna3</t>
  </si>
  <si>
    <t>l</t>
  </si>
  <si>
    <t>Columna4</t>
  </si>
  <si>
    <t>Columna5</t>
  </si>
  <si>
    <t>m</t>
  </si>
  <si>
    <t xml:space="preserve"> $17.013.500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</si>
</sst>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* #,##0.00\ &quot;€&quot;_-;\-* #,##0.00\ &quot;€&quot;_-;_-* &quot;-&quot;??\ &quot;€&quot;_-;_-@_-"/>
    <numFmt numFmtId="164" formatCode="&quot;$&quot;#,##0;[Red]\-&quot;$&quot;#,##0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[$$-240A]\ * #,##0.00_-;\-[$$-240A]\ * #,##0.00_-;_-[$$-240A]\ * &quot;-&quot;??_-;_-@_-"/>
    <numFmt numFmtId="168" formatCode="_-[$$-240A]\ * #,##0_-;\-[$$-240A]\ * #,##0_-;_-[$$-240A]\ * &quot;-&quot;??_-;_-@_-"/>
    <numFmt numFmtId="169" formatCode="0.0000%"/>
    <numFmt numFmtId="170" formatCode="_-&quot;$&quot;* #,##0_-;\-&quot;$&quot;* #,##0_-;_-&quot;$&quot;* &quot;-&quot;??_-;_-@_-"/>
    <numFmt numFmtId="171" formatCode="_-[$$-240A]\ * #,##0.0_-;\-[$$-240A]\ * #,##0.0_-;_-[$$-240A]\ * &quot;-&quot;??_-;_-@_-"/>
    <numFmt numFmtId="172" formatCode="&quot;MES&quot;\ 0"/>
    <numFmt numFmtId="173" formatCode="0\ &quot;AÑOS&quot;"/>
    <numFmt numFmtId="174" formatCode="0.0%"/>
    <numFmt numFmtId="175" formatCode="_(* #,##0.00_);_(* \(#,##0.00\);_(* &quot;-&quot;??_);_(@_)"/>
    <numFmt numFmtId="176" formatCode="0.0"/>
    <numFmt numFmtId="177" formatCode="_(* #,##0_);_(* \(#,##0\);_(* &quot;-&quot;??_);_(@_)"/>
    <numFmt numFmtId="178" formatCode="0.000000"/>
    <numFmt numFmtId="179" formatCode="0.00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Times New Roman"/>
      <family val="1"/>
    </font>
    <font>
      <sz val="11"/>
      <name val="Calibri"/>
      <family val="2"/>
      <scheme val="minor"/>
    </font>
    <font>
      <sz val="11"/>
      <color theme="0"/>
      <name val="Times New Roman"/>
      <family val="1"/>
    </font>
    <font>
      <b/>
      <sz val="18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CE5CD"/>
        <bgColor rgb="FFFCE5CD"/>
      </patternFill>
    </fill>
    <fill>
      <patternFill patternType="solid">
        <fgColor rgb="FFA4C2F4"/>
        <bgColor rgb="FFA4C2F4"/>
      </patternFill>
    </fill>
    <fill>
      <patternFill patternType="solid">
        <fgColor rgb="FFD5A6BD"/>
        <bgColor rgb="FFD5A6BD"/>
      </patternFill>
    </fill>
    <fill>
      <patternFill patternType="solid">
        <fgColor rgb="FFDD7E6B"/>
        <bgColor rgb="FFDD7E6B"/>
      </patternFill>
    </fill>
    <fill>
      <patternFill patternType="solid">
        <fgColor rgb="FFFFF2CC"/>
        <bgColor rgb="FFFFF2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rgb="FFFFD965"/>
      </patternFill>
    </fill>
    <fill>
      <patternFill patternType="solid">
        <fgColor theme="0" tint="-0.249977111117893"/>
        <bgColor rgb="FF9CC2E5"/>
      </patternFill>
    </fill>
    <fill>
      <patternFill patternType="solid">
        <fgColor theme="0" tint="-0.249977111117893"/>
        <bgColor rgb="FFF4B083"/>
      </patternFill>
    </fill>
    <fill>
      <patternFill patternType="solid">
        <fgColor theme="0" tint="-0.249977111117893"/>
        <bgColor rgb="FF92D050"/>
      </patternFill>
    </fill>
    <fill>
      <patternFill patternType="solid">
        <fgColor theme="0" tint="-0.249977111117893"/>
        <bgColor rgb="FFFFE599"/>
      </patternFill>
    </fill>
    <fill>
      <patternFill patternType="solid">
        <fgColor theme="0" tint="-0.249977111117893"/>
        <bgColor rgb="FF9FC5E8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530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0" xfId="0" applyAlignment="1">
      <alignment horizontal="center"/>
    </xf>
    <xf numFmtId="167" fontId="0" fillId="0" borderId="0" xfId="0" applyNumberFormat="1"/>
    <xf numFmtId="1" fontId="0" fillId="0" borderId="1" xfId="0" applyNumberFormat="1" applyBorder="1"/>
    <xf numFmtId="168" fontId="0" fillId="0" borderId="0" xfId="0" applyNumberFormat="1"/>
    <xf numFmtId="168" fontId="0" fillId="0" borderId="1" xfId="0" applyNumberFormat="1" applyBorder="1"/>
    <xf numFmtId="168" fontId="0" fillId="0" borderId="1" xfId="1" applyNumberFormat="1" applyFont="1" applyBorder="1"/>
    <xf numFmtId="0" fontId="0" fillId="0" borderId="1" xfId="0" applyFill="1" applyBorder="1"/>
    <xf numFmtId="168" fontId="0" fillId="0" borderId="1" xfId="0" applyNumberFormat="1" applyFill="1" applyBorder="1"/>
    <xf numFmtId="167" fontId="0" fillId="0" borderId="1" xfId="0" applyNumberFormat="1" applyBorder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2" xfId="0" applyFont="1" applyFill="1" applyBorder="1" applyAlignment="1"/>
    <xf numFmtId="0" fontId="1" fillId="2" borderId="4" xfId="0" applyFont="1" applyFill="1" applyBorder="1" applyAlignment="1"/>
    <xf numFmtId="14" fontId="0" fillId="0" borderId="1" xfId="0" applyNumberFormat="1" applyBorder="1"/>
    <xf numFmtId="9" fontId="0" fillId="0" borderId="1" xfId="2" applyFont="1" applyBorder="1"/>
    <xf numFmtId="1" fontId="0" fillId="0" borderId="0" xfId="0" applyNumberFormat="1"/>
    <xf numFmtId="10" fontId="0" fillId="0" borderId="0" xfId="0" applyNumberFormat="1"/>
    <xf numFmtId="169" fontId="0" fillId="0" borderId="1" xfId="2" applyNumberFormat="1" applyFont="1" applyBorder="1"/>
    <xf numFmtId="0" fontId="1" fillId="0" borderId="0" xfId="0" applyFont="1"/>
    <xf numFmtId="0" fontId="1" fillId="0" borderId="1" xfId="0" applyFont="1" applyBorder="1"/>
    <xf numFmtId="167" fontId="1" fillId="0" borderId="1" xfId="0" applyNumberFormat="1" applyFont="1" applyBorder="1"/>
    <xf numFmtId="0" fontId="0" fillId="0" borderId="6" xfId="0" applyFill="1" applyBorder="1"/>
    <xf numFmtId="168" fontId="1" fillId="0" borderId="1" xfId="0" applyNumberFormat="1" applyFont="1" applyBorder="1"/>
    <xf numFmtId="2" fontId="0" fillId="0" borderId="1" xfId="0" applyNumberFormat="1" applyBorder="1"/>
    <xf numFmtId="0" fontId="1" fillId="2" borderId="7" xfId="0" applyFont="1" applyFill="1" applyBorder="1"/>
    <xf numFmtId="168" fontId="1" fillId="3" borderId="1" xfId="0" applyNumberFormat="1" applyFont="1" applyFill="1" applyBorder="1"/>
    <xf numFmtId="0" fontId="1" fillId="2" borderId="6" xfId="0" applyFont="1" applyFill="1" applyBorder="1"/>
    <xf numFmtId="167" fontId="0" fillId="0" borderId="1" xfId="2" applyNumberFormat="1" applyFont="1" applyBorder="1"/>
    <xf numFmtId="0" fontId="1" fillId="5" borderId="0" xfId="0" applyFont="1" applyFill="1"/>
    <xf numFmtId="0" fontId="1" fillId="5" borderId="11" xfId="0" applyFont="1" applyFill="1" applyBorder="1"/>
    <xf numFmtId="0" fontId="0" fillId="0" borderId="11" xfId="0" applyBorder="1"/>
    <xf numFmtId="0" fontId="1" fillId="0" borderId="11" xfId="0" applyFont="1" applyBorder="1"/>
    <xf numFmtId="167" fontId="0" fillId="0" borderId="11" xfId="0" applyNumberFormat="1" applyBorder="1"/>
    <xf numFmtId="0" fontId="1" fillId="4" borderId="11" xfId="0" applyFont="1" applyFill="1" applyBorder="1"/>
    <xf numFmtId="0" fontId="7" fillId="0" borderId="11" xfId="0" applyFont="1" applyBorder="1"/>
    <xf numFmtId="168" fontId="7" fillId="0" borderId="15" xfId="0" applyNumberFormat="1" applyFont="1" applyBorder="1"/>
    <xf numFmtId="0" fontId="6" fillId="0" borderId="11" xfId="0" applyFont="1" applyFill="1" applyBorder="1"/>
    <xf numFmtId="168" fontId="7" fillId="0" borderId="11" xfId="0" applyNumberFormat="1" applyFont="1" applyFill="1" applyBorder="1"/>
    <xf numFmtId="0" fontId="6" fillId="5" borderId="15" xfId="0" applyFont="1" applyFill="1" applyBorder="1"/>
    <xf numFmtId="168" fontId="6" fillId="5" borderId="11" xfId="0" applyNumberFormat="1" applyFont="1" applyFill="1" applyBorder="1"/>
    <xf numFmtId="168" fontId="6" fillId="3" borderId="11" xfId="0" applyNumberFormat="1" applyFont="1" applyFill="1" applyBorder="1"/>
    <xf numFmtId="0" fontId="6" fillId="0" borderId="15" xfId="0" applyFont="1" applyBorder="1"/>
    <xf numFmtId="168" fontId="6" fillId="0" borderId="11" xfId="0" applyNumberFormat="1" applyFont="1" applyBorder="1"/>
    <xf numFmtId="168" fontId="7" fillId="0" borderId="11" xfId="0" applyNumberFormat="1" applyFont="1" applyBorder="1"/>
    <xf numFmtId="0" fontId="6" fillId="5" borderId="11" xfId="0" applyFont="1" applyFill="1" applyBorder="1"/>
    <xf numFmtId="167" fontId="7" fillId="0" borderId="11" xfId="0" applyNumberFormat="1" applyFont="1" applyBorder="1"/>
    <xf numFmtId="167" fontId="6" fillId="5" borderId="11" xfId="0" applyNumberFormat="1" applyFont="1" applyFill="1" applyBorder="1"/>
    <xf numFmtId="0" fontId="6" fillId="5" borderId="14" xfId="0" applyFont="1" applyFill="1" applyBorder="1"/>
    <xf numFmtId="168" fontId="6" fillId="5" borderId="19" xfId="0" applyNumberFormat="1" applyFont="1" applyFill="1" applyBorder="1"/>
    <xf numFmtId="0" fontId="6" fillId="0" borderId="15" xfId="0" applyFont="1" applyFill="1" applyBorder="1"/>
    <xf numFmtId="168" fontId="6" fillId="0" borderId="18" xfId="0" applyNumberFormat="1" applyFont="1" applyFill="1" applyBorder="1"/>
    <xf numFmtId="0" fontId="7" fillId="0" borderId="11" xfId="0" applyFont="1" applyFill="1" applyBorder="1"/>
    <xf numFmtId="0" fontId="6" fillId="5" borderId="20" xfId="0" applyFont="1" applyFill="1" applyBorder="1"/>
    <xf numFmtId="0" fontId="7" fillId="0" borderId="15" xfId="0" applyFont="1" applyBorder="1"/>
    <xf numFmtId="0" fontId="6" fillId="0" borderId="11" xfId="0" applyFont="1" applyBorder="1"/>
    <xf numFmtId="168" fontId="7" fillId="0" borderId="15" xfId="1" applyNumberFormat="1" applyFont="1" applyBorder="1"/>
    <xf numFmtId="168" fontId="7" fillId="0" borderId="11" xfId="1" applyNumberFormat="1" applyFont="1" applyBorder="1"/>
    <xf numFmtId="167" fontId="7" fillId="0" borderId="11" xfId="1" applyNumberFormat="1" applyFont="1" applyBorder="1"/>
    <xf numFmtId="0" fontId="7" fillId="0" borderId="12" xfId="0" applyFont="1" applyBorder="1"/>
    <xf numFmtId="0" fontId="6" fillId="5" borderId="22" xfId="0" applyFont="1" applyFill="1" applyBorder="1"/>
    <xf numFmtId="0" fontId="7" fillId="0" borderId="19" xfId="0" applyFont="1" applyBorder="1"/>
    <xf numFmtId="0" fontId="6" fillId="5" borderId="10" xfId="0" applyFont="1" applyFill="1" applyBorder="1"/>
    <xf numFmtId="0" fontId="7" fillId="0" borderId="13" xfId="0" applyFont="1" applyBorder="1"/>
    <xf numFmtId="0" fontId="6" fillId="3" borderId="11" xfId="0" applyFont="1" applyFill="1" applyBorder="1"/>
    <xf numFmtId="0" fontId="6" fillId="6" borderId="11" xfId="0" applyFont="1" applyFill="1" applyBorder="1"/>
    <xf numFmtId="167" fontId="6" fillId="6" borderId="11" xfId="0" applyNumberFormat="1" applyFont="1" applyFill="1" applyBorder="1"/>
    <xf numFmtId="0" fontId="8" fillId="0" borderId="11" xfId="0" applyFont="1" applyBorder="1"/>
    <xf numFmtId="168" fontId="6" fillId="6" borderId="11" xfId="0" applyNumberFormat="1" applyFont="1" applyFill="1" applyBorder="1"/>
    <xf numFmtId="9" fontId="7" fillId="0" borderId="11" xfId="0" applyNumberFormat="1" applyFont="1" applyBorder="1"/>
    <xf numFmtId="0" fontId="0" fillId="7" borderId="0" xfId="0" applyFill="1"/>
    <xf numFmtId="0" fontId="1" fillId="7" borderId="11" xfId="0" applyFont="1" applyFill="1" applyBorder="1"/>
    <xf numFmtId="168" fontId="1" fillId="7" borderId="11" xfId="0" applyNumberFormat="1" applyFont="1" applyFill="1" applyBorder="1"/>
    <xf numFmtId="0" fontId="1" fillId="9" borderId="11" xfId="0" applyFont="1" applyFill="1" applyBorder="1"/>
    <xf numFmtId="168" fontId="1" fillId="9" borderId="11" xfId="0" applyNumberFormat="1" applyFont="1" applyFill="1" applyBorder="1"/>
    <xf numFmtId="0" fontId="0" fillId="0" borderId="0" xfId="0" applyAlignment="1">
      <alignment vertical="center"/>
    </xf>
    <xf numFmtId="0" fontId="1" fillId="10" borderId="0" xfId="0" applyFont="1" applyFill="1"/>
    <xf numFmtId="168" fontId="1" fillId="10" borderId="0" xfId="0" applyNumberFormat="1" applyFont="1" applyFill="1"/>
    <xf numFmtId="167" fontId="1" fillId="10" borderId="0" xfId="0" applyNumberFormat="1" applyFont="1" applyFill="1"/>
    <xf numFmtId="167" fontId="0" fillId="8" borderId="11" xfId="0" applyNumberFormat="1" applyFill="1" applyBorder="1"/>
    <xf numFmtId="0" fontId="0" fillId="11" borderId="11" xfId="0" applyFill="1" applyBorder="1"/>
    <xf numFmtId="168" fontId="1" fillId="0" borderId="0" xfId="1" applyNumberFormat="1" applyFont="1"/>
    <xf numFmtId="10" fontId="1" fillId="0" borderId="0" xfId="0" applyNumberFormat="1" applyFont="1"/>
    <xf numFmtId="0" fontId="0" fillId="12" borderId="11" xfId="0" applyFill="1" applyBorder="1"/>
    <xf numFmtId="168" fontId="0" fillId="12" borderId="11" xfId="0" applyNumberFormat="1" applyFill="1" applyBorder="1"/>
    <xf numFmtId="9" fontId="0" fillId="12" borderId="11" xfId="0" applyNumberFormat="1" applyFill="1" applyBorder="1"/>
    <xf numFmtId="168" fontId="1" fillId="12" borderId="11" xfId="2" applyNumberFormat="1" applyFont="1" applyFill="1" applyBorder="1"/>
    <xf numFmtId="165" fontId="0" fillId="0" borderId="1" xfId="3" applyFont="1" applyBorder="1"/>
    <xf numFmtId="165" fontId="0" fillId="0" borderId="1" xfId="0" applyNumberFormat="1" applyBorder="1"/>
    <xf numFmtId="0" fontId="1" fillId="0" borderId="1" xfId="0" applyFont="1" applyBorder="1" applyAlignment="1">
      <alignment horizontal="center"/>
    </xf>
    <xf numFmtId="165" fontId="0" fillId="0" borderId="1" xfId="3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0" fillId="0" borderId="1" xfId="3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70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70" fontId="1" fillId="0" borderId="1" xfId="0" applyNumberFormat="1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Border="1" applyAlignment="1"/>
    <xf numFmtId="10" fontId="0" fillId="0" borderId="1" xfId="2" applyNumberFormat="1" applyFont="1" applyBorder="1" applyAlignment="1"/>
    <xf numFmtId="10" fontId="0" fillId="0" borderId="1" xfId="0" applyNumberFormat="1" applyBorder="1" applyAlignment="1"/>
    <xf numFmtId="10" fontId="2" fillId="0" borderId="1" xfId="2" applyNumberFormat="1" applyFont="1" applyBorder="1" applyAlignment="1"/>
    <xf numFmtId="165" fontId="0" fillId="0" borderId="1" xfId="3" applyFont="1" applyFill="1" applyBorder="1" applyAlignment="1"/>
    <xf numFmtId="165" fontId="0" fillId="0" borderId="1" xfId="3" applyFont="1" applyBorder="1" applyAlignment="1"/>
    <xf numFmtId="166" fontId="0" fillId="0" borderId="1" xfId="0" applyNumberFormat="1" applyBorder="1" applyAlignment="1"/>
    <xf numFmtId="165" fontId="0" fillId="0" borderId="1" xfId="0" applyNumberFormat="1" applyBorder="1" applyAlignment="1"/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7" fillId="0" borderId="11" xfId="0" applyNumberFormat="1" applyFont="1" applyBorder="1"/>
    <xf numFmtId="1" fontId="1" fillId="7" borderId="11" xfId="0" applyNumberFormat="1" applyFont="1" applyFill="1" applyBorder="1"/>
    <xf numFmtId="168" fontId="1" fillId="4" borderId="11" xfId="0" applyNumberFormat="1" applyFont="1" applyFill="1" applyBorder="1"/>
    <xf numFmtId="171" fontId="7" fillId="0" borderId="11" xfId="1" applyNumberFormat="1" applyFont="1" applyBorder="1"/>
    <xf numFmtId="168" fontId="7" fillId="6" borderId="11" xfId="0" applyNumberFormat="1" applyFont="1" applyFill="1" applyBorder="1"/>
    <xf numFmtId="172" fontId="1" fillId="4" borderId="0" xfId="0" applyNumberFormat="1" applyFont="1" applyFill="1" applyAlignment="1">
      <alignment horizontal="center"/>
    </xf>
    <xf numFmtId="172" fontId="0" fillId="0" borderId="0" xfId="0" applyNumberFormat="1" applyAlignment="1">
      <alignment horizontal="center"/>
    </xf>
    <xf numFmtId="172" fontId="0" fillId="13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5" fontId="0" fillId="0" borderId="0" xfId="0" applyNumberFormat="1"/>
    <xf numFmtId="15" fontId="0" fillId="14" borderId="0" xfId="0" applyNumberFormat="1" applyFill="1" applyAlignment="1">
      <alignment horizontal="center"/>
    </xf>
    <xf numFmtId="15" fontId="0" fillId="14" borderId="0" xfId="0" applyNumberFormat="1" applyFill="1"/>
    <xf numFmtId="0" fontId="1" fillId="0" borderId="9" xfId="0" applyFont="1" applyBorder="1"/>
    <xf numFmtId="0" fontId="0" fillId="0" borderId="9" xfId="0" applyBorder="1"/>
    <xf numFmtId="167" fontId="0" fillId="0" borderId="9" xfId="0" applyNumberFormat="1" applyBorder="1"/>
    <xf numFmtId="167" fontId="1" fillId="0" borderId="0" xfId="0" applyNumberFormat="1" applyFont="1"/>
    <xf numFmtId="15" fontId="0" fillId="4" borderId="0" xfId="0" applyNumberFormat="1" applyFill="1"/>
    <xf numFmtId="0" fontId="1" fillId="4" borderId="0" xfId="0" applyFont="1" applyFill="1"/>
    <xf numFmtId="9" fontId="1" fillId="4" borderId="0" xfId="0" applyNumberFormat="1" applyFont="1" applyFill="1"/>
    <xf numFmtId="0" fontId="0" fillId="14" borderId="0" xfId="0" applyFill="1"/>
    <xf numFmtId="168" fontId="1" fillId="0" borderId="0" xfId="0" applyNumberFormat="1" applyFont="1"/>
    <xf numFmtId="168" fontId="0" fillId="0" borderId="1" xfId="2" applyNumberFormat="1" applyFont="1" applyBorder="1"/>
    <xf numFmtId="168" fontId="0" fillId="15" borderId="0" xfId="0" applyNumberFormat="1" applyFill="1"/>
    <xf numFmtId="168" fontId="0" fillId="0" borderId="9" xfId="0" applyNumberFormat="1" applyBorder="1"/>
    <xf numFmtId="168" fontId="1" fillId="13" borderId="0" xfId="0" applyNumberFormat="1" applyFont="1" applyFill="1"/>
    <xf numFmtId="173" fontId="0" fillId="0" borderId="0" xfId="0" applyNumberFormat="1"/>
    <xf numFmtId="168" fontId="0" fillId="2" borderId="9" xfId="0" applyNumberFormat="1" applyFill="1" applyBorder="1"/>
    <xf numFmtId="168" fontId="0" fillId="0" borderId="0" xfId="0" applyNumberFormat="1" applyFill="1"/>
    <xf numFmtId="168" fontId="0" fillId="15" borderId="9" xfId="0" applyNumberFormat="1" applyFill="1" applyBorder="1"/>
    <xf numFmtId="172" fontId="1" fillId="2" borderId="0" xfId="0" applyNumberFormat="1" applyFont="1" applyFill="1" applyAlignment="1">
      <alignment horizontal="center"/>
    </xf>
    <xf numFmtId="0" fontId="1" fillId="2" borderId="0" xfId="0" applyFont="1" applyFill="1"/>
    <xf numFmtId="168" fontId="0" fillId="0" borderId="11" xfId="0" applyNumberFormat="1" applyBorder="1"/>
    <xf numFmtId="0" fontId="10" fillId="0" borderId="11" xfId="0" applyFont="1" applyBorder="1"/>
    <xf numFmtId="168" fontId="10" fillId="0" borderId="11" xfId="0" applyNumberFormat="1" applyFont="1" applyBorder="1"/>
    <xf numFmtId="168" fontId="1" fillId="0" borderId="11" xfId="0" applyNumberFormat="1" applyFont="1" applyBorder="1"/>
    <xf numFmtId="168" fontId="1" fillId="5" borderId="11" xfId="0" applyNumberFormat="1" applyFont="1" applyFill="1" applyBorder="1"/>
    <xf numFmtId="165" fontId="0" fillId="0" borderId="0" xfId="3" applyFont="1"/>
    <xf numFmtId="165" fontId="0" fillId="0" borderId="0" xfId="0" applyNumberFormat="1"/>
    <xf numFmtId="164" fontId="0" fillId="0" borderId="0" xfId="0" applyNumberFormat="1"/>
    <xf numFmtId="0" fontId="0" fillId="13" borderId="0" xfId="0" applyFill="1"/>
    <xf numFmtId="0" fontId="0" fillId="0" borderId="0" xfId="0" applyFill="1"/>
    <xf numFmtId="165" fontId="0" fillId="13" borderId="0" xfId="3" applyFont="1" applyFill="1"/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13" borderId="1" xfId="0" applyFill="1" applyBorder="1"/>
    <xf numFmtId="165" fontId="0" fillId="13" borderId="1" xfId="3" applyFont="1" applyFill="1" applyBorder="1"/>
    <xf numFmtId="0" fontId="0" fillId="0" borderId="2" xfId="0" applyBorder="1"/>
    <xf numFmtId="9" fontId="0" fillId="0" borderId="0" xfId="0" applyNumberFormat="1"/>
    <xf numFmtId="0" fontId="0" fillId="0" borderId="4" xfId="0" applyBorder="1"/>
    <xf numFmtId="9" fontId="0" fillId="0" borderId="0" xfId="0" applyNumberFormat="1" applyBorder="1" applyAlignment="1">
      <alignment horizontal="center"/>
    </xf>
    <xf numFmtId="9" fontId="0" fillId="0" borderId="0" xfId="2" applyNumberFormat="1" applyFont="1"/>
    <xf numFmtId="1" fontId="1" fillId="0" borderId="0" xfId="0" applyNumberFormat="1" applyFont="1"/>
    <xf numFmtId="1" fontId="1" fillId="0" borderId="0" xfId="0" applyNumberFormat="1" applyFont="1" applyFill="1" applyBorder="1"/>
    <xf numFmtId="9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8" fontId="0" fillId="8" borderId="11" xfId="0" applyNumberFormat="1" applyFill="1" applyBorder="1"/>
    <xf numFmtId="0" fontId="1" fillId="8" borderId="11" xfId="0" applyFont="1" applyFill="1" applyBorder="1" applyAlignment="1">
      <alignment vertical="center"/>
    </xf>
    <xf numFmtId="1" fontId="1" fillId="8" borderId="11" xfId="0" applyNumberFormat="1" applyFont="1" applyFill="1" applyBorder="1"/>
    <xf numFmtId="1" fontId="0" fillId="7" borderId="11" xfId="0" applyNumberFormat="1" applyFill="1" applyBorder="1"/>
    <xf numFmtId="167" fontId="0" fillId="7" borderId="11" xfId="0" applyNumberFormat="1" applyFill="1" applyBorder="1"/>
    <xf numFmtId="0" fontId="0" fillId="16" borderId="0" xfId="0" applyFill="1"/>
    <xf numFmtId="0" fontId="1" fillId="0" borderId="0" xfId="0" applyFont="1" applyFill="1" applyBorder="1"/>
    <xf numFmtId="168" fontId="0" fillId="0" borderId="0" xfId="0" applyNumberFormat="1" applyFill="1" applyBorder="1"/>
    <xf numFmtId="0" fontId="6" fillId="5" borderId="12" xfId="0" applyFont="1" applyFill="1" applyBorder="1" applyAlignment="1"/>
    <xf numFmtId="0" fontId="6" fillId="5" borderId="23" xfId="0" applyFont="1" applyFill="1" applyBorder="1" applyAlignment="1"/>
    <xf numFmtId="0" fontId="6" fillId="5" borderId="13" xfId="0" applyFont="1" applyFill="1" applyBorder="1" applyAlignment="1"/>
    <xf numFmtId="0" fontId="15" fillId="5" borderId="14" xfId="0" applyFont="1" applyFill="1" applyBorder="1"/>
    <xf numFmtId="0" fontId="15" fillId="0" borderId="18" xfId="0" applyFont="1" applyBorder="1"/>
    <xf numFmtId="0" fontId="15" fillId="0" borderId="11" xfId="0" applyFont="1" applyBorder="1"/>
    <xf numFmtId="0" fontId="15" fillId="0" borderId="15" xfId="0" applyFont="1" applyBorder="1"/>
    <xf numFmtId="0" fontId="15" fillId="5" borderId="11" xfId="0" applyFont="1" applyFill="1" applyBorder="1"/>
    <xf numFmtId="167" fontId="16" fillId="0" borderId="15" xfId="0" applyNumberFormat="1" applyFont="1" applyBorder="1"/>
    <xf numFmtId="0" fontId="15" fillId="0" borderId="12" xfId="0" applyFont="1" applyBorder="1"/>
    <xf numFmtId="0" fontId="15" fillId="0" borderId="26" xfId="0" applyFont="1" applyBorder="1"/>
    <xf numFmtId="167" fontId="7" fillId="0" borderId="27" xfId="0" applyNumberFormat="1" applyFont="1" applyBorder="1"/>
    <xf numFmtId="168" fontId="16" fillId="0" borderId="11" xfId="0" applyNumberFormat="1" applyFont="1" applyBorder="1"/>
    <xf numFmtId="9" fontId="0" fillId="0" borderId="11" xfId="2" applyFont="1" applyBorder="1"/>
    <xf numFmtId="0" fontId="0" fillId="5" borderId="11" xfId="0" applyFill="1" applyBorder="1"/>
    <xf numFmtId="168" fontId="0" fillId="5" borderId="11" xfId="0" applyNumberFormat="1" applyFill="1" applyBorder="1"/>
    <xf numFmtId="0" fontId="6" fillId="5" borderId="11" xfId="0" applyFont="1" applyFill="1" applyBorder="1" applyAlignment="1"/>
    <xf numFmtId="0" fontId="7" fillId="12" borderId="11" xfId="0" applyFont="1" applyFill="1" applyBorder="1"/>
    <xf numFmtId="10" fontId="7" fillId="12" borderId="11" xfId="0" applyNumberFormat="1" applyFont="1" applyFill="1" applyBorder="1"/>
    <xf numFmtId="168" fontId="7" fillId="12" borderId="11" xfId="0" applyNumberFormat="1" applyFont="1" applyFill="1" applyBorder="1"/>
    <xf numFmtId="9" fontId="7" fillId="12" borderId="11" xfId="0" applyNumberFormat="1" applyFont="1" applyFill="1" applyBorder="1"/>
    <xf numFmtId="10" fontId="8" fillId="12" borderId="11" xfId="0" applyNumberFormat="1" applyFont="1" applyFill="1" applyBorder="1"/>
    <xf numFmtId="0" fontId="0" fillId="0" borderId="12" xfId="0" applyBorder="1"/>
    <xf numFmtId="0" fontId="0" fillId="0" borderId="11" xfId="0" applyFont="1" applyFill="1" applyBorder="1"/>
    <xf numFmtId="168" fontId="2" fillId="0" borderId="11" xfId="2" applyNumberFormat="1" applyFont="1" applyFill="1" applyBorder="1"/>
    <xf numFmtId="0" fontId="0" fillId="5" borderId="11" xfId="0" applyFont="1" applyFill="1" applyBorder="1"/>
    <xf numFmtId="168" fontId="2" fillId="5" borderId="11" xfId="2" applyNumberFormat="1" applyFont="1" applyFill="1" applyBorder="1"/>
    <xf numFmtId="0" fontId="6" fillId="7" borderId="11" xfId="0" applyFont="1" applyFill="1" applyBorder="1"/>
    <xf numFmtId="168" fontId="6" fillId="7" borderId="11" xfId="0" applyNumberFormat="1" applyFont="1" applyFill="1" applyBorder="1"/>
    <xf numFmtId="1" fontId="0" fillId="0" borderId="0" xfId="0" applyNumberFormat="1" applyAlignment="1">
      <alignment horizontal="center"/>
    </xf>
    <xf numFmtId="1" fontId="0" fillId="0" borderId="11" xfId="0" applyNumberFormat="1" applyBorder="1"/>
    <xf numFmtId="1" fontId="7" fillId="12" borderId="11" xfId="0" applyNumberFormat="1" applyFont="1" applyFill="1" applyBorder="1"/>
    <xf numFmtId="165" fontId="0" fillId="0" borderId="11" xfId="3" applyFont="1" applyBorder="1" applyAlignment="1">
      <alignment horizontal="center"/>
    </xf>
    <xf numFmtId="174" fontId="1" fillId="0" borderId="1" xfId="2" applyNumberFormat="1" applyFont="1" applyFill="1" applyBorder="1" applyAlignment="1">
      <alignment horizontal="center"/>
    </xf>
    <xf numFmtId="0" fontId="17" fillId="0" borderId="1" xfId="0" applyFont="1" applyBorder="1"/>
    <xf numFmtId="0" fontId="6" fillId="12" borderId="11" xfId="0" applyFont="1" applyFill="1" applyBorder="1"/>
    <xf numFmtId="0" fontId="11" fillId="5" borderId="11" xfId="0" applyFont="1" applyFill="1" applyBorder="1"/>
    <xf numFmtId="0" fontId="10" fillId="0" borderId="11" xfId="0" applyFont="1" applyFill="1" applyBorder="1"/>
    <xf numFmtId="168" fontId="10" fillId="0" borderId="11" xfId="2" applyNumberFormat="1" applyFont="1" applyFill="1" applyBorder="1"/>
    <xf numFmtId="0" fontId="10" fillId="5" borderId="11" xfId="0" applyFont="1" applyFill="1" applyBorder="1"/>
    <xf numFmtId="168" fontId="10" fillId="5" borderId="11" xfId="2" applyNumberFormat="1" applyFont="1" applyFill="1" applyBorder="1"/>
    <xf numFmtId="0" fontId="10" fillId="0" borderId="12" xfId="0" applyFont="1" applyBorder="1"/>
    <xf numFmtId="168" fontId="11" fillId="12" borderId="11" xfId="2" applyNumberFormat="1" applyFont="1" applyFill="1" applyBorder="1"/>
    <xf numFmtId="0" fontId="11" fillId="0" borderId="11" xfId="0" applyFont="1" applyFill="1" applyBorder="1"/>
    <xf numFmtId="168" fontId="11" fillId="0" borderId="11" xfId="0" applyNumberFormat="1" applyFont="1" applyFill="1" applyBorder="1"/>
    <xf numFmtId="10" fontId="10" fillId="0" borderId="11" xfId="0" applyNumberFormat="1" applyFont="1" applyFill="1" applyBorder="1"/>
    <xf numFmtId="168" fontId="10" fillId="0" borderId="11" xfId="0" applyNumberFormat="1" applyFont="1" applyFill="1" applyBorder="1"/>
    <xf numFmtId="9" fontId="10" fillId="0" borderId="11" xfId="0" applyNumberFormat="1" applyFont="1" applyFill="1" applyBorder="1"/>
    <xf numFmtId="167" fontId="10" fillId="0" borderId="11" xfId="0" applyNumberFormat="1" applyFont="1" applyFill="1" applyBorder="1"/>
    <xf numFmtId="0" fontId="20" fillId="17" borderId="31" xfId="0" applyFont="1" applyFill="1" applyBorder="1" applyAlignment="1">
      <alignment horizontal="center" vertical="center"/>
    </xf>
    <xf numFmtId="175" fontId="20" fillId="0" borderId="31" xfId="0" applyNumberFormat="1" applyFont="1" applyBorder="1" applyAlignment="1">
      <alignment vertical="center"/>
    </xf>
    <xf numFmtId="0" fontId="20" fillId="18" borderId="31" xfId="0" applyFont="1" applyFill="1" applyBorder="1" applyAlignment="1">
      <alignment horizontal="center" vertical="center"/>
    </xf>
    <xf numFmtId="0" fontId="20" fillId="19" borderId="31" xfId="0" applyFont="1" applyFill="1" applyBorder="1" applyAlignment="1">
      <alignment horizontal="center" vertical="center"/>
    </xf>
    <xf numFmtId="0" fontId="20" fillId="20" borderId="31" xfId="0" applyFont="1" applyFill="1" applyBorder="1" applyAlignment="1">
      <alignment horizontal="center" vertical="center"/>
    </xf>
    <xf numFmtId="0" fontId="20" fillId="21" borderId="31" xfId="0" applyFont="1" applyFill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168" fontId="20" fillId="0" borderId="31" xfId="0" applyNumberFormat="1" applyFont="1" applyBorder="1" applyAlignment="1">
      <alignment vertical="center"/>
    </xf>
    <xf numFmtId="165" fontId="0" fillId="0" borderId="0" xfId="3" applyFont="1" applyBorder="1" applyAlignment="1">
      <alignment horizontal="center"/>
    </xf>
    <xf numFmtId="165" fontId="0" fillId="0" borderId="0" xfId="0" applyNumberFormat="1" applyBorder="1" applyAlignment="1"/>
    <xf numFmtId="0" fontId="1" fillId="0" borderId="37" xfId="0" applyFont="1" applyBorder="1"/>
    <xf numFmtId="168" fontId="0" fillId="0" borderId="6" xfId="0" applyNumberFormat="1" applyFill="1" applyBorder="1"/>
    <xf numFmtId="0" fontId="6" fillId="0" borderId="19" xfId="0" applyFont="1" applyFill="1" applyBorder="1"/>
    <xf numFmtId="168" fontId="6" fillId="0" borderId="19" xfId="0" applyNumberFormat="1" applyFont="1" applyFill="1" applyBorder="1"/>
    <xf numFmtId="167" fontId="6" fillId="0" borderId="11" xfId="0" applyNumberFormat="1" applyFont="1" applyFill="1" applyBorder="1"/>
    <xf numFmtId="0" fontId="1" fillId="0" borderId="0" xfId="0" applyFont="1" applyFill="1" applyBorder="1" applyAlignment="1"/>
    <xf numFmtId="0" fontId="22" fillId="0" borderId="0" xfId="0" applyFont="1"/>
    <xf numFmtId="14" fontId="0" fillId="0" borderId="31" xfId="0" applyNumberFormat="1" applyBorder="1" applyAlignment="1">
      <alignment horizontal="center"/>
    </xf>
    <xf numFmtId="175" fontId="0" fillId="0" borderId="31" xfId="0" applyNumberFormat="1" applyBorder="1"/>
    <xf numFmtId="14" fontId="22" fillId="0" borderId="31" xfId="0" applyNumberFormat="1" applyFont="1" applyBorder="1" applyAlignment="1">
      <alignment horizontal="center"/>
    </xf>
    <xf numFmtId="177" fontId="0" fillId="0" borderId="31" xfId="0" applyNumberFormat="1" applyBorder="1"/>
    <xf numFmtId="9" fontId="22" fillId="0" borderId="0" xfId="0" applyNumberFormat="1" applyFont="1"/>
    <xf numFmtId="168" fontId="10" fillId="0" borderId="31" xfId="0" applyNumberFormat="1" applyFont="1" applyBorder="1"/>
    <xf numFmtId="168" fontId="23" fillId="0" borderId="31" xfId="0" applyNumberFormat="1" applyFont="1" applyBorder="1"/>
    <xf numFmtId="167" fontId="0" fillId="0" borderId="38" xfId="2" applyNumberFormat="1" applyFont="1" applyFill="1" applyBorder="1" applyAlignment="1">
      <alignment horizontal="center"/>
    </xf>
    <xf numFmtId="0" fontId="1" fillId="13" borderId="1" xfId="0" applyFont="1" applyFill="1" applyBorder="1" applyAlignment="1"/>
    <xf numFmtId="165" fontId="0" fillId="0" borderId="1" xfId="0" applyNumberFormat="1" applyFill="1" applyBorder="1"/>
    <xf numFmtId="168" fontId="16" fillId="0" borderId="39" xfId="0" applyNumberFormat="1" applyFont="1" applyBorder="1"/>
    <xf numFmtId="167" fontId="24" fillId="0" borderId="0" xfId="0" applyNumberFormat="1" applyFont="1" applyFill="1"/>
    <xf numFmtId="167" fontId="0" fillId="0" borderId="0" xfId="0" applyNumberFormat="1" applyFill="1"/>
    <xf numFmtId="168" fontId="16" fillId="5" borderId="11" xfId="0" applyNumberFormat="1" applyFont="1" applyFill="1" applyBorder="1"/>
    <xf numFmtId="167" fontId="16" fillId="5" borderId="11" xfId="0" applyNumberFormat="1" applyFont="1" applyFill="1" applyBorder="1"/>
    <xf numFmtId="0" fontId="6" fillId="0" borderId="11" xfId="0" applyFont="1" applyFill="1" applyBorder="1" applyAlignment="1">
      <alignment vertical="center"/>
    </xf>
    <xf numFmtId="0" fontId="7" fillId="5" borderId="15" xfId="0" applyFont="1" applyFill="1" applyBorder="1" applyAlignment="1">
      <alignment vertical="center"/>
    </xf>
    <xf numFmtId="0" fontId="6" fillId="5" borderId="19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6" fillId="0" borderId="11" xfId="0" applyFont="1" applyFill="1" applyBorder="1" applyAlignment="1">
      <alignment vertical="center"/>
    </xf>
    <xf numFmtId="0" fontId="7" fillId="5" borderId="11" xfId="0" applyFont="1" applyFill="1" applyBorder="1" applyAlignment="1">
      <alignment vertical="center"/>
    </xf>
    <xf numFmtId="168" fontId="7" fillId="0" borderId="11" xfId="0" applyNumberFormat="1" applyFont="1" applyBorder="1" applyAlignment="1">
      <alignment vertical="center"/>
    </xf>
    <xf numFmtId="9" fontId="7" fillId="0" borderId="11" xfId="0" applyNumberFormat="1" applyFont="1" applyBorder="1" applyAlignment="1">
      <alignment vertical="center"/>
    </xf>
    <xf numFmtId="167" fontId="7" fillId="0" borderId="11" xfId="0" applyNumberFormat="1" applyFont="1" applyBorder="1" applyAlignment="1">
      <alignment vertical="center"/>
    </xf>
    <xf numFmtId="168" fontId="7" fillId="5" borderId="11" xfId="0" applyNumberFormat="1" applyFont="1" applyFill="1" applyBorder="1" applyAlignment="1">
      <alignment vertical="center"/>
    </xf>
    <xf numFmtId="9" fontId="7" fillId="5" borderId="11" xfId="0" applyNumberFormat="1" applyFont="1" applyFill="1" applyBorder="1" applyAlignment="1">
      <alignment vertical="center"/>
    </xf>
    <xf numFmtId="168" fontId="6" fillId="0" borderId="11" xfId="0" applyNumberFormat="1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168" fontId="6" fillId="5" borderId="11" xfId="0" applyNumberFormat="1" applyFont="1" applyFill="1" applyBorder="1" applyAlignment="1">
      <alignment vertical="center"/>
    </xf>
    <xf numFmtId="167" fontId="7" fillId="5" borderId="11" xfId="0" applyNumberFormat="1" applyFont="1" applyFill="1" applyBorder="1" applyAlignment="1">
      <alignment vertical="center"/>
    </xf>
    <xf numFmtId="168" fontId="14" fillId="0" borderId="11" xfId="0" applyNumberFormat="1" applyFont="1" applyFill="1" applyBorder="1"/>
    <xf numFmtId="0" fontId="9" fillId="0" borderId="13" xfId="0" applyFont="1" applyFill="1" applyBorder="1"/>
    <xf numFmtId="0" fontId="10" fillId="0" borderId="13" xfId="0" applyFont="1" applyFill="1" applyBorder="1"/>
    <xf numFmtId="0" fontId="11" fillId="0" borderId="13" xfId="0" applyFont="1" applyFill="1" applyBorder="1"/>
    <xf numFmtId="0" fontId="14" fillId="0" borderId="13" xfId="0" applyFont="1" applyFill="1" applyBorder="1"/>
    <xf numFmtId="10" fontId="10" fillId="0" borderId="12" xfId="0" applyNumberFormat="1" applyFont="1" applyFill="1" applyBorder="1"/>
    <xf numFmtId="168" fontId="10" fillId="0" borderId="12" xfId="0" applyNumberFormat="1" applyFont="1" applyFill="1" applyBorder="1"/>
    <xf numFmtId="167" fontId="10" fillId="0" borderId="12" xfId="0" applyNumberFormat="1" applyFont="1" applyFill="1" applyBorder="1"/>
    <xf numFmtId="168" fontId="11" fillId="0" borderId="12" xfId="0" applyNumberFormat="1" applyFont="1" applyFill="1" applyBorder="1"/>
    <xf numFmtId="168" fontId="14" fillId="0" borderId="12" xfId="0" applyNumberFormat="1" applyFont="1" applyFill="1" applyBorder="1"/>
    <xf numFmtId="0" fontId="9" fillId="0" borderId="41" xfId="0" applyFont="1" applyFill="1" applyBorder="1"/>
    <xf numFmtId="0" fontId="9" fillId="0" borderId="15" xfId="0" applyFont="1" applyFill="1" applyBorder="1"/>
    <xf numFmtId="0" fontId="9" fillId="0" borderId="36" xfId="0" applyFont="1" applyFill="1" applyBorder="1"/>
    <xf numFmtId="0" fontId="6" fillId="0" borderId="44" xfId="0" applyFont="1" applyBorder="1"/>
    <xf numFmtId="168" fontId="7" fillId="0" borderId="44" xfId="2" applyNumberFormat="1" applyFont="1" applyBorder="1"/>
    <xf numFmtId="0" fontId="7" fillId="0" borderId="44" xfId="0" applyFont="1" applyBorder="1"/>
    <xf numFmtId="0" fontId="6" fillId="5" borderId="39" xfId="0" applyFont="1" applyFill="1" applyBorder="1"/>
    <xf numFmtId="168" fontId="6" fillId="5" borderId="39" xfId="0" applyNumberFormat="1" applyFont="1" applyFill="1" applyBorder="1"/>
    <xf numFmtId="0" fontId="6" fillId="5" borderId="45" xfId="0" applyFont="1" applyFill="1" applyBorder="1"/>
    <xf numFmtId="168" fontId="7" fillId="0" borderId="36" xfId="0" applyNumberFormat="1" applyFont="1" applyBorder="1"/>
    <xf numFmtId="168" fontId="7" fillId="0" borderId="12" xfId="0" applyNumberFormat="1" applyFont="1" applyBorder="1"/>
    <xf numFmtId="168" fontId="7" fillId="0" borderId="26" xfId="0" applyNumberFormat="1" applyFont="1" applyBorder="1"/>
    <xf numFmtId="168" fontId="6" fillId="5" borderId="40" xfId="0" applyNumberFormat="1" applyFont="1" applyFill="1" applyBorder="1"/>
    <xf numFmtId="0" fontId="1" fillId="13" borderId="1" xfId="0" applyFont="1" applyFill="1" applyBorder="1" applyAlignment="1">
      <alignment horizontal="center"/>
    </xf>
    <xf numFmtId="165" fontId="1" fillId="13" borderId="1" xfId="0" applyNumberFormat="1" applyFont="1" applyFill="1" applyBorder="1" applyAlignment="1">
      <alignment horizontal="center"/>
    </xf>
    <xf numFmtId="168" fontId="25" fillId="16" borderId="11" xfId="0" applyNumberFormat="1" applyFont="1" applyFill="1" applyBorder="1"/>
    <xf numFmtId="0" fontId="11" fillId="5" borderId="13" xfId="0" applyFont="1" applyFill="1" applyBorder="1"/>
    <xf numFmtId="168" fontId="10" fillId="5" borderId="11" xfId="0" applyNumberFormat="1" applyFont="1" applyFill="1" applyBorder="1"/>
    <xf numFmtId="168" fontId="10" fillId="5" borderId="12" xfId="0" applyNumberFormat="1" applyFont="1" applyFill="1" applyBorder="1"/>
    <xf numFmtId="0" fontId="11" fillId="5" borderId="42" xfId="0" applyFont="1" applyFill="1" applyBorder="1"/>
    <xf numFmtId="168" fontId="10" fillId="5" borderId="19" xfId="0" applyNumberFormat="1" applyFont="1" applyFill="1" applyBorder="1"/>
    <xf numFmtId="168" fontId="10" fillId="5" borderId="43" xfId="0" applyNumberFormat="1" applyFont="1" applyFill="1" applyBorder="1"/>
    <xf numFmtId="168" fontId="10" fillId="0" borderId="0" xfId="0" applyNumberFormat="1" applyFont="1" applyFill="1" applyBorder="1"/>
    <xf numFmtId="0" fontId="24" fillId="0" borderId="1" xfId="0" applyFont="1" applyBorder="1"/>
    <xf numFmtId="168" fontId="6" fillId="0" borderId="15" xfId="0" applyNumberFormat="1" applyFont="1" applyBorder="1"/>
    <xf numFmtId="165" fontId="0" fillId="23" borderId="0" xfId="3" applyFont="1" applyFill="1"/>
    <xf numFmtId="1" fontId="0" fillId="0" borderId="5" xfId="0" applyNumberFormat="1" applyBorder="1"/>
    <xf numFmtId="168" fontId="0" fillId="0" borderId="5" xfId="0" applyNumberFormat="1" applyBorder="1"/>
    <xf numFmtId="1" fontId="0" fillId="0" borderId="51" xfId="0" applyNumberFormat="1" applyBorder="1"/>
    <xf numFmtId="168" fontId="0" fillId="0" borderId="52" xfId="0" applyNumberFormat="1" applyBorder="1"/>
    <xf numFmtId="168" fontId="0" fillId="0" borderId="53" xfId="0" applyNumberFormat="1" applyBorder="1"/>
    <xf numFmtId="0" fontId="1" fillId="7" borderId="0" xfId="0" applyFont="1" applyFill="1" applyBorder="1"/>
    <xf numFmtId="168" fontId="1" fillId="7" borderId="0" xfId="0" applyNumberFormat="1" applyFont="1" applyFill="1" applyBorder="1"/>
    <xf numFmtId="10" fontId="0" fillId="0" borderId="1" xfId="0" applyNumberFormat="1" applyBorder="1"/>
    <xf numFmtId="0" fontId="28" fillId="0" borderId="0" xfId="0" applyFont="1"/>
    <xf numFmtId="0" fontId="29" fillId="0" borderId="0" xfId="0" applyFont="1"/>
    <xf numFmtId="0" fontId="27" fillId="0" borderId="0" xfId="0" applyFont="1"/>
    <xf numFmtId="10" fontId="1" fillId="0" borderId="0" xfId="2" applyNumberFormat="1" applyFont="1" applyBorder="1"/>
    <xf numFmtId="0" fontId="1" fillId="0" borderId="1" xfId="0" applyFont="1" applyFill="1" applyBorder="1"/>
    <xf numFmtId="178" fontId="1" fillId="24" borderId="0" xfId="0" applyNumberFormat="1" applyFont="1" applyFill="1"/>
    <xf numFmtId="0" fontId="28" fillId="5" borderId="1" xfId="0" applyFont="1" applyFill="1" applyBorder="1"/>
    <xf numFmtId="10" fontId="28" fillId="5" borderId="1" xfId="0" applyNumberFormat="1" applyFont="1" applyFill="1" applyBorder="1"/>
    <xf numFmtId="1" fontId="0" fillId="5" borderId="1" xfId="0" applyNumberFormat="1" applyFill="1" applyBorder="1"/>
    <xf numFmtId="168" fontId="0" fillId="5" borderId="1" xfId="0" applyNumberFormat="1" applyFill="1" applyBorder="1"/>
    <xf numFmtId="1" fontId="0" fillId="5" borderId="48" xfId="0" applyNumberFormat="1" applyFill="1" applyBorder="1"/>
    <xf numFmtId="168" fontId="0" fillId="5" borderId="49" xfId="0" applyNumberFormat="1" applyFill="1" applyBorder="1"/>
    <xf numFmtId="168" fontId="0" fillId="5" borderId="50" xfId="0" applyNumberFormat="1" applyFill="1" applyBorder="1"/>
    <xf numFmtId="1" fontId="0" fillId="5" borderId="7" xfId="0" applyNumberFormat="1" applyFill="1" applyBorder="1"/>
    <xf numFmtId="168" fontId="0" fillId="5" borderId="7" xfId="0" applyNumberFormat="1" applyFill="1" applyBorder="1"/>
    <xf numFmtId="0" fontId="1" fillId="5" borderId="1" xfId="0" applyFont="1" applyFill="1" applyBorder="1"/>
    <xf numFmtId="0" fontId="0" fillId="0" borderId="5" xfId="0" applyBorder="1"/>
    <xf numFmtId="176" fontId="0" fillId="0" borderId="1" xfId="0" applyNumberFormat="1" applyBorder="1"/>
    <xf numFmtId="1" fontId="0" fillId="0" borderId="2" xfId="0" applyNumberFormat="1" applyBorder="1"/>
    <xf numFmtId="1" fontId="0" fillId="5" borderId="2" xfId="0" applyNumberFormat="1" applyFill="1" applyBorder="1"/>
    <xf numFmtId="1" fontId="0" fillId="0" borderId="54" xfId="0" applyNumberFormat="1" applyBorder="1"/>
    <xf numFmtId="1" fontId="0" fillId="5" borderId="57" xfId="0" applyNumberFormat="1" applyFill="1" applyBorder="1"/>
    <xf numFmtId="1" fontId="0" fillId="0" borderId="58" xfId="0" applyNumberFormat="1" applyBorder="1"/>
    <xf numFmtId="1" fontId="0" fillId="5" borderId="8" xfId="0" applyNumberFormat="1" applyFill="1" applyBorder="1"/>
    <xf numFmtId="168" fontId="0" fillId="0" borderId="4" xfId="0" applyNumberFormat="1" applyBorder="1"/>
    <xf numFmtId="168" fontId="0" fillId="5" borderId="4" xfId="0" applyNumberFormat="1" applyFill="1" applyBorder="1"/>
    <xf numFmtId="168" fontId="0" fillId="0" borderId="55" xfId="0" applyNumberFormat="1" applyBorder="1"/>
    <xf numFmtId="168" fontId="0" fillId="5" borderId="59" xfId="0" applyNumberFormat="1" applyFill="1" applyBorder="1"/>
    <xf numFmtId="168" fontId="0" fillId="0" borderId="60" xfId="0" applyNumberFormat="1" applyBorder="1"/>
    <xf numFmtId="168" fontId="0" fillId="5" borderId="56" xfId="0" applyNumberFormat="1" applyFill="1" applyBorder="1"/>
    <xf numFmtId="0" fontId="28" fillId="5" borderId="5" xfId="0" applyFont="1" applyFill="1" applyBorder="1"/>
    <xf numFmtId="167" fontId="0" fillId="5" borderId="1" xfId="0" applyNumberFormat="1" applyFill="1" applyBorder="1"/>
    <xf numFmtId="176" fontId="0" fillId="5" borderId="1" xfId="0" applyNumberFormat="1" applyFill="1" applyBorder="1"/>
    <xf numFmtId="10" fontId="0" fillId="0" borderId="1" xfId="0" applyNumberFormat="1" applyFill="1" applyBorder="1"/>
    <xf numFmtId="10" fontId="0" fillId="0" borderId="1" xfId="2" applyNumberFormat="1" applyFont="1" applyBorder="1"/>
    <xf numFmtId="0" fontId="9" fillId="5" borderId="1" xfId="0" applyFont="1" applyFill="1" applyBorder="1"/>
    <xf numFmtId="0" fontId="10" fillId="0" borderId="1" xfId="0" applyFont="1" applyBorder="1"/>
    <xf numFmtId="168" fontId="10" fillId="0" borderId="1" xfId="0" applyNumberFormat="1" applyFont="1" applyBorder="1"/>
    <xf numFmtId="9" fontId="10" fillId="0" borderId="1" xfId="0" applyNumberFormat="1" applyFont="1" applyBorder="1"/>
    <xf numFmtId="0" fontId="10" fillId="5" borderId="1" xfId="0" applyFont="1" applyFill="1" applyBorder="1"/>
    <xf numFmtId="168" fontId="10" fillId="5" borderId="1" xfId="0" applyNumberFormat="1" applyFont="1" applyFill="1" applyBorder="1"/>
    <xf numFmtId="9" fontId="10" fillId="5" borderId="1" xfId="2" applyFont="1" applyFill="1" applyBorder="1"/>
    <xf numFmtId="10" fontId="10" fillId="0" borderId="1" xfId="0" applyNumberFormat="1" applyFont="1" applyBorder="1"/>
    <xf numFmtId="0" fontId="9" fillId="22" borderId="1" xfId="0" applyFont="1" applyFill="1" applyBorder="1"/>
    <xf numFmtId="9" fontId="9" fillId="5" borderId="1" xfId="2" applyFont="1" applyFill="1" applyBorder="1"/>
    <xf numFmtId="179" fontId="11" fillId="5" borderId="1" xfId="0" applyNumberFormat="1" applyFont="1" applyFill="1" applyBorder="1"/>
    <xf numFmtId="0" fontId="28" fillId="0" borderId="7" xfId="0" applyFont="1" applyFill="1" applyBorder="1" applyAlignment="1">
      <alignment horizontal="center"/>
    </xf>
    <xf numFmtId="0" fontId="28" fillId="0" borderId="7" xfId="0" applyFont="1" applyFill="1" applyBorder="1"/>
    <xf numFmtId="0" fontId="28" fillId="0" borderId="1" xfId="0" applyFont="1" applyFill="1" applyBorder="1" applyAlignment="1">
      <alignment horizontal="center"/>
    </xf>
    <xf numFmtId="0" fontId="28" fillId="0" borderId="1" xfId="0" applyFont="1" applyFill="1" applyBorder="1"/>
    <xf numFmtId="168" fontId="28" fillId="0" borderId="1" xfId="0" applyNumberFormat="1" applyFont="1" applyFill="1" applyBorder="1"/>
    <xf numFmtId="9" fontId="28" fillId="0" borderId="1" xfId="2" applyFont="1" applyFill="1" applyBorder="1"/>
    <xf numFmtId="2" fontId="28" fillId="0" borderId="1" xfId="2" applyNumberFormat="1" applyFont="1" applyFill="1" applyBorder="1"/>
    <xf numFmtId="0" fontId="28" fillId="0" borderId="5" xfId="0" applyFont="1" applyFill="1" applyBorder="1"/>
    <xf numFmtId="168" fontId="28" fillId="0" borderId="5" xfId="0" applyNumberFormat="1" applyFont="1" applyFill="1" applyBorder="1"/>
    <xf numFmtId="0" fontId="0" fillId="0" borderId="0" xfId="0" applyAlignment="1">
      <alignment horizontal="left"/>
    </xf>
    <xf numFmtId="165" fontId="0" fillId="0" borderId="0" xfId="3" applyFont="1" applyAlignment="1">
      <alignment horizontal="center"/>
    </xf>
    <xf numFmtId="0" fontId="28" fillId="0" borderId="0" xfId="0" applyFont="1" applyFill="1" applyBorder="1"/>
    <xf numFmtId="9" fontId="0" fillId="0" borderId="0" xfId="2" applyNumberFormat="1" applyFont="1" applyFill="1" applyBorder="1"/>
    <xf numFmtId="174" fontId="0" fillId="0" borderId="0" xfId="2" applyNumberFormat="1" applyFont="1" applyFill="1" applyBorder="1"/>
    <xf numFmtId="2" fontId="0" fillId="0" borderId="0" xfId="0" applyNumberFormat="1" applyFill="1" applyBorder="1"/>
    <xf numFmtId="10" fontId="28" fillId="0" borderId="0" xfId="2" applyNumberFormat="1" applyFont="1" applyFill="1" applyBorder="1"/>
    <xf numFmtId="2" fontId="0" fillId="0" borderId="0" xfId="3" applyNumberFormat="1" applyFont="1" applyAlignment="1">
      <alignment horizontal="right"/>
    </xf>
    <xf numFmtId="10" fontId="1" fillId="0" borderId="0" xfId="0" applyNumberFormat="1" applyFont="1" applyFill="1" applyBorder="1"/>
    <xf numFmtId="9" fontId="0" fillId="0" borderId="0" xfId="2" applyFont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165" fontId="0" fillId="0" borderId="0" xfId="0" applyNumberForma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65" fontId="0" fillId="0" borderId="0" xfId="3" applyFont="1" applyFill="1" applyBorder="1" applyAlignment="1">
      <alignment horizontal="center"/>
    </xf>
    <xf numFmtId="165" fontId="1" fillId="0" borderId="0" xfId="3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1" fillId="0" borderId="47" xfId="0" applyFont="1" applyFill="1" applyBorder="1" applyAlignment="1">
      <alignment horizontal="left"/>
    </xf>
    <xf numFmtId="0" fontId="11" fillId="0" borderId="42" xfId="0" applyFont="1" applyFill="1" applyBorder="1" applyAlignment="1">
      <alignment horizontal="left"/>
    </xf>
    <xf numFmtId="168" fontId="11" fillId="0" borderId="19" xfId="0" applyNumberFormat="1" applyFont="1" applyFill="1" applyBorder="1"/>
    <xf numFmtId="168" fontId="11" fillId="0" borderId="43" xfId="0" applyNumberFormat="1" applyFont="1" applyFill="1" applyBorder="1"/>
    <xf numFmtId="0" fontId="11" fillId="0" borderId="37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36" xfId="0" applyFont="1" applyFill="1" applyBorder="1" applyAlignment="1">
      <alignment horizontal="center"/>
    </xf>
    <xf numFmtId="165" fontId="0" fillId="0" borderId="1" xfId="3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Border="1" applyAlignment="1"/>
    <xf numFmtId="10" fontId="0" fillId="0" borderId="0" xfId="0" applyNumberFormat="1" applyBorder="1" applyAlignment="1"/>
    <xf numFmtId="1" fontId="0" fillId="0" borderId="0" xfId="0" applyNumberFormat="1" applyFont="1" applyBorder="1" applyAlignment="1"/>
    <xf numFmtId="1" fontId="0" fillId="0" borderId="0" xfId="0" applyNumberFormat="1" applyBorder="1" applyAlignment="1"/>
    <xf numFmtId="165" fontId="0" fillId="0" borderId="0" xfId="3" applyFont="1" applyBorder="1" applyAlignment="1"/>
    <xf numFmtId="0" fontId="0" fillId="0" borderId="0" xfId="0" applyBorder="1"/>
    <xf numFmtId="165" fontId="0" fillId="0" borderId="0" xfId="0" applyNumberFormat="1" applyBorder="1"/>
    <xf numFmtId="165" fontId="0" fillId="0" borderId="0" xfId="3" applyFont="1" applyBorder="1"/>
    <xf numFmtId="9" fontId="0" fillId="0" borderId="0" xfId="2" applyFont="1" applyBorder="1" applyAlignment="1">
      <alignment horizontal="center"/>
    </xf>
    <xf numFmtId="165" fontId="0" fillId="0" borderId="0" xfId="3" applyFont="1" applyBorder="1" applyAlignment="1">
      <alignment horizontal="left"/>
    </xf>
    <xf numFmtId="0" fontId="0" fillId="0" borderId="0" xfId="0" applyFont="1"/>
    <xf numFmtId="0" fontId="20" fillId="29" borderId="31" xfId="0" applyFont="1" applyFill="1" applyBorder="1" applyAlignment="1">
      <alignment horizontal="center" vertical="center"/>
    </xf>
    <xf numFmtId="0" fontId="20" fillId="30" borderId="31" xfId="0" applyFont="1" applyFill="1" applyBorder="1" applyAlignment="1">
      <alignment horizontal="center" vertical="center"/>
    </xf>
    <xf numFmtId="0" fontId="20" fillId="6" borderId="31" xfId="0" applyFont="1" applyFill="1" applyBorder="1" applyAlignment="1">
      <alignment horizontal="center" vertical="center"/>
    </xf>
    <xf numFmtId="0" fontId="26" fillId="0" borderId="43" xfId="0" applyFont="1" applyFill="1" applyBorder="1" applyAlignment="1">
      <alignment horizontal="center"/>
    </xf>
    <xf numFmtId="0" fontId="26" fillId="0" borderId="47" xfId="0" applyFont="1" applyFill="1" applyBorder="1" applyAlignment="1">
      <alignment horizontal="center"/>
    </xf>
    <xf numFmtId="0" fontId="26" fillId="0" borderId="42" xfId="0" applyFont="1" applyFill="1" applyBorder="1" applyAlignment="1">
      <alignment horizontal="center"/>
    </xf>
    <xf numFmtId="0" fontId="26" fillId="0" borderId="46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6" fillId="0" borderId="25" xfId="0" applyFont="1" applyFill="1" applyBorder="1" applyAlignment="1">
      <alignment horizontal="center"/>
    </xf>
    <xf numFmtId="0" fontId="26" fillId="0" borderId="36" xfId="0" applyFont="1" applyFill="1" applyBorder="1" applyAlignment="1">
      <alignment horizontal="center"/>
    </xf>
    <xf numFmtId="0" fontId="26" fillId="0" borderId="37" xfId="0" applyFont="1" applyFill="1" applyBorder="1" applyAlignment="1">
      <alignment horizontal="center"/>
    </xf>
    <xf numFmtId="0" fontId="26" fillId="0" borderId="41" xfId="0" applyFont="1" applyFill="1" applyBorder="1" applyAlignment="1">
      <alignment horizontal="center"/>
    </xf>
    <xf numFmtId="0" fontId="26" fillId="0" borderId="43" xfId="0" applyFont="1" applyFill="1" applyBorder="1" applyAlignment="1">
      <alignment horizontal="center" vertical="center"/>
    </xf>
    <xf numFmtId="0" fontId="26" fillId="0" borderId="47" xfId="0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68" fontId="0" fillId="0" borderId="5" xfId="0" applyNumberFormat="1" applyBorder="1" applyAlignment="1">
      <alignment vertical="center"/>
    </xf>
    <xf numFmtId="168" fontId="0" fillId="0" borderId="6" xfId="0" applyNumberFormat="1" applyBorder="1" applyAlignment="1">
      <alignment vertical="center"/>
    </xf>
    <xf numFmtId="168" fontId="0" fillId="0" borderId="7" xfId="0" applyNumberFormat="1" applyBorder="1" applyAlignment="1">
      <alignment vertical="center"/>
    </xf>
    <xf numFmtId="0" fontId="10" fillId="0" borderId="19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14" borderId="0" xfId="0" applyFill="1" applyAlignment="1">
      <alignment horizontal="center" vertical="center" textRotation="255"/>
    </xf>
    <xf numFmtId="0" fontId="1" fillId="0" borderId="1" xfId="0" applyFont="1" applyBorder="1" applyAlignment="1">
      <alignment horizontal="center"/>
    </xf>
    <xf numFmtId="0" fontId="6" fillId="5" borderId="16" xfId="0" applyFont="1" applyFill="1" applyBorder="1" applyAlignment="1">
      <alignment horizontal="left"/>
    </xf>
    <xf numFmtId="0" fontId="6" fillId="5" borderId="17" xfId="0" applyFont="1" applyFill="1" applyBorder="1" applyAlignment="1">
      <alignment horizontal="left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168" fontId="7" fillId="0" borderId="24" xfId="0" applyNumberFormat="1" applyFont="1" applyBorder="1" applyAlignment="1">
      <alignment horizontal="center" vertical="center"/>
    </xf>
    <xf numFmtId="168" fontId="7" fillId="0" borderId="25" xfId="0" applyNumberFormat="1" applyFont="1" applyBorder="1" applyAlignment="1">
      <alignment horizontal="center" vertical="center"/>
    </xf>
    <xf numFmtId="168" fontId="7" fillId="0" borderId="28" xfId="0" applyNumberFormat="1" applyFont="1" applyBorder="1" applyAlignment="1">
      <alignment horizontal="center" vertical="center"/>
    </xf>
    <xf numFmtId="168" fontId="16" fillId="0" borderId="11" xfId="0" applyNumberFormat="1" applyFont="1" applyBorder="1" applyAlignment="1">
      <alignment horizontal="center" vertical="center"/>
    </xf>
    <xf numFmtId="168" fontId="16" fillId="0" borderId="19" xfId="0" applyNumberFormat="1" applyFont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5" borderId="11" xfId="0" applyFont="1" applyFill="1" applyBorder="1" applyAlignment="1">
      <alignment horizontal="left"/>
    </xf>
    <xf numFmtId="0" fontId="0" fillId="0" borderId="25" xfId="0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20" fillId="0" borderId="29" xfId="0" applyFont="1" applyBorder="1" applyAlignment="1">
      <alignment horizontal="center" vertical="center"/>
    </xf>
    <xf numFmtId="0" fontId="19" fillId="0" borderId="30" xfId="0" applyFont="1" applyBorder="1"/>
    <xf numFmtId="2" fontId="20" fillId="0" borderId="29" xfId="0" applyNumberFormat="1" applyFont="1" applyBorder="1" applyAlignment="1">
      <alignment horizontal="center" vertical="center"/>
    </xf>
    <xf numFmtId="0" fontId="18" fillId="6" borderId="29" xfId="0" applyFont="1" applyFill="1" applyBorder="1" applyAlignment="1">
      <alignment horizontal="center" vertical="center"/>
    </xf>
    <xf numFmtId="0" fontId="19" fillId="6" borderId="30" xfId="0" applyFont="1" applyFill="1" applyBorder="1"/>
    <xf numFmtId="0" fontId="18" fillId="0" borderId="29" xfId="0" applyFont="1" applyBorder="1" applyAlignment="1">
      <alignment horizontal="center" vertical="center"/>
    </xf>
    <xf numFmtId="0" fontId="18" fillId="25" borderId="29" xfId="0" applyFont="1" applyFill="1" applyBorder="1" applyAlignment="1">
      <alignment horizontal="center" vertical="center" wrapText="1"/>
    </xf>
    <xf numFmtId="0" fontId="18" fillId="26" borderId="29" xfId="0" applyFont="1" applyFill="1" applyBorder="1" applyAlignment="1">
      <alignment horizontal="center" vertical="center" wrapText="1"/>
    </xf>
    <xf numFmtId="0" fontId="18" fillId="27" borderId="29" xfId="0" applyFont="1" applyFill="1" applyBorder="1" applyAlignment="1">
      <alignment horizontal="center" vertical="center" wrapText="1"/>
    </xf>
    <xf numFmtId="0" fontId="18" fillId="28" borderId="29" xfId="0" applyFont="1" applyFill="1" applyBorder="1" applyAlignment="1">
      <alignment horizontal="center" vertical="center" wrapText="1"/>
    </xf>
    <xf numFmtId="0" fontId="18" fillId="28" borderId="30" xfId="0" applyFont="1" applyFill="1" applyBorder="1" applyAlignment="1">
      <alignment horizontal="center" vertical="center" wrapText="1"/>
    </xf>
    <xf numFmtId="0" fontId="18" fillId="25" borderId="32" xfId="0" applyFont="1" applyFill="1" applyBorder="1" applyAlignment="1">
      <alignment horizontal="center" vertical="center"/>
    </xf>
    <xf numFmtId="0" fontId="18" fillId="25" borderId="33" xfId="0" applyFont="1" applyFill="1" applyBorder="1" applyAlignment="1">
      <alignment horizontal="center" vertical="center"/>
    </xf>
    <xf numFmtId="0" fontId="18" fillId="25" borderId="34" xfId="0" applyFont="1" applyFill="1" applyBorder="1" applyAlignment="1">
      <alignment horizontal="center" vertical="center"/>
    </xf>
    <xf numFmtId="0" fontId="18" fillId="25" borderId="35" xfId="0" applyFont="1" applyFill="1" applyBorder="1" applyAlignment="1">
      <alignment horizontal="center" vertical="center"/>
    </xf>
    <xf numFmtId="0" fontId="18" fillId="26" borderId="32" xfId="0" applyFont="1" applyFill="1" applyBorder="1" applyAlignment="1">
      <alignment horizontal="center" vertical="center"/>
    </xf>
    <xf numFmtId="0" fontId="18" fillId="26" borderId="33" xfId="0" applyFont="1" applyFill="1" applyBorder="1" applyAlignment="1">
      <alignment horizontal="center" vertical="center"/>
    </xf>
    <xf numFmtId="0" fontId="18" fillId="26" borderId="34" xfId="0" applyFont="1" applyFill="1" applyBorder="1" applyAlignment="1">
      <alignment horizontal="center" vertical="center"/>
    </xf>
    <xf numFmtId="0" fontId="18" fillId="26" borderId="35" xfId="0" applyFont="1" applyFill="1" applyBorder="1" applyAlignment="1">
      <alignment horizontal="center" vertical="center"/>
    </xf>
    <xf numFmtId="0" fontId="18" fillId="27" borderId="32" xfId="0" applyFont="1" applyFill="1" applyBorder="1" applyAlignment="1">
      <alignment horizontal="center" vertical="center"/>
    </xf>
    <xf numFmtId="0" fontId="18" fillId="27" borderId="33" xfId="0" applyFont="1" applyFill="1" applyBorder="1" applyAlignment="1">
      <alignment horizontal="center" vertical="center"/>
    </xf>
    <xf numFmtId="0" fontId="18" fillId="27" borderId="34" xfId="0" applyFont="1" applyFill="1" applyBorder="1" applyAlignment="1">
      <alignment horizontal="center" vertical="center"/>
    </xf>
    <xf numFmtId="0" fontId="18" fillId="27" borderId="35" xfId="0" applyFont="1" applyFill="1" applyBorder="1" applyAlignment="1">
      <alignment horizontal="center" vertical="center"/>
    </xf>
    <xf numFmtId="0" fontId="18" fillId="28" borderId="32" xfId="0" applyFont="1" applyFill="1" applyBorder="1" applyAlignment="1">
      <alignment horizontal="center" vertical="center"/>
    </xf>
    <xf numFmtId="0" fontId="18" fillId="28" borderId="33" xfId="0" applyFont="1" applyFill="1" applyBorder="1" applyAlignment="1">
      <alignment horizontal="center" vertical="center"/>
    </xf>
    <xf numFmtId="0" fontId="18" fillId="28" borderId="34" xfId="0" applyFont="1" applyFill="1" applyBorder="1" applyAlignment="1">
      <alignment horizontal="center" vertical="center"/>
    </xf>
    <xf numFmtId="0" fontId="18" fillId="28" borderId="35" xfId="0" applyFont="1" applyFill="1" applyBorder="1" applyAlignment="1">
      <alignment horizontal="center" vertical="center"/>
    </xf>
    <xf numFmtId="176" fontId="20" fillId="0" borderId="32" xfId="0" applyNumberFormat="1" applyFont="1" applyBorder="1" applyAlignment="1">
      <alignment horizontal="center" vertical="center"/>
    </xf>
    <xf numFmtId="176" fontId="19" fillId="0" borderId="33" xfId="0" applyNumberFormat="1" applyFont="1" applyBorder="1"/>
    <xf numFmtId="176" fontId="19" fillId="0" borderId="34" xfId="0" applyNumberFormat="1" applyFont="1" applyBorder="1"/>
    <xf numFmtId="176" fontId="19" fillId="0" borderId="35" xfId="0" applyNumberFormat="1" applyFont="1" applyBorder="1"/>
    <xf numFmtId="0" fontId="21" fillId="29" borderId="29" xfId="0" applyFont="1" applyFill="1" applyBorder="1" applyAlignment="1">
      <alignment horizontal="center" vertical="center"/>
    </xf>
    <xf numFmtId="174" fontId="20" fillId="0" borderId="32" xfId="2" applyNumberFormat="1" applyFont="1" applyBorder="1" applyAlignment="1">
      <alignment horizontal="center" vertical="center"/>
    </xf>
    <xf numFmtId="174" fontId="19" fillId="0" borderId="33" xfId="2" applyNumberFormat="1" applyFont="1" applyBorder="1"/>
    <xf numFmtId="174" fontId="19" fillId="0" borderId="34" xfId="2" applyNumberFormat="1" applyFont="1" applyBorder="1"/>
    <xf numFmtId="174" fontId="19" fillId="0" borderId="35" xfId="2" applyNumberFormat="1" applyFont="1" applyBorder="1"/>
    <xf numFmtId="9" fontId="20" fillId="0" borderId="29" xfId="0" applyNumberFormat="1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174" fontId="20" fillId="0" borderId="29" xfId="0" applyNumberFormat="1" applyFont="1" applyBorder="1" applyAlignment="1">
      <alignment horizontal="center" vertical="center"/>
    </xf>
    <xf numFmtId="0" fontId="21" fillId="30" borderId="29" xfId="0" applyFont="1" applyFill="1" applyBorder="1" applyAlignment="1">
      <alignment horizontal="center" vertical="center"/>
    </xf>
    <xf numFmtId="0" fontId="21" fillId="6" borderId="29" xfId="0" applyFont="1" applyFill="1" applyBorder="1" applyAlignment="1">
      <alignment horizontal="center" vertical="center"/>
    </xf>
    <xf numFmtId="10" fontId="20" fillId="0" borderId="32" xfId="0" applyNumberFormat="1" applyFont="1" applyBorder="1" applyAlignment="1">
      <alignment horizontal="center" vertical="center"/>
    </xf>
    <xf numFmtId="0" fontId="19" fillId="0" borderId="33" xfId="0" applyFont="1" applyBorder="1"/>
    <xf numFmtId="0" fontId="19" fillId="0" borderId="34" xfId="0" applyFont="1" applyBorder="1"/>
    <xf numFmtId="0" fontId="19" fillId="0" borderId="35" xfId="0" applyFont="1" applyBorder="1"/>
    <xf numFmtId="0" fontId="9" fillId="5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30" fillId="5" borderId="11" xfId="0" applyFont="1" applyFill="1" applyBorder="1"/>
    <xf numFmtId="168" fontId="30" fillId="5" borderId="11" xfId="0" applyNumberFormat="1" applyFont="1" applyFill="1" applyBorder="1"/>
  </cellXfs>
  <cellStyles count="4">
    <cellStyle name="Moneda" xfId="1" builtinId="4"/>
    <cellStyle name="Moneda [0]" xfId="3" builtinId="7"/>
    <cellStyle name="Normal" xfId="0" builtinId="0"/>
    <cellStyle name="Porcentaje" xfId="2" builtinId="5"/>
  </cellStyles>
  <dxfs count="57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8" formatCode="_-[$$-240A]\ * #,##0_-;\-[$$-240A]\ * #,##0_-;_-[$$-240A]\ 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8" formatCode="_-[$$-240A]\ * #,##0_-;\-[$$-240A]\ * #,##0_-;_-[$$-240A]\ 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8" formatCode="_-[$$-240A]\ * #,##0_-;\-[$$-240A]\ * #,##0_-;_-[$$-240A]\ 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8" formatCode="_-[$$-240A]\ * #,##0_-;\-[$$-240A]\ * #,##0_-;_-[$$-240A]\ 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8" formatCode="_-[$$-240A]\ * #,##0_-;\-[$$-240A]\ * #,##0_-;_-[$$-240A]\ 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colors>
    <mruColors>
      <color rgb="FFCCFFFF"/>
      <color rgb="FFCC99FF"/>
      <color rgb="FF99FF99"/>
      <color rgb="FF96AC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Punto</a:t>
            </a:r>
            <a:r>
              <a:rPr lang="es-CO" baseline="0"/>
              <a:t> de Equilibrio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4177536299651716"/>
          <c:y val="0.16639298110412148"/>
          <c:w val="0.82784171651104033"/>
          <c:h val="0.60564822780197258"/>
        </c:manualLayout>
      </c:layout>
      <c:lineChart>
        <c:grouping val="standard"/>
        <c:varyColors val="0"/>
        <c:ser>
          <c:idx val="0"/>
          <c:order val="0"/>
          <c:tx>
            <c:strRef>
              <c:f>'Punto de Equilibrio'!$B$30</c:f>
              <c:strCache>
                <c:ptCount val="1"/>
                <c:pt idx="0">
                  <c:v>Cantidad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'Punto de Equilibrio'!$B$31:$B$39</c:f>
              <c:numCache>
                <c:formatCode>General</c:formatCode>
                <c:ptCount val="9"/>
                <c:pt idx="0" formatCode="0">
                  <c:v>2025.1941176470589</c:v>
                </c:pt>
                <c:pt idx="1">
                  <c:v>7000</c:v>
                </c:pt>
                <c:pt idx="2">
                  <c:v>7500</c:v>
                </c:pt>
                <c:pt idx="3">
                  <c:v>8000</c:v>
                </c:pt>
                <c:pt idx="4">
                  <c:v>8716</c:v>
                </c:pt>
                <c:pt idx="5">
                  <c:v>14500</c:v>
                </c:pt>
                <c:pt idx="6">
                  <c:v>15500</c:v>
                </c:pt>
                <c:pt idx="7">
                  <c:v>17500</c:v>
                </c:pt>
                <c:pt idx="8">
                  <c:v>18000</c:v>
                </c:pt>
              </c:numCache>
            </c:numRef>
          </c:cat>
          <c:val>
            <c:numRef>
              <c:f>'Punto de Equilibrio'!$B$31:$B$39</c:f>
              <c:numCache>
                <c:formatCode>General</c:formatCode>
                <c:ptCount val="9"/>
                <c:pt idx="0" formatCode="0">
                  <c:v>2025.1941176470589</c:v>
                </c:pt>
                <c:pt idx="1">
                  <c:v>7000</c:v>
                </c:pt>
                <c:pt idx="2">
                  <c:v>7500</c:v>
                </c:pt>
                <c:pt idx="3">
                  <c:v>8000</c:v>
                </c:pt>
                <c:pt idx="4">
                  <c:v>8716</c:v>
                </c:pt>
                <c:pt idx="5">
                  <c:v>14500</c:v>
                </c:pt>
                <c:pt idx="6">
                  <c:v>15500</c:v>
                </c:pt>
                <c:pt idx="7">
                  <c:v>17500</c:v>
                </c:pt>
                <c:pt idx="8">
                  <c:v>18000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FF-4B2A-A5AB-A15C59D3DBF1}"/>
            </c:ext>
          </c:extLst>
        </c:ser>
        <c:ser>
          <c:idx val="1"/>
          <c:order val="1"/>
          <c:tx>
            <c:strRef>
              <c:f>'Punto de Equilibrio'!$C$30</c:f>
              <c:strCache>
                <c:ptCount val="1"/>
                <c:pt idx="0">
                  <c:v>ventas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'Punto de Equilibrio'!$B$31:$B$39</c:f>
              <c:numCache>
                <c:formatCode>General</c:formatCode>
                <c:ptCount val="9"/>
                <c:pt idx="0" formatCode="0">
                  <c:v>2025.1941176470589</c:v>
                </c:pt>
                <c:pt idx="1">
                  <c:v>7000</c:v>
                </c:pt>
                <c:pt idx="2">
                  <c:v>7500</c:v>
                </c:pt>
                <c:pt idx="3">
                  <c:v>8000</c:v>
                </c:pt>
                <c:pt idx="4">
                  <c:v>8716</c:v>
                </c:pt>
                <c:pt idx="5">
                  <c:v>14500</c:v>
                </c:pt>
                <c:pt idx="6">
                  <c:v>15500</c:v>
                </c:pt>
                <c:pt idx="7">
                  <c:v>17500</c:v>
                </c:pt>
                <c:pt idx="8">
                  <c:v>18000</c:v>
                </c:pt>
              </c:numCache>
            </c:numRef>
          </c:cat>
          <c:val>
            <c:numRef>
              <c:f>'Punto de Equilibrio'!$C$31:$C$39</c:f>
              <c:numCache>
                <c:formatCode>_-[$$-240A]\ * #,##0.00_-;\-[$$-240A]\ * #,##0.00_-;_-[$$-240A]\ * "-"??_-;_-@_-</c:formatCode>
                <c:ptCount val="9"/>
                <c:pt idx="0">
                  <c:v>11138567.647058824</c:v>
                </c:pt>
                <c:pt idx="1">
                  <c:v>38500000</c:v>
                </c:pt>
                <c:pt idx="2">
                  <c:v>41250000</c:v>
                </c:pt>
                <c:pt idx="3">
                  <c:v>44000000</c:v>
                </c:pt>
                <c:pt idx="4">
                  <c:v>47938000</c:v>
                </c:pt>
                <c:pt idx="5">
                  <c:v>79750000</c:v>
                </c:pt>
                <c:pt idx="6">
                  <c:v>85250000</c:v>
                </c:pt>
                <c:pt idx="7">
                  <c:v>96250000</c:v>
                </c:pt>
                <c:pt idx="8">
                  <c:v>99000000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FF-4B2A-A5AB-A15C59D3DBF1}"/>
            </c:ext>
          </c:extLst>
        </c:ser>
        <c:ser>
          <c:idx val="2"/>
          <c:order val="2"/>
          <c:tx>
            <c:strRef>
              <c:f>'Punto de Equilibrio'!$D$30</c:f>
              <c:strCache>
                <c:ptCount val="1"/>
                <c:pt idx="0">
                  <c:v>Costos Totales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'Punto de Equilibrio'!$B$31:$B$39</c:f>
              <c:numCache>
                <c:formatCode>General</c:formatCode>
                <c:ptCount val="9"/>
                <c:pt idx="0" formatCode="0">
                  <c:v>2025.1941176470589</c:v>
                </c:pt>
                <c:pt idx="1">
                  <c:v>7000</c:v>
                </c:pt>
                <c:pt idx="2">
                  <c:v>7500</c:v>
                </c:pt>
                <c:pt idx="3">
                  <c:v>8000</c:v>
                </c:pt>
                <c:pt idx="4">
                  <c:v>8716</c:v>
                </c:pt>
                <c:pt idx="5">
                  <c:v>14500</c:v>
                </c:pt>
                <c:pt idx="6">
                  <c:v>15500</c:v>
                </c:pt>
                <c:pt idx="7">
                  <c:v>17500</c:v>
                </c:pt>
                <c:pt idx="8">
                  <c:v>18000</c:v>
                </c:pt>
              </c:numCache>
            </c:numRef>
          </c:cat>
          <c:val>
            <c:numRef>
              <c:f>'Punto de Equilibrio'!$D$31:$D$39</c:f>
              <c:numCache>
                <c:formatCode>_-[$$-240A]\ * #,##0.00_-;\-[$$-240A]\ * #,##0.00_-;_-[$$-240A]\ * "-"??_-;_-@_-</c:formatCode>
                <c:ptCount val="9"/>
                <c:pt idx="0">
                  <c:v>11138567.647058824</c:v>
                </c:pt>
                <c:pt idx="1">
                  <c:v>21585660</c:v>
                </c:pt>
                <c:pt idx="2">
                  <c:v>22635660</c:v>
                </c:pt>
                <c:pt idx="3">
                  <c:v>23685660</c:v>
                </c:pt>
                <c:pt idx="4">
                  <c:v>25189260</c:v>
                </c:pt>
                <c:pt idx="5">
                  <c:v>37335660</c:v>
                </c:pt>
                <c:pt idx="6">
                  <c:v>39435660</c:v>
                </c:pt>
                <c:pt idx="7">
                  <c:v>43635660</c:v>
                </c:pt>
                <c:pt idx="8">
                  <c:v>44685660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FF-4B2A-A5AB-A15C59D3D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4769199"/>
        <c:axId val="2084770863"/>
      </c:lineChart>
      <c:catAx>
        <c:axId val="208476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4770863"/>
        <c:crosses val="autoZero"/>
        <c:auto val="1"/>
        <c:lblAlgn val="ctr"/>
        <c:lblOffset val="100"/>
        <c:tickLblSkip val="1"/>
        <c:noMultiLvlLbl val="0"/>
      </c:catAx>
      <c:valAx>
        <c:axId val="2084770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476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4.xml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6" Type="http://schemas.openxmlformats.org/officeDocument/2006/relationships/customXml" Target="../ink/ink3.xml"/><Relationship Id="rId5" Type="http://schemas.openxmlformats.org/officeDocument/2006/relationships/image" Target="../media/image3.png"/><Relationship Id="rId4" Type="http://schemas.openxmlformats.org/officeDocument/2006/relationships/customXml" Target="../ink/ink2.xml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552450</xdr:colOff>
      <xdr:row>6</xdr:row>
      <xdr:rowOff>180975</xdr:rowOff>
    </xdr:from>
    <xdr:to>
      <xdr:col>12</xdr:col>
      <xdr:colOff>390525</xdr:colOff>
      <xdr:row>15</xdr:row>
      <xdr:rowOff>95250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0169A0-C068-4F14-93C5-8E8A2AF2DF81}"/>
            </a:ext>
          </a:extLst>
        </xdr:cNvPr>
        <xdr:cNvSpPr txBox="1"/>
      </xdr:nvSpPr>
      <xdr:spPr>
        <a:xfrm>
          <a:off x="8391525" y="1323975"/>
          <a:ext cx="28860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>
              <a:hlinkClick xmlns:r="http://schemas.openxmlformats.org/officeDocument/2006/relationships" r:id=""/>
            </a:rPr>
            <a:t>El mercado de los jabones líquidos y en barra mueve $356.700 millones al año (larepublica.co)</a:t>
          </a:r>
          <a:endParaRPr lang="es-CO" sz="1100"/>
        </a:p>
      </xdr:txBody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8CA8B3CC-284A-45FD-903F-2BA3FFC1D56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F4CECD-C89C-4042-8D2D-4A9AD630015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E32E97B9-96CD-48A7-BB80-186B8C7E6A26}"/>
            </a:ext>
          </a:extLst>
        </xdr:cNvPr>
        <xdr:cNvSpPr>
          <a:spLocks noChangeAspect="1" noChangeArrowheads="1"/>
        </xdr:cNvSpPr>
      </xdr:nvSpPr>
      <xdr:spPr bwMode="auto">
        <a:xfrm>
          <a:off x="7620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FA39E09E-C9D6-4C94-9777-E77162D1A168}"/>
            </a:ext>
          </a:extLst>
        </xdr:cNvPr>
        <xdr:cNvSpPr>
          <a:spLocks noChangeAspect="1" noChangeArrowheads="1"/>
        </xdr:cNvSpPr>
      </xdr:nvSpPr>
      <xdr:spPr bwMode="auto">
        <a:xfrm>
          <a:off x="7620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3A1FC1EC-B956-4993-8647-D1395F7BADB6}"/>
            </a:ext>
          </a:extLst>
        </xdr:cNvPr>
        <xdr:cNvSpPr>
          <a:spLocks noChangeAspect="1" noChangeArrowheads="1"/>
        </xdr:cNvSpPr>
      </xdr:nvSpPr>
      <xdr:spPr bwMode="auto">
        <a:xfrm>
          <a:off x="7620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4A48F344-2900-4128-BFE3-A10124F67237}"/>
            </a:ext>
          </a:extLst>
        </xdr:cNvPr>
        <xdr:cNvSpPr>
          <a:spLocks noChangeAspect="1" noChangeArrowheads="1"/>
        </xdr:cNvSpPr>
      </xdr:nvSpPr>
      <xdr:spPr bwMode="auto">
        <a:xfrm>
          <a:off x="7620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9" name="AutoShape 7">
          <a:extLst>
            <a:ext uri="{FF2B5EF4-FFF2-40B4-BE49-F238E27FC236}">
              <a16:creationId xmlns:a16="http://schemas.microsoft.com/office/drawing/2014/main" id="{F0F87DDF-A53F-4E63-9F86-5A3AC181A3D6}"/>
            </a:ext>
          </a:extLst>
        </xdr:cNvPr>
        <xdr:cNvSpPr>
          <a:spLocks noChangeAspect="1" noChangeArrowheads="1"/>
        </xdr:cNvSpPr>
      </xdr:nvSpPr>
      <xdr:spPr bwMode="auto">
        <a:xfrm>
          <a:off x="7620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10" name="AutoShape 8">
          <a:extLst>
            <a:ext uri="{FF2B5EF4-FFF2-40B4-BE49-F238E27FC236}">
              <a16:creationId xmlns:a16="http://schemas.microsoft.com/office/drawing/2014/main" id="{57D2AF52-06BC-4639-8178-8413B8F2DB08}"/>
            </a:ext>
          </a:extLst>
        </xdr:cNvPr>
        <xdr:cNvSpPr>
          <a:spLocks noChangeAspect="1" noChangeArrowheads="1"/>
        </xdr:cNvSpPr>
      </xdr:nvSpPr>
      <xdr:spPr bwMode="auto">
        <a:xfrm>
          <a:off x="7620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24</xdr:row>
      <xdr:rowOff>114300</xdr:rowOff>
    </xdr:to>
    <xdr:sp macro="" textlink="">
      <xdr:nvSpPr>
        <xdr:cNvPr id="11" name="AutoShape 9">
          <a:extLst>
            <a:ext uri="{FF2B5EF4-FFF2-40B4-BE49-F238E27FC236}">
              <a16:creationId xmlns:a16="http://schemas.microsoft.com/office/drawing/2014/main" id="{AF6476FB-9594-4B45-89DD-E1F61CEEE0B5}"/>
            </a:ext>
          </a:extLst>
        </xdr:cNvPr>
        <xdr:cNvSpPr>
          <a:spLocks noChangeAspect="1" noChangeArrowheads="1"/>
        </xdr:cNvSpPr>
      </xdr:nvSpPr>
      <xdr:spPr bwMode="auto">
        <a:xfrm>
          <a:off x="4257675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24</xdr:row>
      <xdr:rowOff>114300</xdr:rowOff>
    </xdr:to>
    <xdr:sp macro="" textlink="">
      <xdr:nvSpPr>
        <xdr:cNvPr id="12" name="AutoShape 10">
          <a:extLst>
            <a:ext uri="{FF2B5EF4-FFF2-40B4-BE49-F238E27FC236}">
              <a16:creationId xmlns:a16="http://schemas.microsoft.com/office/drawing/2014/main" id="{57814DED-2F34-4418-A8FC-5A204739433E}"/>
            </a:ext>
          </a:extLst>
        </xdr:cNvPr>
        <xdr:cNvSpPr>
          <a:spLocks noChangeAspect="1" noChangeArrowheads="1"/>
        </xdr:cNvSpPr>
      </xdr:nvSpPr>
      <xdr:spPr bwMode="auto">
        <a:xfrm>
          <a:off x="4257675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24</xdr:row>
      <xdr:rowOff>114300</xdr:rowOff>
    </xdr:to>
    <xdr:sp macro="" textlink="">
      <xdr:nvSpPr>
        <xdr:cNvPr id="13" name="AutoShape 11">
          <a:extLst>
            <a:ext uri="{FF2B5EF4-FFF2-40B4-BE49-F238E27FC236}">
              <a16:creationId xmlns:a16="http://schemas.microsoft.com/office/drawing/2014/main" id="{14DEF70E-4654-4D9E-A88B-5E3798877829}"/>
            </a:ext>
          </a:extLst>
        </xdr:cNvPr>
        <xdr:cNvSpPr>
          <a:spLocks noChangeAspect="1" noChangeArrowheads="1"/>
        </xdr:cNvSpPr>
      </xdr:nvSpPr>
      <xdr:spPr bwMode="auto">
        <a:xfrm>
          <a:off x="4257675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24</xdr:row>
      <xdr:rowOff>114300</xdr:rowOff>
    </xdr:to>
    <xdr:sp macro="" textlink="">
      <xdr:nvSpPr>
        <xdr:cNvPr id="14" name="AutoShape 12">
          <a:extLst>
            <a:ext uri="{FF2B5EF4-FFF2-40B4-BE49-F238E27FC236}">
              <a16:creationId xmlns:a16="http://schemas.microsoft.com/office/drawing/2014/main" id="{EA930A70-60D0-4394-B0E8-9DF758D25521}"/>
            </a:ext>
          </a:extLst>
        </xdr:cNvPr>
        <xdr:cNvSpPr>
          <a:spLocks noChangeAspect="1" noChangeArrowheads="1"/>
        </xdr:cNvSpPr>
      </xdr:nvSpPr>
      <xdr:spPr bwMode="auto">
        <a:xfrm>
          <a:off x="4257675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24</xdr:row>
      <xdr:rowOff>114300</xdr:rowOff>
    </xdr:to>
    <xdr:sp macro="" textlink="">
      <xdr:nvSpPr>
        <xdr:cNvPr id="15" name="AutoShape 13">
          <a:extLst>
            <a:ext uri="{FF2B5EF4-FFF2-40B4-BE49-F238E27FC236}">
              <a16:creationId xmlns:a16="http://schemas.microsoft.com/office/drawing/2014/main" id="{F4D98B94-DBD4-430E-A73C-125AB99BD04A}"/>
            </a:ext>
          </a:extLst>
        </xdr:cNvPr>
        <xdr:cNvSpPr>
          <a:spLocks noChangeAspect="1" noChangeArrowheads="1"/>
        </xdr:cNvSpPr>
      </xdr:nvSpPr>
      <xdr:spPr bwMode="auto">
        <a:xfrm>
          <a:off x="4257675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197689</xdr:colOff>
      <xdr:row>24</xdr:row>
      <xdr:rowOff>119810</xdr:rowOff>
    </xdr:from>
    <xdr:to>
      <xdr:col>6</xdr:col>
      <xdr:colOff>251065</xdr:colOff>
      <xdr:row>46</xdr:row>
      <xdr:rowOff>8120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99B5A02-659E-4BB2-97E7-5E0C9FB0E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0378" y="4837381"/>
          <a:ext cx="5085451" cy="4039772"/>
        </a:xfrm>
        <a:prstGeom prst="rect">
          <a:avLst/>
        </a:prstGeom>
      </xdr:spPr>
    </xdr:pic>
    <xdr:clientData/>
  </xdr:twoCellAnchor>
  <xdr:twoCellAnchor editAs="oneCell">
    <xdr:from>
      <xdr:col>3</xdr:col>
      <xdr:colOff>62403</xdr:colOff>
      <xdr:row>30</xdr:row>
      <xdr:rowOff>28137</xdr:rowOff>
    </xdr:from>
    <xdr:to>
      <xdr:col>3</xdr:col>
      <xdr:colOff>319083</xdr:colOff>
      <xdr:row>33</xdr:row>
      <xdr:rowOff>169083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17" name="Entrada de lápiz 16">
              <a:extLst>
                <a:ext uri="{FF2B5EF4-FFF2-40B4-BE49-F238E27FC236}">
                  <a16:creationId xmlns:a16="http://schemas.microsoft.com/office/drawing/2014/main" id="{A70A45EA-3BE5-482D-83E7-FD9FABB9D306}"/>
                </a:ext>
              </a:extLst>
            </xdr14:cNvPr>
            <xdr14:cNvContentPartPr/>
          </xdr14:nvContentPartPr>
          <xdr14:nvPr macro=""/>
          <xdr14:xfrm>
            <a:off x="3417120" y="5779080"/>
            <a:ext cx="256680" cy="716040"/>
          </xdr14:xfrm>
        </xdr:contentPart>
      </mc:Choice>
      <mc:Fallback xmlns="">
        <xdr:pic>
          <xdr:nvPicPr>
            <xdr:cNvPr id="4" name="Entrada de lápiz 3">
              <a:extLst>
                <a:ext uri="{FF2B5EF4-FFF2-40B4-BE49-F238E27FC236}">
                  <a16:creationId xmlns:a16="http://schemas.microsoft.com/office/drawing/2014/main" id="{E6FCD73B-3EEF-4349-A95C-9C8814D4EDD6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3408120" y="5770440"/>
              <a:ext cx="274320" cy="7336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694493</xdr:colOff>
      <xdr:row>30</xdr:row>
      <xdr:rowOff>173937</xdr:rowOff>
    </xdr:from>
    <xdr:to>
      <xdr:col>5</xdr:col>
      <xdr:colOff>978008</xdr:colOff>
      <xdr:row>32</xdr:row>
      <xdr:rowOff>112020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18" name="Entrada de lápiz 17">
              <a:extLst>
                <a:ext uri="{FF2B5EF4-FFF2-40B4-BE49-F238E27FC236}">
                  <a16:creationId xmlns:a16="http://schemas.microsoft.com/office/drawing/2014/main" id="{E3EEC489-0FE3-403D-95F0-45641E5C5CD8}"/>
                </a:ext>
              </a:extLst>
            </xdr14:cNvPr>
            <xdr14:cNvContentPartPr/>
          </xdr14:nvContentPartPr>
          <xdr14:nvPr macro=""/>
          <xdr14:xfrm>
            <a:off x="6062040" y="5924880"/>
            <a:ext cx="293040" cy="321480"/>
          </xdr14:xfrm>
        </xdr:contentPart>
      </mc:Choice>
      <mc:Fallback xmlns="">
        <xdr:pic>
          <xdr:nvPicPr>
            <xdr:cNvPr id="7" name="Entrada de lápiz 6">
              <a:extLst>
                <a:ext uri="{FF2B5EF4-FFF2-40B4-BE49-F238E27FC236}">
                  <a16:creationId xmlns:a16="http://schemas.microsoft.com/office/drawing/2014/main" id="{921E8658-31F1-374C-9A54-6E85C55BBF60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6053400" y="5915880"/>
              <a:ext cx="310680" cy="3391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391646</xdr:colOff>
      <xdr:row>32</xdr:row>
      <xdr:rowOff>60180</xdr:rowOff>
    </xdr:from>
    <xdr:to>
      <xdr:col>8</xdr:col>
      <xdr:colOff>392006</xdr:colOff>
      <xdr:row>32</xdr:row>
      <xdr:rowOff>60540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9" name="Entrada de lápiz 18">
              <a:extLst>
                <a:ext uri="{FF2B5EF4-FFF2-40B4-BE49-F238E27FC236}">
                  <a16:creationId xmlns:a16="http://schemas.microsoft.com/office/drawing/2014/main" id="{9C93694E-A319-4A2A-86C6-39A6CDD1D7EC}"/>
                </a:ext>
              </a:extLst>
            </xdr14:cNvPr>
            <xdr14:cNvContentPartPr/>
          </xdr14:nvContentPartPr>
          <xdr14:nvPr macro=""/>
          <xdr14:xfrm>
            <a:off x="8371080" y="6194520"/>
            <a:ext cx="360" cy="360"/>
          </xdr14:xfrm>
        </xdr:contentPart>
      </mc:Choice>
      <mc:Fallback xmlns="">
        <xdr:pic>
          <xdr:nvPicPr>
            <xdr:cNvPr id="8" name="Entrada de lápiz 7">
              <a:extLst>
                <a:ext uri="{FF2B5EF4-FFF2-40B4-BE49-F238E27FC236}">
                  <a16:creationId xmlns:a16="http://schemas.microsoft.com/office/drawing/2014/main" id="{F36C32C3-0AC2-AE40-B2D5-2537A95FBFC9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8362440" y="61855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797018</xdr:colOff>
      <xdr:row>32</xdr:row>
      <xdr:rowOff>4740</xdr:rowOff>
    </xdr:from>
    <xdr:to>
      <xdr:col>2</xdr:col>
      <xdr:colOff>1068338</xdr:colOff>
      <xdr:row>32</xdr:row>
      <xdr:rowOff>155940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20" name="Entrada de lápiz 19">
              <a:extLst>
                <a:ext uri="{FF2B5EF4-FFF2-40B4-BE49-F238E27FC236}">
                  <a16:creationId xmlns:a16="http://schemas.microsoft.com/office/drawing/2014/main" id="{5A743AE3-EDC8-4D48-8BF9-43ADAAEF07D6}"/>
                </a:ext>
              </a:extLst>
            </xdr14:cNvPr>
            <xdr14:cNvContentPartPr/>
          </xdr14:nvContentPartPr>
          <xdr14:nvPr macro=""/>
          <xdr14:xfrm>
            <a:off x="3145320" y="6139080"/>
            <a:ext cx="423720" cy="151200"/>
          </xdr14:xfrm>
        </xdr:contentPart>
      </mc:Choice>
      <mc:Fallback xmlns="">
        <xdr:pic>
          <xdr:nvPicPr>
            <xdr:cNvPr id="11" name="Entrada de lápiz 10">
              <a:extLst>
                <a:ext uri="{FF2B5EF4-FFF2-40B4-BE49-F238E27FC236}">
                  <a16:creationId xmlns:a16="http://schemas.microsoft.com/office/drawing/2014/main" id="{BF6EC624-4BDF-DB4B-927F-AD9D5F38A4BC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3136680" y="6130080"/>
              <a:ext cx="441360" cy="1688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30</xdr:row>
      <xdr:rowOff>114299</xdr:rowOff>
    </xdr:from>
    <xdr:to>
      <xdr:col>4</xdr:col>
      <xdr:colOff>1085849</xdr:colOff>
      <xdr:row>33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5AD6D51-207F-4A18-BE67-88F99FC43C81}"/>
            </a:ext>
          </a:extLst>
        </xdr:cNvPr>
        <xdr:cNvSpPr txBox="1"/>
      </xdr:nvSpPr>
      <xdr:spPr>
        <a:xfrm>
          <a:off x="2000250" y="6210299"/>
          <a:ext cx="1809749" cy="4857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Entre más se aumenten las rotacines</a:t>
          </a:r>
          <a:r>
            <a:rPr lang="es-CO" sz="1100" baseline="0"/>
            <a:t> se estimaria que mayor valor se le resta al flujo de caja </a:t>
          </a:r>
          <a:endParaRPr lang="es-CO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530018</xdr:colOff>
      <xdr:row>8</xdr:row>
      <xdr:rowOff>103698</xdr:rowOff>
    </xdr:from>
    <xdr:to>
      <xdr:col>19</xdr:col>
      <xdr:colOff>725281</xdr:colOff>
      <xdr:row>42</xdr:row>
      <xdr:rowOff>146561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281FD13-47B8-4A58-B1EE-50C6721F08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200024</xdr:colOff>
      <xdr:row>30</xdr:row>
      <xdr:rowOff>34925</xdr:rowOff>
    </xdr:from>
    <xdr:to>
      <xdr:col>7</xdr:col>
      <xdr:colOff>666749</xdr:colOff>
      <xdr:row>34</xdr:row>
      <xdr:rowOff>177800</xdr:rowOff>
    </xdr:to>
    <xdr:sp macro="" textlink="">
      <xdr:nvSpPr>
        <xdr:cNvPr id="2" name="CuadroTexto 3">
          <a:extLst>
            <a:ext uri="{FF2B5EF4-FFF2-40B4-BE49-F238E27FC236}">
              <a16:creationId xmlns:a16="http://schemas.microsoft.com/office/drawing/2014/main" id="{7B91DE9E-E4BC-472E-A539-9025AEAA17F8}"/>
            </a:ext>
          </a:extLst>
        </xdr:cNvPr>
        <xdr:cNvSpPr txBox="1"/>
      </xdr:nvSpPr>
      <xdr:spPr>
        <a:xfrm>
          <a:off x="6600824" y="5749925"/>
          <a:ext cx="3921125" cy="90487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el rendimineto de mis activos es de 10,21%</a:t>
          </a:r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entonces la empresa debe rentar minimo </a:t>
          </a:r>
          <a:r>
            <a:rPr lang="es-CO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10,21%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CO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generar</a:t>
          </a:r>
          <a:r>
            <a:rPr lang="es-CO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minimo una utilidad de 9,122,501</a:t>
          </a:r>
          <a:endParaRPr lang="es-CO" sz="1100"/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27T15:05:04.39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250 1 24575,'-12'0'0,"-10"0"0,-16 0 0,-35 12 0,30-8 0,-11 10 0,48-10 0,4 0 0,2 0 0,0 2 0,0 1 0,0 12 0,2 13 0,3 16 0,3 14 0,2 3 0,-1-5 0,-4-13 0,-1-14 0,-2-13 0,0-8 0,0-1 0,-2 7 0,0 15 0,0 16 0,0 14 0,0-1 0,0-12 0,0-15 0,0-11 0,0-12 0,0 0 0,0-1 0,0 12 0,0 10 0,0 8 0,0-3 0,0-9 0,0-11 0,0-6 0,0-2 0,0 4 0,0 10 0,0 7 0,0 1 0,0 2 0,0 1 0,0 4 0,0 9 0,0 1 0,0-4 0,0-8 0,0-11 0,0-7 0,0-2 0,0 9 0,0 9 0,-2 3 0,-1-4 0,0-12 0,2-8 0,1-4 0,0-5 0,0 1 0,0 0 0,0 4 0,0 4 0,0 4 0,0-7 0,0 0 0,0-7 0,0 2 0,0 8 0,0 7 0,0 4 0,0 0 0,0-8 0,1-6 0,4-6 0,5-1 0,4 3 0,1 2 0,0 1 0,-3-3 0,1 0 0,2-1 0,2 1 0,1 2 0,0-1 0,-3-1 0,-3-3 0,-1-2 0,0 1 0,3 0 0,3 1 0,0 1 0,2 0 0,-7-2 0,0-1 0,-6-2 0,6 0 0,6 0 0,7 0 0,4 0 0,-1 0 0,0 0 0,-3 0 0,-2 0 0,-4 0 0,-4 0 0,-3 0 0,-2 0 0,2 0 0,8 0 0,3 0 0,0 0 0,3 0 0,-14 0 0,0 0 0,-10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27T15:05:04.39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363 892 24575,'0'-22'0,"17"-34"0,0 8 0,5-7 0,8-16 0,4-4 0,7-9 0,3-1 0,-2 6 0,0 5 0,-7 15 0,-1 5 0,15-19 0,-21 36 0,-18 24 0,-4 6 0</inkml:trace>
  <inkml:trace contextRef="#ctx0" brushRef="#br0" timeOffset="1">1 739 24575,'15'0'0,"-3"0"0,2 1 0,5 6 0,9 11 0,7 6 0,-1 2 0,-7-4 0,-10-10 0,-8-3 0,-3-5 0,-4 2 0,2-3 0,1 2 0,1-3 0,-3 0 0,3 1 0,-4-1 0,0-1 0,-1 1 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27T15:05:04.39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27T15:05:04.39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1 223 24575,'27'0'0,"3"0"0,6 0 0,-1 0 0,-6 0 0,-5 0 0,-4 0 0,-3 0 0,-1 0 0,-4 0 0,-2 0 0,-2 0 0,4 0 0,9 0 0,9 0 0,10 0 0,1 0 0,-4 0 0,-4 0 0,-8 0 0,-5 0 0,-6 0 0,-4 0 0,-5 0 0,-3 0 0</inkml:trace>
  <inkml:trace contextRef="#ctx0" brushRef="#br0" timeOffset="1">555 153 24575,'10'0'0,"-2"3"0,-5 12 0,0 15 0,0 8 0,1-1 0,1-12 0,-3-12 0,-3-7 0,-2-4 0,-1-2 0,-4 0 0,2 0 0,-1 0 0,1 0 0,-9 3 0,-10 9 0,-7 8 0,1 5 0,6-4 0,15-10 0,6-6 0,8-5 0,1 0 0,-1 0 0,0 0 0,-1 0 0,-2-1 0,3-3 0,1-3 0,6-5 0,10-5 0,7-1 0,3 1 0,-4 4 0,-7 3 0,-8 1 0,-5 3 0,-1 1 0,1 0 0,8-3 0,11-5 0,7-4 0,-1 0 0,-6 3 0,-7 5 0,-11 3 0,-2 0 0,-6-2 0,0 1 0,0-6 0,-3 1 0,-4-4 0,-2-2 0,-3 0 0,1 2 0,1 4 0,0 3 0,1 3 0,-2-1 0,-4-5 0,-4 0 0,-1-2 0,1 1 0,8 7 0,4 0 0,6 6 0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23AC791-7CB0-D946-BD5E-E11E181A68A1}" name="Tabla8" displayName="Tabla8" ref="B5:H18" totalsRowShown="0" headerRowDxfId="56" dataDxfId="54" headerRowBorderDxfId="55" tableBorderDxfId="53" totalsRowBorderDxfId="52">
  <autoFilter ref="B5:H18" xr:uid="{923AC791-7CB0-D946-BD5E-E11E181A68A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5858FD8-74AE-9D4B-BF64-20ADCE85F89C}" name="PARAMETROS " dataDxfId="51"/>
    <tableColumn id="2" xr3:uid="{48797C4D-C72B-8E47-BD33-5A4B7C51281B}" name="%" dataDxfId="50"/>
    <tableColumn id="3" xr3:uid="{7649CCBD-9C27-0343-AC71-0E14862026DB}" name="2022" dataDxfId="49"/>
    <tableColumn id="4" xr3:uid="{346F1934-5574-2A41-AE52-F8788202F114}" name="2023" dataDxfId="48"/>
    <tableColumn id="5" xr3:uid="{6AFB34F4-DD44-0E4B-BEE4-1B6A99013A75}" name="2024" dataDxfId="47"/>
    <tableColumn id="6" xr3:uid="{1A7A90B5-C955-AE46-AF72-21541BA49278}" name="2025" dataDxfId="46"/>
    <tableColumn id="7" xr3:uid="{6D754143-8B23-3048-88CB-E65117F3D21D}" name="2026" dataDxfId="45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626EA8F-F822-F54A-9F70-8F2516D68475}" name="Tabla6" displayName="Tabla6" ref="F3:G10" totalsRowShown="0" headerRowDxfId="7" dataDxfId="6">
  <autoFilter ref="F3:G10" xr:uid="{2626EA8F-F822-F54A-9F70-8F2516D68475}">
    <filterColumn colId="0" hiddenButton="1"/>
    <filterColumn colId="1" hiddenButton="1"/>
  </autoFilter>
  <tableColumns count="2">
    <tableColumn id="1" xr3:uid="{16D589A1-D5F5-AA4D-95F4-E023BD9394B4}" name="IEA " dataDxfId="5"/>
    <tableColumn id="2" xr3:uid="{CA2FEFFD-701E-5844-B5D8-D729B2562058}" name="COSTO FINANCIERO " dataDxfId="4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E273999-6A9B-2341-A7B3-B3A86EFE7FB8}" name="Tabla7" displayName="Tabla7" ref="A28:B31" totalsRowShown="0" headerRowDxfId="3" dataDxfId="2">
  <autoFilter ref="A28:B31" xr:uid="{3E273999-6A9B-2341-A7B3-B3A86EFE7FB8}">
    <filterColumn colId="0" hiddenButton="1"/>
    <filterColumn colId="1" hiddenButton="1"/>
  </autoFilter>
  <tableColumns count="2">
    <tableColumn id="1" xr3:uid="{5973F590-DB7E-6145-8A11-3AF33A3E3F2B}" name="COSTO DE CAPITAL " dataDxfId="1"/>
    <tableColumn id="2" xr3:uid="{37941CED-0A50-674C-9E3C-04476C096ED6}" name="Columna1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8578C45-0C44-6641-ABE7-9BE289581FEC}" name="Tabla3" displayName="Tabla3" ref="B2:G39" totalsRowShown="0" headerRowDxfId="44" dataDxfId="43" dataCellStyle="Moneda [0]">
  <autoFilter ref="B2:G39" xr:uid="{78578C45-0C44-6641-ABE7-9BE289581F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D9A38BC-B8E3-9E44-ADEA-049D0FC8316B}" name="Flujo de caja  proyectado" dataDxfId="42"/>
    <tableColumn id="2" xr3:uid="{61F5E256-D613-5941-B6E3-5C488F6FC9CF}" name="2022" dataDxfId="41" dataCellStyle="Moneda [0]"/>
    <tableColumn id="3" xr3:uid="{2074A2FF-79A8-4F43-9899-CD627CF7324B}" name="2023" dataDxfId="40" dataCellStyle="Moneda [0]"/>
    <tableColumn id="4" xr3:uid="{85792012-8FBD-8748-877B-F0BAFC15E0FC}" name="2024" dataDxfId="39" dataCellStyle="Moneda [0]"/>
    <tableColumn id="5" xr3:uid="{3C8D4DF2-7D02-B048-BBA3-AD8F1FC3268B}" name="2025" dataDxfId="38" dataCellStyle="Moneda [0]"/>
    <tableColumn id="6" xr3:uid="{C885D289-38BE-1A45-A9BB-BB855EE83BDF}" name="2026" dataDxfId="37" dataCellStyle="Moneda [0]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5A386C-E3FE-4D96-BC87-178F56D33A41}" name="Tabla1" displayName="Tabla1" ref="B3:G58" totalsRowShown="0" headerRowDxfId="36" dataDxfId="34" headerRowBorderDxfId="35" tableBorderDxfId="33" totalsRowBorderDxfId="32">
  <autoFilter ref="B3:G58" xr:uid="{C05A386C-E3FE-4D96-BC87-178F56D33A41}"/>
  <tableColumns count="6">
    <tableColumn id="1" xr3:uid="{0FEB102C-64A7-4F51-8800-BE378D38A77E}" name="Estado de Situación Financiera "/>
    <tableColumn id="2" xr3:uid="{AA483813-310E-4CC6-8520-2821ECA7D994}" name="2022" dataDxfId="31"/>
    <tableColumn id="3" xr3:uid="{2B2143A8-D4B4-439B-B5A6-7EFF045481A6}" name="2023" dataDxfId="30"/>
    <tableColumn id="4" xr3:uid="{E58A3573-BF5F-4488-9A77-4E8B0CC88424}" name="2024" dataDxfId="29"/>
    <tableColumn id="5" xr3:uid="{99771716-91F7-4596-B23A-3A5686E327E2}" name="2025" dataDxfId="28"/>
    <tableColumn id="6" xr3:uid="{08BE6B34-CA19-4A26-AA75-473EB017D5A5}" name="2026" dataDxfId="27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0DA60C-4D80-5D47-BAAB-085680BCC053}" name="Tabla9" displayName="Tabla9" ref="B72:G80" totalsRowShown="0" headerRowDxfId="26">
  <autoFilter ref="B72:G80" xr:uid="{710DA60C-4D80-5D47-BAAB-085680BCC0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553907B-4DCD-7F4B-8601-5619337D14D8}" name="Proyecciones Ventas" dataDxfId="25"/>
    <tableColumn id="2" xr3:uid="{3D03C5BC-773C-ED4C-A3AE-B1FB2D04F09F}" name="Columna1"/>
    <tableColumn id="3" xr3:uid="{1BCDFC22-F267-DA48-AC80-26697BFF549F}" name="Columna2"/>
    <tableColumn id="4" xr3:uid="{F6F5F827-3B18-9442-878E-02B268BE5D46}" name="Columna3"/>
    <tableColumn id="5" xr3:uid="{FA9DCC63-D4BA-7F45-87E1-2F6C25A7EB47}" name="Columna4"/>
    <tableColumn id="6" xr3:uid="{9C452924-2C8E-8D4A-9D98-5DBE0CEC5A30}" name="Columna5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40B5132-3E72-E049-BBE2-A6403B639D9C}" name="Tabla11" displayName="Tabla11" ref="B83:G87" headerRowCount="0" totalsRowShown="0">
  <tableColumns count="6">
    <tableColumn id="1" xr3:uid="{0310C212-6B08-9C4B-BE80-823A391E010C}" name="Columna1" headerRowDxfId="24" dataDxfId="23"/>
    <tableColumn id="2" xr3:uid="{53F90858-5DDB-C84E-AB56-64083B318325}" name="Columna2"/>
    <tableColumn id="3" xr3:uid="{2076AB1A-83B0-FF45-ACF6-9C5495149229}" name="Columna3"/>
    <tableColumn id="4" xr3:uid="{60E23681-4756-EA4F-958B-9E621F6B9440}" name="Columna4"/>
    <tableColumn id="5" xr3:uid="{55D379C8-1705-4842-98EB-F4DE6D35948A}" name="Columna5"/>
    <tableColumn id="6" xr3:uid="{C74941A1-78D7-8A40-BABA-49AEFFA23C52}" name="Columna6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932B375-4D94-8148-B98E-F0438D1E711F}" name="Tabla12" displayName="Tabla12" ref="K57:N71" totalsRowShown="0">
  <autoFilter ref="K57:N71" xr:uid="{9932B375-4D94-8148-B98E-F0438D1E711F}">
    <filterColumn colId="0" hiddenButton="1"/>
    <filterColumn colId="1" hiddenButton="1"/>
    <filterColumn colId="2" hiddenButton="1"/>
    <filterColumn colId="3" hiddenButton="1"/>
  </autoFilter>
  <tableColumns count="4">
    <tableColumn id="1" xr3:uid="{69C3DFA7-A90E-7745-A1E8-E5028D4D06B1}" name="Gastos operación" dataDxfId="22"/>
    <tableColumn id="2" xr3:uid="{901285D9-5AB0-B742-80A4-EAD16E1AF60B}" name=" $17.013.500 " dataDxfId="21" dataCellStyle="Moneda [0]"/>
    <tableColumn id="3" xr3:uid="{8892424C-5B28-F04A-B09D-C3C8009C6DB6}" name="Columna1" dataDxfId="20"/>
    <tableColumn id="4" xr3:uid="{5B9E6DCA-B5F0-5944-B838-D3EAB0DB75A9}" name="Columna2" dataDxfId="19" dataCellStyle="Moneda [0]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F0AA13-83C2-3C4E-953F-A473DD75E134}" name="Tabla2" displayName="Tabla2" ref="A14:C24" totalsRowShown="0" headerRowDxfId="18" dataDxfId="16" headerRowBorderDxfId="17" tableBorderDxfId="15">
  <autoFilter ref="A14:C24" xr:uid="{19F0AA13-83C2-3C4E-953F-A473DD75E134}">
    <filterColumn colId="0" hiddenButton="1"/>
    <filterColumn colId="1" hiddenButton="1"/>
    <filterColumn colId="2" hiddenButton="1"/>
  </autoFilter>
  <tableColumns count="3">
    <tableColumn id="1" xr3:uid="{1183F6A4-EADA-CB40-BB5F-2BBC01892DFE}" name="Columna1" dataDxfId="14"/>
    <tableColumn id="2" xr3:uid="{1CE48C0D-40A8-C748-A377-15DBD1D3A9D8}" name="Columna2" dataDxfId="13"/>
    <tableColumn id="3" xr3:uid="{68962CBF-A639-D042-8B78-ACE197014558}" name="Columna3" dataDxfId="12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BDC0D53-5BAF-0D46-BB60-FBBA999C4649}" name="Tabla4" displayName="Tabla4" ref="I14:J23" totalsRowShown="0" headerRowDxfId="11" dataDxfId="10">
  <autoFilter ref="I14:J23" xr:uid="{2BDC0D53-5BAF-0D46-BB60-FBBA999C4649}">
    <filterColumn colId="0" hiddenButton="1"/>
    <filterColumn colId="1" hiddenButton="1"/>
  </autoFilter>
  <tableColumns count="2">
    <tableColumn id="1" xr3:uid="{CE745F2B-BBFB-6045-B22C-8CDBFF4AE42A}" name="PATRIMONIO " dataDxfId="9"/>
    <tableColumn id="2" xr3:uid="{F9187210-04A1-8949-99E9-DEA54061B071}" name="MONTO " dataDxfId="8" dataCellStyle="Moneda [0]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51AFB2E-A610-411B-96A0-CAD42EA67E68}" name="Tabla5" displayName="Tabla5" ref="J4:L11" totalsRowShown="0">
  <autoFilter ref="J4:L11" xr:uid="{F51AFB2E-A610-411B-96A0-CAD42EA67E68}">
    <filterColumn colId="0" hiddenButton="1"/>
    <filterColumn colId="1" hiddenButton="1"/>
    <filterColumn colId="2" hiddenButton="1"/>
  </autoFilter>
  <tableColumns count="3">
    <tableColumn id="1" xr3:uid="{541B1DEF-0832-4AD5-ADC8-9B8F69F93320}" name="PASIVOS LARGO PLAZO "/>
    <tableColumn id="2" xr3:uid="{451B0E2C-B4C1-4E6E-B1A1-D7D17937602C}" name="MONTO "/>
    <tableColumn id="3" xr3:uid="{7AAEE306-5828-4237-A446-1BC565F009E1}" name="TASA" dataCellStyle="Porcentaj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omments" Target="../comments8.xml"/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4.xml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5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4F5DD-D4C5-43B9-BA42-214EB82D3164}">
  <dimension ref="B1:H41"/>
  <sheetViews>
    <sheetView workbookViewId="0">
      <selection activeCell="C31" sqref="C31"/>
    </sheetView>
  </sheetViews>
  <sheetFormatPr baseColWidth="10" defaultColWidth="11.42578125" defaultRowHeight="15" x14ac:dyDescent="0.25"/>
  <cols>
    <col min="1" max="1" width="11.42578125" style="33"/>
    <col min="2" max="2" width="38" style="33" customWidth="1"/>
    <col min="3" max="3" width="15.42578125" style="33" customWidth="1"/>
    <col min="4" max="4" width="16.7109375" style="33" bestFit="1" customWidth="1"/>
    <col min="5" max="5" width="16.7109375" style="33" customWidth="1"/>
    <col min="6" max="8" width="16.7109375" style="33" bestFit="1" customWidth="1"/>
    <col min="9" max="16384" width="11.42578125" style="33"/>
  </cols>
  <sheetData>
    <row r="1" spans="2:8" x14ac:dyDescent="0.25">
      <c r="B1" s="32" t="s">
        <v>280</v>
      </c>
      <c r="C1" s="32" t="s">
        <v>150</v>
      </c>
    </row>
    <row r="2" spans="2:8" x14ac:dyDescent="0.25">
      <c r="B2" s="203" t="s">
        <v>75</v>
      </c>
      <c r="C2" s="204">
        <f>+'Punto de Equilibrio'!C24</f>
        <v>22785626.470588237</v>
      </c>
    </row>
    <row r="3" spans="2:8" x14ac:dyDescent="0.25">
      <c r="B3" s="205" t="s">
        <v>283</v>
      </c>
      <c r="C3" s="206">
        <f>+C2*12</f>
        <v>273427517.64705884</v>
      </c>
    </row>
    <row r="4" spans="2:8" x14ac:dyDescent="0.25">
      <c r="B4" s="202"/>
      <c r="C4" s="88"/>
    </row>
    <row r="5" spans="2:8" x14ac:dyDescent="0.25">
      <c r="B5" s="180" t="s">
        <v>52</v>
      </c>
      <c r="C5" s="196" t="s">
        <v>45</v>
      </c>
      <c r="D5" s="47">
        <v>2022</v>
      </c>
      <c r="E5" s="47">
        <v>2023</v>
      </c>
      <c r="F5" s="47">
        <v>2024</v>
      </c>
      <c r="G5" s="47">
        <v>2025</v>
      </c>
      <c r="H5" s="47">
        <v>2026</v>
      </c>
    </row>
    <row r="6" spans="2:8" x14ac:dyDescent="0.25">
      <c r="B6" s="197" t="s">
        <v>54</v>
      </c>
      <c r="C6" s="198"/>
      <c r="D6" s="199">
        <f>'GO,CT,PV'!C77</f>
        <v>273427517.64705884</v>
      </c>
      <c r="E6" s="199">
        <f>'GO,CT,PV'!D77</f>
        <v>305024375.03942543</v>
      </c>
      <c r="F6" s="199">
        <f>'GO,CT,PV'!E77</f>
        <v>340272515.98095638</v>
      </c>
      <c r="G6" s="199">
        <f>'GO,CT,PV'!F77</f>
        <v>379593877.1025908</v>
      </c>
      <c r="H6" s="199">
        <f>'GO,CT,PV'!G77</f>
        <v>423459153.37411791</v>
      </c>
    </row>
    <row r="7" spans="2:8" x14ac:dyDescent="0.25">
      <c r="B7" s="197" t="s">
        <v>55</v>
      </c>
      <c r="C7" s="200"/>
      <c r="D7" s="211">
        <f>(4824*'GO,CT,PV'!C75)*12</f>
        <v>239820790.02352944</v>
      </c>
      <c r="E7" s="199">
        <f>(5095*'GO,CT,PV'!D75)*12</f>
        <v>267528393.52496472</v>
      </c>
      <c r="F7" s="199">
        <f>(5381*'GO,CT,PV'!E75)*12</f>
        <v>298424756.74311787</v>
      </c>
      <c r="G7" s="199">
        <f>(5684*'GO,CT,PV'!F75)*12</f>
        <v>332944686.92839789</v>
      </c>
      <c r="H7" s="199">
        <f>(6003*'GO,CT,PV'!G75)*12</f>
        <v>371391984.26066929</v>
      </c>
    </row>
    <row r="8" spans="2:8" x14ac:dyDescent="0.25">
      <c r="B8" s="57" t="s">
        <v>56</v>
      </c>
      <c r="C8" s="57"/>
      <c r="D8" s="45">
        <f>+D6-D7</f>
        <v>33606727.623529404</v>
      </c>
      <c r="E8" s="45">
        <f t="shared" ref="E8:H8" si="0">+E6-E7</f>
        <v>37495981.514460713</v>
      </c>
      <c r="F8" s="45">
        <f t="shared" si="0"/>
        <v>41847759.237838507</v>
      </c>
      <c r="G8" s="45">
        <f t="shared" si="0"/>
        <v>46649190.174192905</v>
      </c>
      <c r="H8" s="45">
        <f t="shared" si="0"/>
        <v>52067169.11344862</v>
      </c>
    </row>
    <row r="9" spans="2:8" x14ac:dyDescent="0.25">
      <c r="B9" s="197" t="s">
        <v>57</v>
      </c>
      <c r="C9" s="201">
        <v>2.5000000000000001E-2</v>
      </c>
      <c r="D9" s="199">
        <f>+'GO,CT,PV'!C55</f>
        <v>17013500</v>
      </c>
      <c r="E9" s="199">
        <f>+D9*(1+$C$9)</f>
        <v>17438837.5</v>
      </c>
      <c r="F9" s="199">
        <f>+E9*(1+$C$9)</f>
        <v>17874808.4375</v>
      </c>
      <c r="G9" s="199">
        <f t="shared" ref="G9:H9" si="1">+F9*(1+$C$9)</f>
        <v>18321678.6484375</v>
      </c>
      <c r="H9" s="199">
        <f t="shared" si="1"/>
        <v>18779720.614648435</v>
      </c>
    </row>
    <row r="10" spans="2:8" x14ac:dyDescent="0.25">
      <c r="B10" s="197" t="s">
        <v>58</v>
      </c>
      <c r="C10" s="197"/>
      <c r="D10" s="199">
        <v>0</v>
      </c>
      <c r="E10" s="199">
        <f>+Depreciaciones!D7</f>
        <v>1281000</v>
      </c>
      <c r="F10" s="199">
        <f>+E10</f>
        <v>1281000</v>
      </c>
      <c r="G10" s="199">
        <f t="shared" ref="G10:H10" si="2">+F10</f>
        <v>1281000</v>
      </c>
      <c r="H10" s="199">
        <f t="shared" si="2"/>
        <v>1281000</v>
      </c>
    </row>
    <row r="11" spans="2:8" x14ac:dyDescent="0.25">
      <c r="B11" s="57" t="s">
        <v>59</v>
      </c>
      <c r="C11" s="57"/>
      <c r="D11" s="45">
        <f>+D8-D9-D10</f>
        <v>16593227.623529404</v>
      </c>
      <c r="E11" s="45">
        <f t="shared" ref="E11:H11" si="3">+E8-E9-E10</f>
        <v>18776144.014460713</v>
      </c>
      <c r="F11" s="45">
        <f t="shared" si="3"/>
        <v>22691950.800338507</v>
      </c>
      <c r="G11" s="45">
        <f t="shared" si="3"/>
        <v>27046511.525755405</v>
      </c>
      <c r="H11" s="45">
        <f t="shared" si="3"/>
        <v>32006448.498800185</v>
      </c>
    </row>
    <row r="12" spans="2:8" x14ac:dyDescent="0.25">
      <c r="B12" s="33" t="s">
        <v>434</v>
      </c>
    </row>
    <row r="13" spans="2:8" x14ac:dyDescent="0.25">
      <c r="B13" s="57" t="s">
        <v>432</v>
      </c>
      <c r="C13" s="57"/>
      <c r="D13" s="45">
        <f>+D11-D14</f>
        <v>16593227.623529404</v>
      </c>
      <c r="E13" s="45">
        <f>+E11-E14</f>
        <v>14536657.097402357</v>
      </c>
      <c r="F13" s="45">
        <f>+F11-F14</f>
        <v>21830091.059459351</v>
      </c>
      <c r="G13" s="45">
        <f>+G11-G14</f>
        <v>27046511.525755405</v>
      </c>
      <c r="H13" s="45">
        <f>+H11-H14</f>
        <v>32006448.498800185</v>
      </c>
    </row>
    <row r="14" spans="2:8" x14ac:dyDescent="0.25">
      <c r="B14" s="197" t="s">
        <v>433</v>
      </c>
      <c r="C14" s="197"/>
      <c r="D14" s="46">
        <v>0</v>
      </c>
      <c r="E14" s="199">
        <f>+SUM('Costos '!D23:D33)</f>
        <v>4239486.9170583552</v>
      </c>
      <c r="F14" s="199">
        <f>+SUM('Costos '!D34:D40)</f>
        <v>861859.74087915639</v>
      </c>
      <c r="G14" s="46">
        <v>0</v>
      </c>
      <c r="H14" s="46">
        <v>0</v>
      </c>
    </row>
    <row r="15" spans="2:8" x14ac:dyDescent="0.25">
      <c r="B15" s="197" t="s">
        <v>61</v>
      </c>
      <c r="C15" s="200">
        <v>0.32</v>
      </c>
      <c r="D15" s="199">
        <f>+D13*$C$15</f>
        <v>5309832.8395294091</v>
      </c>
      <c r="E15" s="199">
        <f t="shared" ref="E15:H15" si="4">+E13*$C$15</f>
        <v>4651730.2711687544</v>
      </c>
      <c r="F15" s="199">
        <f t="shared" si="4"/>
        <v>6985629.139026992</v>
      </c>
      <c r="G15" s="199">
        <f t="shared" si="4"/>
        <v>8654883.6882417295</v>
      </c>
      <c r="H15" s="199">
        <f t="shared" si="4"/>
        <v>10242063.51961606</v>
      </c>
    </row>
    <row r="16" spans="2:8" x14ac:dyDescent="0.25">
      <c r="B16" s="215" t="s">
        <v>60</v>
      </c>
      <c r="C16" s="200"/>
      <c r="D16" s="199">
        <f>+D13-D14-D15</f>
        <v>11283394.783999994</v>
      </c>
      <c r="E16" s="199">
        <f t="shared" ref="E16:H16" si="5">+E13-E14-E15</f>
        <v>5645439.909175246</v>
      </c>
      <c r="F16" s="199">
        <f t="shared" si="5"/>
        <v>13982602.179553203</v>
      </c>
      <c r="G16" s="199">
        <f t="shared" si="5"/>
        <v>18391627.837513678</v>
      </c>
      <c r="H16" s="199">
        <f t="shared" si="5"/>
        <v>21764384.979184125</v>
      </c>
    </row>
    <row r="17" spans="2:8" x14ac:dyDescent="0.25">
      <c r="B17" s="207" t="s">
        <v>62</v>
      </c>
      <c r="C17" s="207"/>
      <c r="D17" s="208">
        <f>+D13-D15</f>
        <v>11283394.783999994</v>
      </c>
      <c r="E17" s="208">
        <f t="shared" ref="E17:F17" si="6">+E13-E15</f>
        <v>9884926.8262336031</v>
      </c>
      <c r="F17" s="208">
        <f t="shared" si="6"/>
        <v>14844461.920432359</v>
      </c>
      <c r="G17" s="208">
        <f t="shared" ref="G17:H17" si="7">+G13-G15</f>
        <v>18391627.837513678</v>
      </c>
      <c r="H17" s="208">
        <f t="shared" si="7"/>
        <v>21764384.979184125</v>
      </c>
    </row>
    <row r="18" spans="2:8" x14ac:dyDescent="0.25">
      <c r="B18" s="85" t="s">
        <v>63</v>
      </c>
      <c r="C18" s="85"/>
      <c r="D18" s="86">
        <f>+D10</f>
        <v>0</v>
      </c>
      <c r="E18" s="86">
        <f>+E10</f>
        <v>1281000</v>
      </c>
      <c r="F18" s="86">
        <f>+F10</f>
        <v>1281000</v>
      </c>
      <c r="G18" s="86">
        <f t="shared" ref="G18:H18" si="8">+G10</f>
        <v>1281000</v>
      </c>
      <c r="H18" s="86">
        <f t="shared" si="8"/>
        <v>1281000</v>
      </c>
    </row>
    <row r="19" spans="2:8" x14ac:dyDescent="0.25">
      <c r="B19" s="85" t="s">
        <v>64</v>
      </c>
      <c r="C19" s="85"/>
      <c r="D19" s="86">
        <v>0</v>
      </c>
      <c r="E19" s="86">
        <f>+E14</f>
        <v>4239486.9170583552</v>
      </c>
      <c r="F19" s="86">
        <f>+F14</f>
        <v>861859.74087915639</v>
      </c>
      <c r="G19" s="86">
        <f>+G14</f>
        <v>0</v>
      </c>
      <c r="H19" s="86">
        <f>+H14</f>
        <v>0</v>
      </c>
    </row>
    <row r="20" spans="2:8" x14ac:dyDescent="0.25">
      <c r="B20" s="32" t="s">
        <v>65</v>
      </c>
      <c r="C20" s="32"/>
      <c r="D20" s="150">
        <f>+D17+D18+D19</f>
        <v>11283394.783999994</v>
      </c>
      <c r="E20" s="150">
        <f t="shared" ref="E20:H20" si="9">+E17+E18+E19</f>
        <v>15405413.743291959</v>
      </c>
      <c r="F20" s="150">
        <f t="shared" si="9"/>
        <v>16987321.661311515</v>
      </c>
      <c r="G20" s="150">
        <f t="shared" si="9"/>
        <v>19672627.837513678</v>
      </c>
      <c r="H20" s="150">
        <f t="shared" si="9"/>
        <v>23045384.979184125</v>
      </c>
    </row>
    <row r="21" spans="2:8" x14ac:dyDescent="0.25">
      <c r="B21" s="85" t="s">
        <v>66</v>
      </c>
      <c r="C21" s="85"/>
      <c r="D21" s="86">
        <f>+D36</f>
        <v>4824</v>
      </c>
      <c r="E21" s="86"/>
      <c r="F21" s="86"/>
      <c r="G21" s="146"/>
      <c r="H21" s="146"/>
    </row>
    <row r="22" spans="2:8" x14ac:dyDescent="0.25">
      <c r="B22" s="85" t="s">
        <v>67</v>
      </c>
      <c r="C22" s="85"/>
      <c r="D22" s="86">
        <v>2500</v>
      </c>
      <c r="E22" s="86"/>
      <c r="F22" s="86"/>
      <c r="G22" s="146"/>
      <c r="H22" s="146"/>
    </row>
    <row r="23" spans="2:8" x14ac:dyDescent="0.25">
      <c r="B23" s="34" t="s">
        <v>68</v>
      </c>
      <c r="C23" s="34"/>
      <c r="D23" s="149">
        <f>+D20-D21-D22</f>
        <v>11276070.783999994</v>
      </c>
      <c r="E23" s="146"/>
      <c r="F23" s="146"/>
      <c r="G23" s="146"/>
      <c r="H23" s="146"/>
    </row>
    <row r="24" spans="2:8" x14ac:dyDescent="0.25">
      <c r="B24" s="85" t="s">
        <v>69</v>
      </c>
      <c r="C24" s="85"/>
      <c r="D24" s="86">
        <v>1000</v>
      </c>
      <c r="E24" s="86"/>
      <c r="F24" s="86"/>
      <c r="G24" s="146"/>
      <c r="H24" s="146"/>
    </row>
    <row r="25" spans="2:8" x14ac:dyDescent="0.25">
      <c r="B25" s="85" t="s">
        <v>70</v>
      </c>
      <c r="C25" s="85"/>
      <c r="D25" s="86">
        <v>1500</v>
      </c>
      <c r="E25" s="86"/>
      <c r="F25" s="86"/>
      <c r="G25" s="146"/>
      <c r="H25" s="146"/>
    </row>
    <row r="26" spans="2:8" x14ac:dyDescent="0.25">
      <c r="B26" s="85" t="s">
        <v>71</v>
      </c>
      <c r="C26" s="85"/>
      <c r="D26" s="86">
        <v>0</v>
      </c>
      <c r="E26" s="85"/>
      <c r="F26" s="85"/>
      <c r="G26" s="35"/>
      <c r="H26" s="35"/>
    </row>
    <row r="27" spans="2:8" x14ac:dyDescent="0.25">
      <c r="B27" s="85" t="s">
        <v>72</v>
      </c>
      <c r="C27" s="87">
        <v>0.12</v>
      </c>
      <c r="D27" s="86">
        <v>0</v>
      </c>
      <c r="E27" s="85"/>
      <c r="F27" s="85"/>
      <c r="G27" s="35"/>
      <c r="H27" s="35"/>
    </row>
    <row r="28" spans="2:8" x14ac:dyDescent="0.25">
      <c r="B28" s="85" t="s">
        <v>73</v>
      </c>
      <c r="C28" s="85"/>
      <c r="D28" s="86"/>
      <c r="E28" s="85"/>
      <c r="F28" s="85"/>
      <c r="G28" s="35"/>
      <c r="H28" s="35"/>
    </row>
    <row r="29" spans="2:8" x14ac:dyDescent="0.25">
      <c r="B29" s="34" t="s">
        <v>74</v>
      </c>
      <c r="C29" s="34"/>
      <c r="D29" s="149">
        <f>+D23+D24+D25-D26-D27+D28</f>
        <v>11278570.783999994</v>
      </c>
      <c r="G29" s="35"/>
      <c r="H29" s="35"/>
    </row>
    <row r="36" spans="2:8" x14ac:dyDescent="0.25">
      <c r="D36" s="210">
        <f>4824</f>
        <v>4824</v>
      </c>
      <c r="E36" s="210">
        <f>D36*(1+5.62%)</f>
        <v>5095.1088</v>
      </c>
      <c r="F36" s="210">
        <f t="shared" ref="F36:H36" si="10">E36*(1+5.62%)</f>
        <v>5381.4539145600002</v>
      </c>
      <c r="G36" s="210">
        <f t="shared" si="10"/>
        <v>5683.8916245582723</v>
      </c>
      <c r="H36" s="210">
        <f t="shared" si="10"/>
        <v>6003.3263338584475</v>
      </c>
    </row>
    <row r="41" spans="2:8" x14ac:dyDescent="0.25">
      <c r="B41" s="193">
        <f>14091836/38086043</f>
        <v>0.3700000023630704</v>
      </c>
    </row>
  </sheetData>
  <phoneticPr fontId="5" type="noConversion"/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B06C-4580-4752-A02D-FA543B0D5617}">
  <dimension ref="A2:G109"/>
  <sheetViews>
    <sheetView workbookViewId="0">
      <selection activeCell="J83" sqref="J83"/>
    </sheetView>
  </sheetViews>
  <sheetFormatPr baseColWidth="10" defaultColWidth="11.42578125" defaultRowHeight="12.75" x14ac:dyDescent="0.2"/>
  <cols>
    <col min="1" max="1" width="17.42578125" style="37" customWidth="1"/>
    <col min="2" max="2" width="34.140625" style="37" bestFit="1" customWidth="1"/>
    <col min="3" max="3" width="16.42578125" style="37" bestFit="1" customWidth="1"/>
    <col min="4" max="4" width="16.7109375" style="37" customWidth="1"/>
    <col min="5" max="5" width="13.7109375" style="37" customWidth="1"/>
    <col min="6" max="6" width="14.7109375" style="37" customWidth="1"/>
    <col min="7" max="7" width="12.42578125" style="37" customWidth="1"/>
    <col min="8" max="16384" width="11.42578125" style="37"/>
  </cols>
  <sheetData>
    <row r="2" spans="2:7" x14ac:dyDescent="0.2">
      <c r="B2" s="456" t="s">
        <v>120</v>
      </c>
      <c r="C2" s="457"/>
    </row>
    <row r="3" spans="2:7" x14ac:dyDescent="0.2">
      <c r="B3" s="39" t="s">
        <v>25</v>
      </c>
      <c r="C3" s="40">
        <v>280000</v>
      </c>
    </row>
    <row r="4" spans="2:7" x14ac:dyDescent="0.2">
      <c r="B4" s="41" t="s">
        <v>146</v>
      </c>
      <c r="C4" s="42">
        <f>+C3</f>
        <v>280000</v>
      </c>
    </row>
    <row r="5" spans="2:7" x14ac:dyDescent="0.2">
      <c r="C5" s="43"/>
    </row>
    <row r="6" spans="2:7" x14ac:dyDescent="0.2">
      <c r="B6" s="456" t="s">
        <v>117</v>
      </c>
      <c r="C6" s="457"/>
    </row>
    <row r="7" spans="2:7" x14ac:dyDescent="0.2">
      <c r="B7" s="44" t="s">
        <v>20</v>
      </c>
      <c r="C7" s="38">
        <v>4000000</v>
      </c>
      <c r="E7" s="39"/>
      <c r="F7" s="39"/>
      <c r="G7" s="45"/>
    </row>
    <row r="8" spans="2:7" x14ac:dyDescent="0.2">
      <c r="B8" s="39" t="s">
        <v>519</v>
      </c>
      <c r="C8" s="46">
        <v>1600000</v>
      </c>
    </row>
    <row r="9" spans="2:7" x14ac:dyDescent="0.2">
      <c r="B9" s="47" t="s">
        <v>146</v>
      </c>
      <c r="C9" s="42">
        <f>+C8+C7</f>
        <v>5600000</v>
      </c>
    </row>
    <row r="10" spans="2:7" x14ac:dyDescent="0.2">
      <c r="B10" s="66"/>
      <c r="C10" s="43"/>
    </row>
    <row r="11" spans="2:7" x14ac:dyDescent="0.2">
      <c r="B11" s="456" t="s">
        <v>374</v>
      </c>
      <c r="C11" s="457"/>
    </row>
    <row r="12" spans="2:7" x14ac:dyDescent="0.2">
      <c r="B12" s="39" t="s">
        <v>80</v>
      </c>
      <c r="C12" s="46">
        <v>3600000</v>
      </c>
    </row>
    <row r="13" spans="2:7" x14ac:dyDescent="0.2">
      <c r="B13" s="47" t="s">
        <v>146</v>
      </c>
      <c r="C13" s="42">
        <f>+C12</f>
        <v>3600000</v>
      </c>
    </row>
    <row r="14" spans="2:7" x14ac:dyDescent="0.2">
      <c r="B14" s="66"/>
      <c r="C14" s="43"/>
    </row>
    <row r="15" spans="2:7" x14ac:dyDescent="0.2">
      <c r="B15" s="456" t="s">
        <v>118</v>
      </c>
      <c r="C15" s="457"/>
    </row>
    <row r="16" spans="2:7" x14ac:dyDescent="0.2">
      <c r="B16" s="44" t="s">
        <v>517</v>
      </c>
      <c r="C16" s="38">
        <v>200000</v>
      </c>
    </row>
    <row r="17" spans="1:7" x14ac:dyDescent="0.2">
      <c r="B17" s="39" t="s">
        <v>518</v>
      </c>
      <c r="C17" s="46">
        <v>300000</v>
      </c>
    </row>
    <row r="18" spans="1:7" x14ac:dyDescent="0.2">
      <c r="B18" s="39" t="s">
        <v>82</v>
      </c>
      <c r="C18" s="37">
        <v>130000</v>
      </c>
    </row>
    <row r="19" spans="1:7" x14ac:dyDescent="0.2">
      <c r="B19" s="47" t="s">
        <v>146</v>
      </c>
      <c r="C19" s="42">
        <f>+C18+C17+C16</f>
        <v>630000</v>
      </c>
    </row>
    <row r="20" spans="1:7" x14ac:dyDescent="0.2">
      <c r="B20" s="39"/>
      <c r="C20" s="243"/>
    </row>
    <row r="21" spans="1:7" x14ac:dyDescent="0.2">
      <c r="B21" s="47" t="s">
        <v>501</v>
      </c>
      <c r="C21" s="42">
        <f>+'GO,CT,PV'!E63</f>
        <v>570000</v>
      </c>
    </row>
    <row r="22" spans="1:7" x14ac:dyDescent="0.2">
      <c r="B22" s="241"/>
      <c r="C22" s="242"/>
    </row>
    <row r="23" spans="1:7" x14ac:dyDescent="0.2">
      <c r="B23" s="50" t="s">
        <v>147</v>
      </c>
      <c r="C23" s="51">
        <f>+SUM(C4+C9+C19+C13+C21)</f>
        <v>10680000</v>
      </c>
    </row>
    <row r="24" spans="1:7" x14ac:dyDescent="0.2">
      <c r="B24" s="52"/>
      <c r="C24" s="53"/>
    </row>
    <row r="25" spans="1:7" x14ac:dyDescent="0.2">
      <c r="B25" s="54"/>
      <c r="C25" s="54"/>
    </row>
    <row r="26" spans="1:7" x14ac:dyDescent="0.2">
      <c r="B26" s="63"/>
      <c r="F26" s="63"/>
    </row>
    <row r="27" spans="1:7" x14ac:dyDescent="0.2">
      <c r="A27" s="61"/>
      <c r="B27" s="64" t="s">
        <v>515</v>
      </c>
      <c r="C27" s="62" t="s">
        <v>136</v>
      </c>
      <c r="D27" s="55" t="s">
        <v>139</v>
      </c>
      <c r="E27" s="298" t="s">
        <v>137</v>
      </c>
      <c r="F27" s="461"/>
      <c r="G27" s="65"/>
    </row>
    <row r="28" spans="1:7" x14ac:dyDescent="0.2">
      <c r="B28" s="44" t="s">
        <v>138</v>
      </c>
      <c r="C28" s="38">
        <v>400000</v>
      </c>
      <c r="D28" s="56">
        <v>1</v>
      </c>
      <c r="E28" s="299">
        <f>+D28*C28</f>
        <v>400000</v>
      </c>
      <c r="F28" s="461"/>
      <c r="G28" s="65"/>
    </row>
    <row r="29" spans="1:7" x14ac:dyDescent="0.2">
      <c r="B29" s="57" t="s">
        <v>140</v>
      </c>
      <c r="C29" s="46">
        <v>100000</v>
      </c>
      <c r="D29" s="37">
        <v>12</v>
      </c>
      <c r="E29" s="300">
        <f>+D29*C29</f>
        <v>1200000</v>
      </c>
      <c r="F29" s="461"/>
      <c r="G29" s="65"/>
    </row>
    <row r="30" spans="1:7" x14ac:dyDescent="0.2">
      <c r="B30" s="293" t="s">
        <v>141</v>
      </c>
      <c r="C30" s="294">
        <v>50000</v>
      </c>
      <c r="D30" s="295">
        <v>12</v>
      </c>
      <c r="E30" s="301">
        <f>+D30*C30</f>
        <v>600000</v>
      </c>
      <c r="F30" s="461"/>
      <c r="G30" s="65"/>
    </row>
    <row r="31" spans="1:7" x14ac:dyDescent="0.2">
      <c r="B31" s="296" t="s">
        <v>142</v>
      </c>
      <c r="C31" s="297"/>
      <c r="D31" s="296"/>
      <c r="E31" s="302">
        <f>+SUM(E28:E30)</f>
        <v>2200000</v>
      </c>
      <c r="F31" s="461"/>
      <c r="G31" s="65"/>
    </row>
    <row r="32" spans="1:7" x14ac:dyDescent="0.2">
      <c r="F32" s="56"/>
    </row>
    <row r="35" spans="2:7" x14ac:dyDescent="0.2">
      <c r="B35" s="50" t="s">
        <v>143</v>
      </c>
      <c r="C35" s="50" t="s">
        <v>136</v>
      </c>
      <c r="D35" s="50" t="s">
        <v>137</v>
      </c>
    </row>
    <row r="36" spans="2:7" x14ac:dyDescent="0.2">
      <c r="B36" s="44" t="s">
        <v>329</v>
      </c>
      <c r="C36" s="58">
        <v>1000000</v>
      </c>
      <c r="D36" s="58">
        <f>+C36*12</f>
        <v>12000000</v>
      </c>
    </row>
    <row r="37" spans="2:7" x14ac:dyDescent="0.2">
      <c r="B37" s="57" t="s">
        <v>145</v>
      </c>
      <c r="C37" s="59">
        <f>+F103</f>
        <v>60625</v>
      </c>
      <c r="D37" s="59">
        <f>+C37*12</f>
        <v>727500</v>
      </c>
    </row>
    <row r="38" spans="2:7" x14ac:dyDescent="0.2">
      <c r="B38" s="57" t="s">
        <v>5</v>
      </c>
      <c r="C38" s="118">
        <f>+'Costos '!F5</f>
        <v>200000</v>
      </c>
      <c r="D38" s="59">
        <f>+C38*12</f>
        <v>2400000</v>
      </c>
    </row>
    <row r="39" spans="2:7" x14ac:dyDescent="0.2">
      <c r="B39" s="57" t="s">
        <v>144</v>
      </c>
      <c r="C39" s="60">
        <v>120000</v>
      </c>
      <c r="D39" s="59">
        <f>+C39*12</f>
        <v>1440000</v>
      </c>
    </row>
    <row r="40" spans="2:7" x14ac:dyDescent="0.2">
      <c r="B40" s="47" t="s">
        <v>148</v>
      </c>
      <c r="C40" s="42">
        <f>+SUM(C36:C39)</f>
        <v>1380625</v>
      </c>
      <c r="D40" s="42">
        <f>+SUM(D36:D39)</f>
        <v>16567500</v>
      </c>
      <c r="F40" s="37" t="s">
        <v>497</v>
      </c>
    </row>
    <row r="44" spans="2:7" x14ac:dyDescent="0.2">
      <c r="B44" s="183" t="s">
        <v>149</v>
      </c>
      <c r="C44" s="183" t="s">
        <v>421</v>
      </c>
      <c r="D44" s="50" t="s">
        <v>423</v>
      </c>
    </row>
    <row r="45" spans="2:7" ht="15" customHeight="1" x14ac:dyDescent="0.2">
      <c r="B45" s="184" t="s">
        <v>422</v>
      </c>
      <c r="C45" s="191">
        <v>36000</v>
      </c>
      <c r="D45" s="462">
        <f>+(C46+C45)/5</f>
        <v>273200</v>
      </c>
    </row>
    <row r="46" spans="2:7" ht="15" customHeight="1" x14ac:dyDescent="0.2">
      <c r="B46" s="189" t="s">
        <v>131</v>
      </c>
      <c r="C46" s="465">
        <v>1330000</v>
      </c>
      <c r="D46" s="463"/>
    </row>
    <row r="47" spans="2:7" ht="15" customHeight="1" x14ac:dyDescent="0.2">
      <c r="B47" s="189" t="s">
        <v>134</v>
      </c>
      <c r="C47" s="465"/>
      <c r="D47" s="463"/>
      <c r="G47" s="37" t="s">
        <v>406</v>
      </c>
    </row>
    <row r="48" spans="2:7" x14ac:dyDescent="0.2">
      <c r="B48" s="189" t="s">
        <v>132</v>
      </c>
      <c r="C48" s="465"/>
      <c r="D48" s="463"/>
    </row>
    <row r="49" spans="1:6" x14ac:dyDescent="0.2">
      <c r="B49" s="190" t="s">
        <v>133</v>
      </c>
      <c r="C49" s="466"/>
      <c r="D49" s="464"/>
      <c r="E49" s="46"/>
    </row>
    <row r="50" spans="1:6" s="69" customFormat="1" x14ac:dyDescent="0.2">
      <c r="B50" s="186" t="s">
        <v>135</v>
      </c>
      <c r="C50" s="256">
        <f>+'Tabla depreciaciones'!C43</f>
        <v>3033000</v>
      </c>
      <c r="D50" s="188">
        <f>+C50/5</f>
        <v>606600</v>
      </c>
    </row>
    <row r="51" spans="1:6" x14ac:dyDescent="0.2">
      <c r="B51" s="187" t="s">
        <v>142</v>
      </c>
      <c r="C51" s="259">
        <f>+SUM(C45:C50)</f>
        <v>4399000</v>
      </c>
      <c r="D51" s="260">
        <f>+SUM(D45:D50)</f>
        <v>879800</v>
      </c>
    </row>
    <row r="54" spans="1:6" ht="15" customHeight="1" x14ac:dyDescent="0.2">
      <c r="B54" s="180" t="s">
        <v>151</v>
      </c>
      <c r="C54" s="181" t="s">
        <v>416</v>
      </c>
      <c r="D54" s="182" t="s">
        <v>415</v>
      </c>
      <c r="E54" s="65"/>
      <c r="F54" s="65"/>
    </row>
    <row r="55" spans="1:6" x14ac:dyDescent="0.2">
      <c r="B55" s="66" t="s">
        <v>153</v>
      </c>
      <c r="C55" s="37">
        <v>1000</v>
      </c>
      <c r="D55" s="46"/>
      <c r="E55" s="65"/>
      <c r="F55" s="65"/>
    </row>
    <row r="56" spans="1:6" x14ac:dyDescent="0.2">
      <c r="B56" s="57" t="s">
        <v>152</v>
      </c>
      <c r="C56" s="46">
        <f>+'Costos '!I2</f>
        <v>1018829</v>
      </c>
      <c r="D56" s="59">
        <f>+C56/$C$55</f>
        <v>1018.829</v>
      </c>
      <c r="E56" s="65"/>
      <c r="F56" s="65"/>
    </row>
    <row r="57" spans="1:6" x14ac:dyDescent="0.2">
      <c r="B57" s="57" t="s">
        <v>129</v>
      </c>
      <c r="C57" s="46">
        <f>+'Costos '!I3</f>
        <v>2288251</v>
      </c>
      <c r="D57" s="46">
        <f t="shared" ref="D57:D58" si="0">+C57/$C$55</f>
        <v>2288.2510000000002</v>
      </c>
      <c r="E57" s="65"/>
      <c r="F57" s="65"/>
    </row>
    <row r="58" spans="1:6" x14ac:dyDescent="0.2">
      <c r="B58" s="47" t="s">
        <v>413</v>
      </c>
      <c r="C58" s="49">
        <f>+C57+C56</f>
        <v>3307080</v>
      </c>
      <c r="D58" s="42">
        <f t="shared" si="0"/>
        <v>3307.08</v>
      </c>
      <c r="E58" s="65"/>
      <c r="F58" s="65"/>
    </row>
    <row r="59" spans="1:6" x14ac:dyDescent="0.2">
      <c r="B59" s="57" t="s">
        <v>130</v>
      </c>
      <c r="C59" s="48"/>
      <c r="D59" s="46">
        <f>+D58*(1+66.3%)</f>
        <v>5499.674039999999</v>
      </c>
      <c r="E59" s="65"/>
      <c r="F59" s="65"/>
    </row>
    <row r="60" spans="1:6" x14ac:dyDescent="0.2">
      <c r="B60" s="44" t="s">
        <v>414</v>
      </c>
      <c r="C60" s="314">
        <v>5500</v>
      </c>
      <c r="D60" s="56"/>
    </row>
    <row r="62" spans="1:6" x14ac:dyDescent="0.2">
      <c r="A62" s="458" t="s">
        <v>162</v>
      </c>
      <c r="B62" s="67" t="s">
        <v>155</v>
      </c>
      <c r="C62" s="67" t="s">
        <v>150</v>
      </c>
    </row>
    <row r="63" spans="1:6" x14ac:dyDescent="0.2">
      <c r="A63" s="459"/>
      <c r="B63" s="57" t="s">
        <v>156</v>
      </c>
      <c r="C63" s="48">
        <f>+D40</f>
        <v>16567500</v>
      </c>
    </row>
    <row r="64" spans="1:6" x14ac:dyDescent="0.2">
      <c r="A64" s="459"/>
      <c r="B64" s="57" t="s">
        <v>157</v>
      </c>
      <c r="C64" s="46">
        <f>+E31</f>
        <v>2200000</v>
      </c>
    </row>
    <row r="65" spans="1:3" x14ac:dyDescent="0.2">
      <c r="A65" s="459"/>
      <c r="B65" s="57" t="s">
        <v>513</v>
      </c>
      <c r="C65" s="115">
        <f>'GO,CT,PV'!C55</f>
        <v>17013500</v>
      </c>
    </row>
    <row r="66" spans="1:3" x14ac:dyDescent="0.2">
      <c r="A66" s="459"/>
      <c r="B66" s="57" t="s">
        <v>27</v>
      </c>
      <c r="C66" s="115">
        <f>+'GO,CT,PV'!C51</f>
        <v>52867920</v>
      </c>
    </row>
    <row r="67" spans="1:3" x14ac:dyDescent="0.2">
      <c r="A67" s="459"/>
      <c r="B67" s="39" t="s">
        <v>284</v>
      </c>
      <c r="C67" s="46">
        <f>+D58</f>
        <v>3307.08</v>
      </c>
    </row>
    <row r="68" spans="1:3" x14ac:dyDescent="0.2">
      <c r="A68" s="460"/>
      <c r="B68" s="67" t="s">
        <v>160</v>
      </c>
      <c r="C68" s="70">
        <f>+SUM(C63:C67)</f>
        <v>88652227.079999998</v>
      </c>
    </row>
    <row r="71" spans="1:3" ht="12.75" customHeight="1" x14ac:dyDescent="0.2">
      <c r="A71" s="458" t="s">
        <v>161</v>
      </c>
      <c r="B71" s="67" t="s">
        <v>158</v>
      </c>
      <c r="C71" s="67" t="s">
        <v>150</v>
      </c>
    </row>
    <row r="72" spans="1:3" x14ac:dyDescent="0.2">
      <c r="A72" s="459"/>
      <c r="B72" s="57" t="s">
        <v>159</v>
      </c>
      <c r="C72" s="46">
        <f>+C23</f>
        <v>10680000</v>
      </c>
    </row>
    <row r="73" spans="1:3" x14ac:dyDescent="0.2">
      <c r="A73" s="459"/>
      <c r="B73" s="185" t="s">
        <v>149</v>
      </c>
      <c r="C73" s="192">
        <f>C51</f>
        <v>4399000</v>
      </c>
    </row>
    <row r="74" spans="1:3" x14ac:dyDescent="0.2">
      <c r="A74" s="459"/>
      <c r="B74" s="57" t="s">
        <v>155</v>
      </c>
      <c r="C74" s="46">
        <f>+C68</f>
        <v>88652227.079999998</v>
      </c>
    </row>
    <row r="75" spans="1:3" x14ac:dyDescent="0.2">
      <c r="A75" s="459"/>
      <c r="B75" s="67" t="s">
        <v>142</v>
      </c>
      <c r="C75" s="70">
        <f>+SUM(C72:C74)</f>
        <v>103731227.08</v>
      </c>
    </row>
    <row r="79" spans="1:3" x14ac:dyDescent="0.2">
      <c r="A79" s="458" t="s">
        <v>168</v>
      </c>
      <c r="B79" s="67" t="s">
        <v>163</v>
      </c>
      <c r="C79" s="67" t="s">
        <v>166</v>
      </c>
    </row>
    <row r="80" spans="1:3" x14ac:dyDescent="0.2">
      <c r="A80" s="459"/>
      <c r="B80" s="37" t="s">
        <v>331</v>
      </c>
      <c r="C80" s="46">
        <v>40000000</v>
      </c>
    </row>
    <row r="81" spans="1:7" x14ac:dyDescent="0.2">
      <c r="A81" s="459"/>
      <c r="B81" s="37" t="s">
        <v>167</v>
      </c>
      <c r="C81" s="46">
        <v>90000000</v>
      </c>
      <c r="E81" s="46">
        <f>+C81+C82</f>
        <v>150000000</v>
      </c>
    </row>
    <row r="82" spans="1:7" x14ac:dyDescent="0.2">
      <c r="A82" s="459"/>
      <c r="B82" s="37" t="s">
        <v>165</v>
      </c>
      <c r="C82" s="46">
        <f>+'Costos '!F22</f>
        <v>60000000</v>
      </c>
    </row>
    <row r="83" spans="1:7" x14ac:dyDescent="0.2">
      <c r="A83" s="459"/>
      <c r="B83" s="67" t="s">
        <v>142</v>
      </c>
      <c r="C83" s="119">
        <f>+SUM(C80:C82)</f>
        <v>190000000</v>
      </c>
    </row>
    <row r="86" spans="1:7" x14ac:dyDescent="0.2">
      <c r="A86" s="458" t="s">
        <v>171</v>
      </c>
      <c r="B86" s="67" t="s">
        <v>126</v>
      </c>
    </row>
    <row r="87" spans="1:7" x14ac:dyDescent="0.2">
      <c r="A87" s="459"/>
      <c r="B87" s="67" t="s">
        <v>125</v>
      </c>
      <c r="C87" s="67" t="s">
        <v>113</v>
      </c>
      <c r="D87" s="67" t="s">
        <v>124</v>
      </c>
      <c r="E87" s="67" t="s">
        <v>123</v>
      </c>
      <c r="F87" s="67" t="s">
        <v>176</v>
      </c>
      <c r="G87" s="67" t="s">
        <v>122</v>
      </c>
    </row>
    <row r="88" spans="1:7" x14ac:dyDescent="0.2">
      <c r="A88" s="459"/>
      <c r="B88" s="37" t="s">
        <v>120</v>
      </c>
      <c r="C88" s="48">
        <f>+C4</f>
        <v>280000</v>
      </c>
      <c r="D88" s="37">
        <v>10</v>
      </c>
      <c r="E88" s="48">
        <f>+C88/D88</f>
        <v>28000</v>
      </c>
      <c r="F88" s="46">
        <f>+E88/12</f>
        <v>2333.3333333333335</v>
      </c>
      <c r="G88" s="48">
        <f>+C88-(E88*5)</f>
        <v>140000</v>
      </c>
    </row>
    <row r="89" spans="1:7" x14ac:dyDescent="0.2">
      <c r="A89" s="459"/>
      <c r="B89" s="37" t="s">
        <v>118</v>
      </c>
      <c r="C89" s="48">
        <f>+C19</f>
        <v>630000</v>
      </c>
      <c r="D89" s="37">
        <v>10</v>
      </c>
      <c r="E89" s="48">
        <f>+C89/D89</f>
        <v>63000</v>
      </c>
      <c r="F89" s="46">
        <f t="shared" ref="F89:F91" si="1">+E89/12</f>
        <v>5250</v>
      </c>
      <c r="G89" s="48">
        <f t="shared" ref="G89:G91" si="2">+C89-(E89*5)</f>
        <v>315000</v>
      </c>
    </row>
    <row r="90" spans="1:7" x14ac:dyDescent="0.2">
      <c r="A90" s="459"/>
      <c r="B90" s="37" t="s">
        <v>374</v>
      </c>
      <c r="C90" s="48">
        <f>+C13</f>
        <v>3600000</v>
      </c>
      <c r="D90" s="37">
        <v>5</v>
      </c>
      <c r="E90" s="48">
        <f>+C90/D90</f>
        <v>720000</v>
      </c>
      <c r="F90" s="46">
        <f t="shared" si="1"/>
        <v>60000</v>
      </c>
      <c r="G90" s="48">
        <f t="shared" si="2"/>
        <v>0</v>
      </c>
    </row>
    <row r="91" spans="1:7" x14ac:dyDescent="0.2">
      <c r="A91" s="459"/>
      <c r="B91" s="37" t="s">
        <v>117</v>
      </c>
      <c r="C91" s="48">
        <f>+C9</f>
        <v>5600000</v>
      </c>
      <c r="D91" s="37">
        <v>5</v>
      </c>
      <c r="E91" s="48">
        <f t="shared" ref="E91" si="3">+C91/D91</f>
        <v>1120000</v>
      </c>
      <c r="F91" s="46">
        <f t="shared" si="1"/>
        <v>93333.333333333328</v>
      </c>
      <c r="G91" s="48">
        <f t="shared" si="2"/>
        <v>0</v>
      </c>
    </row>
    <row r="92" spans="1:7" x14ac:dyDescent="0.2">
      <c r="B92" s="67" t="s">
        <v>169</v>
      </c>
      <c r="C92" s="68">
        <f>+SUM(C88:C91)</f>
        <v>10110000</v>
      </c>
      <c r="D92" s="67"/>
      <c r="E92" s="68">
        <f>+SUM(E88:E91)</f>
        <v>1931000</v>
      </c>
      <c r="F92" s="68">
        <f>+SUM(F88:F91)</f>
        <v>160916.66666666666</v>
      </c>
      <c r="G92" s="68">
        <f>+SUM(G88:G91)</f>
        <v>455000</v>
      </c>
    </row>
    <row r="94" spans="1:7" x14ac:dyDescent="0.2">
      <c r="A94" s="63"/>
      <c r="C94" s="63"/>
    </row>
    <row r="95" spans="1:7" x14ac:dyDescent="0.2">
      <c r="A95" s="63"/>
      <c r="B95" s="264"/>
      <c r="C95" s="265"/>
      <c r="D95" s="469" t="s">
        <v>180</v>
      </c>
      <c r="E95" s="470"/>
      <c r="F95" s="467" t="s">
        <v>179</v>
      </c>
      <c r="G95" s="468"/>
    </row>
    <row r="96" spans="1:7" x14ac:dyDescent="0.2">
      <c r="A96" s="458" t="s">
        <v>172</v>
      </c>
      <c r="B96" s="266" t="s">
        <v>173</v>
      </c>
      <c r="C96" s="263" t="s">
        <v>174</v>
      </c>
      <c r="D96" s="266" t="s">
        <v>177</v>
      </c>
      <c r="E96" s="266" t="s">
        <v>178</v>
      </c>
      <c r="F96" s="266" t="s">
        <v>170</v>
      </c>
      <c r="G96" s="266" t="s">
        <v>328</v>
      </c>
    </row>
    <row r="97" spans="1:7" x14ac:dyDescent="0.2">
      <c r="A97" s="459"/>
      <c r="B97" s="267" t="s">
        <v>175</v>
      </c>
      <c r="C97" s="261"/>
      <c r="D97" s="268" t="s">
        <v>181</v>
      </c>
      <c r="E97" s="269" t="s">
        <v>182</v>
      </c>
      <c r="F97" s="261"/>
      <c r="G97" s="261"/>
    </row>
    <row r="98" spans="1:7" x14ac:dyDescent="0.2">
      <c r="A98" s="459"/>
      <c r="B98" s="266" t="s">
        <v>125</v>
      </c>
      <c r="C98" s="262"/>
      <c r="D98" s="270"/>
      <c r="E98" s="270"/>
      <c r="F98" s="270"/>
      <c r="G98" s="270"/>
    </row>
    <row r="99" spans="1:7" x14ac:dyDescent="0.2">
      <c r="A99" s="459"/>
      <c r="B99" s="264" t="s">
        <v>120</v>
      </c>
      <c r="C99" s="271">
        <f>+F88</f>
        <v>2333.3333333333335</v>
      </c>
      <c r="D99" s="272">
        <v>0.1</v>
      </c>
      <c r="E99" s="272">
        <v>0.9</v>
      </c>
      <c r="F99" s="273">
        <f>+D99*C99</f>
        <v>233.33333333333337</v>
      </c>
      <c r="G99" s="273">
        <f>+C99*E99</f>
        <v>2100</v>
      </c>
    </row>
    <row r="100" spans="1:7" x14ac:dyDescent="0.2">
      <c r="A100" s="459"/>
      <c r="B100" s="270" t="s">
        <v>118</v>
      </c>
      <c r="C100" s="274">
        <f>+F89</f>
        <v>5250</v>
      </c>
      <c r="D100" s="275">
        <v>0.9</v>
      </c>
      <c r="E100" s="275">
        <v>0.1</v>
      </c>
      <c r="F100" s="274">
        <f t="shared" ref="F100:F102" si="4">+D100*C100</f>
        <v>4725</v>
      </c>
      <c r="G100" s="274">
        <f t="shared" ref="G100:G101" si="5">+C100*E100</f>
        <v>525</v>
      </c>
    </row>
    <row r="101" spans="1:7" x14ac:dyDescent="0.2">
      <c r="A101" s="459"/>
      <c r="B101" s="264" t="s">
        <v>374</v>
      </c>
      <c r="C101" s="271">
        <f>+F90</f>
        <v>60000</v>
      </c>
      <c r="D101" s="272">
        <v>0.85</v>
      </c>
      <c r="E101" s="272">
        <v>0.15</v>
      </c>
      <c r="F101" s="271">
        <f t="shared" si="4"/>
        <v>51000</v>
      </c>
      <c r="G101" s="271">
        <f t="shared" si="5"/>
        <v>9000</v>
      </c>
    </row>
    <row r="102" spans="1:7" x14ac:dyDescent="0.2">
      <c r="A102" s="459"/>
      <c r="B102" s="270" t="s">
        <v>117</v>
      </c>
      <c r="C102" s="274">
        <f>+F91</f>
        <v>93333.333333333328</v>
      </c>
      <c r="D102" s="275">
        <v>0.05</v>
      </c>
      <c r="E102" s="275">
        <v>0.95</v>
      </c>
      <c r="F102" s="274">
        <f t="shared" si="4"/>
        <v>4666.666666666667</v>
      </c>
      <c r="G102" s="274">
        <f>+C102*E102</f>
        <v>88666.666666666657</v>
      </c>
    </row>
    <row r="103" spans="1:7" x14ac:dyDescent="0.2">
      <c r="B103" s="261" t="s">
        <v>169</v>
      </c>
      <c r="C103" s="276">
        <f>+SUM(C99:C102)</f>
        <v>160916.66666666666</v>
      </c>
      <c r="D103" s="277"/>
      <c r="E103" s="277"/>
      <c r="F103" s="276">
        <f>+SUM(F99:F102)</f>
        <v>60625</v>
      </c>
      <c r="G103" s="276">
        <f>+SUM(G99:G102)</f>
        <v>100291.66666666666</v>
      </c>
    </row>
    <row r="104" spans="1:7" x14ac:dyDescent="0.2">
      <c r="B104" s="266" t="s">
        <v>183</v>
      </c>
      <c r="C104" s="278">
        <f>+F103</f>
        <v>60625</v>
      </c>
      <c r="D104" s="270"/>
      <c r="E104" s="270"/>
      <c r="F104" s="279"/>
      <c r="G104" s="270"/>
    </row>
    <row r="105" spans="1:7" x14ac:dyDescent="0.2">
      <c r="B105" s="261" t="s">
        <v>184</v>
      </c>
      <c r="C105" s="276">
        <f>+G103</f>
        <v>100291.66666666666</v>
      </c>
      <c r="D105" s="277"/>
      <c r="E105" s="277"/>
      <c r="F105" s="277"/>
      <c r="G105" s="277"/>
    </row>
    <row r="109" spans="1:7" x14ac:dyDescent="0.2">
      <c r="D109" s="37" t="s">
        <v>154</v>
      </c>
    </row>
  </sheetData>
  <mergeCells count="14">
    <mergeCell ref="A79:A83"/>
    <mergeCell ref="A86:A91"/>
    <mergeCell ref="A96:A102"/>
    <mergeCell ref="F27:F31"/>
    <mergeCell ref="D45:D49"/>
    <mergeCell ref="C46:C49"/>
    <mergeCell ref="F95:G95"/>
    <mergeCell ref="D95:E95"/>
    <mergeCell ref="B2:C2"/>
    <mergeCell ref="B6:C6"/>
    <mergeCell ref="B15:C15"/>
    <mergeCell ref="B11:C11"/>
    <mergeCell ref="A71:A75"/>
    <mergeCell ref="A62:A68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9212-D3FC-42F2-91D3-21B20215881A}">
  <dimension ref="A3:E39"/>
  <sheetViews>
    <sheetView zoomScale="78" zoomScaleNormal="78" workbookViewId="0">
      <selection activeCell="C7" sqref="B7:C7"/>
    </sheetView>
  </sheetViews>
  <sheetFormatPr baseColWidth="10" defaultRowHeight="15" x14ac:dyDescent="0.25"/>
  <cols>
    <col min="2" max="2" width="39.28515625" bestFit="1" customWidth="1"/>
    <col min="3" max="3" width="22.7109375" bestFit="1" customWidth="1"/>
    <col min="4" max="4" width="19.42578125" customWidth="1"/>
    <col min="5" max="5" width="19.28515625" bestFit="1" customWidth="1"/>
  </cols>
  <sheetData>
    <row r="3" spans="1:5" x14ac:dyDescent="0.25">
      <c r="A3" s="472" t="s">
        <v>427</v>
      </c>
      <c r="B3" s="471" t="s">
        <v>186</v>
      </c>
      <c r="C3" s="471"/>
    </row>
    <row r="4" spans="1:5" x14ac:dyDescent="0.25">
      <c r="A4" s="472"/>
      <c r="B4" s="33" t="s">
        <v>187</v>
      </c>
      <c r="C4" s="146">
        <v>100000</v>
      </c>
    </row>
    <row r="5" spans="1:5" x14ac:dyDescent="0.25">
      <c r="A5" s="472"/>
      <c r="B5" s="194" t="s">
        <v>188</v>
      </c>
      <c r="C5" s="195">
        <f>+(('Costos '!$F$3)/'Costos '!$I$3)*'Costos '!$I$3</f>
        <v>2000000</v>
      </c>
    </row>
    <row r="6" spans="1:5" x14ac:dyDescent="0.25">
      <c r="A6" s="472"/>
      <c r="B6" s="33"/>
      <c r="C6" s="35">
        <f>+C5+C4</f>
        <v>2100000</v>
      </c>
    </row>
    <row r="7" spans="1:5" x14ac:dyDescent="0.25">
      <c r="A7" s="472"/>
      <c r="B7" s="528" t="s">
        <v>189</v>
      </c>
      <c r="C7" s="529">
        <f>+C6/1000</f>
        <v>2100</v>
      </c>
    </row>
    <row r="10" spans="1:5" x14ac:dyDescent="0.25">
      <c r="B10" s="75" t="s">
        <v>200</v>
      </c>
      <c r="C10" s="76">
        <f>+'GO,CT,PV'!B51+'Costos '!F3+'Costos '!F4+'Costos '!F5+'Costos '!F6+'Costos '!F7</f>
        <v>6885660</v>
      </c>
      <c r="E10" s="6"/>
    </row>
    <row r="11" spans="1:5" x14ac:dyDescent="0.25">
      <c r="B11" s="21"/>
      <c r="C11" s="21"/>
    </row>
    <row r="12" spans="1:5" x14ac:dyDescent="0.25">
      <c r="B12" s="36" t="s">
        <v>190</v>
      </c>
      <c r="C12" s="117">
        <v>5500</v>
      </c>
    </row>
    <row r="14" spans="1:5" x14ac:dyDescent="0.25">
      <c r="A14" s="474" t="s">
        <v>532</v>
      </c>
      <c r="B14" s="73" t="s">
        <v>191</v>
      </c>
      <c r="C14" s="116">
        <f>+(C10)/(C12-C7)</f>
        <v>2025.1941176470589</v>
      </c>
      <c r="D14" t="s">
        <v>193</v>
      </c>
    </row>
    <row r="15" spans="1:5" x14ac:dyDescent="0.25">
      <c r="A15" s="474"/>
      <c r="B15" s="72" t="s">
        <v>196</v>
      </c>
      <c r="C15" s="72">
        <v>18000</v>
      </c>
      <c r="D15" s="4"/>
    </row>
    <row r="16" spans="1:5" x14ac:dyDescent="0.25">
      <c r="A16" s="474"/>
    </row>
    <row r="17" spans="1:5" x14ac:dyDescent="0.25">
      <c r="A17" s="474"/>
      <c r="B17" s="73" t="s">
        <v>531</v>
      </c>
      <c r="C17" s="74">
        <f>+C10/((C12-C7)/C12)</f>
        <v>11138567.647058824</v>
      </c>
      <c r="D17" t="s">
        <v>195</v>
      </c>
    </row>
    <row r="18" spans="1:5" x14ac:dyDescent="0.25">
      <c r="A18" s="474"/>
      <c r="B18" s="321" t="s">
        <v>530</v>
      </c>
      <c r="C18" s="322">
        <f>+C17*12</f>
        <v>133662811.7647059</v>
      </c>
    </row>
    <row r="19" spans="1:5" x14ac:dyDescent="0.25">
      <c r="B19" s="177"/>
      <c r="C19" s="177"/>
    </row>
    <row r="20" spans="1:5" x14ac:dyDescent="0.25">
      <c r="A20" s="473" t="s">
        <v>529</v>
      </c>
      <c r="B20" s="81" t="s">
        <v>201</v>
      </c>
      <c r="C20" s="172">
        <v>7200000</v>
      </c>
      <c r="D20" s="6"/>
    </row>
    <row r="21" spans="1:5" x14ac:dyDescent="0.25">
      <c r="A21" s="473"/>
      <c r="B21" s="173" t="s">
        <v>192</v>
      </c>
      <c r="C21" s="174">
        <f>+(C10+C20)/(C12-C7)</f>
        <v>4142.8411764705879</v>
      </c>
      <c r="D21" s="21" t="s">
        <v>193</v>
      </c>
    </row>
    <row r="22" spans="1:5" x14ac:dyDescent="0.25">
      <c r="A22" s="473"/>
      <c r="B22" s="77"/>
    </row>
    <row r="23" spans="1:5" x14ac:dyDescent="0.25">
      <c r="A23" s="473"/>
    </row>
    <row r="24" spans="1:5" x14ac:dyDescent="0.25">
      <c r="A24" s="473"/>
      <c r="B24" s="78" t="s">
        <v>194</v>
      </c>
      <c r="C24" s="79">
        <f>+(C10+C20)/((C12-C7)/C12)</f>
        <v>22785626.470588237</v>
      </c>
      <c r="E24">
        <v>22785626.470588237</v>
      </c>
    </row>
    <row r="25" spans="1:5" x14ac:dyDescent="0.25">
      <c r="A25" s="473"/>
    </row>
    <row r="26" spans="1:5" x14ac:dyDescent="0.25">
      <c r="A26" s="473"/>
      <c r="B26" s="78" t="s">
        <v>202</v>
      </c>
      <c r="C26" s="80">
        <f>+C21*C7+C10</f>
        <v>15585626.470588235</v>
      </c>
    </row>
    <row r="27" spans="1:5" x14ac:dyDescent="0.25">
      <c r="A27" s="473"/>
      <c r="B27" s="78" t="s">
        <v>203</v>
      </c>
      <c r="C27" s="80">
        <f>+C24-C26</f>
        <v>7200000.0000000019</v>
      </c>
    </row>
    <row r="30" spans="1:5" x14ac:dyDescent="0.25">
      <c r="B30" s="82" t="s">
        <v>185</v>
      </c>
      <c r="C30" s="82" t="s">
        <v>197</v>
      </c>
      <c r="D30" s="82" t="s">
        <v>198</v>
      </c>
      <c r="E30" s="82" t="s">
        <v>199</v>
      </c>
    </row>
    <row r="31" spans="1:5" x14ac:dyDescent="0.25">
      <c r="B31" s="175">
        <f>+C14</f>
        <v>2025.1941176470589</v>
      </c>
      <c r="C31" s="176">
        <f t="shared" ref="C31:C39" si="0">+B31*$C$12</f>
        <v>11138567.647058824</v>
      </c>
      <c r="D31" s="176">
        <f t="shared" ref="D31:D39" si="1">+$C$10+$C$7*B31</f>
        <v>11138567.647058824</v>
      </c>
      <c r="E31" s="176">
        <f>+C31-D31</f>
        <v>0</v>
      </c>
    </row>
    <row r="32" spans="1:5" x14ac:dyDescent="0.25">
      <c r="B32" s="33">
        <v>7000</v>
      </c>
      <c r="C32" s="35">
        <f t="shared" si="0"/>
        <v>38500000</v>
      </c>
      <c r="D32" s="35">
        <f t="shared" si="1"/>
        <v>21585660</v>
      </c>
      <c r="E32" s="35">
        <f t="shared" ref="E32:E39" si="2">+C32-D32</f>
        <v>16914340</v>
      </c>
    </row>
    <row r="33" spans="2:5" x14ac:dyDescent="0.25">
      <c r="B33" s="33">
        <v>7500</v>
      </c>
      <c r="C33" s="35">
        <f t="shared" si="0"/>
        <v>41250000</v>
      </c>
      <c r="D33" s="35">
        <f t="shared" si="1"/>
        <v>22635660</v>
      </c>
      <c r="E33" s="35">
        <f t="shared" si="2"/>
        <v>18614340</v>
      </c>
    </row>
    <row r="34" spans="2:5" x14ac:dyDescent="0.25">
      <c r="B34" s="33">
        <v>8000</v>
      </c>
      <c r="C34" s="35">
        <f t="shared" si="0"/>
        <v>44000000</v>
      </c>
      <c r="D34" s="35">
        <f t="shared" si="1"/>
        <v>23685660</v>
      </c>
      <c r="E34" s="35">
        <f t="shared" si="2"/>
        <v>20314340</v>
      </c>
    </row>
    <row r="35" spans="2:5" x14ac:dyDescent="0.25">
      <c r="B35" s="33">
        <v>8716</v>
      </c>
      <c r="C35" s="35">
        <f t="shared" si="0"/>
        <v>47938000</v>
      </c>
      <c r="D35" s="35">
        <f t="shared" si="1"/>
        <v>25189260</v>
      </c>
      <c r="E35" s="35">
        <f t="shared" si="2"/>
        <v>22748740</v>
      </c>
    </row>
    <row r="36" spans="2:5" x14ac:dyDescent="0.25">
      <c r="B36" s="33">
        <v>14500</v>
      </c>
      <c r="C36" s="35">
        <f t="shared" si="0"/>
        <v>79750000</v>
      </c>
      <c r="D36" s="35">
        <f t="shared" si="1"/>
        <v>37335660</v>
      </c>
      <c r="E36" s="35">
        <f t="shared" si="2"/>
        <v>42414340</v>
      </c>
    </row>
    <row r="37" spans="2:5" x14ac:dyDescent="0.25">
      <c r="B37" s="33">
        <v>15500</v>
      </c>
      <c r="C37" s="35">
        <f t="shared" si="0"/>
        <v>85250000</v>
      </c>
      <c r="D37" s="35">
        <f t="shared" si="1"/>
        <v>39435660</v>
      </c>
      <c r="E37" s="35">
        <f t="shared" si="2"/>
        <v>45814340</v>
      </c>
    </row>
    <row r="38" spans="2:5" x14ac:dyDescent="0.25">
      <c r="B38" s="33">
        <v>17500</v>
      </c>
      <c r="C38" s="35">
        <f t="shared" si="0"/>
        <v>96250000</v>
      </c>
      <c r="D38" s="35">
        <f t="shared" si="1"/>
        <v>43635660</v>
      </c>
      <c r="E38" s="35">
        <f t="shared" si="2"/>
        <v>52614340</v>
      </c>
    </row>
    <row r="39" spans="2:5" x14ac:dyDescent="0.25">
      <c r="B39" s="33">
        <v>18000</v>
      </c>
      <c r="C39" s="35">
        <f t="shared" si="0"/>
        <v>99000000</v>
      </c>
      <c r="D39" s="35">
        <f t="shared" si="1"/>
        <v>44685660</v>
      </c>
      <c r="E39" s="35">
        <f t="shared" si="2"/>
        <v>54314340</v>
      </c>
    </row>
  </sheetData>
  <mergeCells count="4">
    <mergeCell ref="B3:C3"/>
    <mergeCell ref="A3:A7"/>
    <mergeCell ref="A20:A27"/>
    <mergeCell ref="A14:A1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BE6C-C58E-4F71-8EB2-93D2AE8BB25B}">
  <dimension ref="B2:S33"/>
  <sheetViews>
    <sheetView zoomScale="86" zoomScaleNormal="86" workbookViewId="0">
      <selection activeCell="B32" sqref="B32:C33"/>
    </sheetView>
  </sheetViews>
  <sheetFormatPr baseColWidth="10" defaultRowHeight="15" x14ac:dyDescent="0.25"/>
  <cols>
    <col min="2" max="2" width="14.28515625" customWidth="1"/>
    <col min="3" max="3" width="20.28515625" customWidth="1"/>
    <col min="4" max="8" width="14.140625" customWidth="1"/>
    <col min="9" max="18" width="7.7109375" customWidth="1"/>
  </cols>
  <sheetData>
    <row r="2" spans="2:19" ht="20.25" customHeight="1" x14ac:dyDescent="0.25">
      <c r="B2" s="480" t="s">
        <v>442</v>
      </c>
      <c r="C2" s="480" t="s">
        <v>443</v>
      </c>
      <c r="D2" s="481" t="s">
        <v>486</v>
      </c>
      <c r="E2" s="482" t="s">
        <v>487</v>
      </c>
      <c r="F2" s="483" t="s">
        <v>488</v>
      </c>
      <c r="G2" s="484" t="s">
        <v>489</v>
      </c>
      <c r="H2" s="484" t="s">
        <v>490</v>
      </c>
      <c r="I2" s="486">
        <v>2022</v>
      </c>
      <c r="J2" s="487"/>
      <c r="K2" s="490">
        <v>2023</v>
      </c>
      <c r="L2" s="491"/>
      <c r="M2" s="494">
        <v>2024</v>
      </c>
      <c r="N2" s="495"/>
      <c r="O2" s="498">
        <v>2025</v>
      </c>
      <c r="P2" s="499"/>
      <c r="Q2" s="498">
        <v>2026</v>
      </c>
      <c r="R2" s="499"/>
      <c r="S2" s="478" t="s">
        <v>444</v>
      </c>
    </row>
    <row r="3" spans="2:19" ht="20.25" customHeight="1" x14ac:dyDescent="0.25">
      <c r="B3" s="476"/>
      <c r="C3" s="476"/>
      <c r="D3" s="479"/>
      <c r="E3" s="479"/>
      <c r="F3" s="479"/>
      <c r="G3" s="479"/>
      <c r="H3" s="485"/>
      <c r="I3" s="488"/>
      <c r="J3" s="489"/>
      <c r="K3" s="492"/>
      <c r="L3" s="493"/>
      <c r="M3" s="496"/>
      <c r="N3" s="497"/>
      <c r="O3" s="500"/>
      <c r="P3" s="501"/>
      <c r="Q3" s="500"/>
      <c r="R3" s="501"/>
      <c r="S3" s="479"/>
    </row>
    <row r="4" spans="2:19" hidden="1" x14ac:dyDescent="0.25">
      <c r="B4" s="475" t="s">
        <v>445</v>
      </c>
      <c r="C4" s="229" t="s">
        <v>446</v>
      </c>
      <c r="D4" s="230"/>
      <c r="E4" s="230"/>
      <c r="F4" s="230"/>
      <c r="G4" s="230"/>
      <c r="H4" s="230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5"/>
    </row>
    <row r="5" spans="2:19" hidden="1" x14ac:dyDescent="0.25">
      <c r="B5" s="476"/>
      <c r="C5" s="229" t="s">
        <v>447</v>
      </c>
      <c r="D5" s="230"/>
      <c r="E5" s="230"/>
      <c r="F5" s="230"/>
      <c r="G5" s="230"/>
      <c r="H5" s="230"/>
      <c r="I5" s="476"/>
      <c r="J5" s="476"/>
      <c r="K5" s="476"/>
      <c r="L5" s="476"/>
      <c r="M5" s="476"/>
      <c r="N5" s="476"/>
      <c r="O5" s="476"/>
      <c r="P5" s="476"/>
      <c r="Q5" s="476"/>
      <c r="R5" s="476"/>
      <c r="S5" s="476"/>
    </row>
    <row r="6" spans="2:19" hidden="1" x14ac:dyDescent="0.25">
      <c r="B6" s="475" t="s">
        <v>448</v>
      </c>
      <c r="C6" s="231" t="s">
        <v>449</v>
      </c>
      <c r="D6" s="230"/>
      <c r="E6" s="230"/>
      <c r="F6" s="230"/>
      <c r="G6" s="230"/>
      <c r="H6" s="230"/>
      <c r="I6" s="477"/>
      <c r="J6" s="477"/>
      <c r="K6" s="477"/>
      <c r="L6" s="477"/>
      <c r="M6" s="477"/>
      <c r="N6" s="477"/>
      <c r="O6" s="477"/>
      <c r="P6" s="477"/>
      <c r="Q6" s="477"/>
      <c r="R6" s="477"/>
      <c r="S6" s="475"/>
    </row>
    <row r="7" spans="2:19" hidden="1" x14ac:dyDescent="0.25">
      <c r="B7" s="476"/>
      <c r="C7" s="231" t="s">
        <v>450</v>
      </c>
      <c r="D7" s="230"/>
      <c r="E7" s="230"/>
      <c r="F7" s="230"/>
      <c r="G7" s="230"/>
      <c r="H7" s="230"/>
      <c r="I7" s="476"/>
      <c r="J7" s="476"/>
      <c r="K7" s="476"/>
      <c r="L7" s="476"/>
      <c r="M7" s="476"/>
      <c r="N7" s="476"/>
      <c r="O7" s="476"/>
      <c r="P7" s="476"/>
      <c r="Q7" s="476"/>
      <c r="R7" s="476"/>
      <c r="S7" s="476"/>
    </row>
    <row r="8" spans="2:19" hidden="1" x14ac:dyDescent="0.25">
      <c r="B8" s="475" t="s">
        <v>451</v>
      </c>
      <c r="C8" s="232" t="s">
        <v>452</v>
      </c>
      <c r="D8" s="230"/>
      <c r="E8" s="230"/>
      <c r="F8" s="230"/>
      <c r="G8" s="230"/>
      <c r="H8" s="230"/>
      <c r="I8" s="477"/>
      <c r="J8" s="477"/>
      <c r="K8" s="477"/>
      <c r="L8" s="477"/>
      <c r="M8" s="477"/>
      <c r="N8" s="477"/>
      <c r="O8" s="477"/>
      <c r="P8" s="477"/>
      <c r="Q8" s="477"/>
      <c r="R8" s="477"/>
      <c r="S8" s="475"/>
    </row>
    <row r="9" spans="2:19" hidden="1" x14ac:dyDescent="0.25">
      <c r="B9" s="476"/>
      <c r="C9" s="232" t="s">
        <v>453</v>
      </c>
      <c r="D9" s="230"/>
      <c r="E9" s="230"/>
      <c r="F9" s="230"/>
      <c r="G9" s="230"/>
      <c r="H9" s="230"/>
      <c r="I9" s="476"/>
      <c r="J9" s="476"/>
      <c r="K9" s="476"/>
      <c r="L9" s="476"/>
      <c r="M9" s="476"/>
      <c r="N9" s="476"/>
      <c r="O9" s="476"/>
      <c r="P9" s="476"/>
      <c r="Q9" s="476"/>
      <c r="R9" s="476"/>
      <c r="S9" s="476"/>
    </row>
    <row r="10" spans="2:19" hidden="1" x14ac:dyDescent="0.25">
      <c r="B10" s="475" t="s">
        <v>454</v>
      </c>
      <c r="C10" s="233" t="s">
        <v>455</v>
      </c>
      <c r="D10" s="230"/>
      <c r="E10" s="230"/>
      <c r="F10" s="230"/>
      <c r="G10" s="230"/>
      <c r="H10" s="230"/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5"/>
    </row>
    <row r="11" spans="2:19" hidden="1" x14ac:dyDescent="0.25">
      <c r="B11" s="476"/>
      <c r="C11" s="233" t="s">
        <v>456</v>
      </c>
      <c r="D11" s="230"/>
      <c r="E11" s="230"/>
      <c r="F11" s="230"/>
      <c r="G11" s="230"/>
      <c r="H11" s="230"/>
      <c r="I11" s="476"/>
      <c r="J11" s="476"/>
      <c r="K11" s="476"/>
      <c r="L11" s="476"/>
      <c r="M11" s="476"/>
      <c r="N11" s="476"/>
      <c r="O11" s="476"/>
      <c r="P11" s="476"/>
      <c r="Q11" s="476"/>
      <c r="R11" s="476"/>
      <c r="S11" s="476"/>
    </row>
    <row r="12" spans="2:19" hidden="1" x14ac:dyDescent="0.25">
      <c r="B12" s="475" t="s">
        <v>457</v>
      </c>
      <c r="C12" s="234" t="s">
        <v>458</v>
      </c>
      <c r="D12" s="230"/>
      <c r="E12" s="230"/>
      <c r="F12" s="230"/>
      <c r="G12" s="230"/>
      <c r="H12" s="230"/>
      <c r="I12" s="477"/>
      <c r="J12" s="477"/>
      <c r="K12" s="477"/>
      <c r="L12" s="477"/>
      <c r="M12" s="477"/>
      <c r="N12" s="477"/>
      <c r="O12" s="477"/>
      <c r="P12" s="477"/>
      <c r="Q12" s="477"/>
      <c r="R12" s="477"/>
      <c r="S12" s="475"/>
    </row>
    <row r="13" spans="2:19" hidden="1" x14ac:dyDescent="0.25">
      <c r="B13" s="476"/>
      <c r="C13" s="234" t="s">
        <v>459</v>
      </c>
      <c r="D13" s="230"/>
      <c r="E13" s="230"/>
      <c r="F13" s="230"/>
      <c r="G13" s="230"/>
      <c r="H13" s="230"/>
      <c r="I13" s="476"/>
      <c r="J13" s="476"/>
      <c r="K13" s="476"/>
      <c r="L13" s="476"/>
      <c r="M13" s="476"/>
      <c r="N13" s="476"/>
      <c r="O13" s="476"/>
      <c r="P13" s="476"/>
      <c r="Q13" s="476"/>
      <c r="R13" s="476"/>
      <c r="S13" s="476"/>
    </row>
    <row r="14" spans="2:19" x14ac:dyDescent="0.25">
      <c r="B14" s="475" t="s">
        <v>460</v>
      </c>
      <c r="C14" s="235" t="s">
        <v>461</v>
      </c>
      <c r="D14" s="236">
        <f>+'Estado de Situacion Financiera '!C8</f>
        <v>19514227.623529404</v>
      </c>
      <c r="E14" s="236">
        <f>+'Estado de Situacion Financiera '!D8</f>
        <v>74723787.723498881</v>
      </c>
      <c r="F14" s="236">
        <f>+'Estado de Situacion Financiera '!E8</f>
        <v>80372691.059459358</v>
      </c>
      <c r="G14" s="236">
        <f>+'Estado de Situacion Financiera '!F8</f>
        <v>98399911.525755405</v>
      </c>
      <c r="H14" s="236">
        <f>+'Estado de Situacion Financiera '!G8</f>
        <v>136170648.49880019</v>
      </c>
      <c r="I14" s="502">
        <f>+D14/D15</f>
        <v>3.67511147964102</v>
      </c>
      <c r="J14" s="503"/>
      <c r="K14" s="502">
        <f>+E14/E15</f>
        <v>2.5672048437745025</v>
      </c>
      <c r="L14" s="503"/>
      <c r="M14" s="502">
        <f>+F14/F15</f>
        <v>11.505433434826493</v>
      </c>
      <c r="N14" s="503"/>
      <c r="O14" s="502">
        <f>+G14/G15</f>
        <v>11.369293345841104</v>
      </c>
      <c r="P14" s="503"/>
      <c r="Q14" s="502">
        <f>+H14/H15</f>
        <v>13.295235695228802</v>
      </c>
      <c r="R14" s="503"/>
      <c r="S14" s="475"/>
    </row>
    <row r="15" spans="2:19" x14ac:dyDescent="0.25">
      <c r="B15" s="476"/>
      <c r="C15" s="235" t="s">
        <v>462</v>
      </c>
      <c r="D15" s="236">
        <f>+'Estado de Situacion Financiera '!C44</f>
        <v>5309832.8395294091</v>
      </c>
      <c r="E15" s="236">
        <f>+'Estado de Situacion Financiera '!D44</f>
        <v>29107060.897265293</v>
      </c>
      <c r="F15" s="236">
        <f>+'Estado de Situacion Financiera '!E44</f>
        <v>6985629.139026992</v>
      </c>
      <c r="G15" s="236">
        <f>+'Estado de Situacion Financiera '!F44</f>
        <v>8654883.6882417295</v>
      </c>
      <c r="H15" s="236">
        <f>+'Estado de Situacion Financiera '!G44</f>
        <v>10242063.51961606</v>
      </c>
      <c r="I15" s="504"/>
      <c r="J15" s="505"/>
      <c r="K15" s="504"/>
      <c r="L15" s="505"/>
      <c r="M15" s="504"/>
      <c r="N15" s="505"/>
      <c r="O15" s="504"/>
      <c r="P15" s="505"/>
      <c r="Q15" s="504"/>
      <c r="R15" s="505"/>
      <c r="S15" s="476"/>
    </row>
    <row r="16" spans="2:19" x14ac:dyDescent="0.25">
      <c r="B16" s="475" t="s">
        <v>463</v>
      </c>
      <c r="C16" s="235" t="s">
        <v>464</v>
      </c>
      <c r="D16" s="236">
        <f>+'Estado de Situacion Financiera '!C8-'Estado de Situacion Financiera '!C6</f>
        <v>-7621813.3344000131</v>
      </c>
      <c r="E16" s="236">
        <f>+'Estado de Situacion Financiera '!D8-'Estado de Situacion Financiera '!D6</f>
        <v>57115059.935562506</v>
      </c>
      <c r="F16" s="236">
        <f>+'Estado de Situacion Financiera '!E8-'Estado de Situacion Financiera '!E6</f>
        <v>68340153.435321137</v>
      </c>
      <c r="G16" s="236">
        <f>+'Estado de Situacion Financiera '!F8-'Estado de Situacion Financiera '!F6</f>
        <v>84780909.470409662</v>
      </c>
      <c r="H16" s="236">
        <f>+'Estado de Situacion Financiera '!G8-'Estado de Situacion Financiera '!G6</f>
        <v>106338034.81734201</v>
      </c>
      <c r="I16" s="502">
        <f>+D16/D17</f>
        <v>-1.4354149301384611</v>
      </c>
      <c r="J16" s="503"/>
      <c r="K16" s="502">
        <f>+E16/E17</f>
        <v>1.9622407132466151</v>
      </c>
      <c r="L16" s="503"/>
      <c r="M16" s="502">
        <f>+F16/F17</f>
        <v>9.7829632915268157</v>
      </c>
      <c r="N16" s="503"/>
      <c r="O16" s="502">
        <f>+G16/G17</f>
        <v>9.795730656160119</v>
      </c>
      <c r="P16" s="503"/>
      <c r="Q16" s="502">
        <f>+H16/H17</f>
        <v>10.382481480775688</v>
      </c>
      <c r="R16" s="503"/>
      <c r="S16" s="475"/>
    </row>
    <row r="17" spans="2:19" x14ac:dyDescent="0.25">
      <c r="B17" s="476"/>
      <c r="C17" s="235" t="s">
        <v>462</v>
      </c>
      <c r="D17" s="236">
        <f>+D15</f>
        <v>5309832.8395294091</v>
      </c>
      <c r="E17" s="236">
        <f t="shared" ref="E17:H17" si="0">+E15</f>
        <v>29107060.897265293</v>
      </c>
      <c r="F17" s="236">
        <f t="shared" si="0"/>
        <v>6985629.139026992</v>
      </c>
      <c r="G17" s="236">
        <f t="shared" si="0"/>
        <v>8654883.6882417295</v>
      </c>
      <c r="H17" s="236">
        <f t="shared" si="0"/>
        <v>10242063.51961606</v>
      </c>
      <c r="I17" s="504"/>
      <c r="J17" s="505"/>
      <c r="K17" s="504"/>
      <c r="L17" s="505"/>
      <c r="M17" s="504"/>
      <c r="N17" s="505"/>
      <c r="O17" s="504"/>
      <c r="P17" s="505"/>
      <c r="Q17" s="504"/>
      <c r="R17" s="505"/>
      <c r="S17" s="476"/>
    </row>
    <row r="18" spans="2:19" x14ac:dyDescent="0.25">
      <c r="B18" s="475" t="s">
        <v>465</v>
      </c>
      <c r="C18" s="235" t="s">
        <v>461</v>
      </c>
      <c r="D18" s="236">
        <f>+'Estado de Situacion Financiera '!C8</f>
        <v>19514227.623529404</v>
      </c>
      <c r="E18" s="236">
        <f>+'Estado de Situacion Financiera '!D8</f>
        <v>74723787.723498881</v>
      </c>
      <c r="F18" s="236">
        <f>+'Estado de Situacion Financiera '!E8</f>
        <v>80372691.059459358</v>
      </c>
      <c r="G18" s="236">
        <f>+'Estado de Situacion Financiera '!F8</f>
        <v>98399911.525755405</v>
      </c>
      <c r="H18" s="236">
        <f>+'Estado de Situacion Financiera '!G8</f>
        <v>136170648.49880019</v>
      </c>
      <c r="I18" s="507">
        <f>+D18/D19</f>
        <v>0.56410543230884702</v>
      </c>
      <c r="J18" s="508"/>
      <c r="K18" s="507">
        <f>+E18/E19</f>
        <v>0.8589732190165138</v>
      </c>
      <c r="L18" s="508"/>
      <c r="M18" s="507">
        <f t="shared" ref="M18" si="1">+F18/F19</f>
        <v>0.89471902022519312</v>
      </c>
      <c r="N18" s="508"/>
      <c r="O18" s="507">
        <f t="shared" ref="O18" si="2">+G18/G19</f>
        <v>0.93672707543105438</v>
      </c>
      <c r="P18" s="508"/>
      <c r="Q18" s="507">
        <f t="shared" ref="Q18" si="3">+H18/H19</f>
        <v>0.97260269051083836</v>
      </c>
      <c r="R18" s="508"/>
      <c r="S18" s="511"/>
    </row>
    <row r="19" spans="2:19" x14ac:dyDescent="0.25">
      <c r="B19" s="476"/>
      <c r="C19" s="235" t="s">
        <v>466</v>
      </c>
      <c r="D19" s="236">
        <f>+'Estado de Situacion Financiera '!C40</f>
        <v>34593227.623529404</v>
      </c>
      <c r="E19" s="236">
        <f>+'Estado de Situacion Financiera '!D40</f>
        <v>86991987.723498881</v>
      </c>
      <c r="F19" s="236">
        <f>+'Estado de Situacion Financiera '!E40</f>
        <v>89830091.059459358</v>
      </c>
      <c r="G19" s="236">
        <f>+'Estado de Situacion Financiera '!F40</f>
        <v>105046511.52575541</v>
      </c>
      <c r="H19" s="236">
        <f>+'Estado de Situacion Financiera '!G40</f>
        <v>140006448.49880019</v>
      </c>
      <c r="I19" s="509"/>
      <c r="J19" s="510"/>
      <c r="K19" s="509"/>
      <c r="L19" s="510"/>
      <c r="M19" s="509"/>
      <c r="N19" s="510"/>
      <c r="O19" s="509"/>
      <c r="P19" s="510"/>
      <c r="Q19" s="509"/>
      <c r="R19" s="510"/>
      <c r="S19" s="476"/>
    </row>
    <row r="20" spans="2:19" x14ac:dyDescent="0.25">
      <c r="B20" s="506" t="s">
        <v>467</v>
      </c>
      <c r="C20" s="416" t="s">
        <v>468</v>
      </c>
      <c r="D20" s="236">
        <f>+'Estado resul corregido'!D11</f>
        <v>73242008.399999976</v>
      </c>
      <c r="E20" s="236">
        <f>+'Estado resul corregido'!E11</f>
        <v>83821947.298168957</v>
      </c>
      <c r="F20" s="236">
        <f>+'Estado resul corregido'!F11</f>
        <v>95768552.253781751</v>
      </c>
      <c r="G20" s="236">
        <f>+'Estado resul corregido'!G11</f>
        <v>109223605.85072267</v>
      </c>
      <c r="H20" s="236">
        <f>+'Estado resul corregido'!H11</f>
        <v>124345039.96883488</v>
      </c>
      <c r="I20" s="507">
        <f t="shared" ref="I20" si="4">+D20/D21</f>
        <v>2.1172354657702623</v>
      </c>
      <c r="J20" s="508"/>
      <c r="K20" s="507">
        <f t="shared" ref="K20" si="5">+E20/E21</f>
        <v>1.3788180916392592</v>
      </c>
      <c r="L20" s="508"/>
      <c r="M20" s="507">
        <f t="shared" ref="M20" si="6">+F20/F21</f>
        <v>1.0832193910731438</v>
      </c>
      <c r="N20" s="508"/>
      <c r="O20" s="507">
        <f t="shared" ref="O20" si="7">+G20/G21</f>
        <v>1.1209514575046213</v>
      </c>
      <c r="P20" s="508"/>
      <c r="Q20" s="507">
        <f t="shared" ref="Q20" si="8">+H20/H21</f>
        <v>1.0148421790650874</v>
      </c>
      <c r="R20" s="508"/>
      <c r="S20" s="511"/>
    </row>
    <row r="21" spans="2:19" x14ac:dyDescent="0.25">
      <c r="B21" s="479"/>
      <c r="C21" s="416" t="s">
        <v>469</v>
      </c>
      <c r="D21" s="236">
        <f>+'Estado de Situacion Financiera '!C40</f>
        <v>34593227.623529404</v>
      </c>
      <c r="E21" s="236">
        <f>+AVERAGE('Estado de Situacion Financiera '!C40:D40)</f>
        <v>60792607.673514143</v>
      </c>
      <c r="F21" s="236">
        <f>+AVERAGE('Estado de Situacion Financiera '!D40:E40)</f>
        <v>88411039.39147912</v>
      </c>
      <c r="G21" s="236">
        <f>+AVERAGE('Estado de Situacion Financiera '!E40:F40)</f>
        <v>97438301.292607382</v>
      </c>
      <c r="H21" s="236">
        <f>+AVERAGE('Estado de Situacion Financiera '!F40:G40)</f>
        <v>122526480.0122778</v>
      </c>
      <c r="I21" s="509"/>
      <c r="J21" s="510"/>
      <c r="K21" s="509"/>
      <c r="L21" s="510"/>
      <c r="M21" s="509"/>
      <c r="N21" s="510"/>
      <c r="O21" s="509"/>
      <c r="P21" s="510"/>
      <c r="Q21" s="509"/>
      <c r="R21" s="510"/>
      <c r="S21" s="476"/>
    </row>
    <row r="22" spans="2:19" x14ac:dyDescent="0.25">
      <c r="B22" s="475" t="s">
        <v>470</v>
      </c>
      <c r="C22" s="235" t="s">
        <v>471</v>
      </c>
      <c r="D22" s="236">
        <f>+'Estado resul corregido'!D16</f>
        <v>73242008.399999976</v>
      </c>
      <c r="E22" s="236">
        <f>+'Estado resul corregido'!E16</f>
        <v>77082460.381110609</v>
      </c>
      <c r="F22" s="236">
        <f>+'Estado resul corregido'!F16</f>
        <v>92406692.512902588</v>
      </c>
      <c r="G22" s="236">
        <f>+'Estado resul corregido'!G16</f>
        <v>106723605.85072267</v>
      </c>
      <c r="H22" s="236">
        <f>+'Estado resul corregido'!H16</f>
        <v>121845039.96883488</v>
      </c>
      <c r="I22" s="507">
        <f t="shared" ref="I22" si="9">+D22/D23</f>
        <v>2.1172354657702623</v>
      </c>
      <c r="J22" s="508"/>
      <c r="K22" s="507">
        <f t="shared" ref="K22" si="10">+E22/E23</f>
        <v>1.2679577884712709</v>
      </c>
      <c r="L22" s="508"/>
      <c r="M22" s="507">
        <f t="shared" ref="M22" si="11">+F22/F23</f>
        <v>1.045194052110743</v>
      </c>
      <c r="N22" s="508"/>
      <c r="O22" s="507">
        <f t="shared" ref="O22" si="12">+G22/G23</f>
        <v>1.0952941957622138</v>
      </c>
      <c r="P22" s="508"/>
      <c r="Q22" s="507">
        <f t="shared" ref="Q22" si="13">+H22/H23</f>
        <v>0.9944384263436391</v>
      </c>
      <c r="R22" s="508"/>
      <c r="S22" s="511"/>
    </row>
    <row r="23" spans="2:19" x14ac:dyDescent="0.25">
      <c r="B23" s="476"/>
      <c r="C23" s="235" t="s">
        <v>472</v>
      </c>
      <c r="D23" s="236">
        <f>+D21</f>
        <v>34593227.623529404</v>
      </c>
      <c r="E23" s="236">
        <f t="shared" ref="E23:H23" si="14">+E21</f>
        <v>60792607.673514143</v>
      </c>
      <c r="F23" s="236">
        <f t="shared" si="14"/>
        <v>88411039.39147912</v>
      </c>
      <c r="G23" s="236">
        <f t="shared" si="14"/>
        <v>97438301.292607382</v>
      </c>
      <c r="H23" s="236">
        <f t="shared" si="14"/>
        <v>122526480.0122778</v>
      </c>
      <c r="I23" s="509"/>
      <c r="J23" s="510"/>
      <c r="K23" s="509"/>
      <c r="L23" s="510"/>
      <c r="M23" s="509"/>
      <c r="N23" s="510"/>
      <c r="O23" s="509"/>
      <c r="P23" s="510"/>
      <c r="Q23" s="509"/>
      <c r="R23" s="510"/>
      <c r="S23" s="476"/>
    </row>
    <row r="24" spans="2:19" x14ac:dyDescent="0.25">
      <c r="B24" s="512" t="s">
        <v>473</v>
      </c>
      <c r="C24" s="235" t="s">
        <v>474</v>
      </c>
      <c r="D24" s="236">
        <f>+'Estado de Resultados '!D17</f>
        <v>11283394.783999994</v>
      </c>
      <c r="E24" s="236">
        <f>+'Estado de Resultados '!E17</f>
        <v>9884926.8262336031</v>
      </c>
      <c r="F24" s="236">
        <f>+'Estado de Resultados '!F17</f>
        <v>14844461.920432359</v>
      </c>
      <c r="G24" s="236">
        <f>+'Estado de Resultados '!G17</f>
        <v>18391627.837513678</v>
      </c>
      <c r="H24" s="236">
        <f>+'Estado de Resultados '!H17</f>
        <v>21764384.979184125</v>
      </c>
      <c r="I24" s="507">
        <f t="shared" ref="I24" si="15">+D24/D25</f>
        <v>0.32617351889782398</v>
      </c>
      <c r="J24" s="508"/>
      <c r="K24" s="507">
        <f t="shared" ref="K24" si="16">+E24/E25</f>
        <v>0.16260080303382388</v>
      </c>
      <c r="L24" s="508"/>
      <c r="M24" s="507">
        <f t="shared" ref="M24" si="17">+F24/F25</f>
        <v>0.16790280967857321</v>
      </c>
      <c r="N24" s="508"/>
      <c r="O24" s="507">
        <f t="shared" ref="O24" si="18">+G24/G25</f>
        <v>0.1887515237184153</v>
      </c>
      <c r="P24" s="508"/>
      <c r="Q24" s="507">
        <f t="shared" ref="Q24" si="19">+H24/H25</f>
        <v>0.17763005169987106</v>
      </c>
      <c r="R24" s="508"/>
      <c r="S24" s="513"/>
    </row>
    <row r="25" spans="2:19" x14ac:dyDescent="0.25">
      <c r="B25" s="476"/>
      <c r="C25" s="235" t="s">
        <v>472</v>
      </c>
      <c r="D25" s="236">
        <f>+D23</f>
        <v>34593227.623529404</v>
      </c>
      <c r="E25" s="236">
        <f t="shared" ref="E25:H25" si="20">+E23</f>
        <v>60792607.673514143</v>
      </c>
      <c r="F25" s="236">
        <f t="shared" si="20"/>
        <v>88411039.39147912</v>
      </c>
      <c r="G25" s="236">
        <f t="shared" si="20"/>
        <v>97438301.292607382</v>
      </c>
      <c r="H25" s="236">
        <f t="shared" si="20"/>
        <v>122526480.0122778</v>
      </c>
      <c r="I25" s="509"/>
      <c r="J25" s="510"/>
      <c r="K25" s="509"/>
      <c r="L25" s="510"/>
      <c r="M25" s="509"/>
      <c r="N25" s="510"/>
      <c r="O25" s="509"/>
      <c r="P25" s="510"/>
      <c r="Q25" s="509"/>
      <c r="R25" s="510"/>
      <c r="S25" s="476"/>
    </row>
    <row r="26" spans="2:19" x14ac:dyDescent="0.25">
      <c r="B26" s="514" t="s">
        <v>475</v>
      </c>
      <c r="C26" s="417" t="s">
        <v>471</v>
      </c>
      <c r="D26" s="236">
        <f>+D22</f>
        <v>73242008.399999976</v>
      </c>
      <c r="E26" s="236">
        <f t="shared" ref="E26:H26" si="21">+E22</f>
        <v>77082460.381110609</v>
      </c>
      <c r="F26" s="236">
        <f t="shared" si="21"/>
        <v>92406692.512902588</v>
      </c>
      <c r="G26" s="236">
        <f t="shared" si="21"/>
        <v>106723605.85072267</v>
      </c>
      <c r="H26" s="236">
        <f t="shared" si="21"/>
        <v>121845039.96883488</v>
      </c>
      <c r="I26" s="507">
        <f t="shared" ref="I26" si="22">+D26/D27</f>
        <v>3.798190579014181</v>
      </c>
      <c r="J26" s="508"/>
      <c r="K26" s="507">
        <f t="shared" ref="K26" si="23">+E26/E27</f>
        <v>2.2952028138623763</v>
      </c>
      <c r="L26" s="508"/>
      <c r="M26" s="507">
        <f t="shared" ref="M26" si="24">+F26/F27</f>
        <v>1.5308069306439602</v>
      </c>
      <c r="N26" s="508"/>
      <c r="O26" s="507">
        <f t="shared" ref="O26" si="25">+G26/G27</f>
        <v>1.340444945777715</v>
      </c>
      <c r="P26" s="508"/>
      <c r="Q26" s="507">
        <f t="shared" ref="Q26" si="26">+H26/H27</f>
        <v>1.1820663225299428</v>
      </c>
      <c r="R26" s="508"/>
      <c r="S26" s="511"/>
    </row>
    <row r="27" spans="2:19" x14ac:dyDescent="0.25">
      <c r="B27" s="479"/>
      <c r="C27" s="417" t="s">
        <v>476</v>
      </c>
      <c r="D27" s="236">
        <f>+'Estado de Situacion Financiera '!C55</f>
        <v>19283394.783999994</v>
      </c>
      <c r="E27" s="236">
        <f>+AVERAGE('Estado de Situacion Financiera '!C55:D55)</f>
        <v>33584160.805116802</v>
      </c>
      <c r="F27" s="236">
        <f>+AVERAGE('Estado de Situacion Financiera '!D55:E55)</f>
        <v>60364694.373332977</v>
      </c>
      <c r="G27" s="236">
        <f>+AVERAGE('Estado de Situacion Financiera '!E55:F55)</f>
        <v>79618044.878973022</v>
      </c>
      <c r="H27" s="236">
        <f>+AVERAGE('Estado de Situacion Financiera '!F55:G55)</f>
        <v>103078006.4083489</v>
      </c>
      <c r="I27" s="509"/>
      <c r="J27" s="510"/>
      <c r="K27" s="509"/>
      <c r="L27" s="510"/>
      <c r="M27" s="509"/>
      <c r="N27" s="510"/>
      <c r="O27" s="509"/>
      <c r="P27" s="510"/>
      <c r="Q27" s="509"/>
      <c r="R27" s="510"/>
      <c r="S27" s="476"/>
    </row>
    <row r="28" spans="2:19" x14ac:dyDescent="0.25">
      <c r="B28" s="512" t="s">
        <v>477</v>
      </c>
      <c r="C28" s="235" t="s">
        <v>474</v>
      </c>
      <c r="D28" s="236">
        <f>+D24</f>
        <v>11283394.783999994</v>
      </c>
      <c r="E28" s="236">
        <f t="shared" ref="E28:H28" si="27">+E24</f>
        <v>9884926.8262336031</v>
      </c>
      <c r="F28" s="236">
        <f t="shared" si="27"/>
        <v>14844461.920432359</v>
      </c>
      <c r="G28" s="236">
        <f t="shared" si="27"/>
        <v>18391627.837513678</v>
      </c>
      <c r="H28" s="236">
        <f t="shared" si="27"/>
        <v>21764384.979184125</v>
      </c>
      <c r="I28" s="507">
        <f t="shared" ref="I28" si="28">+D28/D29</f>
        <v>0.58513528921588864</v>
      </c>
      <c r="J28" s="508"/>
      <c r="K28" s="507">
        <f t="shared" ref="K28" si="29">+E28/E29</f>
        <v>0.2943330007140616</v>
      </c>
      <c r="L28" s="508"/>
      <c r="M28" s="507">
        <f t="shared" ref="M28" si="30">+F28/F29</f>
        <v>0.24591298066755601</v>
      </c>
      <c r="N28" s="508"/>
      <c r="O28" s="507">
        <f t="shared" ref="O28" si="31">+G28/G29</f>
        <v>0.23099823495378083</v>
      </c>
      <c r="P28" s="508"/>
      <c r="Q28" s="507">
        <f t="shared" ref="Q28" si="32">+H28/H29</f>
        <v>0.21114479933734243</v>
      </c>
      <c r="R28" s="508"/>
      <c r="S28" s="513"/>
    </row>
    <row r="29" spans="2:19" x14ac:dyDescent="0.25">
      <c r="B29" s="476"/>
      <c r="C29" s="235" t="s">
        <v>478</v>
      </c>
      <c r="D29" s="236">
        <f>+D27</f>
        <v>19283394.783999994</v>
      </c>
      <c r="E29" s="236">
        <f t="shared" ref="E29:H29" si="33">+E27</f>
        <v>33584160.805116802</v>
      </c>
      <c r="F29" s="236">
        <f t="shared" si="33"/>
        <v>60364694.373332977</v>
      </c>
      <c r="G29" s="236">
        <f t="shared" si="33"/>
        <v>79618044.878973022</v>
      </c>
      <c r="H29" s="236">
        <f t="shared" si="33"/>
        <v>103078006.4083489</v>
      </c>
      <c r="I29" s="509"/>
      <c r="J29" s="510"/>
      <c r="K29" s="509"/>
      <c r="L29" s="510"/>
      <c r="M29" s="509"/>
      <c r="N29" s="510"/>
      <c r="O29" s="509"/>
      <c r="P29" s="510"/>
      <c r="Q29" s="509"/>
      <c r="R29" s="510"/>
      <c r="S29" s="476"/>
    </row>
    <row r="30" spans="2:19" x14ac:dyDescent="0.25">
      <c r="B30" s="512" t="s">
        <v>479</v>
      </c>
      <c r="C30" s="235" t="s">
        <v>480</v>
      </c>
      <c r="D30" s="236">
        <f>+'Estado de Situacion Financiera '!C49</f>
        <v>15309832.83952941</v>
      </c>
      <c r="E30" s="236">
        <f>+'Estado de Situacion Financiera '!D49</f>
        <v>39107060.897265293</v>
      </c>
      <c r="F30" s="236">
        <f>+'Estado de Situacion Financiera '!E49</f>
        <v>16985629.139026992</v>
      </c>
      <c r="G30" s="236">
        <f>+'Estado de Situacion Financiera '!F49</f>
        <v>18654883.688241728</v>
      </c>
      <c r="H30" s="236">
        <f>+'Estado de Situacion Financiera '!G49</f>
        <v>20242063.51961606</v>
      </c>
      <c r="I30" s="507">
        <f t="shared" ref="I30" si="34">+D30/D31</f>
        <v>0.44256734312689761</v>
      </c>
      <c r="J30" s="508"/>
      <c r="K30" s="507">
        <f t="shared" ref="K30" si="35">+E30/E31</f>
        <v>0.44954784826351796</v>
      </c>
      <c r="L30" s="508"/>
      <c r="M30" s="507">
        <f t="shared" ref="M30" si="36">+F30/F31</f>
        <v>0.18908618413604911</v>
      </c>
      <c r="N30" s="508"/>
      <c r="O30" s="507">
        <f t="shared" ref="O30" si="37">+G30/G31</f>
        <v>0.17758689381767717</v>
      </c>
      <c r="P30" s="508"/>
      <c r="Q30" s="507">
        <f t="shared" ref="Q30" si="38">+H30/H31</f>
        <v>0.14457950856306115</v>
      </c>
      <c r="R30" s="508"/>
      <c r="S30" s="511"/>
    </row>
    <row r="31" spans="2:19" x14ac:dyDescent="0.25">
      <c r="B31" s="476"/>
      <c r="C31" s="235" t="s">
        <v>481</v>
      </c>
      <c r="D31" s="236">
        <f>+'Estado de Situacion Financiera '!C40</f>
        <v>34593227.623529404</v>
      </c>
      <c r="E31" s="236">
        <f>+'Estado de Situacion Financiera '!D40</f>
        <v>86991987.723498881</v>
      </c>
      <c r="F31" s="236">
        <f>+'Estado de Situacion Financiera '!E40</f>
        <v>89830091.059459358</v>
      </c>
      <c r="G31" s="236">
        <f>+'Estado de Situacion Financiera '!F40</f>
        <v>105046511.52575541</v>
      </c>
      <c r="H31" s="236">
        <f>+'Estado de Situacion Financiera '!G40</f>
        <v>140006448.49880019</v>
      </c>
      <c r="I31" s="509"/>
      <c r="J31" s="510"/>
      <c r="K31" s="509"/>
      <c r="L31" s="510"/>
      <c r="M31" s="509"/>
      <c r="N31" s="510"/>
      <c r="O31" s="509"/>
      <c r="P31" s="510"/>
      <c r="Q31" s="509"/>
      <c r="R31" s="510"/>
      <c r="S31" s="476"/>
    </row>
    <row r="32" spans="2:19" x14ac:dyDescent="0.25">
      <c r="B32" s="515" t="s">
        <v>482</v>
      </c>
      <c r="C32" s="418" t="s">
        <v>483</v>
      </c>
      <c r="D32" s="236"/>
      <c r="E32" s="236"/>
      <c r="F32" s="236"/>
      <c r="G32" s="236"/>
      <c r="H32" s="236"/>
      <c r="I32" s="516"/>
      <c r="J32" s="517"/>
      <c r="K32" s="516"/>
      <c r="L32" s="517"/>
      <c r="M32" s="516"/>
      <c r="N32" s="517"/>
      <c r="O32" s="516"/>
      <c r="P32" s="517"/>
      <c r="Q32" s="516"/>
      <c r="R32" s="517"/>
      <c r="S32" s="511"/>
    </row>
    <row r="33" spans="2:19" x14ac:dyDescent="0.25">
      <c r="B33" s="479"/>
      <c r="C33" s="418" t="s">
        <v>484</v>
      </c>
      <c r="D33" s="236"/>
      <c r="E33" s="236"/>
      <c r="F33" s="236"/>
      <c r="G33" s="236"/>
      <c r="H33" s="236"/>
      <c r="I33" s="518"/>
      <c r="J33" s="519"/>
      <c r="K33" s="518"/>
      <c r="L33" s="519"/>
      <c r="M33" s="518"/>
      <c r="N33" s="519"/>
      <c r="O33" s="518"/>
      <c r="P33" s="519"/>
      <c r="Q33" s="518"/>
      <c r="R33" s="519"/>
      <c r="S33" s="476"/>
    </row>
  </sheetData>
  <mergeCells count="143">
    <mergeCell ref="Q4:Q5"/>
    <mergeCell ref="R4:R5"/>
    <mergeCell ref="Q6:Q7"/>
    <mergeCell ref="R6:R7"/>
    <mergeCell ref="P12:P13"/>
    <mergeCell ref="M8:M9"/>
    <mergeCell ref="N8:N9"/>
    <mergeCell ref="O8:O9"/>
    <mergeCell ref="P8:P9"/>
    <mergeCell ref="M4:M5"/>
    <mergeCell ref="N4:N5"/>
    <mergeCell ref="O4:O5"/>
    <mergeCell ref="P4:P5"/>
    <mergeCell ref="B32:B33"/>
    <mergeCell ref="I32:J33"/>
    <mergeCell ref="K32:L33"/>
    <mergeCell ref="M32:N33"/>
    <mergeCell ref="O32:P33"/>
    <mergeCell ref="S32:S33"/>
    <mergeCell ref="Q32:R33"/>
    <mergeCell ref="B30:B31"/>
    <mergeCell ref="I30:J31"/>
    <mergeCell ref="K30:L31"/>
    <mergeCell ref="M30:N31"/>
    <mergeCell ref="O30:P31"/>
    <mergeCell ref="S30:S31"/>
    <mergeCell ref="Q30:R31"/>
    <mergeCell ref="B28:B29"/>
    <mergeCell ref="I28:J29"/>
    <mergeCell ref="K28:L29"/>
    <mergeCell ref="M28:N29"/>
    <mergeCell ref="O28:P29"/>
    <mergeCell ref="S28:S29"/>
    <mergeCell ref="Q28:R29"/>
    <mergeCell ref="B26:B27"/>
    <mergeCell ref="I26:J27"/>
    <mergeCell ref="K26:L27"/>
    <mergeCell ref="M26:N27"/>
    <mergeCell ref="O26:P27"/>
    <mergeCell ref="S26:S27"/>
    <mergeCell ref="Q26:R27"/>
    <mergeCell ref="B24:B25"/>
    <mergeCell ref="I24:J25"/>
    <mergeCell ref="K24:L25"/>
    <mergeCell ref="M24:N25"/>
    <mergeCell ref="O24:P25"/>
    <mergeCell ref="S24:S25"/>
    <mergeCell ref="Q24:R25"/>
    <mergeCell ref="B22:B23"/>
    <mergeCell ref="I22:J23"/>
    <mergeCell ref="K22:L23"/>
    <mergeCell ref="M22:N23"/>
    <mergeCell ref="O22:P23"/>
    <mergeCell ref="S22:S23"/>
    <mergeCell ref="Q22:R23"/>
    <mergeCell ref="B16:B17"/>
    <mergeCell ref="I16:J17"/>
    <mergeCell ref="K16:L17"/>
    <mergeCell ref="M16:N17"/>
    <mergeCell ref="O16:P17"/>
    <mergeCell ref="S16:S17"/>
    <mergeCell ref="Q14:R15"/>
    <mergeCell ref="Q16:R17"/>
    <mergeCell ref="B20:B21"/>
    <mergeCell ref="I20:J21"/>
    <mergeCell ref="K20:L21"/>
    <mergeCell ref="M20:N21"/>
    <mergeCell ref="O20:P21"/>
    <mergeCell ref="S20:S21"/>
    <mergeCell ref="Q20:R21"/>
    <mergeCell ref="B18:B19"/>
    <mergeCell ref="I18:J19"/>
    <mergeCell ref="K18:L19"/>
    <mergeCell ref="M18:N19"/>
    <mergeCell ref="O18:P19"/>
    <mergeCell ref="S18:S19"/>
    <mergeCell ref="Q18:R19"/>
    <mergeCell ref="S12:S13"/>
    <mergeCell ref="B14:B15"/>
    <mergeCell ref="I14:J15"/>
    <mergeCell ref="K14:L15"/>
    <mergeCell ref="M14:N15"/>
    <mergeCell ref="O14:P15"/>
    <mergeCell ref="M10:M11"/>
    <mergeCell ref="N10:N11"/>
    <mergeCell ref="O10:O11"/>
    <mergeCell ref="P10:P11"/>
    <mergeCell ref="S10:S11"/>
    <mergeCell ref="B12:B13"/>
    <mergeCell ref="I12:I13"/>
    <mergeCell ref="J12:J13"/>
    <mergeCell ref="K12:K13"/>
    <mergeCell ref="L12:L13"/>
    <mergeCell ref="S14:S15"/>
    <mergeCell ref="Q10:Q11"/>
    <mergeCell ref="R10:R11"/>
    <mergeCell ref="Q12:Q13"/>
    <mergeCell ref="R12:R13"/>
    <mergeCell ref="M12:M13"/>
    <mergeCell ref="N12:N13"/>
    <mergeCell ref="O12:O13"/>
    <mergeCell ref="S8:S9"/>
    <mergeCell ref="B10:B11"/>
    <mergeCell ref="I10:I11"/>
    <mergeCell ref="J10:J11"/>
    <mergeCell ref="K10:K11"/>
    <mergeCell ref="L10:L11"/>
    <mergeCell ref="M6:M7"/>
    <mergeCell ref="N6:N7"/>
    <mergeCell ref="O6:O7"/>
    <mergeCell ref="P6:P7"/>
    <mergeCell ref="S6:S7"/>
    <mergeCell ref="B8:B9"/>
    <mergeCell ref="I8:I9"/>
    <mergeCell ref="J8:J9"/>
    <mergeCell ref="K8:K9"/>
    <mergeCell ref="L8:L9"/>
    <mergeCell ref="Q8:Q9"/>
    <mergeCell ref="R8:R9"/>
    <mergeCell ref="S4:S5"/>
    <mergeCell ref="B6:B7"/>
    <mergeCell ref="I6:I7"/>
    <mergeCell ref="J6:J7"/>
    <mergeCell ref="K6:K7"/>
    <mergeCell ref="L6:L7"/>
    <mergeCell ref="S2:S3"/>
    <mergeCell ref="B4:B5"/>
    <mergeCell ref="I4:I5"/>
    <mergeCell ref="J4:J5"/>
    <mergeCell ref="K4:K5"/>
    <mergeCell ref="L4:L5"/>
    <mergeCell ref="B2:B3"/>
    <mergeCell ref="C2:C3"/>
    <mergeCell ref="D2:D3"/>
    <mergeCell ref="E2:E3"/>
    <mergeCell ref="F2:F3"/>
    <mergeCell ref="G2:G3"/>
    <mergeCell ref="H2:H3"/>
    <mergeCell ref="I2:J3"/>
    <mergeCell ref="K2:L3"/>
    <mergeCell ref="M2:N3"/>
    <mergeCell ref="O2:P3"/>
    <mergeCell ref="Q2:R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D818-5965-4FDD-BF1C-18898BD5FDBD}">
  <dimension ref="A3:L36"/>
  <sheetViews>
    <sheetView tabSelected="1" topLeftCell="A22" workbookViewId="0">
      <selection activeCell="L11" sqref="L5:L11"/>
    </sheetView>
  </sheetViews>
  <sheetFormatPr baseColWidth="10" defaultRowHeight="15" x14ac:dyDescent="0.25"/>
  <cols>
    <col min="1" max="1" width="31.85546875" customWidth="1"/>
    <col min="2" max="2" width="11.28515625" customWidth="1"/>
    <col min="3" max="3" width="15.42578125" bestFit="1" customWidth="1"/>
    <col min="5" max="5" width="14.42578125" bestFit="1" customWidth="1"/>
    <col min="6" max="6" width="26.140625" customWidth="1"/>
    <col min="7" max="7" width="19.140625" customWidth="1"/>
    <col min="9" max="9" width="27.42578125" bestFit="1" customWidth="1"/>
    <col min="10" max="10" width="23.85546875" customWidth="1"/>
    <col min="11" max="11" width="15.7109375" customWidth="1"/>
  </cols>
  <sheetData>
    <row r="3" spans="1:12" x14ac:dyDescent="0.25">
      <c r="A3" s="520" t="s">
        <v>535</v>
      </c>
      <c r="B3" s="520"/>
      <c r="C3" s="359" t="s">
        <v>533</v>
      </c>
      <c r="D3" s="359" t="s">
        <v>534</v>
      </c>
      <c r="F3" s="381" t="s">
        <v>536</v>
      </c>
      <c r="G3" s="381" t="s">
        <v>537</v>
      </c>
    </row>
    <row r="4" spans="1:12" x14ac:dyDescent="0.25">
      <c r="A4" s="360" t="s">
        <v>538</v>
      </c>
      <c r="B4" s="360"/>
      <c r="C4" s="361">
        <f>+'Costos '!F22</f>
        <v>60000000</v>
      </c>
      <c r="D4" s="362">
        <f>+'Costos '!C43</f>
        <v>0.11</v>
      </c>
      <c r="E4" t="s">
        <v>539</v>
      </c>
      <c r="F4" s="382">
        <v>0.11</v>
      </c>
      <c r="G4" s="157">
        <f>+F4*C4</f>
        <v>6600000</v>
      </c>
      <c r="J4" t="s">
        <v>535</v>
      </c>
      <c r="K4" t="s">
        <v>533</v>
      </c>
      <c r="L4" t="s">
        <v>534</v>
      </c>
    </row>
    <row r="5" spans="1:12" x14ac:dyDescent="0.25">
      <c r="A5" s="363" t="s">
        <v>541</v>
      </c>
      <c r="B5" s="363"/>
      <c r="C5" s="364">
        <f>+'Costos '!F54</f>
        <v>10000000</v>
      </c>
      <c r="D5" s="365">
        <f>+'Costos '!C51</f>
        <v>0.25</v>
      </c>
      <c r="E5" t="s">
        <v>540</v>
      </c>
      <c r="F5" s="382">
        <v>0.25</v>
      </c>
      <c r="G5" s="157">
        <f>+F5*C5</f>
        <v>2500000</v>
      </c>
      <c r="J5" t="s">
        <v>538</v>
      </c>
      <c r="K5" s="4">
        <v>60000000</v>
      </c>
      <c r="L5" s="388">
        <v>0.11</v>
      </c>
    </row>
    <row r="6" spans="1:12" x14ac:dyDescent="0.25">
      <c r="A6" s="360"/>
      <c r="B6" s="360"/>
      <c r="C6" s="360"/>
      <c r="D6" s="366"/>
      <c r="F6" s="383"/>
      <c r="G6" s="384"/>
      <c r="J6" t="s">
        <v>541</v>
      </c>
      <c r="K6" s="4">
        <v>10000000</v>
      </c>
      <c r="L6" s="388">
        <v>0.25</v>
      </c>
    </row>
    <row r="7" spans="1:12" x14ac:dyDescent="0.25">
      <c r="A7" s="360"/>
      <c r="B7" s="360"/>
      <c r="C7" s="360"/>
      <c r="D7" s="366"/>
      <c r="F7" s="383"/>
      <c r="G7" s="384"/>
      <c r="K7" s="4"/>
      <c r="L7" s="388"/>
    </row>
    <row r="8" spans="1:12" x14ac:dyDescent="0.25">
      <c r="A8" s="359" t="s">
        <v>542</v>
      </c>
      <c r="B8" s="359"/>
      <c r="C8" s="359">
        <f>+C7+C6+C5+C4</f>
        <v>70000000</v>
      </c>
      <c r="D8" s="363"/>
      <c r="F8" s="381" t="s">
        <v>543</v>
      </c>
      <c r="G8" s="381">
        <f>+G7+G6+G5+G4</f>
        <v>9100000</v>
      </c>
      <c r="K8" s="4"/>
      <c r="L8" s="388"/>
    </row>
    <row r="9" spans="1:12" x14ac:dyDescent="0.25">
      <c r="A9" s="367"/>
      <c r="B9" s="367"/>
      <c r="C9" s="367"/>
      <c r="D9" s="360"/>
      <c r="F9" s="381" t="s">
        <v>544</v>
      </c>
      <c r="G9" s="385">
        <f>+G8/C8</f>
        <v>0.13</v>
      </c>
      <c r="J9" t="s">
        <v>542</v>
      </c>
      <c r="K9" s="4">
        <v>70000000</v>
      </c>
      <c r="L9" s="388"/>
    </row>
    <row r="10" spans="1:12" x14ac:dyDescent="0.25">
      <c r="A10" s="359" t="s">
        <v>545</v>
      </c>
      <c r="B10" s="359"/>
      <c r="C10" s="368">
        <f>+C8/C24</f>
        <v>0.78382255826430958</v>
      </c>
      <c r="D10" s="369">
        <f>+C10</f>
        <v>0.78382255826430958</v>
      </c>
      <c r="F10" s="381" t="s">
        <v>546</v>
      </c>
      <c r="G10" s="385">
        <f>+G9*(1-32%)</f>
        <v>8.8399999999999992E-2</v>
      </c>
      <c r="L10" s="388"/>
    </row>
    <row r="11" spans="1:12" x14ac:dyDescent="0.25">
      <c r="J11" t="s">
        <v>545</v>
      </c>
      <c r="K11">
        <v>0.78382255826430958</v>
      </c>
      <c r="L11" s="388">
        <v>0.78382255826430958</v>
      </c>
    </row>
    <row r="14" spans="1:12" x14ac:dyDescent="0.25">
      <c r="A14" s="370" t="s">
        <v>564</v>
      </c>
      <c r="B14" s="370" t="s">
        <v>565</v>
      </c>
      <c r="C14" s="371" t="s">
        <v>566</v>
      </c>
      <c r="I14" s="379" t="s">
        <v>547</v>
      </c>
      <c r="J14" s="3" t="s">
        <v>533</v>
      </c>
    </row>
    <row r="15" spans="1:12" x14ac:dyDescent="0.25">
      <c r="A15" s="372" t="s">
        <v>547</v>
      </c>
      <c r="B15" s="372"/>
      <c r="C15" s="373" t="s">
        <v>533</v>
      </c>
      <c r="I15" s="379" t="s">
        <v>557</v>
      </c>
      <c r="J15" s="380">
        <v>8000000</v>
      </c>
    </row>
    <row r="16" spans="1:12" x14ac:dyDescent="0.25">
      <c r="A16" s="9" t="s">
        <v>557</v>
      </c>
      <c r="B16" s="9"/>
      <c r="C16" s="10">
        <f>+'Estado de Situacion Financiera '!C51</f>
        <v>8000000</v>
      </c>
      <c r="I16" s="379" t="s">
        <v>558</v>
      </c>
      <c r="J16" s="380">
        <v>22532</v>
      </c>
    </row>
    <row r="17" spans="1:10" x14ac:dyDescent="0.25">
      <c r="A17" s="9" t="s">
        <v>558</v>
      </c>
      <c r="B17" s="9"/>
      <c r="C17" s="10">
        <v>22532</v>
      </c>
      <c r="I17" s="379" t="s">
        <v>559</v>
      </c>
      <c r="J17" s="380">
        <v>11283394.783999994</v>
      </c>
    </row>
    <row r="18" spans="1:10" x14ac:dyDescent="0.25">
      <c r="A18" s="9" t="s">
        <v>559</v>
      </c>
      <c r="B18" s="9"/>
      <c r="C18" s="10">
        <f>+'Estado de Situacion Financiera '!C53</f>
        <v>11283394.783999994</v>
      </c>
      <c r="I18" s="379"/>
      <c r="J18" s="380"/>
    </row>
    <row r="19" spans="1:10" x14ac:dyDescent="0.25">
      <c r="A19" s="9"/>
      <c r="B19" s="9"/>
      <c r="C19" s="9"/>
      <c r="I19" s="379" t="s">
        <v>548</v>
      </c>
      <c r="J19" s="380">
        <v>19305926.783999994</v>
      </c>
    </row>
    <row r="20" spans="1:10" x14ac:dyDescent="0.25">
      <c r="A20" s="373" t="s">
        <v>548</v>
      </c>
      <c r="B20" s="373"/>
      <c r="C20" s="374">
        <f>+C18+C17+C16+C19</f>
        <v>19305926.783999994</v>
      </c>
      <c r="D20" s="329">
        <f>+C21</f>
        <v>0.21617744173569042</v>
      </c>
      <c r="I20" s="379" t="s">
        <v>549</v>
      </c>
      <c r="J20" s="380">
        <v>0.21617744173569042</v>
      </c>
    </row>
    <row r="21" spans="1:10" x14ac:dyDescent="0.25">
      <c r="A21" s="373" t="s">
        <v>549</v>
      </c>
      <c r="B21" s="373"/>
      <c r="C21" s="375">
        <f>+C20/C24</f>
        <v>0.21617744173569042</v>
      </c>
      <c r="I21" s="379"/>
      <c r="J21" s="380"/>
    </row>
    <row r="22" spans="1:10" x14ac:dyDescent="0.25">
      <c r="A22" s="155"/>
      <c r="B22" s="155"/>
      <c r="C22" s="155"/>
      <c r="E22" s="324"/>
      <c r="F22" s="324"/>
      <c r="G22" s="324"/>
      <c r="I22" s="379" t="s">
        <v>550</v>
      </c>
      <c r="J22" s="386">
        <v>3.6258295591389738</v>
      </c>
    </row>
    <row r="23" spans="1:10" x14ac:dyDescent="0.25">
      <c r="A23" s="373" t="s">
        <v>550</v>
      </c>
      <c r="B23" s="373"/>
      <c r="C23" s="376">
        <f>+C10/C21</f>
        <v>3.6258295591389738</v>
      </c>
      <c r="I23" s="379" t="s">
        <v>551</v>
      </c>
      <c r="J23" s="380">
        <v>89305926.783999994</v>
      </c>
    </row>
    <row r="24" spans="1:10" x14ac:dyDescent="0.25">
      <c r="A24" s="377" t="s">
        <v>551</v>
      </c>
      <c r="B24" s="377"/>
      <c r="C24" s="378">
        <f>+C20+C8</f>
        <v>89305926.783999994</v>
      </c>
    </row>
    <row r="25" spans="1:10" x14ac:dyDescent="0.25">
      <c r="A25" s="325"/>
      <c r="B25" s="326"/>
      <c r="C25" s="326"/>
    </row>
    <row r="28" spans="1:10" x14ac:dyDescent="0.25">
      <c r="A28" s="381" t="s">
        <v>552</v>
      </c>
      <c r="B28" s="157" t="s">
        <v>564</v>
      </c>
      <c r="C28" s="381"/>
    </row>
    <row r="29" spans="1:10" x14ac:dyDescent="0.25">
      <c r="A29" s="178" t="s">
        <v>553</v>
      </c>
      <c r="B29" s="383">
        <v>0.152</v>
      </c>
    </row>
    <row r="30" spans="1:10" x14ac:dyDescent="0.25">
      <c r="A30" s="157"/>
      <c r="B30" s="157"/>
    </row>
    <row r="31" spans="1:10" x14ac:dyDescent="0.25">
      <c r="A31" s="178" t="s">
        <v>554</v>
      </c>
      <c r="B31" s="387">
        <f>+D10*G10+D20*B29</f>
        <v>0.1021488852943899</v>
      </c>
    </row>
    <row r="32" spans="1:10" x14ac:dyDescent="0.25">
      <c r="A32" s="21"/>
      <c r="B32" s="327"/>
    </row>
    <row r="34" spans="1:5" x14ac:dyDescent="0.25">
      <c r="A34" s="22" t="s">
        <v>467</v>
      </c>
      <c r="B34" s="22" t="s">
        <v>555</v>
      </c>
      <c r="C34" s="22"/>
      <c r="D34" s="22"/>
      <c r="E34" s="323">
        <f>+B31</f>
        <v>0.1021488852943899</v>
      </c>
    </row>
    <row r="35" spans="1:5" x14ac:dyDescent="0.25">
      <c r="B35" s="521"/>
      <c r="C35" s="522"/>
      <c r="D35" s="522"/>
      <c r="E35" s="523"/>
    </row>
    <row r="36" spans="1:5" x14ac:dyDescent="0.25">
      <c r="B36" s="524" t="s">
        <v>556</v>
      </c>
      <c r="C36" s="525"/>
      <c r="D36" s="526"/>
      <c r="E36" s="7">
        <f>+E34*C24</f>
        <v>9122500.8711679969</v>
      </c>
    </row>
  </sheetData>
  <mergeCells count="3">
    <mergeCell ref="A3:B3"/>
    <mergeCell ref="B35:E35"/>
    <mergeCell ref="B36:D36"/>
  </mergeCell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6CD4-F993-4696-B2FD-82366187084C}">
  <dimension ref="A1:F55"/>
  <sheetViews>
    <sheetView workbookViewId="0">
      <selection activeCell="C21" sqref="C21"/>
    </sheetView>
  </sheetViews>
  <sheetFormatPr baseColWidth="10" defaultRowHeight="15" x14ac:dyDescent="0.25"/>
  <cols>
    <col min="1" max="1" width="10.42578125" customWidth="1"/>
    <col min="2" max="2" width="16.7109375" customWidth="1"/>
    <col min="3" max="3" width="16.7109375" bestFit="1" customWidth="1"/>
    <col min="4" max="4" width="22" bestFit="1" customWidth="1"/>
    <col min="6" max="6" width="16.7109375" bestFit="1" customWidth="1"/>
    <col min="9" max="9" width="19.85546875" customWidth="1"/>
  </cols>
  <sheetData>
    <row r="1" spans="1:6" x14ac:dyDescent="0.25">
      <c r="A1" s="527" t="s">
        <v>560</v>
      </c>
      <c r="B1" s="527"/>
    </row>
    <row r="2" spans="1:6" x14ac:dyDescent="0.25">
      <c r="A2" s="330" t="s">
        <v>520</v>
      </c>
      <c r="B2" s="331">
        <f>+WACC!B31</f>
        <v>0.1021488852943899</v>
      </c>
    </row>
    <row r="4" spans="1:6" x14ac:dyDescent="0.25">
      <c r="A4" s="330" t="s">
        <v>104</v>
      </c>
      <c r="B4" s="330" t="s">
        <v>525</v>
      </c>
      <c r="C4" s="330" t="s">
        <v>521</v>
      </c>
      <c r="D4" s="330" t="s">
        <v>526</v>
      </c>
    </row>
    <row r="5" spans="1:6" x14ac:dyDescent="0.25">
      <c r="A5" s="5">
        <v>0</v>
      </c>
      <c r="B5" s="7">
        <f>103731227.08*-1</f>
        <v>-103731227.08</v>
      </c>
      <c r="C5" s="7">
        <f>+B5/($B$2+1)^A5</f>
        <v>-103731227.08</v>
      </c>
      <c r="D5" s="7">
        <f>+C5</f>
        <v>-103731227.08</v>
      </c>
      <c r="F5" s="4">
        <f>+-PV($B$2,A5,0,B5)</f>
        <v>-103731227.08</v>
      </c>
    </row>
    <row r="6" spans="1:6" x14ac:dyDescent="0.25">
      <c r="A6" s="332">
        <v>1</v>
      </c>
      <c r="B6" s="333">
        <v>-7621813.3344000131</v>
      </c>
      <c r="C6" s="333">
        <f t="shared" ref="C6:C10" si="0">+B6/($B$2+1)^A6</f>
        <v>-6915411.7343812268</v>
      </c>
      <c r="D6" s="333">
        <f>+D5+C6</f>
        <v>-110646638.81438123</v>
      </c>
    </row>
    <row r="7" spans="1:6" ht="15.75" thickBot="1" x14ac:dyDescent="0.3">
      <c r="A7" s="316">
        <v>2</v>
      </c>
      <c r="B7" s="317">
        <v>57115059.935562514</v>
      </c>
      <c r="C7" s="317">
        <f t="shared" si="0"/>
        <v>47018644.57408154</v>
      </c>
      <c r="D7" s="317">
        <f t="shared" ref="D7:D10" si="1">+D6+C7</f>
        <v>-63627994.240299687</v>
      </c>
    </row>
    <row r="8" spans="1:6" x14ac:dyDescent="0.25">
      <c r="A8" s="334">
        <v>3</v>
      </c>
      <c r="B8" s="335">
        <v>68340153.435321137</v>
      </c>
      <c r="C8" s="335">
        <f t="shared" si="0"/>
        <v>51045228.50632412</v>
      </c>
      <c r="D8" s="336">
        <f t="shared" si="1"/>
        <v>-12582765.733975567</v>
      </c>
    </row>
    <row r="9" spans="1:6" ht="15.75" thickBot="1" x14ac:dyDescent="0.3">
      <c r="A9" s="318">
        <v>4</v>
      </c>
      <c r="B9" s="319">
        <v>84780909.470409662</v>
      </c>
      <c r="C9" s="319">
        <f t="shared" si="0"/>
        <v>57456214.362363398</v>
      </c>
      <c r="D9" s="320">
        <f t="shared" si="1"/>
        <v>44873448.628387831</v>
      </c>
    </row>
    <row r="10" spans="1:6" x14ac:dyDescent="0.25">
      <c r="A10" s="337">
        <v>5</v>
      </c>
      <c r="B10" s="338">
        <v>106338034.81734201</v>
      </c>
      <c r="C10" s="338">
        <f t="shared" si="0"/>
        <v>65386381.09127526</v>
      </c>
      <c r="D10" s="338">
        <f t="shared" si="1"/>
        <v>110259829.71966308</v>
      </c>
    </row>
    <row r="12" spans="1:6" x14ac:dyDescent="0.25">
      <c r="C12" s="339" t="s">
        <v>522</v>
      </c>
      <c r="D12" s="333">
        <f>+SUM(C5:C10)</f>
        <v>110259829.71966308</v>
      </c>
    </row>
    <row r="13" spans="1:6" x14ac:dyDescent="0.25">
      <c r="C13" s="328" t="s">
        <v>523</v>
      </c>
      <c r="D13" s="357">
        <f>+IRR(B5:B10)</f>
        <v>0.3462035240605299</v>
      </c>
      <c r="E13" t="s">
        <v>561</v>
      </c>
    </row>
    <row r="14" spans="1:6" x14ac:dyDescent="0.25">
      <c r="C14" s="339" t="s">
        <v>524</v>
      </c>
      <c r="D14" s="356">
        <f>3+((103731227-D8)/C9)</f>
        <v>5.0243936017157242</v>
      </c>
      <c r="E14" t="s">
        <v>527</v>
      </c>
    </row>
    <row r="15" spans="1:6" hidden="1" x14ac:dyDescent="0.25">
      <c r="D15" s="5">
        <f>+C9/360</f>
        <v>159600.59545100943</v>
      </c>
    </row>
    <row r="16" spans="1:6" hidden="1" x14ac:dyDescent="0.25">
      <c r="D16" s="340">
        <f>-D8/D15</f>
        <v>78.839090157642545</v>
      </c>
    </row>
    <row r="17" spans="1:4" x14ac:dyDescent="0.25">
      <c r="C17" s="22" t="s">
        <v>528</v>
      </c>
      <c r="D17" s="89">
        <v>133662811.7647059</v>
      </c>
    </row>
    <row r="20" spans="1:4" x14ac:dyDescent="0.25">
      <c r="D20" s="6"/>
    </row>
    <row r="21" spans="1:4" x14ac:dyDescent="0.25">
      <c r="A21" s="527" t="s">
        <v>562</v>
      </c>
      <c r="B21" s="527"/>
    </row>
    <row r="22" spans="1:4" x14ac:dyDescent="0.25">
      <c r="A22" s="330" t="s">
        <v>520</v>
      </c>
      <c r="B22" s="331">
        <f>+B2</f>
        <v>0.1021488852943899</v>
      </c>
    </row>
    <row r="24" spans="1:4" x14ac:dyDescent="0.25">
      <c r="A24" s="330" t="s">
        <v>104</v>
      </c>
      <c r="B24" s="354" t="s">
        <v>525</v>
      </c>
      <c r="C24" s="330" t="s">
        <v>521</v>
      </c>
      <c r="D24" s="330" t="s">
        <v>526</v>
      </c>
    </row>
    <row r="25" spans="1:4" x14ac:dyDescent="0.25">
      <c r="A25" s="342">
        <v>0</v>
      </c>
      <c r="B25" s="7">
        <f>+B5</f>
        <v>-103731227.08</v>
      </c>
      <c r="C25" s="348">
        <f t="shared" ref="C25:C30" si="2">+B25/($B$2+1)^A25</f>
        <v>-103731227.08</v>
      </c>
      <c r="D25" s="7">
        <f>+C25</f>
        <v>-103731227.08</v>
      </c>
    </row>
    <row r="26" spans="1:4" x14ac:dyDescent="0.25">
      <c r="A26" s="343">
        <v>1</v>
      </c>
      <c r="B26" s="333">
        <v>-45136571.925381795</v>
      </c>
      <c r="C26" s="349">
        <f t="shared" si="2"/>
        <v>-40953243.729249492</v>
      </c>
      <c r="D26" s="333">
        <f>+D25+C26</f>
        <v>-144684470.80924949</v>
      </c>
    </row>
    <row r="27" spans="1:4" ht="15.75" thickBot="1" x14ac:dyDescent="0.3">
      <c r="A27" s="344">
        <v>2</v>
      </c>
      <c r="B27" s="7">
        <v>-21760116.263194099</v>
      </c>
      <c r="C27" s="350">
        <f t="shared" si="2"/>
        <v>-17913509.56515</v>
      </c>
      <c r="D27" s="317">
        <f>+D26+C27</f>
        <v>-162597980.37439948</v>
      </c>
    </row>
    <row r="28" spans="1:4" x14ac:dyDescent="0.25">
      <c r="A28" s="345">
        <v>3</v>
      </c>
      <c r="B28" s="333">
        <v>-56675019.688274197</v>
      </c>
      <c r="C28" s="351">
        <f t="shared" si="2"/>
        <v>-42332204.204463392</v>
      </c>
      <c r="D28" s="336">
        <f>+D27+C28</f>
        <v>-204930184.57886288</v>
      </c>
    </row>
    <row r="29" spans="1:4" ht="15.75" thickBot="1" x14ac:dyDescent="0.3">
      <c r="A29" s="346">
        <v>4</v>
      </c>
      <c r="B29" s="7">
        <v>-91706164.313827872</v>
      </c>
      <c r="C29" s="352">
        <f t="shared" si="2"/>
        <v>-62149475.254266277</v>
      </c>
      <c r="D29" s="320">
        <f>+D28+C29</f>
        <v>-267079659.83312917</v>
      </c>
    </row>
    <row r="30" spans="1:4" x14ac:dyDescent="0.25">
      <c r="A30" s="347">
        <v>5</v>
      </c>
      <c r="B30" s="333">
        <v>-127568946.63275003</v>
      </c>
      <c r="C30" s="353">
        <f t="shared" si="2"/>
        <v>-78441093.765456945</v>
      </c>
      <c r="D30" s="338">
        <f>+D29+C30</f>
        <v>-345520753.59858608</v>
      </c>
    </row>
    <row r="32" spans="1:4" x14ac:dyDescent="0.25">
      <c r="C32" s="339" t="s">
        <v>522</v>
      </c>
      <c r="D32" s="333">
        <f>110259829.719663-58000000</f>
        <v>52259829.719662994</v>
      </c>
    </row>
    <row r="33" spans="1:4" x14ac:dyDescent="0.25">
      <c r="C33" s="22" t="s">
        <v>523</v>
      </c>
      <c r="D33" s="358">
        <f>+D13-5%</f>
        <v>0.29620352406052991</v>
      </c>
    </row>
    <row r="34" spans="1:4" x14ac:dyDescent="0.25">
      <c r="C34" s="339" t="s">
        <v>524</v>
      </c>
      <c r="D34" s="356">
        <v>7.2</v>
      </c>
    </row>
    <row r="35" spans="1:4" x14ac:dyDescent="0.25">
      <c r="C35" s="22" t="s">
        <v>528</v>
      </c>
      <c r="D35" s="89">
        <v>158070803.47826087</v>
      </c>
    </row>
    <row r="40" spans="1:4" x14ac:dyDescent="0.25">
      <c r="A40" s="527" t="s">
        <v>563</v>
      </c>
      <c r="B40" s="527"/>
    </row>
    <row r="41" spans="1:4" x14ac:dyDescent="0.25">
      <c r="A41" s="330" t="s">
        <v>520</v>
      </c>
      <c r="B41" s="331">
        <f>+B2</f>
        <v>0.1021488852943899</v>
      </c>
    </row>
    <row r="43" spans="1:4" x14ac:dyDescent="0.25">
      <c r="A43" s="330" t="s">
        <v>104</v>
      </c>
      <c r="B43" s="330" t="s">
        <v>525</v>
      </c>
      <c r="C43" s="330" t="s">
        <v>521</v>
      </c>
      <c r="D43" s="330" t="s">
        <v>526</v>
      </c>
    </row>
    <row r="44" spans="1:4" x14ac:dyDescent="0.25">
      <c r="A44" s="5">
        <v>0</v>
      </c>
      <c r="B44" s="11">
        <f>+B25</f>
        <v>-103731227.08</v>
      </c>
      <c r="C44" s="7">
        <f t="shared" ref="C44:C49" si="3">+B44/($B$2+1)^A44</f>
        <v>-103731227.08</v>
      </c>
      <c r="D44" s="7">
        <f>+C44</f>
        <v>-103731227.08</v>
      </c>
    </row>
    <row r="45" spans="1:4" x14ac:dyDescent="0.25">
      <c r="A45" s="332">
        <v>1</v>
      </c>
      <c r="B45" s="355">
        <v>-82430878.485381782</v>
      </c>
      <c r="C45" s="333">
        <f t="shared" si="3"/>
        <v>-74791055.532723278</v>
      </c>
      <c r="D45" s="333">
        <f>+D44+C45</f>
        <v>-178522282.61272329</v>
      </c>
    </row>
    <row r="46" spans="1:4" ht="15.75" thickBot="1" x14ac:dyDescent="0.3">
      <c r="A46" s="316">
        <v>2</v>
      </c>
      <c r="B46" s="11">
        <v>-100171805.03100377</v>
      </c>
      <c r="C46" s="317">
        <f t="shared" si="3"/>
        <v>-82464108.457747206</v>
      </c>
      <c r="D46" s="317">
        <f>+D45+C46</f>
        <v>-260986391.07047051</v>
      </c>
    </row>
    <row r="47" spans="1:4" x14ac:dyDescent="0.25">
      <c r="A47" s="334">
        <v>3</v>
      </c>
      <c r="B47" s="355">
        <v>-180955551.20871186</v>
      </c>
      <c r="C47" s="335">
        <f t="shared" si="3"/>
        <v>-135160911.94730178</v>
      </c>
      <c r="D47" s="336">
        <f>+D46+C47</f>
        <v>-396147303.01777232</v>
      </c>
    </row>
    <row r="48" spans="1:4" ht="15.75" thickBot="1" x14ac:dyDescent="0.3">
      <c r="A48" s="318">
        <v>4</v>
      </c>
      <c r="B48" s="11">
        <v>-267156070.49999243</v>
      </c>
      <c r="C48" s="319">
        <f t="shared" si="3"/>
        <v>-181052274.0406746</v>
      </c>
      <c r="D48" s="320">
        <f>+D47+C48</f>
        <v>-577199577.05844688</v>
      </c>
    </row>
    <row r="49" spans="1:4" x14ac:dyDescent="0.25">
      <c r="A49" s="337">
        <v>5</v>
      </c>
      <c r="B49" s="355">
        <v>-360101280.59678841</v>
      </c>
      <c r="C49" s="338">
        <f t="shared" si="3"/>
        <v>-221423309.21389124</v>
      </c>
      <c r="D49" s="338">
        <f>+D48+C49</f>
        <v>-798622886.27233815</v>
      </c>
    </row>
    <row r="52" spans="1:4" x14ac:dyDescent="0.25">
      <c r="C52" s="339" t="s">
        <v>522</v>
      </c>
      <c r="D52" s="333">
        <v>-51435275</v>
      </c>
    </row>
    <row r="53" spans="1:4" x14ac:dyDescent="0.25">
      <c r="C53" s="22" t="s">
        <v>523</v>
      </c>
      <c r="D53" s="358">
        <f>+-8.5%</f>
        <v>-8.5000000000000006E-2</v>
      </c>
    </row>
    <row r="54" spans="1:4" x14ac:dyDescent="0.25">
      <c r="C54" s="22" t="s">
        <v>524</v>
      </c>
      <c r="D54" s="341">
        <v>12.3</v>
      </c>
    </row>
    <row r="55" spans="1:4" x14ac:dyDescent="0.25">
      <c r="C55" s="22" t="s">
        <v>528</v>
      </c>
      <c r="D55" s="89">
        <v>227226780</v>
      </c>
    </row>
  </sheetData>
  <mergeCells count="3">
    <mergeCell ref="A1:B1"/>
    <mergeCell ref="A21:B21"/>
    <mergeCell ref="A40:B4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20AD-5318-4D40-930F-9D5AAB2AEC59}">
  <dimension ref="B1:H23"/>
  <sheetViews>
    <sheetView topLeftCell="A19" workbookViewId="0">
      <selection activeCell="B22" sqref="B22"/>
    </sheetView>
  </sheetViews>
  <sheetFormatPr baseColWidth="10" defaultColWidth="11.42578125" defaultRowHeight="15" x14ac:dyDescent="0.25"/>
  <cols>
    <col min="1" max="1" width="11.42578125" style="147"/>
    <col min="2" max="2" width="30.42578125" style="147" customWidth="1"/>
    <col min="3" max="3" width="15.42578125" style="147" customWidth="1"/>
    <col min="4" max="4" width="18.85546875" style="147" bestFit="1" customWidth="1"/>
    <col min="5" max="5" width="22.7109375" style="147" bestFit="1" customWidth="1"/>
    <col min="6" max="8" width="18.85546875" style="147" bestFit="1" customWidth="1"/>
    <col min="9" max="16384" width="11.42578125" style="147"/>
  </cols>
  <sheetData>
    <row r="1" spans="2:8" x14ac:dyDescent="0.25">
      <c r="B1" s="216" t="s">
        <v>280</v>
      </c>
      <c r="C1" s="216" t="s">
        <v>150</v>
      </c>
    </row>
    <row r="2" spans="2:8" x14ac:dyDescent="0.25">
      <c r="B2" s="217" t="s">
        <v>75</v>
      </c>
      <c r="C2" s="218">
        <f>+'Punto de Equilibrio'!C24</f>
        <v>22785626.470588237</v>
      </c>
    </row>
    <row r="3" spans="2:8" x14ac:dyDescent="0.25">
      <c r="B3" s="219" t="s">
        <v>283</v>
      </c>
      <c r="C3" s="220">
        <f>+C2*12</f>
        <v>273427517.64705884</v>
      </c>
    </row>
    <row r="4" spans="2:8" x14ac:dyDescent="0.25">
      <c r="B4" s="221"/>
      <c r="C4" s="222"/>
    </row>
    <row r="5" spans="2:8" x14ac:dyDescent="0.25">
      <c r="B5" s="400" t="s">
        <v>52</v>
      </c>
      <c r="C5" s="401" t="s">
        <v>45</v>
      </c>
      <c r="D5" s="401" t="s">
        <v>492</v>
      </c>
      <c r="E5" s="401" t="s">
        <v>493</v>
      </c>
      <c r="F5" s="401" t="s">
        <v>494</v>
      </c>
      <c r="G5" s="401" t="s">
        <v>495</v>
      </c>
      <c r="H5" s="402" t="s">
        <v>496</v>
      </c>
    </row>
    <row r="6" spans="2:8" x14ac:dyDescent="0.25">
      <c r="B6" s="282" t="s">
        <v>437</v>
      </c>
      <c r="C6" s="225"/>
      <c r="D6" s="226">
        <f>'GO,CT,PV'!C77</f>
        <v>273427517.64705884</v>
      </c>
      <c r="E6" s="226">
        <f>'GO,CT,PV'!D77</f>
        <v>305024375.03942543</v>
      </c>
      <c r="F6" s="226">
        <f>'GO,CT,PV'!E77</f>
        <v>340272515.98095638</v>
      </c>
      <c r="G6" s="226">
        <f>'GO,CT,PV'!F77</f>
        <v>379593877.1025908</v>
      </c>
      <c r="H6" s="286">
        <f>'GO,CT,PV'!G77</f>
        <v>423459153.37411791</v>
      </c>
    </row>
    <row r="7" spans="2:8" x14ac:dyDescent="0.25">
      <c r="B7" s="282" t="s">
        <v>436</v>
      </c>
      <c r="C7" s="227"/>
      <c r="D7" s="226">
        <f>'GO,CT,PV'!C85+'GO,CT,PV'!C55</f>
        <v>181418009.24705887</v>
      </c>
      <c r="E7" s="226">
        <f>'GO,CT,PV'!D85+'GO,CT,PV'!D55</f>
        <v>201380194.24125648</v>
      </c>
      <c r="F7" s="226">
        <f>'GO,CT,PV'!E85+'GO,CT,PV'!E55</f>
        <v>223567720.70447463</v>
      </c>
      <c r="G7" s="226">
        <f>'GO,CT,PV'!F85+'GO,CT,PV'!F55</f>
        <v>248257411.37129238</v>
      </c>
      <c r="H7" s="286">
        <f>'GO,CT,PV'!G85+'GO,CT,PV'!G55</f>
        <v>275758510.79941893</v>
      </c>
    </row>
    <row r="8" spans="2:8" x14ac:dyDescent="0.25">
      <c r="B8" s="283" t="s">
        <v>438</v>
      </c>
      <c r="C8" s="223"/>
      <c r="D8" s="224">
        <f>+D6-D7</f>
        <v>92009508.399999976</v>
      </c>
      <c r="E8" s="224">
        <f t="shared" ref="E8:H8" si="0">+E6-E7</f>
        <v>103644180.79816896</v>
      </c>
      <c r="F8" s="224">
        <f t="shared" si="0"/>
        <v>116704795.27648175</v>
      </c>
      <c r="G8" s="224">
        <f t="shared" si="0"/>
        <v>131336465.73129842</v>
      </c>
      <c r="H8" s="288">
        <f t="shared" si="0"/>
        <v>147700642.57469898</v>
      </c>
    </row>
    <row r="9" spans="2:8" x14ac:dyDescent="0.25">
      <c r="B9" s="282" t="s">
        <v>435</v>
      </c>
      <c r="C9" s="223"/>
      <c r="D9" s="226">
        <f>'flujo de caja'!C12</f>
        <v>16567500</v>
      </c>
      <c r="E9" s="226">
        <f>'flujo de caja'!D12</f>
        <v>17498593.5</v>
      </c>
      <c r="F9" s="226">
        <f>'flujo de caja'!E12</f>
        <v>18482014.454700001</v>
      </c>
      <c r="G9" s="226">
        <f>'flujo de caja'!F12</f>
        <v>19520703.667054143</v>
      </c>
      <c r="H9" s="286">
        <f>'flujo de caja'!G12</f>
        <v>20617767.213142585</v>
      </c>
    </row>
    <row r="10" spans="2:8" x14ac:dyDescent="0.25">
      <c r="B10" s="282" t="s">
        <v>514</v>
      </c>
      <c r="C10" s="223"/>
      <c r="D10" s="226">
        <f>'flujo de caja'!C15</f>
        <v>2200000</v>
      </c>
      <c r="E10" s="226">
        <f>'flujo de caja'!D15</f>
        <v>2323640</v>
      </c>
      <c r="F10" s="226">
        <f>'flujo de caja'!E15</f>
        <v>2454228.568</v>
      </c>
      <c r="G10" s="226">
        <f>'flujo de caja'!F15</f>
        <v>2592156.2135216002</v>
      </c>
      <c r="H10" s="286">
        <f>'flujo de caja'!G15</f>
        <v>2737835.3927215142</v>
      </c>
    </row>
    <row r="11" spans="2:8" x14ac:dyDescent="0.25">
      <c r="B11" s="283" t="s">
        <v>59</v>
      </c>
      <c r="C11" s="223"/>
      <c r="D11" s="224">
        <f>+D8-D9-D10</f>
        <v>73242008.399999976</v>
      </c>
      <c r="E11" s="224">
        <f t="shared" ref="E11:H11" si="1">+E8-E9-E10</f>
        <v>83821947.298168957</v>
      </c>
      <c r="F11" s="224">
        <f t="shared" si="1"/>
        <v>95768552.253781751</v>
      </c>
      <c r="G11" s="224">
        <f t="shared" si="1"/>
        <v>109223605.85072267</v>
      </c>
      <c r="H11" s="288">
        <f t="shared" si="1"/>
        <v>124345039.96883488</v>
      </c>
    </row>
    <row r="12" spans="2:8" x14ac:dyDescent="0.25">
      <c r="B12" s="282" t="s">
        <v>439</v>
      </c>
      <c r="C12" s="223"/>
      <c r="D12" s="224">
        <v>0</v>
      </c>
      <c r="E12" s="224">
        <v>0</v>
      </c>
      <c r="F12" s="224">
        <v>0</v>
      </c>
      <c r="G12" s="224">
        <v>0</v>
      </c>
      <c r="H12" s="288">
        <v>0</v>
      </c>
    </row>
    <row r="13" spans="2:8" x14ac:dyDescent="0.25">
      <c r="B13" s="282" t="s">
        <v>440</v>
      </c>
      <c r="C13" s="223"/>
      <c r="D13" s="224">
        <v>0</v>
      </c>
      <c r="E13" s="224">
        <v>0</v>
      </c>
      <c r="F13" s="224">
        <v>0</v>
      </c>
      <c r="G13" s="224">
        <v>0</v>
      </c>
      <c r="H13" s="288">
        <v>0</v>
      </c>
    </row>
    <row r="14" spans="2:8" x14ac:dyDescent="0.25">
      <c r="B14" s="283" t="s">
        <v>432</v>
      </c>
      <c r="C14" s="223"/>
      <c r="D14" s="224">
        <f>+D11-D12-D13</f>
        <v>73242008.399999976</v>
      </c>
      <c r="E14" s="224">
        <f t="shared" ref="E14:G14" si="2">+E11-E12-E13</f>
        <v>83821947.298168957</v>
      </c>
      <c r="F14" s="224">
        <f t="shared" si="2"/>
        <v>95768552.253781751</v>
      </c>
      <c r="G14" s="224">
        <f t="shared" si="2"/>
        <v>109223605.85072267</v>
      </c>
      <c r="H14" s="288">
        <f>+H11-H12-H13</f>
        <v>124345039.96883488</v>
      </c>
    </row>
    <row r="15" spans="2:8" x14ac:dyDescent="0.25">
      <c r="B15" s="282" t="s">
        <v>441</v>
      </c>
      <c r="C15" s="217"/>
      <c r="D15" s="226">
        <f>+'Costos '!D54</f>
        <v>0</v>
      </c>
      <c r="E15" s="226">
        <f>+SUM('Costos '!D23:D33)+'Costos '!D55</f>
        <v>6739486.9170583552</v>
      </c>
      <c r="F15" s="226">
        <f>+SUM('Costos '!D34:D40)+'Costos '!D56</f>
        <v>3361859.7408791566</v>
      </c>
      <c r="G15" s="226">
        <f>+'Costos '!D57</f>
        <v>2500000</v>
      </c>
      <c r="H15" s="286">
        <f>+'Costos '!D58</f>
        <v>2500000</v>
      </c>
    </row>
    <row r="16" spans="2:8" x14ac:dyDescent="0.25">
      <c r="B16" s="283" t="s">
        <v>60</v>
      </c>
      <c r="C16" s="227"/>
      <c r="D16" s="224">
        <f>+D14-D15</f>
        <v>73242008.399999976</v>
      </c>
      <c r="E16" s="224">
        <f t="shared" ref="E16:H16" si="3">+E14-E15</f>
        <v>77082460.381110609</v>
      </c>
      <c r="F16" s="224">
        <f t="shared" si="3"/>
        <v>92406692.512902588</v>
      </c>
      <c r="G16" s="224">
        <f t="shared" si="3"/>
        <v>106723605.85072267</v>
      </c>
      <c r="H16" s="288">
        <f t="shared" si="3"/>
        <v>121845039.96883488</v>
      </c>
    </row>
    <row r="17" spans="2:8" x14ac:dyDescent="0.25">
      <c r="B17" s="282" t="s">
        <v>61</v>
      </c>
      <c r="C17" s="227">
        <v>0.32</v>
      </c>
      <c r="D17" s="226">
        <f>+D16*$C$17</f>
        <v>23437442.687999994</v>
      </c>
      <c r="E17" s="226">
        <f t="shared" ref="E17:H17" si="4">+E16*$C$17</f>
        <v>24666387.321955394</v>
      </c>
      <c r="F17" s="226">
        <f t="shared" si="4"/>
        <v>29570141.60412883</v>
      </c>
      <c r="G17" s="226">
        <f t="shared" si="4"/>
        <v>34151553.872231252</v>
      </c>
      <c r="H17" s="286">
        <f t="shared" si="4"/>
        <v>38990412.790027164</v>
      </c>
    </row>
    <row r="18" spans="2:8" x14ac:dyDescent="0.25">
      <c r="B18" s="396" t="s">
        <v>62</v>
      </c>
      <c r="C18" s="397"/>
      <c r="D18" s="398">
        <f>+D16-D17</f>
        <v>49804565.711999983</v>
      </c>
      <c r="E18" s="398">
        <f t="shared" ref="E18:H18" si="5">+E16-E17</f>
        <v>52416073.059155211</v>
      </c>
      <c r="F18" s="398">
        <f t="shared" si="5"/>
        <v>62836550.908773758</v>
      </c>
      <c r="G18" s="398">
        <f t="shared" si="5"/>
        <v>72572051.978491426</v>
      </c>
      <c r="H18" s="399">
        <f t="shared" si="5"/>
        <v>82854627.178807706</v>
      </c>
    </row>
    <row r="19" spans="2:8" s="217" customFormat="1" x14ac:dyDescent="0.25">
      <c r="B19" s="223"/>
      <c r="C19" s="223"/>
      <c r="D19" s="224"/>
      <c r="E19" s="224"/>
      <c r="F19" s="224"/>
      <c r="G19" s="224"/>
      <c r="H19" s="224"/>
    </row>
    <row r="20" spans="2:8" s="217" customFormat="1" x14ac:dyDescent="0.25">
      <c r="B20" s="223"/>
      <c r="C20" s="419"/>
      <c r="D20" s="420"/>
      <c r="E20" s="421"/>
      <c r="F20" s="224"/>
      <c r="G20" s="224"/>
      <c r="H20" s="224"/>
    </row>
    <row r="21" spans="2:8" s="217" customFormat="1" x14ac:dyDescent="0.25">
      <c r="B21" s="223"/>
      <c r="C21" s="422"/>
      <c r="D21" s="423"/>
      <c r="E21" s="424"/>
      <c r="F21" s="224"/>
      <c r="G21" s="224"/>
      <c r="H21" s="224"/>
    </row>
    <row r="22" spans="2:8" s="217" customFormat="1" x14ac:dyDescent="0.25">
      <c r="B22" s="223"/>
      <c r="C22" s="422"/>
      <c r="D22" s="423"/>
      <c r="E22" s="424"/>
      <c r="F22" s="224"/>
      <c r="G22" s="224"/>
      <c r="H22" s="224"/>
    </row>
    <row r="23" spans="2:8" s="217" customFormat="1" x14ac:dyDescent="0.25">
      <c r="B23" s="223"/>
      <c r="C23" s="425"/>
      <c r="D23" s="426"/>
      <c r="E23" s="427"/>
      <c r="F23" s="224"/>
      <c r="G23" s="224"/>
      <c r="H23" s="224"/>
    </row>
  </sheetData>
  <mergeCells count="1">
    <mergeCell ref="C20:E23"/>
  </mergeCells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9983C-7C6C-1149-A46C-6ED9AB066305}">
  <dimension ref="B2:N45"/>
  <sheetViews>
    <sheetView topLeftCell="A43" workbookViewId="0">
      <selection activeCell="D53" sqref="D53"/>
    </sheetView>
  </sheetViews>
  <sheetFormatPr baseColWidth="10" defaultRowHeight="15" x14ac:dyDescent="0.25"/>
  <cols>
    <col min="2" max="2" width="32.28515625" bestFit="1" customWidth="1"/>
    <col min="3" max="3" width="13.42578125" bestFit="1" customWidth="1"/>
    <col min="4" max="4" width="14.42578125" bestFit="1" customWidth="1"/>
    <col min="5" max="7" width="13.42578125" bestFit="1" customWidth="1"/>
    <col min="8" max="8" width="4.140625" bestFit="1" customWidth="1"/>
  </cols>
  <sheetData>
    <row r="2" spans="2:13" x14ac:dyDescent="0.25">
      <c r="B2" s="244" t="s">
        <v>290</v>
      </c>
      <c r="C2" s="389" t="s">
        <v>492</v>
      </c>
      <c r="D2" s="389" t="s">
        <v>493</v>
      </c>
      <c r="E2" s="389" t="s">
        <v>494</v>
      </c>
      <c r="F2" s="389" t="s">
        <v>495</v>
      </c>
      <c r="G2" s="389" t="s">
        <v>496</v>
      </c>
    </row>
    <row r="3" spans="2:13" x14ac:dyDescent="0.25">
      <c r="B3" s="390" t="s">
        <v>291</v>
      </c>
      <c r="C3" s="391">
        <f>'GO,CT,PV'!C77</f>
        <v>273427517.64705884</v>
      </c>
      <c r="D3" s="391">
        <f>'GO,CT,PV'!D77</f>
        <v>305024375.03942543</v>
      </c>
      <c r="E3" s="391">
        <f>'GO,CT,PV'!E77</f>
        <v>340272515.98095638</v>
      </c>
      <c r="F3" s="391">
        <f>'GO,CT,PV'!F77</f>
        <v>379593877.1025908</v>
      </c>
      <c r="G3" s="391">
        <f>'GO,CT,PV'!G77</f>
        <v>423459153.37411791</v>
      </c>
    </row>
    <row r="4" spans="2:13" s="21" customFormat="1" x14ac:dyDescent="0.25">
      <c r="B4" s="244" t="s">
        <v>292</v>
      </c>
      <c r="C4" s="392">
        <f>C3</f>
        <v>273427517.64705884</v>
      </c>
      <c r="D4" s="392">
        <f t="shared" ref="D4:G4" si="0">D3</f>
        <v>305024375.03942543</v>
      </c>
      <c r="E4" s="392">
        <f t="shared" si="0"/>
        <v>340272515.98095638</v>
      </c>
      <c r="F4" s="392">
        <f t="shared" si="0"/>
        <v>379593877.1025908</v>
      </c>
      <c r="G4" s="392">
        <f t="shared" si="0"/>
        <v>423459153.37411791</v>
      </c>
    </row>
    <row r="5" spans="2:13" x14ac:dyDescent="0.25">
      <c r="B5" s="244" t="s">
        <v>293</v>
      </c>
      <c r="C5" s="389">
        <v>2022</v>
      </c>
      <c r="D5" s="389">
        <v>2023</v>
      </c>
      <c r="E5" s="389">
        <v>2024</v>
      </c>
      <c r="F5" s="389">
        <v>2025</v>
      </c>
      <c r="G5" s="389">
        <v>2026</v>
      </c>
    </row>
    <row r="6" spans="2:13" x14ac:dyDescent="0.25">
      <c r="B6" s="390" t="s">
        <v>294</v>
      </c>
      <c r="C6" s="391">
        <f>'GO,CT,PV'!C85</f>
        <v>164404509.24705887</v>
      </c>
      <c r="D6" s="391">
        <f>'GO,CT,PV'!D85</f>
        <v>183410535.54125649</v>
      </c>
      <c r="E6" s="391">
        <f>'GO,CT,PV'!E85</f>
        <v>204588167.18553463</v>
      </c>
      <c r="F6" s="391">
        <f>'GO,CT,PV'!F85</f>
        <v>228211206.94458795</v>
      </c>
      <c r="G6" s="391">
        <f>'GO,CT,PV'!G85</f>
        <v>254585709.68393371</v>
      </c>
    </row>
    <row r="7" spans="2:13" x14ac:dyDescent="0.25">
      <c r="B7" s="390" t="s">
        <v>295</v>
      </c>
      <c r="C7" s="391">
        <f>'GO,CT,PV'!C55</f>
        <v>17013500</v>
      </c>
      <c r="D7" s="391">
        <f>C7*(1+5.62%)</f>
        <v>17969658.699999999</v>
      </c>
      <c r="E7" s="391">
        <f t="shared" ref="E7:G7" si="1">D7*(1+5.62%)</f>
        <v>18979553.518939998</v>
      </c>
      <c r="F7" s="391">
        <f t="shared" si="1"/>
        <v>20046204.426704425</v>
      </c>
      <c r="G7" s="391">
        <f t="shared" si="1"/>
        <v>21172801.115485214</v>
      </c>
    </row>
    <row r="8" spans="2:13" x14ac:dyDescent="0.25">
      <c r="B8" s="390" t="s">
        <v>296</v>
      </c>
      <c r="C8" s="391"/>
      <c r="D8" s="391">
        <f>'Tabla depreciaciones'!O74</f>
        <v>1203500</v>
      </c>
      <c r="E8" s="391">
        <f>'Tabla depreciaciones'!P74</f>
        <v>2407000</v>
      </c>
      <c r="F8" s="391">
        <f>'Tabla depreciaciones'!Q74</f>
        <v>3610500</v>
      </c>
      <c r="G8" s="391">
        <f>'Tabla depreciaciones'!R74</f>
        <v>4814000</v>
      </c>
    </row>
    <row r="9" spans="2:13" s="21" customFormat="1" x14ac:dyDescent="0.25">
      <c r="B9" s="244" t="s">
        <v>297</v>
      </c>
      <c r="C9" s="392">
        <f>C6+C7-C8</f>
        <v>181418009.24705887</v>
      </c>
      <c r="D9" s="392">
        <f>D6+D7-D8</f>
        <v>200176694.24125648</v>
      </c>
      <c r="E9" s="392">
        <f>E6+E7-E8</f>
        <v>221160720.70447463</v>
      </c>
      <c r="F9" s="392">
        <f>F6+F7-F8</f>
        <v>244646911.37129238</v>
      </c>
      <c r="G9" s="392">
        <f>G6+G7-G8</f>
        <v>270944510.79941893</v>
      </c>
    </row>
    <row r="10" spans="2:13" s="21" customFormat="1" x14ac:dyDescent="0.25">
      <c r="B10" s="244" t="s">
        <v>298</v>
      </c>
      <c r="C10" s="392">
        <f>C4-C9</f>
        <v>92009508.399999976</v>
      </c>
      <c r="D10" s="392">
        <f t="shared" ref="D10:G10" si="2">D4-D9</f>
        <v>104847680.79816896</v>
      </c>
      <c r="E10" s="392">
        <f t="shared" si="2"/>
        <v>119111795.27648175</v>
      </c>
      <c r="F10" s="392">
        <f t="shared" si="2"/>
        <v>134946965.73129842</v>
      </c>
      <c r="G10" s="392">
        <f t="shared" si="2"/>
        <v>152514642.57469898</v>
      </c>
      <c r="K10" s="239"/>
    </row>
    <row r="11" spans="2:13" x14ac:dyDescent="0.25">
      <c r="B11" s="244" t="s">
        <v>299</v>
      </c>
      <c r="C11" s="389">
        <v>2022</v>
      </c>
      <c r="D11" s="389">
        <v>2023</v>
      </c>
      <c r="E11" s="389">
        <v>2024</v>
      </c>
      <c r="F11" s="389">
        <v>2025</v>
      </c>
      <c r="G11" s="389">
        <v>2026</v>
      </c>
    </row>
    <row r="12" spans="2:13" x14ac:dyDescent="0.25">
      <c r="B12" s="390" t="s">
        <v>300</v>
      </c>
      <c r="C12" s="393">
        <f>'GV, GAD,INV,GCP,INSU,PRORRATEO'!C63</f>
        <v>16567500</v>
      </c>
      <c r="D12" s="393">
        <f>C12*(1+5.62%)</f>
        <v>17498593.5</v>
      </c>
      <c r="E12" s="393">
        <f t="shared" ref="E12:G12" si="3">D12*(1+5.62%)</f>
        <v>18482014.454700001</v>
      </c>
      <c r="F12" s="393">
        <f t="shared" si="3"/>
        <v>19520703.667054143</v>
      </c>
      <c r="G12" s="393">
        <f t="shared" si="3"/>
        <v>20617767.213142585</v>
      </c>
      <c r="M12" t="s">
        <v>567</v>
      </c>
    </row>
    <row r="13" spans="2:13" x14ac:dyDescent="0.25">
      <c r="B13" s="390" t="s">
        <v>301</v>
      </c>
      <c r="C13" s="393">
        <f>'GV, GAD,INV,GCP,INSU,PRORRATEO'!$D$51</f>
        <v>879800</v>
      </c>
      <c r="D13" s="393">
        <f>'GV, GAD,INV,GCP,INSU,PRORRATEO'!$D$51</f>
        <v>879800</v>
      </c>
      <c r="E13" s="393">
        <f>'GV, GAD,INV,GCP,INSU,PRORRATEO'!$D$51</f>
        <v>879800</v>
      </c>
      <c r="F13" s="393">
        <f>'GV, GAD,INV,GCP,INSU,PRORRATEO'!$D$51</f>
        <v>879800</v>
      </c>
      <c r="G13" s="393">
        <f>'GV, GAD,INV,GCP,INSU,PRORRATEO'!$D$51</f>
        <v>879800</v>
      </c>
    </row>
    <row r="14" spans="2:13" x14ac:dyDescent="0.25">
      <c r="B14" s="390" t="s">
        <v>296</v>
      </c>
      <c r="C14" s="393"/>
      <c r="D14" s="393">
        <f>'Tabla depreciaciones'!O68</f>
        <v>727500</v>
      </c>
      <c r="E14" s="393">
        <f>'Tabla depreciaciones'!P68</f>
        <v>1455000</v>
      </c>
      <c r="F14" s="393">
        <f>'Tabla depreciaciones'!Q68</f>
        <v>2182500</v>
      </c>
      <c r="G14" s="393">
        <f>'Tabla depreciaciones'!R68</f>
        <v>2910000</v>
      </c>
    </row>
    <row r="15" spans="2:13" x14ac:dyDescent="0.25">
      <c r="B15" s="390" t="s">
        <v>302</v>
      </c>
      <c r="C15" s="393">
        <f>'GV, GAD,INV,GCP,INSU,PRORRATEO'!E31</f>
        <v>2200000</v>
      </c>
      <c r="D15" s="393">
        <f>C15*(1+5.62%)</f>
        <v>2323640</v>
      </c>
      <c r="E15" s="393">
        <f t="shared" ref="E15:G15" si="4">D15*(1+5.62%)</f>
        <v>2454228.568</v>
      </c>
      <c r="F15" s="393">
        <f t="shared" si="4"/>
        <v>2592156.2135216002</v>
      </c>
      <c r="G15" s="393">
        <f t="shared" si="4"/>
        <v>2737835.3927215142</v>
      </c>
    </row>
    <row r="16" spans="2:13" x14ac:dyDescent="0.25">
      <c r="B16" s="390" t="s">
        <v>303</v>
      </c>
      <c r="C16" s="393">
        <f>'GO,CT,PV'!C51</f>
        <v>52867920</v>
      </c>
      <c r="D16" s="393">
        <f>C16*(1+10%)</f>
        <v>58154712.000000007</v>
      </c>
      <c r="E16" s="393">
        <f t="shared" ref="E16:G16" si="5">D16*(1+10%)</f>
        <v>63970183.20000001</v>
      </c>
      <c r="F16" s="393">
        <f t="shared" si="5"/>
        <v>70367201.520000011</v>
      </c>
      <c r="G16" s="393">
        <f t="shared" si="5"/>
        <v>77403921.672000021</v>
      </c>
    </row>
    <row r="17" spans="2:7" x14ac:dyDescent="0.25">
      <c r="B17" s="390" t="s">
        <v>304</v>
      </c>
      <c r="C17" s="393">
        <f>+'Estado resul corregido'!D17</f>
        <v>23437442.687999994</v>
      </c>
      <c r="D17" s="393">
        <f>+'Estado resul corregido'!E17</f>
        <v>24666387.321955394</v>
      </c>
      <c r="E17" s="393">
        <f>+'Estado resul corregido'!F17</f>
        <v>29570141.60412883</v>
      </c>
      <c r="F17" s="393">
        <f>+'Estado resul corregido'!G17</f>
        <v>34151553.872231252</v>
      </c>
      <c r="G17" s="393">
        <f>+'Estado resul corregido'!H17</f>
        <v>38990412.790027164</v>
      </c>
    </row>
    <row r="18" spans="2:7" s="21" customFormat="1" x14ac:dyDescent="0.25">
      <c r="B18" s="244" t="s">
        <v>305</v>
      </c>
      <c r="C18" s="394">
        <f>C12-C13-C14+C15+C16+C17</f>
        <v>94193062.687999994</v>
      </c>
      <c r="D18" s="394">
        <f t="shared" ref="D18:G18" si="6">D12-D13-D14+D15+D16+D17</f>
        <v>101036032.8219554</v>
      </c>
      <c r="E18" s="394">
        <f t="shared" si="6"/>
        <v>112141767.82682884</v>
      </c>
      <c r="F18" s="394">
        <f t="shared" si="6"/>
        <v>123569315.272807</v>
      </c>
      <c r="G18" s="394">
        <f t="shared" si="6"/>
        <v>135960137.0678913</v>
      </c>
    </row>
    <row r="19" spans="2:7" s="21" customFormat="1" x14ac:dyDescent="0.25">
      <c r="B19" s="244" t="s">
        <v>306</v>
      </c>
      <c r="C19" s="394">
        <f>C10-C18</f>
        <v>-2183554.2880000174</v>
      </c>
      <c r="D19" s="394">
        <f t="shared" ref="D19:G19" si="7">D10-D18</f>
        <v>3811647.9762135595</v>
      </c>
      <c r="E19" s="394">
        <f t="shared" si="7"/>
        <v>6970027.4496529102</v>
      </c>
      <c r="F19" s="394">
        <f t="shared" si="7"/>
        <v>11377650.458491415</v>
      </c>
      <c r="G19" s="394">
        <f t="shared" si="7"/>
        <v>16554505.506807685</v>
      </c>
    </row>
    <row r="20" spans="2:7" x14ac:dyDescent="0.25">
      <c r="B20" s="390" t="s">
        <v>307</v>
      </c>
      <c r="C20" s="395">
        <v>2022</v>
      </c>
      <c r="D20" s="395">
        <v>2023</v>
      </c>
      <c r="E20" s="395">
        <v>2024</v>
      </c>
      <c r="F20" s="395">
        <v>2025</v>
      </c>
      <c r="G20" s="395">
        <v>2026</v>
      </c>
    </row>
    <row r="21" spans="2:7" x14ac:dyDescent="0.25">
      <c r="B21" s="390" t="s">
        <v>308</v>
      </c>
      <c r="C21" s="393">
        <f>'GV, GAD,INV,GCP,INSU,PRORRATEO'!C23</f>
        <v>10680000</v>
      </c>
      <c r="D21" s="393">
        <v>0</v>
      </c>
      <c r="E21" s="393">
        <v>0</v>
      </c>
      <c r="F21" s="393">
        <v>0</v>
      </c>
      <c r="G21" s="393">
        <v>0</v>
      </c>
    </row>
    <row r="22" spans="2:7" x14ac:dyDescent="0.25">
      <c r="B22" s="390" t="s">
        <v>309</v>
      </c>
      <c r="C22" s="393">
        <f>'GV, GAD,INV,GCP,INSU,PRORRATEO'!C51</f>
        <v>4399000</v>
      </c>
      <c r="D22" s="393">
        <v>0</v>
      </c>
      <c r="E22" s="393">
        <v>0</v>
      </c>
      <c r="F22" s="393">
        <v>0</v>
      </c>
      <c r="G22" s="393">
        <v>0</v>
      </c>
    </row>
    <row r="23" spans="2:7" x14ac:dyDescent="0.25">
      <c r="B23" s="390" t="s">
        <v>310</v>
      </c>
      <c r="C23" s="393">
        <f>'GV, GAD,INV,GCP,INSU,PRORRATEO'!C68</f>
        <v>88652227.079999998</v>
      </c>
      <c r="D23" s="393">
        <v>0</v>
      </c>
      <c r="E23" s="393">
        <v>0</v>
      </c>
      <c r="F23" s="393">
        <v>0</v>
      </c>
      <c r="G23" s="393">
        <v>0</v>
      </c>
    </row>
    <row r="24" spans="2:7" x14ac:dyDescent="0.25">
      <c r="B24" s="390" t="s">
        <v>311</v>
      </c>
      <c r="C24" s="393">
        <f>C21+C22+C23</f>
        <v>103731227.08</v>
      </c>
      <c r="D24" s="393">
        <v>0</v>
      </c>
      <c r="E24" s="393">
        <v>0</v>
      </c>
      <c r="F24" s="393">
        <v>0</v>
      </c>
      <c r="G24" s="393">
        <v>0</v>
      </c>
    </row>
    <row r="25" spans="2:7" s="21" customFormat="1" x14ac:dyDescent="0.25">
      <c r="B25" s="244" t="s">
        <v>312</v>
      </c>
      <c r="C25" s="394">
        <f>+C19-C24</f>
        <v>-105914781.36800002</v>
      </c>
      <c r="D25" s="394">
        <f>D19-D24</f>
        <v>3811647.9762135595</v>
      </c>
      <c r="E25" s="394">
        <f>E19-E24</f>
        <v>6970027.4496529102</v>
      </c>
      <c r="F25" s="394">
        <f>F19-F24</f>
        <v>11377650.458491415</v>
      </c>
      <c r="G25" s="394">
        <f>G19-G24</f>
        <v>16554505.506807685</v>
      </c>
    </row>
    <row r="26" spans="2:7" x14ac:dyDescent="0.25">
      <c r="B26" s="244" t="s">
        <v>313</v>
      </c>
      <c r="C26" s="389">
        <v>2022</v>
      </c>
      <c r="D26" s="389">
        <v>2023</v>
      </c>
      <c r="E26" s="389">
        <v>2024</v>
      </c>
      <c r="F26" s="389">
        <v>2025</v>
      </c>
      <c r="G26" s="389">
        <v>2026</v>
      </c>
    </row>
    <row r="27" spans="2:7" x14ac:dyDescent="0.25">
      <c r="B27" s="390" t="s">
        <v>314</v>
      </c>
      <c r="C27" s="393">
        <f>'Estado de Situacion Financiera '!C51</f>
        <v>8000000</v>
      </c>
      <c r="D27" s="393">
        <f>'Estado de Situacion Financiera '!D51</f>
        <v>8000000</v>
      </c>
      <c r="E27" s="393">
        <f>'Estado de Situacion Financiera '!E51</f>
        <v>8000000</v>
      </c>
      <c r="F27" s="393">
        <f>'Estado de Situacion Financiera '!F51</f>
        <v>8000000</v>
      </c>
      <c r="G27" s="393">
        <f>'Estado de Situacion Financiera '!G51</f>
        <v>8000000</v>
      </c>
    </row>
    <row r="28" spans="2:7" x14ac:dyDescent="0.25">
      <c r="B28" s="390" t="s">
        <v>315</v>
      </c>
      <c r="C28" s="393">
        <f>90000000</f>
        <v>90000000</v>
      </c>
      <c r="D28" s="393">
        <v>60000000</v>
      </c>
      <c r="E28" s="393"/>
      <c r="F28" s="393"/>
      <c r="G28" s="393"/>
    </row>
    <row r="29" spans="2:7" x14ac:dyDescent="0.25">
      <c r="B29" s="244" t="s">
        <v>316</v>
      </c>
      <c r="C29" s="392">
        <f>+C27+C28</f>
        <v>98000000</v>
      </c>
      <c r="D29" s="392">
        <f t="shared" ref="D29:G29" si="8">+D27+D28</f>
        <v>68000000</v>
      </c>
      <c r="E29" s="392">
        <f t="shared" si="8"/>
        <v>8000000</v>
      </c>
      <c r="F29" s="392">
        <f t="shared" si="8"/>
        <v>8000000</v>
      </c>
      <c r="G29" s="392">
        <f t="shared" si="8"/>
        <v>8000000</v>
      </c>
    </row>
    <row r="30" spans="2:7" x14ac:dyDescent="0.25">
      <c r="B30" s="244" t="s">
        <v>317</v>
      </c>
      <c r="C30" s="389">
        <v>2022</v>
      </c>
      <c r="D30" s="389">
        <v>2023</v>
      </c>
      <c r="E30" s="389">
        <v>2024</v>
      </c>
      <c r="F30" s="389">
        <v>2025</v>
      </c>
      <c r="G30" s="389">
        <v>2026</v>
      </c>
    </row>
    <row r="31" spans="2:7" x14ac:dyDescent="0.25">
      <c r="B31" s="390" t="s">
        <v>318</v>
      </c>
      <c r="C31" s="393">
        <v>0</v>
      </c>
      <c r="D31" s="393">
        <v>0</v>
      </c>
      <c r="E31" s="393">
        <v>0</v>
      </c>
      <c r="F31" s="393">
        <v>0</v>
      </c>
      <c r="G31" s="393">
        <v>0</v>
      </c>
    </row>
    <row r="32" spans="2:7" x14ac:dyDescent="0.25">
      <c r="B32" s="390" t="s">
        <v>319</v>
      </c>
      <c r="C32" s="393">
        <f>+'Estado resul corregido'!D15</f>
        <v>0</v>
      </c>
      <c r="D32" s="393">
        <f>+'Estado resul corregido'!E15</f>
        <v>6739486.9170583552</v>
      </c>
      <c r="E32" s="393">
        <f>+'Estado resul corregido'!F15</f>
        <v>3361859.7408791566</v>
      </c>
      <c r="F32" s="393">
        <f>+'Estado resul corregido'!G15</f>
        <v>2500000</v>
      </c>
      <c r="G32" s="393">
        <f>+'Estado resul corregido'!H15</f>
        <v>2500000</v>
      </c>
    </row>
    <row r="33" spans="2:14" x14ac:dyDescent="0.25">
      <c r="B33" s="390" t="s">
        <v>320</v>
      </c>
      <c r="C33" s="393">
        <f>('Estado resul corregido'!D11*4)/1000</f>
        <v>292968.03359999991</v>
      </c>
      <c r="D33" s="393">
        <f>('Estado resul corregido'!E11*4)/1000</f>
        <v>335287.78919267585</v>
      </c>
      <c r="E33" s="393">
        <f>('Estado resul corregido'!F11*4)/1000</f>
        <v>383074.20901512698</v>
      </c>
      <c r="F33" s="393">
        <f>('Estado resul corregido'!G11*4)/1000</f>
        <v>436894.42340289068</v>
      </c>
      <c r="G33" s="393">
        <f>('Estado resul corregido'!H11*4)/1000</f>
        <v>497380.15987533948</v>
      </c>
    </row>
    <row r="34" spans="2:14" x14ac:dyDescent="0.25">
      <c r="B34" s="244" t="s">
        <v>321</v>
      </c>
      <c r="C34" s="394">
        <f>C31+C32+C33</f>
        <v>292968.03359999991</v>
      </c>
      <c r="D34" s="394">
        <f>D31+D32+D33</f>
        <v>7074774.7062510308</v>
      </c>
      <c r="E34" s="394">
        <f t="shared" ref="E34:G34" si="9">E31+E32+E33</f>
        <v>3744933.9498942834</v>
      </c>
      <c r="F34" s="394">
        <f t="shared" si="9"/>
        <v>2936894.4234028906</v>
      </c>
      <c r="G34" s="394">
        <f t="shared" si="9"/>
        <v>2997380.1598753394</v>
      </c>
    </row>
    <row r="35" spans="2:14" x14ac:dyDescent="0.25">
      <c r="B35" s="244" t="s">
        <v>322</v>
      </c>
      <c r="C35" s="393">
        <f>C29+C34</f>
        <v>98292968.033600003</v>
      </c>
      <c r="D35" s="393">
        <f>D29-D34</f>
        <v>60925225.293748967</v>
      </c>
      <c r="E35" s="393">
        <f>E29-E34</f>
        <v>4255066.050105717</v>
      </c>
      <c r="F35" s="393">
        <f>F29-F34</f>
        <v>5063105.5765971094</v>
      </c>
      <c r="G35" s="393">
        <f>G29-G34</f>
        <v>5002619.8401246611</v>
      </c>
      <c r="J35">
        <v>-7621813.3344000131</v>
      </c>
      <c r="K35">
        <v>57115059.935562514</v>
      </c>
      <c r="L35">
        <v>68340153.435321137</v>
      </c>
      <c r="M35">
        <v>84780909.470409662</v>
      </c>
      <c r="N35">
        <v>106338034.81734201</v>
      </c>
    </row>
    <row r="36" spans="2:14" x14ac:dyDescent="0.25">
      <c r="B36" s="244" t="s">
        <v>323</v>
      </c>
      <c r="C36" s="393">
        <f>C25+C35</f>
        <v>-7621813.3344000131</v>
      </c>
      <c r="D36" s="393">
        <f>D25+D35</f>
        <v>64736873.269962527</v>
      </c>
      <c r="E36" s="393">
        <f>E25+E35</f>
        <v>11225093.499758627</v>
      </c>
      <c r="F36" s="393">
        <f>F25+F35</f>
        <v>16440756.035088524</v>
      </c>
      <c r="G36" s="393">
        <f>G25+G35</f>
        <v>21557125.346932344</v>
      </c>
      <c r="J36">
        <v>-45136571.925381795</v>
      </c>
      <c r="K36">
        <v>-21760116.263194099</v>
      </c>
      <c r="L36">
        <v>-56675019.688274197</v>
      </c>
      <c r="M36">
        <v>-91706164.313827872</v>
      </c>
      <c r="N36">
        <v>-127568946.63275003</v>
      </c>
    </row>
    <row r="37" spans="2:14" x14ac:dyDescent="0.25">
      <c r="B37" s="244" t="s">
        <v>324</v>
      </c>
      <c r="C37" s="393">
        <f>C36</f>
        <v>-7621813.3344000131</v>
      </c>
      <c r="D37" s="393">
        <f>D36</f>
        <v>64736873.269962527</v>
      </c>
      <c r="E37" s="393">
        <f t="shared" ref="E37:G37" si="10">E36</f>
        <v>11225093.499758627</v>
      </c>
      <c r="F37" s="393">
        <f t="shared" si="10"/>
        <v>16440756.035088524</v>
      </c>
      <c r="G37" s="393">
        <f t="shared" si="10"/>
        <v>21557125.346932344</v>
      </c>
      <c r="J37">
        <v>-82430878.485381782</v>
      </c>
      <c r="K37">
        <v>-100171805.03100377</v>
      </c>
      <c r="L37">
        <v>-180955551.20871186</v>
      </c>
      <c r="M37">
        <v>-267156070.49999243</v>
      </c>
      <c r="N37">
        <v>-360101280.59678841</v>
      </c>
    </row>
    <row r="38" spans="2:14" s="21" customFormat="1" x14ac:dyDescent="0.25">
      <c r="B38" s="244" t="s">
        <v>325</v>
      </c>
      <c r="C38" s="393">
        <v>0</v>
      </c>
      <c r="D38" s="394">
        <f>C39</f>
        <v>-7621813.3344000131</v>
      </c>
      <c r="E38" s="394">
        <f t="shared" ref="E38:G38" si="11">D39</f>
        <v>57115059.935562514</v>
      </c>
      <c r="F38" s="394">
        <f t="shared" si="11"/>
        <v>68340153.435321137</v>
      </c>
      <c r="G38" s="394">
        <f t="shared" si="11"/>
        <v>84780909.470409662</v>
      </c>
    </row>
    <row r="39" spans="2:14" x14ac:dyDescent="0.25">
      <c r="B39" s="390" t="s">
        <v>326</v>
      </c>
      <c r="C39" s="394">
        <f>C37+C38</f>
        <v>-7621813.3344000131</v>
      </c>
      <c r="D39" s="393">
        <f>D37+D38</f>
        <v>57115059.935562514</v>
      </c>
      <c r="E39" s="393">
        <f t="shared" ref="E39:G39" si="12">E37+E38</f>
        <v>68340153.435321137</v>
      </c>
      <c r="F39" s="393">
        <f t="shared" si="12"/>
        <v>84780909.470409662</v>
      </c>
      <c r="G39" s="393">
        <f t="shared" si="12"/>
        <v>106338034.81734201</v>
      </c>
      <c r="H39" s="237"/>
    </row>
    <row r="41" spans="2:14" x14ac:dyDescent="0.25">
      <c r="D41" s="6"/>
    </row>
    <row r="42" spans="2:14" x14ac:dyDescent="0.25">
      <c r="C42" s="428"/>
      <c r="D42" s="429"/>
      <c r="E42" s="430"/>
    </row>
    <row r="43" spans="2:14" x14ac:dyDescent="0.25">
      <c r="C43" s="431"/>
      <c r="D43" s="432"/>
      <c r="E43" s="433"/>
    </row>
    <row r="44" spans="2:14" x14ac:dyDescent="0.25">
      <c r="C44" s="431"/>
      <c r="D44" s="432"/>
      <c r="E44" s="433"/>
    </row>
    <row r="45" spans="2:14" x14ac:dyDescent="0.25">
      <c r="C45" s="434"/>
      <c r="D45" s="435"/>
      <c r="E45" s="436"/>
    </row>
  </sheetData>
  <mergeCells count="1">
    <mergeCell ref="C42:E4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804B2-26D3-4ADD-9374-A759B9E8012C}">
  <dimension ref="A1:I27"/>
  <sheetViews>
    <sheetView topLeftCell="A46" zoomScale="106" workbookViewId="0">
      <selection activeCell="B15" sqref="B15:F15"/>
    </sheetView>
  </sheetViews>
  <sheetFormatPr baseColWidth="10" defaultColWidth="18.85546875" defaultRowHeight="15" x14ac:dyDescent="0.25"/>
  <sheetData>
    <row r="1" spans="2:7" x14ac:dyDescent="0.25">
      <c r="B1" s="437" t="s">
        <v>48</v>
      </c>
      <c r="C1" s="437"/>
      <c r="D1" s="437"/>
      <c r="E1" s="437"/>
      <c r="F1" s="437"/>
    </row>
    <row r="2" spans="2:7" x14ac:dyDescent="0.25">
      <c r="B2" s="437" t="s">
        <v>47</v>
      </c>
      <c r="C2" s="437"/>
      <c r="D2" s="437"/>
      <c r="E2" s="437"/>
      <c r="F2" s="437"/>
    </row>
    <row r="3" spans="2:7" x14ac:dyDescent="0.25">
      <c r="B3" s="3"/>
      <c r="C3" s="3"/>
      <c r="D3" s="3"/>
      <c r="E3" s="3"/>
    </row>
    <row r="4" spans="2:7" x14ac:dyDescent="0.25">
      <c r="B4" s="31" t="s">
        <v>46</v>
      </c>
      <c r="C4" s="31">
        <v>2010</v>
      </c>
      <c r="D4" s="31">
        <v>2015</v>
      </c>
      <c r="E4" s="31">
        <v>2020</v>
      </c>
      <c r="F4" s="31" t="s">
        <v>45</v>
      </c>
    </row>
    <row r="5" spans="2:7" x14ac:dyDescent="0.25">
      <c r="B5" s="21" t="s">
        <v>44</v>
      </c>
      <c r="C5" s="6">
        <f>+F5*$C$9</f>
        <v>16153900000</v>
      </c>
      <c r="D5" s="6">
        <f>+F5*$D$9</f>
        <v>21582400000</v>
      </c>
      <c r="E5" s="6">
        <f>+F5*$E$9</f>
        <v>23260300000</v>
      </c>
      <c r="F5" s="19">
        <v>0.32900000000000001</v>
      </c>
    </row>
    <row r="6" spans="2:7" x14ac:dyDescent="0.25">
      <c r="B6" s="21" t="s">
        <v>43</v>
      </c>
      <c r="C6" s="6">
        <f>+F6*$C$9</f>
        <v>6235700000</v>
      </c>
      <c r="D6" s="6">
        <f>+F6*$D$9</f>
        <v>8331200000</v>
      </c>
      <c r="E6" s="6">
        <f>+F6*$E$9</f>
        <v>8978900000</v>
      </c>
      <c r="F6" s="19">
        <v>0.127</v>
      </c>
    </row>
    <row r="7" spans="2:7" x14ac:dyDescent="0.25">
      <c r="B7" s="21" t="s">
        <v>42</v>
      </c>
      <c r="C7" s="6">
        <f>+F7*$C$9</f>
        <v>5744700000</v>
      </c>
      <c r="D7" s="6">
        <f>+F7*$D$9</f>
        <v>7675200000</v>
      </c>
      <c r="E7" s="6">
        <f>+F7*$E$9</f>
        <v>8271900000.000001</v>
      </c>
      <c r="F7" s="19">
        <v>0.11700000000000001</v>
      </c>
    </row>
    <row r="8" spans="2:7" x14ac:dyDescent="0.25">
      <c r="B8" s="21" t="s">
        <v>41</v>
      </c>
      <c r="C8" s="6">
        <f>+F8*$C$9</f>
        <v>20965700000</v>
      </c>
      <c r="D8" s="6">
        <f>+F8*$D$9</f>
        <v>28011200000</v>
      </c>
      <c r="E8" s="6">
        <f>+F8*$E$9</f>
        <v>30188900000</v>
      </c>
      <c r="F8" s="19">
        <v>0.42699999999999999</v>
      </c>
    </row>
    <row r="9" spans="2:7" x14ac:dyDescent="0.25">
      <c r="B9" s="21" t="s">
        <v>402</v>
      </c>
      <c r="C9" s="83">
        <v>49100000000</v>
      </c>
      <c r="D9" s="83">
        <v>65600000000</v>
      </c>
      <c r="E9" s="83">
        <v>70700000000</v>
      </c>
      <c r="F9" s="84">
        <f>+SUM(F5:F8)</f>
        <v>1</v>
      </c>
    </row>
    <row r="10" spans="2:7" x14ac:dyDescent="0.25">
      <c r="B10" s="21" t="s">
        <v>403</v>
      </c>
      <c r="C10" s="6">
        <f>C9*$E$19</f>
        <v>3786592000.0000005</v>
      </c>
      <c r="D10" s="6">
        <f t="shared" ref="D10:E10" si="0">D9*$E$19</f>
        <v>5059072000.000001</v>
      </c>
      <c r="E10" s="6">
        <f t="shared" si="0"/>
        <v>5452384000.000001</v>
      </c>
      <c r="F10" s="19"/>
    </row>
    <row r="11" spans="2:7" x14ac:dyDescent="0.25">
      <c r="B11" s="21"/>
      <c r="C11" s="135"/>
      <c r="D11" s="135"/>
      <c r="E11" s="135"/>
      <c r="F11" s="19"/>
    </row>
    <row r="12" spans="2:7" x14ac:dyDescent="0.25">
      <c r="B12" s="21"/>
      <c r="F12" s="19"/>
    </row>
    <row r="13" spans="2:7" x14ac:dyDescent="0.25">
      <c r="D13" s="31" t="s">
        <v>40</v>
      </c>
      <c r="E13" s="31" t="s">
        <v>39</v>
      </c>
      <c r="F13" s="31" t="s">
        <v>38</v>
      </c>
    </row>
    <row r="14" spans="2:7" x14ac:dyDescent="0.25">
      <c r="B14" s="19">
        <v>5.0000000000000001E-3</v>
      </c>
      <c r="C14" s="19">
        <v>0.01</v>
      </c>
      <c r="D14" s="19">
        <v>0.03</v>
      </c>
      <c r="E14" s="19">
        <v>0.04</v>
      </c>
      <c r="F14" s="19">
        <v>0.05</v>
      </c>
    </row>
    <row r="15" spans="2:7" x14ac:dyDescent="0.25">
      <c r="B15" s="156">
        <f>$E$10*B14</f>
        <v>27261920.000000004</v>
      </c>
      <c r="C15" s="156">
        <f>$E$10*C14</f>
        <v>54523840.000000007</v>
      </c>
      <c r="D15" s="156">
        <f>$E$10*D14</f>
        <v>163571520.00000003</v>
      </c>
      <c r="E15" s="156">
        <f>$E$10*E14</f>
        <v>218095360.00000003</v>
      </c>
      <c r="F15" s="156">
        <f>$E$10*F14</f>
        <v>272619200.00000006</v>
      </c>
      <c r="G15" s="154" t="s">
        <v>404</v>
      </c>
    </row>
    <row r="16" spans="2:7" x14ac:dyDescent="0.25">
      <c r="B16" s="151">
        <f t="shared" ref="B16:D16" si="1">+B15/12</f>
        <v>2271826.666666667</v>
      </c>
      <c r="C16" s="151">
        <f t="shared" si="1"/>
        <v>4543653.333333334</v>
      </c>
      <c r="D16" s="315">
        <f t="shared" si="1"/>
        <v>13630960.000000002</v>
      </c>
      <c r="E16" s="315">
        <f>+E15/12</f>
        <v>18174613.333333336</v>
      </c>
      <c r="F16" s="315">
        <f>+F15/12</f>
        <v>22718266.666666672</v>
      </c>
      <c r="G16" t="s">
        <v>405</v>
      </c>
    </row>
    <row r="17" spans="1:9" x14ac:dyDescent="0.25">
      <c r="A17" s="157"/>
      <c r="B17" s="169"/>
      <c r="C17" s="169"/>
      <c r="D17" s="169"/>
      <c r="E17" s="169"/>
      <c r="F17" s="169"/>
      <c r="G17" s="168"/>
    </row>
    <row r="18" spans="1:9" x14ac:dyDescent="0.25">
      <c r="C18" s="214" t="s">
        <v>429</v>
      </c>
      <c r="D18" s="214" t="s">
        <v>431</v>
      </c>
      <c r="E18" s="214" t="s">
        <v>430</v>
      </c>
    </row>
    <row r="19" spans="1:9" x14ac:dyDescent="0.25">
      <c r="B19" s="164"/>
      <c r="C19" s="170">
        <v>0.08</v>
      </c>
      <c r="D19" s="213">
        <v>0.96399999999999997</v>
      </c>
      <c r="E19" s="171">
        <f>+C19*(96.4%)</f>
        <v>7.7120000000000008E-2</v>
      </c>
    </row>
    <row r="20" spans="1:9" x14ac:dyDescent="0.25">
      <c r="G20" s="6">
        <v>22718266.666666672</v>
      </c>
    </row>
    <row r="23" spans="1:9" x14ac:dyDescent="0.25">
      <c r="G23" s="415"/>
    </row>
    <row r="27" spans="1:9" x14ac:dyDescent="0.25">
      <c r="I27" s="415"/>
    </row>
  </sheetData>
  <mergeCells count="2">
    <mergeCell ref="B1:F1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76215-21C1-4180-BE43-AB3B994D042D}">
  <dimension ref="B2:J65"/>
  <sheetViews>
    <sheetView topLeftCell="A54" workbookViewId="0">
      <selection activeCell="F65" sqref="F65"/>
    </sheetView>
  </sheetViews>
  <sheetFormatPr baseColWidth="10" defaultRowHeight="15" x14ac:dyDescent="0.25"/>
  <cols>
    <col min="2" max="2" width="25.28515625" bestFit="1" customWidth="1"/>
    <col min="3" max="3" width="17.85546875" bestFit="1" customWidth="1"/>
    <col min="4" max="4" width="14.42578125" bestFit="1" customWidth="1"/>
    <col min="5" max="5" width="39.42578125" bestFit="1" customWidth="1"/>
    <col min="6" max="6" width="16.85546875" bestFit="1" customWidth="1"/>
    <col min="7" max="7" width="12" bestFit="1" customWidth="1"/>
    <col min="8" max="8" width="34.140625" bestFit="1" customWidth="1"/>
    <col min="9" max="9" width="19.28515625" bestFit="1" customWidth="1"/>
  </cols>
  <sheetData>
    <row r="2" spans="2:9" x14ac:dyDescent="0.25">
      <c r="B2" s="440" t="s">
        <v>0</v>
      </c>
      <c r="C2" s="441"/>
      <c r="D2" s="442"/>
      <c r="E2" s="12" t="s">
        <v>1</v>
      </c>
      <c r="F2" s="13"/>
      <c r="H2" s="1" t="s">
        <v>410</v>
      </c>
      <c r="I2" s="11">
        <v>1018829</v>
      </c>
    </row>
    <row r="3" spans="2:9" x14ac:dyDescent="0.25">
      <c r="B3" s="2" t="s">
        <v>2</v>
      </c>
      <c r="C3" s="2"/>
      <c r="D3" s="2"/>
      <c r="E3" s="2" t="s">
        <v>3</v>
      </c>
      <c r="F3" s="11">
        <v>2000000</v>
      </c>
      <c r="H3" s="1" t="s">
        <v>408</v>
      </c>
      <c r="I3" s="8">
        <v>2288251</v>
      </c>
    </row>
    <row r="4" spans="2:9" x14ac:dyDescent="0.25">
      <c r="B4" s="2"/>
      <c r="C4" s="2"/>
      <c r="D4" s="2"/>
      <c r="E4" s="2" t="s">
        <v>4</v>
      </c>
      <c r="F4" s="11">
        <v>100000</v>
      </c>
      <c r="H4" s="1" t="s">
        <v>409</v>
      </c>
      <c r="I4" s="8">
        <f>+I3+I2</f>
        <v>3307080</v>
      </c>
    </row>
    <row r="5" spans="2:9" x14ac:dyDescent="0.25">
      <c r="B5" s="2" t="s">
        <v>16</v>
      </c>
      <c r="C5" s="2"/>
      <c r="D5" s="2"/>
      <c r="E5" s="2" t="s">
        <v>5</v>
      </c>
      <c r="F5" s="11">
        <v>200000</v>
      </c>
      <c r="H5" s="1" t="s">
        <v>411</v>
      </c>
      <c r="I5" s="7">
        <f>+I4/1000</f>
        <v>3307.08</v>
      </c>
    </row>
    <row r="6" spans="2:9" x14ac:dyDescent="0.25">
      <c r="B6" s="2"/>
      <c r="C6" s="2"/>
      <c r="D6" s="2"/>
      <c r="E6" s="2" t="s">
        <v>15</v>
      </c>
      <c r="F6" s="11">
        <v>120000</v>
      </c>
      <c r="H6" s="1" t="s">
        <v>412</v>
      </c>
      <c r="I6" s="7">
        <f>+I5*(1+66.3%)</f>
        <v>5499.674039999999</v>
      </c>
    </row>
    <row r="7" spans="2:9" x14ac:dyDescent="0.25">
      <c r="B7" s="2"/>
      <c r="C7" s="2"/>
      <c r="D7" s="2"/>
      <c r="E7" s="2" t="s">
        <v>17</v>
      </c>
      <c r="F7" s="11">
        <v>60000</v>
      </c>
    </row>
    <row r="8" spans="2:9" x14ac:dyDescent="0.25">
      <c r="B8" s="440" t="s">
        <v>6</v>
      </c>
      <c r="C8" s="441"/>
      <c r="D8" s="442"/>
      <c r="E8" s="14" t="s">
        <v>7</v>
      </c>
      <c r="F8" s="15"/>
      <c r="H8" s="178"/>
      <c r="I8" s="179"/>
    </row>
    <row r="9" spans="2:9" x14ac:dyDescent="0.25">
      <c r="B9" s="2" t="s">
        <v>8</v>
      </c>
      <c r="C9" s="2"/>
      <c r="D9" s="2"/>
      <c r="E9" s="2" t="s">
        <v>9</v>
      </c>
      <c r="F9" s="11"/>
      <c r="H9" s="178"/>
      <c r="I9" s="157"/>
    </row>
    <row r="10" spans="2:9" x14ac:dyDescent="0.25">
      <c r="B10" s="2"/>
      <c r="C10" s="2"/>
      <c r="D10" s="2"/>
      <c r="E10" s="2" t="s">
        <v>14</v>
      </c>
      <c r="F10" s="11"/>
      <c r="H10" s="178"/>
      <c r="I10" s="179"/>
    </row>
    <row r="11" spans="2:9" x14ac:dyDescent="0.25">
      <c r="B11" s="2"/>
      <c r="C11" s="2"/>
      <c r="D11" s="2"/>
      <c r="E11" s="2" t="s">
        <v>10</v>
      </c>
      <c r="F11" s="11"/>
      <c r="H11" s="178"/>
      <c r="I11" s="179"/>
    </row>
    <row r="12" spans="2:9" x14ac:dyDescent="0.25">
      <c r="B12" s="2"/>
      <c r="C12" s="2"/>
      <c r="D12" s="2"/>
      <c r="E12" s="2" t="s">
        <v>11</v>
      </c>
      <c r="F12" s="11"/>
    </row>
    <row r="13" spans="2:9" x14ac:dyDescent="0.25">
      <c r="B13" s="2"/>
      <c r="C13" s="2"/>
      <c r="D13" s="2"/>
      <c r="E13" s="2" t="s">
        <v>12</v>
      </c>
      <c r="F13" s="11"/>
      <c r="G13" s="4"/>
    </row>
    <row r="14" spans="2:9" x14ac:dyDescent="0.25">
      <c r="B14" s="2"/>
      <c r="C14" s="2"/>
      <c r="D14" s="2"/>
      <c r="E14" s="2" t="s">
        <v>13</v>
      </c>
      <c r="F14" s="11"/>
    </row>
    <row r="15" spans="2:9" x14ac:dyDescent="0.25">
      <c r="F15" s="4"/>
      <c r="H15" s="438" t="s">
        <v>19</v>
      </c>
      <c r="I15" s="439"/>
    </row>
    <row r="16" spans="2:9" x14ac:dyDescent="0.25">
      <c r="H16" s="2" t="s">
        <v>20</v>
      </c>
      <c r="I16" s="7">
        <v>4000000</v>
      </c>
    </row>
    <row r="17" spans="2:9" x14ac:dyDescent="0.25">
      <c r="B17" s="438" t="s">
        <v>18</v>
      </c>
      <c r="C17" s="443"/>
      <c r="D17" s="439"/>
      <c r="E17" s="2"/>
      <c r="H17" s="2"/>
      <c r="I17" s="7"/>
    </row>
    <row r="18" spans="2:9" x14ac:dyDescent="0.25">
      <c r="H18" s="2" t="s">
        <v>21</v>
      </c>
      <c r="I18" s="444">
        <v>1000000</v>
      </c>
    </row>
    <row r="19" spans="2:9" x14ac:dyDescent="0.25">
      <c r="H19" s="2" t="s">
        <v>22</v>
      </c>
      <c r="I19" s="445"/>
    </row>
    <row r="20" spans="2:9" x14ac:dyDescent="0.25">
      <c r="B20" s="1" t="s">
        <v>29</v>
      </c>
      <c r="C20" s="21"/>
      <c r="D20" s="21"/>
      <c r="E20" s="21"/>
      <c r="F20" s="21"/>
      <c r="H20" s="2" t="s">
        <v>23</v>
      </c>
      <c r="I20" s="445"/>
    </row>
    <row r="21" spans="2:9" x14ac:dyDescent="0.25">
      <c r="B21" s="1" t="s">
        <v>30</v>
      </c>
      <c r="C21" s="1" t="s">
        <v>31</v>
      </c>
      <c r="D21" s="1" t="s">
        <v>32</v>
      </c>
      <c r="E21" s="1" t="s">
        <v>33</v>
      </c>
      <c r="F21" s="1" t="s">
        <v>34</v>
      </c>
      <c r="H21" s="2" t="s">
        <v>24</v>
      </c>
      <c r="I21" s="446"/>
    </row>
    <row r="22" spans="2:9" x14ac:dyDescent="0.25">
      <c r="B22" s="16">
        <v>44927</v>
      </c>
      <c r="C22" s="2"/>
      <c r="D22" s="2"/>
      <c r="E22" s="2"/>
      <c r="F22" s="313">
        <v>60000000</v>
      </c>
      <c r="H22" s="9" t="s">
        <v>128</v>
      </c>
      <c r="I22" s="7">
        <v>1600000</v>
      </c>
    </row>
    <row r="23" spans="2:9" x14ac:dyDescent="0.25">
      <c r="B23" s="16">
        <v>44958</v>
      </c>
      <c r="C23" s="11">
        <f t="shared" ref="C23:C40" si="0">+$E$45</f>
        <v>3616741.4809965282</v>
      </c>
      <c r="D23" s="2">
        <f>+F22*$C$44</f>
        <v>524075.62941311434</v>
      </c>
      <c r="E23" s="11">
        <f>+C23-D23</f>
        <v>3092665.8515834138</v>
      </c>
      <c r="F23" s="11">
        <f>+F22-E23</f>
        <v>56907334.148416586</v>
      </c>
      <c r="H23" s="9" t="s">
        <v>25</v>
      </c>
      <c r="I23" s="10">
        <v>280000</v>
      </c>
    </row>
    <row r="24" spans="2:9" x14ac:dyDescent="0.25">
      <c r="B24" s="16">
        <v>44986</v>
      </c>
      <c r="C24" s="11">
        <f t="shared" si="0"/>
        <v>3616741.4809965282</v>
      </c>
      <c r="D24" s="2">
        <f>+F23*$C$44</f>
        <v>497062.449367564</v>
      </c>
      <c r="E24" s="11">
        <f t="shared" ref="E24:E27" si="1">+C24-D24</f>
        <v>3119679.031628964</v>
      </c>
      <c r="F24" s="11">
        <f t="shared" ref="F24:F27" si="2">+F23-E24</f>
        <v>53787655.11678762</v>
      </c>
      <c r="H24" s="2" t="s">
        <v>79</v>
      </c>
      <c r="I24" s="7">
        <f>100000*3</f>
        <v>300000</v>
      </c>
    </row>
    <row r="25" spans="2:9" x14ac:dyDescent="0.25">
      <c r="B25" s="16">
        <v>45017</v>
      </c>
      <c r="C25" s="11">
        <f t="shared" si="0"/>
        <v>3616741.4809965282</v>
      </c>
      <c r="D25" s="2">
        <f>+F24*$C$44</f>
        <v>469813.32016643323</v>
      </c>
      <c r="E25" s="11">
        <f t="shared" si="1"/>
        <v>3146928.1608300949</v>
      </c>
      <c r="F25" s="11">
        <f t="shared" si="2"/>
        <v>50640726.955957524</v>
      </c>
      <c r="H25" s="9" t="s">
        <v>498</v>
      </c>
      <c r="I25" s="7">
        <f>300000*3</f>
        <v>900000</v>
      </c>
    </row>
    <row r="26" spans="2:9" x14ac:dyDescent="0.25">
      <c r="B26" s="16">
        <v>45047</v>
      </c>
      <c r="C26" s="11">
        <f t="shared" si="0"/>
        <v>3616741.4809965282</v>
      </c>
      <c r="D26" s="2">
        <f>+F25*$C$44</f>
        <v>442326.18088968511</v>
      </c>
      <c r="E26" s="11">
        <f t="shared" si="1"/>
        <v>3174415.300106843</v>
      </c>
      <c r="F26" s="11">
        <f t="shared" si="2"/>
        <v>47466311.655850679</v>
      </c>
      <c r="H26" s="9" t="s">
        <v>80</v>
      </c>
      <c r="I26" s="7">
        <v>3600000</v>
      </c>
    </row>
    <row r="27" spans="2:9" x14ac:dyDescent="0.25">
      <c r="B27" s="16">
        <v>45078</v>
      </c>
      <c r="C27" s="11">
        <f t="shared" si="0"/>
        <v>3616741.4809965282</v>
      </c>
      <c r="D27" s="2">
        <f>+F26*$C$44</f>
        <v>414598.9526159832</v>
      </c>
      <c r="E27" s="11">
        <f t="shared" si="1"/>
        <v>3202142.5283805449</v>
      </c>
      <c r="F27" s="11">
        <f t="shared" si="2"/>
        <v>44264169.127470136</v>
      </c>
      <c r="H27" s="24" t="s">
        <v>81</v>
      </c>
      <c r="I27" s="240">
        <v>600000</v>
      </c>
    </row>
    <row r="28" spans="2:9" x14ac:dyDescent="0.25">
      <c r="B28" s="16">
        <v>45108</v>
      </c>
      <c r="C28" s="11">
        <f t="shared" si="0"/>
        <v>3616741.4809965282</v>
      </c>
      <c r="D28" s="2">
        <f t="shared" ref="D28:D39" si="3">+F27*$C$44</f>
        <v>386629.53826545761</v>
      </c>
      <c r="E28" s="11">
        <f t="shared" ref="E28:E40" si="4">+C28-D28</f>
        <v>3230111.9427310703</v>
      </c>
      <c r="F28" s="11">
        <f t="shared" ref="F28:F40" si="5">+F27-E28</f>
        <v>41034057.184739068</v>
      </c>
      <c r="H28" s="9" t="s">
        <v>82</v>
      </c>
      <c r="I28" s="11">
        <v>130000</v>
      </c>
    </row>
    <row r="29" spans="2:9" x14ac:dyDescent="0.25">
      <c r="B29" s="16">
        <v>45139</v>
      </c>
      <c r="C29" s="11">
        <f t="shared" si="0"/>
        <v>3616741.4809965282</v>
      </c>
      <c r="D29" s="2">
        <f t="shared" si="3"/>
        <v>358415.82244109758</v>
      </c>
      <c r="E29" s="11">
        <f t="shared" si="4"/>
        <v>3258325.6585554304</v>
      </c>
      <c r="F29" s="11">
        <f t="shared" si="5"/>
        <v>37775731.526183635</v>
      </c>
      <c r="H29" s="29" t="s">
        <v>117</v>
      </c>
      <c r="I29" s="25">
        <f>+I22+I16</f>
        <v>5600000</v>
      </c>
    </row>
    <row r="30" spans="2:9" x14ac:dyDescent="0.25">
      <c r="B30" s="16">
        <v>45170</v>
      </c>
      <c r="C30" s="11">
        <f t="shared" si="0"/>
        <v>3616741.4809965282</v>
      </c>
      <c r="D30" s="2">
        <f t="shared" si="3"/>
        <v>329955.6712687586</v>
      </c>
      <c r="E30" s="11">
        <f t="shared" si="4"/>
        <v>3286785.8097277693</v>
      </c>
      <c r="F30" s="11">
        <f t="shared" si="5"/>
        <v>34488945.716455862</v>
      </c>
      <c r="H30" s="1" t="s">
        <v>127</v>
      </c>
      <c r="I30" s="28">
        <f>+I23</f>
        <v>280000</v>
      </c>
    </row>
    <row r="31" spans="2:9" x14ac:dyDescent="0.25">
      <c r="B31" s="16">
        <v>45200</v>
      </c>
      <c r="C31" s="11">
        <f t="shared" si="0"/>
        <v>3616741.4809965282</v>
      </c>
      <c r="D31" s="2">
        <f t="shared" si="3"/>
        <v>301246.93223577231</v>
      </c>
      <c r="E31" s="11">
        <f t="shared" si="4"/>
        <v>3315494.5487607559</v>
      </c>
      <c r="F31" s="11">
        <f t="shared" si="5"/>
        <v>31173451.167695105</v>
      </c>
      <c r="H31" s="27" t="s">
        <v>83</v>
      </c>
      <c r="I31" s="25">
        <f>+I28+I25+I24</f>
        <v>1330000</v>
      </c>
    </row>
    <row r="32" spans="2:9" x14ac:dyDescent="0.25">
      <c r="B32" s="16">
        <v>45231</v>
      </c>
      <c r="C32" s="11">
        <f t="shared" si="0"/>
        <v>3616741.4809965282</v>
      </c>
      <c r="D32" s="2">
        <f t="shared" si="3"/>
        <v>272287.43402814661</v>
      </c>
      <c r="E32" s="11">
        <f t="shared" si="4"/>
        <v>3344454.0469683814</v>
      </c>
      <c r="F32" s="11">
        <f t="shared" si="5"/>
        <v>27828997.120726723</v>
      </c>
      <c r="H32" s="29" t="s">
        <v>373</v>
      </c>
      <c r="I32" s="25">
        <f>+I26+I27</f>
        <v>4200000</v>
      </c>
    </row>
    <row r="33" spans="2:9" x14ac:dyDescent="0.25">
      <c r="B33" s="16">
        <v>45261</v>
      </c>
      <c r="C33" s="11">
        <f t="shared" si="0"/>
        <v>3616741.4809965282</v>
      </c>
      <c r="D33" s="2">
        <f t="shared" si="3"/>
        <v>243074.98636634342</v>
      </c>
      <c r="E33" s="11">
        <f t="shared" si="4"/>
        <v>3373666.494630185</v>
      </c>
      <c r="F33" s="11">
        <f t="shared" si="5"/>
        <v>24455330.626096539</v>
      </c>
      <c r="H33" s="1" t="s">
        <v>26</v>
      </c>
      <c r="I33" s="25">
        <f>+SUM(I16:I28)</f>
        <v>12410000</v>
      </c>
    </row>
    <row r="34" spans="2:9" x14ac:dyDescent="0.25">
      <c r="B34" s="16">
        <v>45292</v>
      </c>
      <c r="C34" s="11">
        <f t="shared" si="0"/>
        <v>3616741.4809965282</v>
      </c>
      <c r="D34" s="2">
        <f t="shared" si="3"/>
        <v>213607.37983962259</v>
      </c>
      <c r="E34" s="11">
        <f t="shared" si="4"/>
        <v>3403134.1011569058</v>
      </c>
      <c r="F34" s="11">
        <f t="shared" si="5"/>
        <v>21052196.524939634</v>
      </c>
      <c r="H34" s="1" t="s">
        <v>336</v>
      </c>
      <c r="I34" s="25">
        <f>+I25+I24+I28</f>
        <v>1330000</v>
      </c>
    </row>
    <row r="35" spans="2:9" x14ac:dyDescent="0.25">
      <c r="B35" s="16">
        <v>45323</v>
      </c>
      <c r="C35" s="11">
        <f t="shared" si="0"/>
        <v>3616741.4809965282</v>
      </c>
      <c r="D35" s="2">
        <f t="shared" si="3"/>
        <v>183882.38573893864</v>
      </c>
      <c r="E35" s="11">
        <f t="shared" si="4"/>
        <v>3432859.0952575896</v>
      </c>
      <c r="F35" s="11">
        <f t="shared" si="5"/>
        <v>17619337.429682046</v>
      </c>
    </row>
    <row r="36" spans="2:9" x14ac:dyDescent="0.25">
      <c r="B36" s="16">
        <v>45352</v>
      </c>
      <c r="C36" s="11">
        <f t="shared" si="0"/>
        <v>3616741.4809965282</v>
      </c>
      <c r="D36" s="2">
        <f t="shared" si="3"/>
        <v>153897.75588837772</v>
      </c>
      <c r="E36" s="11">
        <f t="shared" si="4"/>
        <v>3462843.7251081504</v>
      </c>
      <c r="F36" s="11">
        <f t="shared" si="5"/>
        <v>14156493.704573896</v>
      </c>
    </row>
    <row r="37" spans="2:9" x14ac:dyDescent="0.25">
      <c r="B37" s="16">
        <v>45383</v>
      </c>
      <c r="C37" s="11">
        <f t="shared" si="0"/>
        <v>3616741.4809965282</v>
      </c>
      <c r="D37" s="2">
        <f t="shared" si="3"/>
        <v>123651.22247512259</v>
      </c>
      <c r="E37" s="11">
        <f t="shared" si="4"/>
        <v>3493090.2585214055</v>
      </c>
      <c r="F37" s="11">
        <f t="shared" si="5"/>
        <v>10663403.44605249</v>
      </c>
    </row>
    <row r="38" spans="2:9" x14ac:dyDescent="0.25">
      <c r="B38" s="16">
        <v>45413</v>
      </c>
      <c r="C38" s="11">
        <f t="shared" si="0"/>
        <v>3616741.4809965282</v>
      </c>
      <c r="D38" s="2">
        <f t="shared" si="3"/>
        <v>93140.497877932183</v>
      </c>
      <c r="E38" s="11">
        <f t="shared" si="4"/>
        <v>3523600.983118596</v>
      </c>
      <c r="F38" s="11">
        <f t="shared" si="5"/>
        <v>7139802.4629338942</v>
      </c>
    </row>
    <row r="39" spans="2:9" x14ac:dyDescent="0.25">
      <c r="B39" s="16">
        <v>45444</v>
      </c>
      <c r="C39" s="11">
        <f t="shared" si="0"/>
        <v>3616741.4809965282</v>
      </c>
      <c r="D39" s="2">
        <f t="shared" si="3"/>
        <v>62363.274494123078</v>
      </c>
      <c r="E39" s="11">
        <f t="shared" si="4"/>
        <v>3554378.206502405</v>
      </c>
      <c r="F39" s="11">
        <f t="shared" si="5"/>
        <v>3585424.2564314893</v>
      </c>
    </row>
    <row r="40" spans="2:9" x14ac:dyDescent="0.25">
      <c r="B40" s="16">
        <v>45474</v>
      </c>
      <c r="C40" s="11">
        <f t="shared" si="0"/>
        <v>3616741.4809965282</v>
      </c>
      <c r="D40" s="2">
        <f>+F39*$C$44</f>
        <v>31317.224565039673</v>
      </c>
      <c r="E40" s="11">
        <f t="shared" si="4"/>
        <v>3585424.2564314883</v>
      </c>
      <c r="F40" s="11">
        <f t="shared" si="5"/>
        <v>0</v>
      </c>
      <c r="H40" s="438" t="s">
        <v>27</v>
      </c>
      <c r="I40" s="439"/>
    </row>
    <row r="41" spans="2:9" x14ac:dyDescent="0.25">
      <c r="H41" s="2" t="s">
        <v>78</v>
      </c>
      <c r="I41" s="11">
        <v>1500000</v>
      </c>
    </row>
    <row r="42" spans="2:9" x14ac:dyDescent="0.25">
      <c r="H42" s="2" t="s">
        <v>77</v>
      </c>
      <c r="I42" s="11">
        <v>1500000</v>
      </c>
    </row>
    <row r="43" spans="2:9" x14ac:dyDescent="0.25">
      <c r="B43" s="1" t="s">
        <v>50</v>
      </c>
      <c r="C43" s="17">
        <v>0.11</v>
      </c>
      <c r="D43" s="2" t="s">
        <v>35</v>
      </c>
      <c r="E43" s="2"/>
      <c r="H43" s="2" t="s">
        <v>28</v>
      </c>
      <c r="I43" s="11">
        <v>1000000</v>
      </c>
    </row>
    <row r="44" spans="2:9" x14ac:dyDescent="0.25">
      <c r="B44" s="1" t="s">
        <v>51</v>
      </c>
      <c r="C44" s="20">
        <f>+((1+C43)^(1/12))-1</f>
        <v>8.7345938235519061E-3</v>
      </c>
      <c r="D44" s="2" t="s">
        <v>49</v>
      </c>
      <c r="E44" s="11">
        <f>+C46*((((1+C44)^(C45))*C44)/(((1+C44)^(C45))-1))</f>
        <v>3616741.480996538</v>
      </c>
      <c r="H44" s="9" t="s">
        <v>76</v>
      </c>
      <c r="I44" s="11">
        <f>1000000*2</f>
        <v>2000000</v>
      </c>
    </row>
    <row r="45" spans="2:9" x14ac:dyDescent="0.25">
      <c r="B45" s="1" t="s">
        <v>36</v>
      </c>
      <c r="C45" s="2">
        <v>18</v>
      </c>
      <c r="D45" s="2"/>
      <c r="E45" s="11">
        <f>-PMT(C44,C45,C46)</f>
        <v>3616741.4809965282</v>
      </c>
      <c r="H45" s="1" t="s">
        <v>241</v>
      </c>
      <c r="I45" s="11">
        <f>+I41+I42+I43+I44*2</f>
        <v>8000000</v>
      </c>
    </row>
    <row r="46" spans="2:9" x14ac:dyDescent="0.25">
      <c r="B46" s="1" t="s">
        <v>37</v>
      </c>
      <c r="C46" s="8">
        <v>60000000</v>
      </c>
      <c r="D46" s="2"/>
      <c r="E46" s="2"/>
    </row>
    <row r="50" spans="2:10" x14ac:dyDescent="0.25">
      <c r="B50" s="1" t="s">
        <v>503</v>
      </c>
    </row>
    <row r="51" spans="2:10" x14ac:dyDescent="0.25">
      <c r="B51" s="1" t="s">
        <v>504</v>
      </c>
      <c r="C51" s="250">
        <v>0.25</v>
      </c>
      <c r="D51" s="245" t="s">
        <v>35</v>
      </c>
    </row>
    <row r="53" spans="2:10" x14ac:dyDescent="0.25">
      <c r="B53" s="1" t="s">
        <v>505</v>
      </c>
      <c r="C53" s="1" t="s">
        <v>31</v>
      </c>
      <c r="D53" s="1" t="s">
        <v>506</v>
      </c>
      <c r="E53" s="1" t="s">
        <v>507</v>
      </c>
      <c r="F53" s="1" t="s">
        <v>34</v>
      </c>
    </row>
    <row r="54" spans="2:10" x14ac:dyDescent="0.25">
      <c r="B54" s="246">
        <v>44926</v>
      </c>
      <c r="C54" s="247"/>
      <c r="D54" s="247"/>
      <c r="E54" s="247"/>
      <c r="F54" s="249">
        <v>10000000</v>
      </c>
    </row>
    <row r="55" spans="2:10" x14ac:dyDescent="0.25">
      <c r="B55" s="248">
        <v>45291</v>
      </c>
      <c r="C55" s="251">
        <f>+D55</f>
        <v>2500000</v>
      </c>
      <c r="D55" s="251">
        <f>+F54*$C$51</f>
        <v>2500000</v>
      </c>
      <c r="E55" s="252">
        <v>0</v>
      </c>
      <c r="F55" s="251">
        <v>10000000</v>
      </c>
    </row>
    <row r="56" spans="2:10" x14ac:dyDescent="0.25">
      <c r="B56" s="246">
        <v>45657</v>
      </c>
      <c r="C56" s="251">
        <f t="shared" ref="C56:C57" si="6">+D56</f>
        <v>2500000</v>
      </c>
      <c r="D56" s="251">
        <f t="shared" ref="D56:D58" si="7">+F55*$C$51</f>
        <v>2500000</v>
      </c>
      <c r="E56" s="252">
        <v>0</v>
      </c>
      <c r="F56" s="251">
        <v>10000000</v>
      </c>
    </row>
    <row r="57" spans="2:10" x14ac:dyDescent="0.25">
      <c r="B57" s="248">
        <v>46022</v>
      </c>
      <c r="C57" s="251">
        <f t="shared" si="6"/>
        <v>2500000</v>
      </c>
      <c r="D57" s="251">
        <f t="shared" si="7"/>
        <v>2500000</v>
      </c>
      <c r="E57" s="252">
        <v>0</v>
      </c>
      <c r="F57" s="251">
        <v>10000000</v>
      </c>
    </row>
    <row r="58" spans="2:10" x14ac:dyDescent="0.25">
      <c r="B58" s="246">
        <v>46387</v>
      </c>
      <c r="C58" s="251">
        <f>+C57+F57</f>
        <v>12500000</v>
      </c>
      <c r="D58" s="251">
        <f t="shared" si="7"/>
        <v>2500000</v>
      </c>
      <c r="E58" s="252">
        <f>+F54</f>
        <v>10000000</v>
      </c>
      <c r="F58" s="251">
        <v>10000000</v>
      </c>
    </row>
    <row r="60" spans="2:10" x14ac:dyDescent="0.25">
      <c r="D60" s="312"/>
    </row>
    <row r="62" spans="2:10" x14ac:dyDescent="0.25">
      <c r="H62" s="428"/>
      <c r="I62" s="429"/>
      <c r="J62" s="430"/>
    </row>
    <row r="63" spans="2:10" x14ac:dyDescent="0.25">
      <c r="H63" s="431"/>
      <c r="I63" s="432"/>
      <c r="J63" s="433"/>
    </row>
    <row r="64" spans="2:10" x14ac:dyDescent="0.25">
      <c r="H64" s="431"/>
      <c r="I64" s="432"/>
      <c r="J64" s="433"/>
    </row>
    <row r="65" spans="8:10" x14ac:dyDescent="0.25">
      <c r="H65" s="434"/>
      <c r="I65" s="435"/>
      <c r="J65" s="436"/>
    </row>
  </sheetData>
  <mergeCells count="7">
    <mergeCell ref="H62:J65"/>
    <mergeCell ref="H40:I40"/>
    <mergeCell ref="B8:D8"/>
    <mergeCell ref="B2:D2"/>
    <mergeCell ref="B17:D17"/>
    <mergeCell ref="H15:I15"/>
    <mergeCell ref="I18:I21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7B9C-E452-4FE4-9BC5-2420BECD9C9F}">
  <dimension ref="A2:J41"/>
  <sheetViews>
    <sheetView topLeftCell="A51" zoomScale="78" zoomScaleNormal="78" workbookViewId="0">
      <selection activeCell="A41" sqref="A18:XFD41"/>
    </sheetView>
  </sheetViews>
  <sheetFormatPr baseColWidth="10" defaultRowHeight="15" x14ac:dyDescent="0.25"/>
  <cols>
    <col min="1" max="1" width="42.42578125" bestFit="1" customWidth="1"/>
    <col min="2" max="2" width="16.42578125" bestFit="1" customWidth="1"/>
    <col min="3" max="3" width="16.140625" bestFit="1" customWidth="1"/>
    <col min="4" max="4" width="20.7109375" bestFit="1" customWidth="1"/>
    <col min="5" max="5" width="17" bestFit="1" customWidth="1"/>
  </cols>
  <sheetData>
    <row r="2" spans="1:10" x14ac:dyDescent="0.25">
      <c r="A2" s="1" t="s">
        <v>126</v>
      </c>
    </row>
    <row r="3" spans="1:10" x14ac:dyDescent="0.25">
      <c r="A3" s="1" t="s">
        <v>125</v>
      </c>
      <c r="B3" s="1" t="s">
        <v>113</v>
      </c>
      <c r="C3" s="1" t="s">
        <v>124</v>
      </c>
      <c r="D3" s="1" t="s">
        <v>123</v>
      </c>
      <c r="E3" s="1" t="s">
        <v>122</v>
      </c>
      <c r="I3" t="s">
        <v>121</v>
      </c>
      <c r="J3">
        <v>5</v>
      </c>
    </row>
    <row r="4" spans="1:10" x14ac:dyDescent="0.25">
      <c r="A4" s="1" t="s">
        <v>120</v>
      </c>
      <c r="B4" s="30">
        <f>+'Costos '!I30</f>
        <v>280000</v>
      </c>
      <c r="C4" s="2">
        <v>10</v>
      </c>
      <c r="D4" s="11">
        <f>+B4/C4</f>
        <v>28000</v>
      </c>
      <c r="E4" s="11">
        <f>+B4-(D4*5)</f>
        <v>140000</v>
      </c>
      <c r="I4" t="s">
        <v>119</v>
      </c>
      <c r="J4">
        <f>+B7-D7</f>
        <v>5929000</v>
      </c>
    </row>
    <row r="5" spans="1:10" x14ac:dyDescent="0.25">
      <c r="A5" s="1" t="s">
        <v>118</v>
      </c>
      <c r="B5" s="30">
        <f>+'Costos '!I31</f>
        <v>1330000</v>
      </c>
      <c r="C5" s="2">
        <v>10</v>
      </c>
      <c r="D5" s="11">
        <f>+B5/C5</f>
        <v>133000</v>
      </c>
      <c r="E5" s="11">
        <f>+B5-(D5*5)</f>
        <v>665000</v>
      </c>
    </row>
    <row r="6" spans="1:10" x14ac:dyDescent="0.25">
      <c r="A6" s="1" t="s">
        <v>117</v>
      </c>
      <c r="B6" s="11">
        <f>+'Costos '!I29</f>
        <v>5600000</v>
      </c>
      <c r="C6" s="2">
        <v>5</v>
      </c>
      <c r="D6" s="11">
        <f>+B6/C6</f>
        <v>1120000</v>
      </c>
      <c r="E6" s="11">
        <f>+B6-(D6*5)</f>
        <v>0</v>
      </c>
      <c r="I6" t="s">
        <v>116</v>
      </c>
      <c r="J6">
        <f>+B15-D15</f>
        <v>1608</v>
      </c>
    </row>
    <row r="7" spans="1:10" x14ac:dyDescent="0.25">
      <c r="A7" s="2"/>
      <c r="B7" s="23">
        <f>+SUM(B4:B6)</f>
        <v>7210000</v>
      </c>
      <c r="C7" s="11"/>
      <c r="D7" s="23">
        <f>+SUM(D4:D6)</f>
        <v>1281000</v>
      </c>
      <c r="E7" s="23">
        <f>+SUM(E4:E6)</f>
        <v>805000</v>
      </c>
      <c r="F7" t="s">
        <v>115</v>
      </c>
    </row>
    <row r="9" spans="1:10" x14ac:dyDescent="0.25">
      <c r="A9" s="22" t="s">
        <v>114</v>
      </c>
      <c r="B9" s="2" t="s">
        <v>113</v>
      </c>
      <c r="C9" s="2" t="s">
        <v>112</v>
      </c>
      <c r="D9" s="2" t="s">
        <v>111</v>
      </c>
      <c r="E9" s="2"/>
    </row>
    <row r="10" spans="1:10" x14ac:dyDescent="0.25">
      <c r="A10" s="2" t="s">
        <v>110</v>
      </c>
      <c r="B10" s="2">
        <v>200</v>
      </c>
      <c r="C10" s="2">
        <v>1</v>
      </c>
      <c r="D10" s="2">
        <f>+B10/C10</f>
        <v>200</v>
      </c>
      <c r="E10" s="2"/>
    </row>
    <row r="11" spans="1:10" x14ac:dyDescent="0.25">
      <c r="A11" s="2" t="s">
        <v>109</v>
      </c>
      <c r="B11" s="2">
        <v>80</v>
      </c>
      <c r="C11" s="2">
        <v>2</v>
      </c>
      <c r="D11" s="2">
        <f>+B11/C11</f>
        <v>40</v>
      </c>
      <c r="E11" s="2"/>
    </row>
    <row r="12" spans="1:10" x14ac:dyDescent="0.25">
      <c r="A12" s="2" t="s">
        <v>108</v>
      </c>
      <c r="B12" s="2">
        <v>1500</v>
      </c>
      <c r="C12" s="2">
        <v>5</v>
      </c>
      <c r="D12" s="2">
        <f>+B12/C12</f>
        <v>300</v>
      </c>
      <c r="E12" s="2"/>
    </row>
    <row r="13" spans="1:10" x14ac:dyDescent="0.25">
      <c r="A13" s="2" t="s">
        <v>107</v>
      </c>
      <c r="B13" s="2">
        <v>400</v>
      </c>
      <c r="C13" s="2">
        <v>5</v>
      </c>
      <c r="D13" s="2">
        <f>+B13/C13</f>
        <v>80</v>
      </c>
      <c r="E13" s="2"/>
    </row>
    <row r="14" spans="1:10" x14ac:dyDescent="0.25">
      <c r="A14" s="2" t="s">
        <v>106</v>
      </c>
      <c r="B14" s="2">
        <v>60</v>
      </c>
      <c r="C14" s="2">
        <v>5</v>
      </c>
      <c r="D14" s="2">
        <f>+B14/C14</f>
        <v>12</v>
      </c>
      <c r="E14" s="2"/>
    </row>
    <row r="15" spans="1:10" x14ac:dyDescent="0.25">
      <c r="A15" s="2"/>
      <c r="B15" s="2">
        <f>SUM(B10:B14)</f>
        <v>2240</v>
      </c>
      <c r="C15" s="2"/>
      <c r="D15" s="2">
        <f>SUM(D10:D14)</f>
        <v>632</v>
      </c>
      <c r="E15" s="2"/>
    </row>
    <row r="18" spans="1:6" hidden="1" x14ac:dyDescent="0.25">
      <c r="A18" s="22" t="s">
        <v>105</v>
      </c>
      <c r="B18" s="22" t="s">
        <v>104</v>
      </c>
      <c r="C18" s="22" t="s">
        <v>53</v>
      </c>
      <c r="D18" s="22" t="s">
        <v>103</v>
      </c>
      <c r="E18" s="22" t="s">
        <v>102</v>
      </c>
    </row>
    <row r="19" spans="1:6" hidden="1" x14ac:dyDescent="0.25">
      <c r="A19" s="2" t="s">
        <v>101</v>
      </c>
      <c r="B19" s="2">
        <v>50</v>
      </c>
      <c r="C19" s="2">
        <v>50</v>
      </c>
      <c r="D19" s="2">
        <v>50</v>
      </c>
      <c r="E19" s="2"/>
    </row>
    <row r="20" spans="1:6" hidden="1" x14ac:dyDescent="0.25">
      <c r="A20" s="2" t="s">
        <v>100</v>
      </c>
      <c r="B20" s="2"/>
      <c r="C20" s="26">
        <f>1000/12</f>
        <v>83.333333333333329</v>
      </c>
      <c r="D20" s="2">
        <f>+(1200/12)</f>
        <v>100</v>
      </c>
      <c r="E20" s="2"/>
    </row>
    <row r="21" spans="1:6" hidden="1" x14ac:dyDescent="0.25">
      <c r="A21" s="2" t="s">
        <v>99</v>
      </c>
      <c r="B21" s="2"/>
      <c r="C21" s="2">
        <f>+(600/12)*2</f>
        <v>100</v>
      </c>
      <c r="D21" s="2">
        <f>+(720/12)*2</f>
        <v>120</v>
      </c>
      <c r="E21" s="2"/>
    </row>
    <row r="22" spans="1:6" hidden="1" x14ac:dyDescent="0.25">
      <c r="A22" s="22" t="s">
        <v>98</v>
      </c>
      <c r="B22" s="22"/>
      <c r="C22" s="22">
        <f>SUM(C19:C21)</f>
        <v>233.33333333333331</v>
      </c>
      <c r="D22" s="22">
        <f>SUM(D19:D21)</f>
        <v>270</v>
      </c>
      <c r="E22" s="2"/>
    </row>
    <row r="23" spans="1:6" hidden="1" x14ac:dyDescent="0.25">
      <c r="A23" s="2" t="s">
        <v>97</v>
      </c>
      <c r="B23" s="2"/>
      <c r="C23" s="2">
        <f>+(600/12)*1.5</f>
        <v>75</v>
      </c>
      <c r="D23" s="2">
        <f>+(720/12)*1.5</f>
        <v>90</v>
      </c>
      <c r="E23" s="2"/>
    </row>
    <row r="24" spans="1:6" hidden="1" x14ac:dyDescent="0.25">
      <c r="A24" s="22" t="s">
        <v>96</v>
      </c>
      <c r="B24" s="22"/>
      <c r="C24" s="22">
        <f>+C22-C23</f>
        <v>158.33333333333331</v>
      </c>
      <c r="D24" s="22">
        <f>+D22-D23</f>
        <v>180</v>
      </c>
      <c r="E24" s="2">
        <v>160</v>
      </c>
    </row>
    <row r="25" spans="1:6" hidden="1" x14ac:dyDescent="0.25">
      <c r="A25" s="2" t="s">
        <v>95</v>
      </c>
      <c r="B25" s="2"/>
      <c r="C25" s="2">
        <f>+C24-B19</f>
        <v>108.33333333333331</v>
      </c>
      <c r="D25" s="2">
        <f>+D24-C24</f>
        <v>21.666666666666686</v>
      </c>
      <c r="E25" s="2">
        <f>+E24-D24</f>
        <v>-20</v>
      </c>
      <c r="F25" t="s">
        <v>94</v>
      </c>
    </row>
    <row r="26" spans="1:6" hidden="1" x14ac:dyDescent="0.25"/>
    <row r="27" spans="1:6" hidden="1" x14ac:dyDescent="0.25">
      <c r="A27" s="2"/>
      <c r="B27" s="2"/>
      <c r="C27" s="2" t="s">
        <v>93</v>
      </c>
      <c r="D27" s="2" t="s">
        <v>92</v>
      </c>
    </row>
    <row r="28" spans="1:6" hidden="1" x14ac:dyDescent="0.25">
      <c r="A28" s="2" t="s">
        <v>54</v>
      </c>
      <c r="B28" s="2"/>
      <c r="C28" s="2">
        <v>1000</v>
      </c>
      <c r="D28" s="2">
        <v>1200</v>
      </c>
    </row>
    <row r="29" spans="1:6" hidden="1" x14ac:dyDescent="0.25">
      <c r="A29" s="2" t="s">
        <v>91</v>
      </c>
      <c r="B29" s="2"/>
      <c r="C29" s="2">
        <v>600</v>
      </c>
      <c r="D29" s="2">
        <v>720</v>
      </c>
    </row>
    <row r="30" spans="1:6" hidden="1" x14ac:dyDescent="0.25"/>
    <row r="31" spans="1:6" hidden="1" x14ac:dyDescent="0.25">
      <c r="A31" s="22" t="s">
        <v>90</v>
      </c>
      <c r="B31" s="2">
        <v>30</v>
      </c>
    </row>
    <row r="32" spans="1:6" hidden="1" x14ac:dyDescent="0.25">
      <c r="A32" s="2" t="s">
        <v>89</v>
      </c>
      <c r="B32" s="2">
        <f>+(1000/360)*B31</f>
        <v>83.333333333333329</v>
      </c>
    </row>
    <row r="33" spans="1:2" hidden="1" x14ac:dyDescent="0.25">
      <c r="A33" s="2"/>
      <c r="B33" s="2"/>
    </row>
    <row r="34" spans="1:2" hidden="1" x14ac:dyDescent="0.25">
      <c r="A34" s="22" t="s">
        <v>88</v>
      </c>
      <c r="B34" s="2">
        <v>60</v>
      </c>
    </row>
    <row r="35" spans="1:2" hidden="1" x14ac:dyDescent="0.25">
      <c r="A35" s="2" t="s">
        <v>87</v>
      </c>
      <c r="B35" s="2">
        <f>+(C29/360)*B34</f>
        <v>100</v>
      </c>
    </row>
    <row r="36" spans="1:2" hidden="1" x14ac:dyDescent="0.25">
      <c r="A36" s="2"/>
      <c r="B36" s="2"/>
    </row>
    <row r="37" spans="1:2" hidden="1" x14ac:dyDescent="0.25">
      <c r="A37" s="22" t="s">
        <v>86</v>
      </c>
      <c r="B37" s="2">
        <v>45</v>
      </c>
    </row>
    <row r="38" spans="1:2" hidden="1" x14ac:dyDescent="0.25">
      <c r="A38" s="2" t="s">
        <v>85</v>
      </c>
      <c r="B38" s="2">
        <f>+(C29/360)*B37</f>
        <v>75</v>
      </c>
    </row>
    <row r="39" spans="1:2" hidden="1" x14ac:dyDescent="0.25">
      <c r="A39" s="2"/>
      <c r="B39" s="2"/>
    </row>
    <row r="40" spans="1:2" hidden="1" x14ac:dyDescent="0.25">
      <c r="A40" s="22" t="s">
        <v>84</v>
      </c>
      <c r="B40" s="22">
        <f>+B32+B35-B38</f>
        <v>108.33333333333331</v>
      </c>
    </row>
    <row r="41" spans="1:2" hidden="1" x14ac:dyDescent="0.2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7D25-6064-4D62-9A96-EA499550AE53}">
  <dimension ref="A3:K68"/>
  <sheetViews>
    <sheetView zoomScale="55" zoomScaleNormal="55" workbookViewId="0">
      <selection activeCell="K56" sqref="K56"/>
    </sheetView>
  </sheetViews>
  <sheetFormatPr baseColWidth="10" defaultColWidth="11.42578125" defaultRowHeight="15" x14ac:dyDescent="0.25"/>
  <cols>
    <col min="1" max="1" width="11.42578125" style="217"/>
    <col min="2" max="2" width="51.85546875" style="217" bestFit="1" customWidth="1"/>
    <col min="3" max="3" width="25.28515625" style="217" bestFit="1" customWidth="1"/>
    <col min="4" max="4" width="22.28515625" style="217" bestFit="1" customWidth="1"/>
    <col min="5" max="6" width="21.85546875" style="217" bestFit="1" customWidth="1"/>
    <col min="7" max="7" width="21.85546875" style="217" customWidth="1"/>
    <col min="8" max="10" width="11.42578125" style="217"/>
    <col min="11" max="11" width="17" style="217" bestFit="1" customWidth="1"/>
    <col min="12" max="16384" width="11.42578125" style="217"/>
  </cols>
  <sheetData>
    <row r="3" spans="1:7" x14ac:dyDescent="0.25">
      <c r="B3" s="290" t="s">
        <v>214</v>
      </c>
      <c r="C3" s="291" t="s">
        <v>492</v>
      </c>
      <c r="D3" s="291" t="s">
        <v>493</v>
      </c>
      <c r="E3" s="291" t="s">
        <v>494</v>
      </c>
      <c r="F3" s="291" t="s">
        <v>495</v>
      </c>
      <c r="G3" s="292" t="s">
        <v>496</v>
      </c>
    </row>
    <row r="4" spans="1:7" x14ac:dyDescent="0.25">
      <c r="B4" s="282"/>
      <c r="D4" s="225">
        <v>5.62E-2</v>
      </c>
      <c r="E4" s="225">
        <v>5.62E-2</v>
      </c>
      <c r="F4" s="225">
        <v>5.62E-2</v>
      </c>
      <c r="G4" s="285">
        <v>5.62E-2</v>
      </c>
    </row>
    <row r="5" spans="1:7" x14ac:dyDescent="0.25">
      <c r="A5" s="447"/>
      <c r="B5" s="282" t="s">
        <v>204</v>
      </c>
      <c r="C5" s="226">
        <f>+'flujo de caja'!C39</f>
        <v>-7621813.3344000131</v>
      </c>
      <c r="D5" s="226">
        <f>+'flujo de caja'!D39</f>
        <v>57115059.935562514</v>
      </c>
      <c r="E5" s="226">
        <f>+'flujo de caja'!E39</f>
        <v>68340153.435321137</v>
      </c>
      <c r="F5" s="226">
        <f>+'flujo de caja'!F39</f>
        <v>84780909.470409662</v>
      </c>
      <c r="G5" s="226">
        <f>+'flujo de caja'!G39</f>
        <v>106338034.81734201</v>
      </c>
    </row>
    <row r="6" spans="1:7" x14ac:dyDescent="0.25">
      <c r="A6" s="448"/>
      <c r="B6" s="282" t="s">
        <v>425</v>
      </c>
      <c r="C6" s="280">
        <v>27136040.957929417</v>
      </c>
      <c r="D6" s="280">
        <v>17608727.787936375</v>
      </c>
      <c r="E6" s="280">
        <v>12032537.624138221</v>
      </c>
      <c r="F6" s="280">
        <v>13619002.055345744</v>
      </c>
      <c r="G6" s="280">
        <v>29832613.681458175</v>
      </c>
    </row>
    <row r="7" spans="1:7" x14ac:dyDescent="0.25">
      <c r="A7" s="448"/>
      <c r="B7" s="282"/>
      <c r="C7" s="228"/>
      <c r="D7" s="228"/>
      <c r="E7" s="228"/>
      <c r="F7" s="228"/>
      <c r="G7" s="287"/>
    </row>
    <row r="8" spans="1:7" s="223" customFormat="1" ht="14.25" x14ac:dyDescent="0.2">
      <c r="A8" s="449"/>
      <c r="B8" s="281" t="s">
        <v>485</v>
      </c>
      <c r="C8" s="224">
        <f>+C5+C6</f>
        <v>19514227.623529404</v>
      </c>
      <c r="D8" s="224">
        <f t="shared" ref="D8:G8" si="0">+D5+D6</f>
        <v>74723787.723498881</v>
      </c>
      <c r="E8" s="224">
        <f t="shared" si="0"/>
        <v>80372691.059459358</v>
      </c>
      <c r="F8" s="224">
        <f t="shared" si="0"/>
        <v>98399911.525755405</v>
      </c>
      <c r="G8" s="288">
        <f t="shared" si="0"/>
        <v>136170648.49880019</v>
      </c>
    </row>
    <row r="9" spans="1:7" x14ac:dyDescent="0.25">
      <c r="B9" s="282"/>
      <c r="C9" s="228"/>
      <c r="D9" s="228"/>
      <c r="E9" s="228"/>
      <c r="F9" s="228"/>
      <c r="G9" s="287"/>
    </row>
    <row r="10" spans="1:7" x14ac:dyDescent="0.25">
      <c r="B10" s="282" t="s">
        <v>332</v>
      </c>
      <c r="C10" s="226">
        <f>+'GO,CT,PV'!$E$63</f>
        <v>570000</v>
      </c>
      <c r="D10" s="226">
        <f>+'GO,CT,PV'!$E$63</f>
        <v>570000</v>
      </c>
      <c r="E10" s="226">
        <f>+'GO,CT,PV'!$E$63</f>
        <v>570000</v>
      </c>
      <c r="F10" s="226">
        <f>+'GO,CT,PV'!$E$63</f>
        <v>570000</v>
      </c>
      <c r="G10" s="226">
        <f>+'GO,CT,PV'!$E$63</f>
        <v>570000</v>
      </c>
    </row>
    <row r="11" spans="1:7" x14ac:dyDescent="0.25">
      <c r="B11" s="282"/>
      <c r="C11" s="226"/>
      <c r="D11" s="226"/>
      <c r="E11" s="226"/>
      <c r="F11" s="226"/>
      <c r="G11" s="286"/>
    </row>
    <row r="12" spans="1:7" x14ac:dyDescent="0.25">
      <c r="B12" s="282" t="s">
        <v>120</v>
      </c>
      <c r="C12" s="226">
        <f>+'Tabla depreciaciones'!E12</f>
        <v>280000</v>
      </c>
      <c r="D12" s="226">
        <f>+'Tabla depreciaciones'!F12</f>
        <v>280000</v>
      </c>
      <c r="E12" s="226">
        <f>+'Tabla depreciaciones'!G12</f>
        <v>280000</v>
      </c>
      <c r="F12" s="226">
        <f>+'Tabla depreciaciones'!H12</f>
        <v>280000</v>
      </c>
      <c r="G12" s="286">
        <f>+'Tabla depreciaciones'!I12</f>
        <v>280000</v>
      </c>
    </row>
    <row r="13" spans="1:7" x14ac:dyDescent="0.25">
      <c r="B13" s="282" t="s">
        <v>375</v>
      </c>
      <c r="C13" s="226">
        <f>+'Tabla depreciaciones'!E13</f>
        <v>0</v>
      </c>
      <c r="D13" s="226">
        <f>+'Tabla depreciaciones'!F13</f>
        <v>28000</v>
      </c>
      <c r="E13" s="226">
        <f>+'Tabla depreciaciones'!G13</f>
        <v>28000</v>
      </c>
      <c r="F13" s="226">
        <f>+'Tabla depreciaciones'!H13</f>
        <v>28000</v>
      </c>
      <c r="G13" s="286">
        <f>+'Tabla depreciaciones'!I13</f>
        <v>28000</v>
      </c>
    </row>
    <row r="14" spans="1:7" s="223" customFormat="1" ht="14.25" x14ac:dyDescent="0.2">
      <c r="B14" s="283" t="s">
        <v>376</v>
      </c>
      <c r="C14" s="224">
        <f>+'Tabla depreciaciones'!E14</f>
        <v>0</v>
      </c>
      <c r="D14" s="224">
        <f>+'Tabla depreciaciones'!F14</f>
        <v>28000</v>
      </c>
      <c r="E14" s="224">
        <f>+'Tabla depreciaciones'!G14</f>
        <v>56000</v>
      </c>
      <c r="F14" s="224">
        <f>+'Tabla depreciaciones'!H14</f>
        <v>84000</v>
      </c>
      <c r="G14" s="288">
        <f>+'Tabla depreciaciones'!I14</f>
        <v>112000</v>
      </c>
    </row>
    <row r="15" spans="1:7" s="223" customFormat="1" ht="14.25" x14ac:dyDescent="0.2">
      <c r="B15" s="283" t="s">
        <v>420</v>
      </c>
      <c r="C15" s="224">
        <f>+C12-C14</f>
        <v>280000</v>
      </c>
      <c r="D15" s="224">
        <f t="shared" ref="D15:G15" si="1">+D12-D14</f>
        <v>252000</v>
      </c>
      <c r="E15" s="224">
        <f t="shared" si="1"/>
        <v>224000</v>
      </c>
      <c r="F15" s="224">
        <f t="shared" si="1"/>
        <v>196000</v>
      </c>
      <c r="G15" s="288">
        <f t="shared" si="1"/>
        <v>168000</v>
      </c>
    </row>
    <row r="16" spans="1:7" x14ac:dyDescent="0.25">
      <c r="B16" s="282"/>
      <c r="C16" s="226"/>
      <c r="D16" s="226"/>
      <c r="E16" s="226"/>
      <c r="F16" s="226"/>
      <c r="G16" s="286"/>
    </row>
    <row r="17" spans="2:7" x14ac:dyDescent="0.25">
      <c r="B17" s="282" t="s">
        <v>377</v>
      </c>
      <c r="C17" s="226">
        <f>+'Tabla depreciaciones'!E17</f>
        <v>5600000</v>
      </c>
      <c r="D17" s="226">
        <f>+'Tabla depreciaciones'!F17</f>
        <v>5600000</v>
      </c>
      <c r="E17" s="226">
        <f>+'Tabla depreciaciones'!G17</f>
        <v>5600000</v>
      </c>
      <c r="F17" s="226">
        <f>+'Tabla depreciaciones'!H17</f>
        <v>5600000</v>
      </c>
      <c r="G17" s="286">
        <f>+'Tabla depreciaciones'!I17</f>
        <v>5600000</v>
      </c>
    </row>
    <row r="18" spans="2:7" x14ac:dyDescent="0.25">
      <c r="B18" s="282" t="s">
        <v>378</v>
      </c>
      <c r="C18" s="226">
        <f>+'Tabla depreciaciones'!E18</f>
        <v>0</v>
      </c>
      <c r="D18" s="226">
        <f>+'Tabla depreciaciones'!F18</f>
        <v>1120000</v>
      </c>
      <c r="E18" s="226">
        <f>+'Tabla depreciaciones'!G18</f>
        <v>1120000</v>
      </c>
      <c r="F18" s="226">
        <f>+'Tabla depreciaciones'!H18</f>
        <v>1120000</v>
      </c>
      <c r="G18" s="286">
        <f>+'Tabla depreciaciones'!I18</f>
        <v>1120000</v>
      </c>
    </row>
    <row r="19" spans="2:7" s="223" customFormat="1" x14ac:dyDescent="0.25">
      <c r="B19" s="282" t="s">
        <v>379</v>
      </c>
      <c r="C19" s="226">
        <f>+'Tabla depreciaciones'!E19</f>
        <v>0</v>
      </c>
      <c r="D19" s="226">
        <f>+'Tabla depreciaciones'!F19</f>
        <v>1120000</v>
      </c>
      <c r="E19" s="226">
        <f>+'Tabla depreciaciones'!G19</f>
        <v>2240000</v>
      </c>
      <c r="F19" s="226">
        <f>+'Tabla depreciaciones'!H19</f>
        <v>3360000</v>
      </c>
      <c r="G19" s="286">
        <f>+'Tabla depreciaciones'!I19</f>
        <v>4480000</v>
      </c>
    </row>
    <row r="20" spans="2:7" s="223" customFormat="1" ht="14.25" x14ac:dyDescent="0.2">
      <c r="B20" s="283" t="s">
        <v>417</v>
      </c>
      <c r="C20" s="224">
        <f>+C17-C19</f>
        <v>5600000</v>
      </c>
      <c r="D20" s="224">
        <f t="shared" ref="D20:G20" si="2">+D17-D19</f>
        <v>4480000</v>
      </c>
      <c r="E20" s="224">
        <f t="shared" si="2"/>
        <v>3360000</v>
      </c>
      <c r="F20" s="224">
        <f t="shared" si="2"/>
        <v>2240000</v>
      </c>
      <c r="G20" s="288">
        <f t="shared" si="2"/>
        <v>1120000</v>
      </c>
    </row>
    <row r="21" spans="2:7" x14ac:dyDescent="0.25">
      <c r="B21" s="282"/>
      <c r="C21" s="226"/>
      <c r="D21" s="226"/>
      <c r="E21" s="226"/>
      <c r="F21" s="226"/>
      <c r="G21" s="286"/>
    </row>
    <row r="22" spans="2:7" x14ac:dyDescent="0.25">
      <c r="B22" s="282" t="s">
        <v>335</v>
      </c>
      <c r="C22" s="226">
        <f>+'Tabla depreciaciones'!E22</f>
        <v>3600000</v>
      </c>
      <c r="D22" s="226">
        <f>+'Tabla depreciaciones'!F22</f>
        <v>3600000</v>
      </c>
      <c r="E22" s="226">
        <f>+'Tabla depreciaciones'!G22</f>
        <v>3600000</v>
      </c>
      <c r="F22" s="226">
        <f>+'Tabla depreciaciones'!H22</f>
        <v>3600000</v>
      </c>
      <c r="G22" s="286">
        <f>+'Tabla depreciaciones'!I22</f>
        <v>3600000</v>
      </c>
    </row>
    <row r="23" spans="2:7" x14ac:dyDescent="0.25">
      <c r="B23" s="282" t="s">
        <v>380</v>
      </c>
      <c r="C23" s="226">
        <f>+'Tabla depreciaciones'!E23</f>
        <v>0</v>
      </c>
      <c r="D23" s="226">
        <f>+'Tabla depreciaciones'!F23</f>
        <v>720000</v>
      </c>
      <c r="E23" s="226">
        <f>+'Tabla depreciaciones'!G23</f>
        <v>720000</v>
      </c>
      <c r="F23" s="226">
        <f>+'Tabla depreciaciones'!H23</f>
        <v>720000</v>
      </c>
      <c r="G23" s="286">
        <f>+'Tabla depreciaciones'!I23</f>
        <v>720000</v>
      </c>
    </row>
    <row r="24" spans="2:7" s="223" customFormat="1" x14ac:dyDescent="0.25">
      <c r="B24" s="282" t="s">
        <v>381</v>
      </c>
      <c r="C24" s="226">
        <f>+'Tabla depreciaciones'!E24</f>
        <v>0</v>
      </c>
      <c r="D24" s="226">
        <f>+'Tabla depreciaciones'!F24</f>
        <v>720000</v>
      </c>
      <c r="E24" s="226">
        <f>+'Tabla depreciaciones'!G24</f>
        <v>1440000</v>
      </c>
      <c r="F24" s="226">
        <f>+'Tabla depreciaciones'!H24</f>
        <v>2160000</v>
      </c>
      <c r="G24" s="286">
        <f>+'Tabla depreciaciones'!I24</f>
        <v>2880000</v>
      </c>
    </row>
    <row r="25" spans="2:7" s="223" customFormat="1" ht="14.25" x14ac:dyDescent="0.2">
      <c r="B25" s="283" t="s">
        <v>418</v>
      </c>
      <c r="C25" s="224">
        <f>+C22-C24</f>
        <v>3600000</v>
      </c>
      <c r="D25" s="224">
        <f t="shared" ref="D25:G25" si="3">+D22-D24</f>
        <v>2880000</v>
      </c>
      <c r="E25" s="224">
        <f t="shared" si="3"/>
        <v>2160000</v>
      </c>
      <c r="F25" s="224">
        <f t="shared" si="3"/>
        <v>1440000</v>
      </c>
      <c r="G25" s="288">
        <f t="shared" si="3"/>
        <v>720000</v>
      </c>
    </row>
    <row r="26" spans="2:7" x14ac:dyDescent="0.25">
      <c r="B26" s="282"/>
      <c r="C26" s="226"/>
      <c r="D26" s="226"/>
      <c r="E26" s="226"/>
      <c r="F26" s="226"/>
      <c r="G26" s="286"/>
    </row>
    <row r="27" spans="2:7" x14ac:dyDescent="0.25">
      <c r="B27" s="282" t="s">
        <v>336</v>
      </c>
      <c r="C27" s="226">
        <f>+'Tabla depreciaciones'!E27</f>
        <v>630000</v>
      </c>
      <c r="D27" s="226">
        <f>+'Tabla depreciaciones'!F27</f>
        <v>630000</v>
      </c>
      <c r="E27" s="226">
        <f>+'Tabla depreciaciones'!G27</f>
        <v>630000</v>
      </c>
      <c r="F27" s="226">
        <f>+'Tabla depreciaciones'!H27</f>
        <v>630000</v>
      </c>
      <c r="G27" s="286">
        <f>+'Tabla depreciaciones'!I27</f>
        <v>630000</v>
      </c>
    </row>
    <row r="28" spans="2:7" x14ac:dyDescent="0.25">
      <c r="B28" s="282" t="s">
        <v>382</v>
      </c>
      <c r="C28" s="226">
        <f>+'Tabla depreciaciones'!E28</f>
        <v>0</v>
      </c>
      <c r="D28" s="226">
        <f>+'Tabla depreciaciones'!F28</f>
        <v>63000</v>
      </c>
      <c r="E28" s="226">
        <f>+'Tabla depreciaciones'!G28</f>
        <v>63000</v>
      </c>
      <c r="F28" s="226">
        <f>+'Tabla depreciaciones'!H28</f>
        <v>63000</v>
      </c>
      <c r="G28" s="286">
        <f>+'Tabla depreciaciones'!I28</f>
        <v>63000</v>
      </c>
    </row>
    <row r="29" spans="2:7" s="223" customFormat="1" ht="14.25" x14ac:dyDescent="0.2">
      <c r="B29" s="283" t="s">
        <v>383</v>
      </c>
      <c r="C29" s="224">
        <f>+'Tabla depreciaciones'!E29</f>
        <v>0</v>
      </c>
      <c r="D29" s="224">
        <f>+'Tabla depreciaciones'!F29</f>
        <v>63000</v>
      </c>
      <c r="E29" s="224">
        <f>+'Tabla depreciaciones'!G29</f>
        <v>126000</v>
      </c>
      <c r="F29" s="224">
        <f>+'Tabla depreciaciones'!H29</f>
        <v>189000</v>
      </c>
      <c r="G29" s="288">
        <f>+'Tabla depreciaciones'!I29</f>
        <v>252000</v>
      </c>
    </row>
    <row r="30" spans="2:7" s="223" customFormat="1" ht="14.25" x14ac:dyDescent="0.2">
      <c r="B30" s="283" t="s">
        <v>419</v>
      </c>
      <c r="C30" s="224">
        <f>+C27-C29</f>
        <v>630000</v>
      </c>
      <c r="D30" s="224">
        <f t="shared" ref="D30:G30" si="4">+D27-D29</f>
        <v>567000</v>
      </c>
      <c r="E30" s="224">
        <f t="shared" si="4"/>
        <v>504000</v>
      </c>
      <c r="F30" s="224">
        <f t="shared" si="4"/>
        <v>441000</v>
      </c>
      <c r="G30" s="288">
        <f t="shared" si="4"/>
        <v>378000</v>
      </c>
    </row>
    <row r="31" spans="2:7" x14ac:dyDescent="0.25">
      <c r="B31" s="282"/>
      <c r="C31" s="226"/>
      <c r="D31" s="226"/>
      <c r="E31" s="226"/>
      <c r="F31" s="226"/>
      <c r="G31" s="286"/>
    </row>
    <row r="32" spans="2:7" s="223" customFormat="1" ht="14.25" x14ac:dyDescent="0.2">
      <c r="B32" s="283"/>
      <c r="C32" s="224"/>
      <c r="D32" s="224"/>
      <c r="E32" s="224"/>
      <c r="F32" s="224"/>
      <c r="G32" s="288"/>
    </row>
    <row r="33" spans="1:11" ht="15.75" customHeight="1" x14ac:dyDescent="0.25">
      <c r="B33" s="282"/>
      <c r="C33" s="226"/>
      <c r="D33" s="226"/>
      <c r="E33" s="226"/>
      <c r="F33" s="226"/>
      <c r="G33" s="286"/>
    </row>
    <row r="34" spans="1:11" x14ac:dyDescent="0.25">
      <c r="B34" s="281" t="s">
        <v>205</v>
      </c>
      <c r="C34" s="224">
        <f>+C30+C25+C20+C15+C10</f>
        <v>10680000</v>
      </c>
      <c r="D34" s="224">
        <f t="shared" ref="D34:G34" si="5">+D30+D25+D20+D15+D10</f>
        <v>8749000</v>
      </c>
      <c r="E34" s="224">
        <f t="shared" si="5"/>
        <v>6818000</v>
      </c>
      <c r="F34" s="224">
        <f t="shared" si="5"/>
        <v>4887000</v>
      </c>
      <c r="G34" s="288">
        <f t="shared" si="5"/>
        <v>2956000</v>
      </c>
    </row>
    <row r="35" spans="1:11" x14ac:dyDescent="0.25">
      <c r="B35" s="282"/>
      <c r="C35" s="226"/>
      <c r="D35" s="226"/>
      <c r="E35" s="226"/>
      <c r="F35" s="226"/>
      <c r="G35" s="286"/>
    </row>
    <row r="36" spans="1:11" x14ac:dyDescent="0.25">
      <c r="B36" s="284" t="s">
        <v>149</v>
      </c>
      <c r="C36" s="226">
        <f>+'GV, GAD,INV,GCP,INSU,PRORRATEO'!C51</f>
        <v>4399000</v>
      </c>
      <c r="D36" s="226">
        <f>+'GV, GAD,INV,GCP,INSU,PRORRATEO'!$C$51</f>
        <v>4399000</v>
      </c>
      <c r="E36" s="226">
        <f>+'GV, GAD,INV,GCP,INSU,PRORRATEO'!$C$51</f>
        <v>4399000</v>
      </c>
      <c r="F36" s="226">
        <f>+'GV, GAD,INV,GCP,INSU,PRORRATEO'!$C$51</f>
        <v>4399000</v>
      </c>
      <c r="G36" s="286">
        <f>+'GV, GAD,INV,GCP,INSU,PRORRATEO'!$C$51</f>
        <v>4399000</v>
      </c>
    </row>
    <row r="37" spans="1:11" x14ac:dyDescent="0.25">
      <c r="B37" s="284" t="s">
        <v>428</v>
      </c>
      <c r="C37" s="226"/>
      <c r="D37" s="226">
        <f>+'GV, GAD,INV,GCP,INSU,PRORRATEO'!D51</f>
        <v>879800</v>
      </c>
      <c r="E37" s="226">
        <f>+D37*2</f>
        <v>1759600</v>
      </c>
      <c r="F37" s="226">
        <f>+D37*3</f>
        <v>2639400</v>
      </c>
      <c r="G37" s="286">
        <f>+D37*4</f>
        <v>3519200</v>
      </c>
    </row>
    <row r="38" spans="1:11" x14ac:dyDescent="0.25">
      <c r="B38" s="281" t="s">
        <v>424</v>
      </c>
      <c r="C38" s="224">
        <f>+C36-C37</f>
        <v>4399000</v>
      </c>
      <c r="D38" s="224">
        <f t="shared" ref="D38:G38" si="6">+D36-D37</f>
        <v>3519200</v>
      </c>
      <c r="E38" s="224">
        <f t="shared" si="6"/>
        <v>2639400</v>
      </c>
      <c r="F38" s="224">
        <f t="shared" si="6"/>
        <v>1759600</v>
      </c>
      <c r="G38" s="288">
        <f t="shared" si="6"/>
        <v>879800</v>
      </c>
    </row>
    <row r="39" spans="1:11" x14ac:dyDescent="0.25">
      <c r="B39" s="282"/>
      <c r="C39" s="226"/>
      <c r="D39" s="226"/>
      <c r="E39" s="226"/>
      <c r="F39" s="226"/>
      <c r="G39" s="286"/>
    </row>
    <row r="40" spans="1:11" x14ac:dyDescent="0.25">
      <c r="B40" s="281" t="s">
        <v>206</v>
      </c>
      <c r="C40" s="224">
        <f>+C38+C34+C8</f>
        <v>34593227.623529404</v>
      </c>
      <c r="D40" s="224">
        <f>+D38+D34+D8</f>
        <v>86991987.723498881</v>
      </c>
      <c r="E40" s="224">
        <f>+E38+E34+E8</f>
        <v>89830091.059459358</v>
      </c>
      <c r="F40" s="224">
        <f>+F38+F34+F8</f>
        <v>105046511.52575541</v>
      </c>
      <c r="G40" s="288">
        <f>+G38+G34+G8</f>
        <v>140006448.49880019</v>
      </c>
    </row>
    <row r="41" spans="1:11" x14ac:dyDescent="0.25">
      <c r="B41" s="282"/>
      <c r="C41" s="226"/>
      <c r="D41" s="226"/>
      <c r="E41" s="226"/>
      <c r="F41" s="226"/>
      <c r="G41" s="286"/>
    </row>
    <row r="42" spans="1:11" x14ac:dyDescent="0.25">
      <c r="B42" s="282" t="s">
        <v>207</v>
      </c>
      <c r="C42" s="226">
        <v>0</v>
      </c>
      <c r="D42" s="226">
        <f>+'Costos '!F33</f>
        <v>24455330.626096539</v>
      </c>
      <c r="E42" s="226">
        <f>+'Costos '!F40</f>
        <v>0</v>
      </c>
      <c r="F42" s="226">
        <v>0</v>
      </c>
      <c r="G42" s="286">
        <v>0</v>
      </c>
    </row>
    <row r="43" spans="1:11" x14ac:dyDescent="0.25">
      <c r="A43" s="450"/>
      <c r="B43" s="282" t="s">
        <v>208</v>
      </c>
      <c r="C43" s="226">
        <f>+'Estado de Resultados '!D15</f>
        <v>5309832.8395294091</v>
      </c>
      <c r="D43" s="226">
        <f>+'Estado de Resultados '!E15</f>
        <v>4651730.2711687544</v>
      </c>
      <c r="E43" s="226">
        <f>+'Estado de Resultados '!F15</f>
        <v>6985629.139026992</v>
      </c>
      <c r="F43" s="226">
        <f>+'Estado de Resultados '!G15</f>
        <v>8654883.6882417295</v>
      </c>
      <c r="G43" s="286">
        <f>+'Estado de Resultados '!H15</f>
        <v>10242063.51961606</v>
      </c>
    </row>
    <row r="44" spans="1:11" x14ac:dyDescent="0.25">
      <c r="A44" s="451"/>
      <c r="B44" s="281" t="s">
        <v>209</v>
      </c>
      <c r="C44" s="224">
        <f>+C43+C42</f>
        <v>5309832.8395294091</v>
      </c>
      <c r="D44" s="224">
        <f t="shared" ref="D44:G44" si="7">+D43+D42</f>
        <v>29107060.897265293</v>
      </c>
      <c r="E44" s="224">
        <f t="shared" si="7"/>
        <v>6985629.139026992</v>
      </c>
      <c r="F44" s="224">
        <f t="shared" si="7"/>
        <v>8654883.6882417295</v>
      </c>
      <c r="G44" s="224">
        <f t="shared" si="7"/>
        <v>10242063.51961606</v>
      </c>
    </row>
    <row r="45" spans="1:11" x14ac:dyDescent="0.25">
      <c r="A45" s="451"/>
      <c r="B45" s="282"/>
      <c r="C45" s="226"/>
      <c r="D45" s="226"/>
      <c r="E45" s="226"/>
      <c r="F45" s="226"/>
      <c r="G45" s="286"/>
      <c r="K45" s="226"/>
    </row>
    <row r="46" spans="1:11" x14ac:dyDescent="0.25">
      <c r="A46" s="451"/>
      <c r="B46" s="282" t="s">
        <v>500</v>
      </c>
      <c r="C46" s="226">
        <v>10000000</v>
      </c>
      <c r="D46" s="226">
        <v>10000000</v>
      </c>
      <c r="E46" s="226">
        <v>10000000</v>
      </c>
      <c r="F46" s="226">
        <v>10000000</v>
      </c>
      <c r="G46" s="286">
        <v>10000000</v>
      </c>
    </row>
    <row r="47" spans="1:11" x14ac:dyDescent="0.25">
      <c r="A47" s="451"/>
      <c r="B47" s="281" t="s">
        <v>499</v>
      </c>
      <c r="C47" s="224">
        <f>+C46</f>
        <v>10000000</v>
      </c>
      <c r="D47" s="224">
        <f t="shared" ref="D47:G47" si="8">+D46</f>
        <v>10000000</v>
      </c>
      <c r="E47" s="224">
        <f t="shared" si="8"/>
        <v>10000000</v>
      </c>
      <c r="F47" s="224">
        <f t="shared" si="8"/>
        <v>10000000</v>
      </c>
      <c r="G47" s="288">
        <f t="shared" si="8"/>
        <v>10000000</v>
      </c>
    </row>
    <row r="48" spans="1:11" x14ac:dyDescent="0.25">
      <c r="A48" s="451"/>
      <c r="B48" s="281"/>
      <c r="C48" s="224"/>
      <c r="D48" s="224"/>
      <c r="E48" s="224"/>
      <c r="F48" s="224"/>
      <c r="G48" s="288"/>
    </row>
    <row r="49" spans="1:7" x14ac:dyDescent="0.25">
      <c r="A49" s="451"/>
      <c r="B49" s="281" t="s">
        <v>210</v>
      </c>
      <c r="C49" s="224">
        <f>+C44+C47</f>
        <v>15309832.83952941</v>
      </c>
      <c r="D49" s="224">
        <f t="shared" ref="D49:G49" si="9">+D44+D47</f>
        <v>39107060.897265293</v>
      </c>
      <c r="E49" s="224">
        <f t="shared" si="9"/>
        <v>16985629.139026992</v>
      </c>
      <c r="F49" s="224">
        <f t="shared" si="9"/>
        <v>18654883.688241728</v>
      </c>
      <c r="G49" s="288">
        <f t="shared" si="9"/>
        <v>20242063.51961606</v>
      </c>
    </row>
    <row r="50" spans="1:7" x14ac:dyDescent="0.25">
      <c r="A50" s="451"/>
      <c r="B50" s="282"/>
      <c r="C50" s="226"/>
      <c r="D50" s="226"/>
      <c r="E50" s="226"/>
      <c r="F50" s="226"/>
      <c r="G50" s="286"/>
    </row>
    <row r="51" spans="1:7" x14ac:dyDescent="0.25">
      <c r="A51" s="451"/>
      <c r="B51" s="282" t="s">
        <v>164</v>
      </c>
      <c r="C51" s="226">
        <f>(40000000/5)</f>
        <v>8000000</v>
      </c>
      <c r="D51" s="226">
        <f t="shared" ref="D51:F51" si="10">40000000/5</f>
        <v>8000000</v>
      </c>
      <c r="E51" s="226">
        <f t="shared" si="10"/>
        <v>8000000</v>
      </c>
      <c r="F51" s="226">
        <f t="shared" si="10"/>
        <v>8000000</v>
      </c>
      <c r="G51" s="286">
        <f>(40000000/5)</f>
        <v>8000000</v>
      </c>
    </row>
    <row r="52" spans="1:7" x14ac:dyDescent="0.25">
      <c r="A52" s="451"/>
      <c r="B52" s="282" t="s">
        <v>516</v>
      </c>
      <c r="C52" s="226"/>
      <c r="D52" s="226">
        <v>30000000</v>
      </c>
      <c r="E52" s="226">
        <v>50000000</v>
      </c>
      <c r="F52" s="226">
        <v>60000000</v>
      </c>
      <c r="G52" s="148">
        <v>90000000</v>
      </c>
    </row>
    <row r="53" spans="1:7" x14ac:dyDescent="0.25">
      <c r="A53" s="451"/>
      <c r="B53" s="284" t="s">
        <v>211</v>
      </c>
      <c r="C53" s="280">
        <f>+'Estado de Resultados '!D17</f>
        <v>11283394.783999994</v>
      </c>
      <c r="D53" s="280">
        <f>+'Estado de Resultados '!E17</f>
        <v>9884926.8262336031</v>
      </c>
      <c r="E53" s="280">
        <f>+'Estado de Resultados '!F17</f>
        <v>14844461.920432359</v>
      </c>
      <c r="F53" s="280">
        <f>+'Estado de Resultados '!G17</f>
        <v>18391627.837513678</v>
      </c>
      <c r="G53" s="289">
        <f>+'Estado de Resultados '!H17</f>
        <v>21764384.979184125</v>
      </c>
    </row>
    <row r="54" spans="1:7" x14ac:dyDescent="0.25">
      <c r="A54" s="451"/>
      <c r="B54" s="282"/>
      <c r="C54" s="226"/>
      <c r="D54" s="226"/>
      <c r="E54" s="226"/>
      <c r="F54" s="226"/>
      <c r="G54" s="286"/>
    </row>
    <row r="55" spans="1:7" x14ac:dyDescent="0.25">
      <c r="A55" s="452"/>
      <c r="B55" s="281" t="s">
        <v>212</v>
      </c>
      <c r="C55" s="226">
        <f>+C53+C51+C52</f>
        <v>19283394.783999994</v>
      </c>
      <c r="D55" s="226">
        <f>+D53+D51+D52</f>
        <v>47884926.826233603</v>
      </c>
      <c r="E55" s="226">
        <f>+E53+E51+E52</f>
        <v>72844461.920432359</v>
      </c>
      <c r="F55" s="226">
        <f>+F53+F51+F52</f>
        <v>86391627.837513685</v>
      </c>
      <c r="G55" s="148">
        <f>+G53+G51+G52</f>
        <v>119764384.97918412</v>
      </c>
    </row>
    <row r="56" spans="1:7" x14ac:dyDescent="0.25">
      <c r="B56" s="282"/>
      <c r="C56" s="226"/>
      <c r="D56" s="226"/>
      <c r="E56" s="226"/>
      <c r="F56" s="226"/>
      <c r="G56" s="286"/>
    </row>
    <row r="57" spans="1:7" x14ac:dyDescent="0.25">
      <c r="B57" s="306" t="s">
        <v>213</v>
      </c>
      <c r="C57" s="307">
        <f>+C55+C49</f>
        <v>34593227.623529404</v>
      </c>
      <c r="D57" s="307">
        <f>+D55+D49</f>
        <v>86991987.723498896</v>
      </c>
      <c r="E57" s="307">
        <f>+E55+E49</f>
        <v>89830091.059459358</v>
      </c>
      <c r="F57" s="307">
        <f>+F55+F49</f>
        <v>105046511.52575541</v>
      </c>
      <c r="G57" s="308">
        <f>+G55+G49</f>
        <v>140006448.49880019</v>
      </c>
    </row>
    <row r="58" spans="1:7" x14ac:dyDescent="0.25">
      <c r="B58" s="309" t="s">
        <v>426</v>
      </c>
      <c r="C58" s="310">
        <f>+C40</f>
        <v>34593227.623529404</v>
      </c>
      <c r="D58" s="310">
        <f>+D40</f>
        <v>86991987.723498881</v>
      </c>
      <c r="E58" s="310">
        <f>+E40</f>
        <v>89830091.059459358</v>
      </c>
      <c r="F58" s="310">
        <f>+F40</f>
        <v>105046511.52575541</v>
      </c>
      <c r="G58" s="311">
        <f>+G40</f>
        <v>140006448.49880019</v>
      </c>
    </row>
    <row r="59" spans="1:7" x14ac:dyDescent="0.25">
      <c r="C59" s="305">
        <f>+C57-C40</f>
        <v>0</v>
      </c>
      <c r="D59" s="305">
        <f>+D57-D40</f>
        <v>0</v>
      </c>
      <c r="E59" s="305">
        <f>+E57-E40</f>
        <v>0</v>
      </c>
      <c r="F59" s="305">
        <f>+F57-F40</f>
        <v>0</v>
      </c>
      <c r="G59" s="305">
        <f>+G57-G40</f>
        <v>0</v>
      </c>
    </row>
    <row r="65" spans="3:5" x14ac:dyDescent="0.25">
      <c r="C65" s="428"/>
      <c r="D65" s="429"/>
      <c r="E65" s="430"/>
    </row>
    <row r="66" spans="3:5" x14ac:dyDescent="0.25">
      <c r="C66" s="431"/>
      <c r="D66" s="432"/>
      <c r="E66" s="433"/>
    </row>
    <row r="67" spans="3:5" x14ac:dyDescent="0.25">
      <c r="C67" s="431"/>
      <c r="D67" s="432"/>
      <c r="E67" s="433"/>
    </row>
    <row r="68" spans="3:5" x14ac:dyDescent="0.25">
      <c r="C68" s="434"/>
      <c r="D68" s="435"/>
      <c r="E68" s="436"/>
    </row>
  </sheetData>
  <mergeCells count="3">
    <mergeCell ref="A5:A8"/>
    <mergeCell ref="A43:A55"/>
    <mergeCell ref="C65:E68"/>
  </mergeCells>
  <phoneticPr fontId="5" type="noConversion"/>
  <pageMargins left="0.7" right="0.7" top="0.75" bottom="0.75" header="0.3" footer="0.3"/>
  <legacy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582A-DF0D-456E-90C2-B15BF28BDDE1}">
  <dimension ref="A2:BN224"/>
  <sheetViews>
    <sheetView zoomScale="64" zoomScaleNormal="64" workbookViewId="0">
      <selection activeCell="E51" sqref="E51"/>
    </sheetView>
  </sheetViews>
  <sheetFormatPr baseColWidth="10" defaultRowHeight="15" x14ac:dyDescent="0.25"/>
  <cols>
    <col min="2" max="2" width="30.42578125" bestFit="1" customWidth="1"/>
    <col min="3" max="3" width="22.42578125" bestFit="1" customWidth="1"/>
    <col min="5" max="5" width="22.42578125" bestFit="1" customWidth="1"/>
    <col min="6" max="64" width="20" bestFit="1" customWidth="1"/>
    <col min="65" max="65" width="24.7109375" bestFit="1" customWidth="1"/>
  </cols>
  <sheetData>
    <row r="2" spans="2:66" x14ac:dyDescent="0.25">
      <c r="B2" s="453" t="s">
        <v>333</v>
      </c>
      <c r="C2" s="453"/>
    </row>
    <row r="3" spans="2:66" x14ac:dyDescent="0.25">
      <c r="B3" s="2" t="s">
        <v>334</v>
      </c>
      <c r="C3" s="136">
        <f>+'Costos '!I30</f>
        <v>280000</v>
      </c>
      <c r="D3">
        <v>10</v>
      </c>
    </row>
    <row r="4" spans="2:66" x14ac:dyDescent="0.25">
      <c r="B4" s="2" t="s">
        <v>351</v>
      </c>
      <c r="C4" s="136">
        <f>+'Costos '!I29</f>
        <v>5600000</v>
      </c>
      <c r="D4">
        <v>5</v>
      </c>
    </row>
    <row r="5" spans="2:66" x14ac:dyDescent="0.25">
      <c r="B5" s="2" t="s">
        <v>335</v>
      </c>
      <c r="C5" s="136">
        <f>+'GV, GAD,INV,GCP,INSU,PRORRATEO'!C13</f>
        <v>3600000</v>
      </c>
      <c r="D5">
        <v>5</v>
      </c>
    </row>
    <row r="6" spans="2:66" x14ac:dyDescent="0.25">
      <c r="B6" s="2" t="s">
        <v>336</v>
      </c>
      <c r="C6" s="136">
        <f>+'GV, GAD,INV,GCP,INSU,PRORRATEO'!C19</f>
        <v>630000</v>
      </c>
      <c r="D6">
        <v>10</v>
      </c>
    </row>
    <row r="7" spans="2:66" x14ac:dyDescent="0.25">
      <c r="C7" s="8">
        <f>+SUM(C3:C6)</f>
        <v>10110000</v>
      </c>
    </row>
    <row r="9" spans="2:66" s="121" customFormat="1" x14ac:dyDescent="0.25">
      <c r="B9" s="144" t="s">
        <v>337</v>
      </c>
      <c r="E9" s="121" t="s">
        <v>352</v>
      </c>
      <c r="F9" s="121" t="s">
        <v>353</v>
      </c>
      <c r="G9" s="121" t="s">
        <v>354</v>
      </c>
      <c r="H9" s="121" t="s">
        <v>355</v>
      </c>
      <c r="I9" s="121" t="s">
        <v>356</v>
      </c>
      <c r="J9" s="121" t="s">
        <v>357</v>
      </c>
      <c r="K9" s="121" t="s">
        <v>358</v>
      </c>
      <c r="L9" s="121" t="s">
        <v>359</v>
      </c>
      <c r="M9" s="121" t="s">
        <v>360</v>
      </c>
      <c r="N9" s="121" t="s">
        <v>361</v>
      </c>
      <c r="O9" s="121" t="s">
        <v>362</v>
      </c>
      <c r="P9" s="121" t="s">
        <v>363</v>
      </c>
      <c r="Q9" s="121" t="s">
        <v>364</v>
      </c>
      <c r="R9" s="121" t="s">
        <v>365</v>
      </c>
      <c r="S9" s="121" t="s">
        <v>366</v>
      </c>
      <c r="T9" s="121" t="s">
        <v>367</v>
      </c>
      <c r="U9" s="121" t="s">
        <v>368</v>
      </c>
      <c r="V9" s="121" t="s">
        <v>369</v>
      </c>
      <c r="W9" s="121" t="s">
        <v>370</v>
      </c>
      <c r="X9" s="121" t="s">
        <v>371</v>
      </c>
      <c r="Y9" s="121" t="s">
        <v>372</v>
      </c>
      <c r="Z9" s="121">
        <v>21</v>
      </c>
      <c r="AA9" s="121">
        <v>22</v>
      </c>
      <c r="AB9" s="121">
        <v>23</v>
      </c>
      <c r="AC9" s="121">
        <v>24</v>
      </c>
      <c r="AD9" s="121">
        <v>25</v>
      </c>
      <c r="AE9" s="121">
        <v>26</v>
      </c>
      <c r="AF9" s="121">
        <v>27</v>
      </c>
      <c r="AG9" s="121">
        <v>28</v>
      </c>
      <c r="AH9" s="121">
        <v>29</v>
      </c>
      <c r="AI9" s="121">
        <v>30</v>
      </c>
      <c r="AJ9" s="121">
        <v>31</v>
      </c>
      <c r="AK9" s="121">
        <v>32</v>
      </c>
      <c r="AL9" s="121">
        <v>33</v>
      </c>
      <c r="AM9" s="121">
        <v>34</v>
      </c>
      <c r="AN9" s="121">
        <v>35</v>
      </c>
      <c r="AO9" s="121">
        <v>36</v>
      </c>
      <c r="AP9" s="121">
        <v>37</v>
      </c>
      <c r="AQ9" s="121">
        <v>38</v>
      </c>
      <c r="AR9" s="121">
        <v>39</v>
      </c>
      <c r="AS9" s="121">
        <v>40</v>
      </c>
      <c r="AT9" s="121">
        <v>41</v>
      </c>
      <c r="AU9" s="121">
        <v>42</v>
      </c>
      <c r="AV9" s="121">
        <v>43</v>
      </c>
      <c r="AW9" s="121">
        <v>44</v>
      </c>
      <c r="AX9" s="121">
        <v>45</v>
      </c>
      <c r="AY9" s="121">
        <v>46</v>
      </c>
      <c r="AZ9" s="121">
        <v>47</v>
      </c>
      <c r="BA9" s="121">
        <v>48</v>
      </c>
      <c r="BB9" s="121">
        <v>49</v>
      </c>
      <c r="BC9" s="121">
        <v>50</v>
      </c>
      <c r="BD9" s="121">
        <v>51</v>
      </c>
      <c r="BE9" s="121">
        <v>52</v>
      </c>
      <c r="BF9" s="121">
        <v>53</v>
      </c>
      <c r="BG9" s="121">
        <v>54</v>
      </c>
      <c r="BH9" s="121">
        <v>55</v>
      </c>
      <c r="BI9" s="121">
        <v>56</v>
      </c>
      <c r="BJ9" s="121">
        <v>57</v>
      </c>
      <c r="BK9" s="121">
        <v>58</v>
      </c>
      <c r="BL9" s="121">
        <v>59</v>
      </c>
      <c r="BM9" s="122">
        <v>60</v>
      </c>
    </row>
    <row r="10" spans="2:66" x14ac:dyDescent="0.25">
      <c r="E10" s="123">
        <v>42736</v>
      </c>
      <c r="F10" s="123">
        <v>42766</v>
      </c>
      <c r="G10" s="124">
        <v>42794</v>
      </c>
      <c r="H10" s="124">
        <v>42825</v>
      </c>
      <c r="I10" s="124">
        <v>42855</v>
      </c>
      <c r="J10" s="123">
        <v>42886</v>
      </c>
      <c r="K10" s="124">
        <v>42916</v>
      </c>
      <c r="L10" s="124">
        <v>42947</v>
      </c>
      <c r="M10" s="124">
        <v>42978</v>
      </c>
      <c r="N10" s="123">
        <v>43008</v>
      </c>
      <c r="O10" s="124">
        <v>43039</v>
      </c>
      <c r="P10" s="124">
        <v>43069</v>
      </c>
      <c r="Q10" s="124">
        <v>43100</v>
      </c>
      <c r="R10" s="123">
        <v>43131</v>
      </c>
      <c r="S10" s="124">
        <v>43159</v>
      </c>
      <c r="T10" s="124">
        <v>43190</v>
      </c>
      <c r="U10" s="124">
        <v>43220</v>
      </c>
      <c r="V10" s="123">
        <v>43251</v>
      </c>
      <c r="W10" s="124">
        <v>43281</v>
      </c>
      <c r="X10" s="124">
        <v>43312</v>
      </c>
      <c r="Y10" s="124">
        <v>43343</v>
      </c>
      <c r="Z10" s="123">
        <v>43373</v>
      </c>
      <c r="AA10" s="124">
        <v>43404</v>
      </c>
      <c r="AB10" s="124">
        <v>43434</v>
      </c>
      <c r="AC10" s="124">
        <v>43465</v>
      </c>
      <c r="AD10" s="123">
        <v>43496</v>
      </c>
      <c r="AE10" s="124">
        <v>43524</v>
      </c>
      <c r="AF10" s="124">
        <v>43555</v>
      </c>
      <c r="AG10" s="124">
        <v>43585</v>
      </c>
      <c r="AH10" s="123">
        <v>43616</v>
      </c>
      <c r="AI10" s="124">
        <v>43646</v>
      </c>
      <c r="AJ10" s="124">
        <v>43677</v>
      </c>
      <c r="AK10" s="124">
        <v>43708</v>
      </c>
      <c r="AL10" s="123">
        <v>43738</v>
      </c>
      <c r="AM10" s="124">
        <v>43769</v>
      </c>
      <c r="AN10" s="124">
        <v>43799</v>
      </c>
      <c r="AO10" s="124">
        <v>43830</v>
      </c>
      <c r="AP10" s="123">
        <v>43861</v>
      </c>
      <c r="AQ10" s="124">
        <v>43890</v>
      </c>
      <c r="AR10" s="124">
        <v>43921</v>
      </c>
      <c r="AS10" s="124">
        <v>43951</v>
      </c>
      <c r="AT10" s="123">
        <v>43982</v>
      </c>
      <c r="AU10" s="124">
        <v>44012</v>
      </c>
      <c r="AV10" s="124">
        <v>44043</v>
      </c>
      <c r="AW10" s="124">
        <v>44074</v>
      </c>
      <c r="AX10" s="123">
        <v>44104</v>
      </c>
      <c r="AY10" s="124">
        <v>44135</v>
      </c>
      <c r="AZ10" s="124">
        <v>44165</v>
      </c>
      <c r="BA10" s="124">
        <v>44196</v>
      </c>
      <c r="BB10" s="125">
        <v>44227</v>
      </c>
      <c r="BC10" s="126">
        <v>44255</v>
      </c>
      <c r="BD10" s="126">
        <v>44286</v>
      </c>
      <c r="BE10" s="126">
        <v>44316</v>
      </c>
      <c r="BF10" s="125">
        <v>44347</v>
      </c>
      <c r="BG10" s="126">
        <v>44377</v>
      </c>
      <c r="BH10" s="126">
        <v>44408</v>
      </c>
      <c r="BI10" s="126">
        <v>44439</v>
      </c>
      <c r="BJ10" s="125">
        <v>44469</v>
      </c>
      <c r="BK10" s="126">
        <v>44500</v>
      </c>
      <c r="BL10" s="126">
        <v>44530</v>
      </c>
      <c r="BM10" s="126">
        <v>44561</v>
      </c>
      <c r="BN10" t="s">
        <v>338</v>
      </c>
    </row>
    <row r="11" spans="2:66" x14ac:dyDescent="0.25">
      <c r="BN11" t="s">
        <v>338</v>
      </c>
    </row>
    <row r="12" spans="2:66" x14ac:dyDescent="0.25">
      <c r="B12" s="145" t="s">
        <v>339</v>
      </c>
      <c r="C12" s="140">
        <v>10</v>
      </c>
      <c r="E12" s="6">
        <f>+$C$3</f>
        <v>280000</v>
      </c>
      <c r="F12" s="6">
        <f t="shared" ref="F12:BM12" si="0">+$C$3</f>
        <v>280000</v>
      </c>
      <c r="G12" s="6">
        <f t="shared" si="0"/>
        <v>280000</v>
      </c>
      <c r="H12" s="6">
        <f t="shared" si="0"/>
        <v>280000</v>
      </c>
      <c r="I12" s="6">
        <f t="shared" si="0"/>
        <v>280000</v>
      </c>
      <c r="J12" s="6">
        <f t="shared" si="0"/>
        <v>280000</v>
      </c>
      <c r="K12" s="6">
        <f t="shared" si="0"/>
        <v>280000</v>
      </c>
      <c r="L12" s="6">
        <f t="shared" si="0"/>
        <v>280000</v>
      </c>
      <c r="M12" s="6">
        <f t="shared" si="0"/>
        <v>280000</v>
      </c>
      <c r="N12" s="6">
        <f t="shared" si="0"/>
        <v>280000</v>
      </c>
      <c r="O12" s="6">
        <f t="shared" si="0"/>
        <v>280000</v>
      </c>
      <c r="P12" s="6">
        <f t="shared" si="0"/>
        <v>280000</v>
      </c>
      <c r="Q12" s="6">
        <f t="shared" si="0"/>
        <v>280000</v>
      </c>
      <c r="R12" s="6">
        <f t="shared" si="0"/>
        <v>280000</v>
      </c>
      <c r="S12" s="6">
        <f t="shared" si="0"/>
        <v>280000</v>
      </c>
      <c r="T12" s="6">
        <f t="shared" si="0"/>
        <v>280000</v>
      </c>
      <c r="U12" s="6">
        <f t="shared" si="0"/>
        <v>280000</v>
      </c>
      <c r="V12" s="6">
        <f t="shared" si="0"/>
        <v>280000</v>
      </c>
      <c r="W12" s="6">
        <f t="shared" si="0"/>
        <v>280000</v>
      </c>
      <c r="X12" s="6">
        <f t="shared" si="0"/>
        <v>280000</v>
      </c>
      <c r="Y12" s="6">
        <f t="shared" si="0"/>
        <v>280000</v>
      </c>
      <c r="Z12" s="6">
        <f t="shared" si="0"/>
        <v>280000</v>
      </c>
      <c r="AA12" s="6">
        <f t="shared" si="0"/>
        <v>280000</v>
      </c>
      <c r="AB12" s="6">
        <f t="shared" si="0"/>
        <v>280000</v>
      </c>
      <c r="AC12" s="6">
        <f t="shared" si="0"/>
        <v>280000</v>
      </c>
      <c r="AD12" s="6">
        <f t="shared" si="0"/>
        <v>280000</v>
      </c>
      <c r="AE12" s="6">
        <f t="shared" si="0"/>
        <v>280000</v>
      </c>
      <c r="AF12" s="6">
        <f t="shared" si="0"/>
        <v>280000</v>
      </c>
      <c r="AG12" s="6">
        <f t="shared" si="0"/>
        <v>280000</v>
      </c>
      <c r="AH12" s="6">
        <f t="shared" si="0"/>
        <v>280000</v>
      </c>
      <c r="AI12" s="6">
        <f t="shared" si="0"/>
        <v>280000</v>
      </c>
      <c r="AJ12" s="6">
        <f t="shared" si="0"/>
        <v>280000</v>
      </c>
      <c r="AK12" s="6">
        <f t="shared" si="0"/>
        <v>280000</v>
      </c>
      <c r="AL12" s="6">
        <f t="shared" si="0"/>
        <v>280000</v>
      </c>
      <c r="AM12" s="6">
        <f t="shared" si="0"/>
        <v>280000</v>
      </c>
      <c r="AN12" s="6">
        <f t="shared" si="0"/>
        <v>280000</v>
      </c>
      <c r="AO12" s="6">
        <f t="shared" si="0"/>
        <v>280000</v>
      </c>
      <c r="AP12" s="6">
        <f t="shared" si="0"/>
        <v>280000</v>
      </c>
      <c r="AQ12" s="6">
        <f t="shared" si="0"/>
        <v>280000</v>
      </c>
      <c r="AR12" s="6">
        <f t="shared" si="0"/>
        <v>280000</v>
      </c>
      <c r="AS12" s="6">
        <f t="shared" si="0"/>
        <v>280000</v>
      </c>
      <c r="AT12" s="6">
        <f t="shared" si="0"/>
        <v>280000</v>
      </c>
      <c r="AU12" s="6">
        <f t="shared" si="0"/>
        <v>280000</v>
      </c>
      <c r="AV12" s="6">
        <f t="shared" si="0"/>
        <v>280000</v>
      </c>
      <c r="AW12" s="6">
        <f t="shared" si="0"/>
        <v>280000</v>
      </c>
      <c r="AX12" s="6">
        <f t="shared" si="0"/>
        <v>280000</v>
      </c>
      <c r="AY12" s="6">
        <f t="shared" si="0"/>
        <v>280000</v>
      </c>
      <c r="AZ12" s="6">
        <f t="shared" si="0"/>
        <v>280000</v>
      </c>
      <c r="BA12" s="6">
        <f t="shared" si="0"/>
        <v>280000</v>
      </c>
      <c r="BB12" s="6">
        <f t="shared" si="0"/>
        <v>280000</v>
      </c>
      <c r="BC12" s="6">
        <f t="shared" si="0"/>
        <v>280000</v>
      </c>
      <c r="BD12" s="6">
        <f t="shared" si="0"/>
        <v>280000</v>
      </c>
      <c r="BE12" s="6">
        <f t="shared" si="0"/>
        <v>280000</v>
      </c>
      <c r="BF12" s="6">
        <f t="shared" si="0"/>
        <v>280000</v>
      </c>
      <c r="BG12" s="6">
        <f t="shared" si="0"/>
        <v>280000</v>
      </c>
      <c r="BH12" s="6">
        <f t="shared" si="0"/>
        <v>280000</v>
      </c>
      <c r="BI12" s="6">
        <f t="shared" si="0"/>
        <v>280000</v>
      </c>
      <c r="BJ12" s="6">
        <f t="shared" si="0"/>
        <v>280000</v>
      </c>
      <c r="BK12" s="6">
        <f t="shared" si="0"/>
        <v>280000</v>
      </c>
      <c r="BL12" s="6">
        <f t="shared" si="0"/>
        <v>280000</v>
      </c>
      <c r="BM12" s="6">
        <f t="shared" si="0"/>
        <v>280000</v>
      </c>
      <c r="BN12" t="s">
        <v>338</v>
      </c>
    </row>
    <row r="13" spans="2:66" x14ac:dyDescent="0.25">
      <c r="B13" s="21" t="s">
        <v>340</v>
      </c>
      <c r="E13" s="6"/>
      <c r="F13" s="6">
        <f>+F12/$C$12</f>
        <v>28000</v>
      </c>
      <c r="G13" s="6">
        <f>+G12/$C$12</f>
        <v>28000</v>
      </c>
      <c r="H13" s="6">
        <f t="shared" ref="H13:BM13" si="1">+H12/$C$12</f>
        <v>28000</v>
      </c>
      <c r="I13" s="6">
        <f t="shared" si="1"/>
        <v>28000</v>
      </c>
      <c r="J13" s="6">
        <f t="shared" si="1"/>
        <v>28000</v>
      </c>
      <c r="K13" s="6">
        <f t="shared" si="1"/>
        <v>28000</v>
      </c>
      <c r="L13" s="6">
        <f t="shared" si="1"/>
        <v>28000</v>
      </c>
      <c r="M13" s="6">
        <f t="shared" si="1"/>
        <v>28000</v>
      </c>
      <c r="N13" s="6">
        <f t="shared" si="1"/>
        <v>28000</v>
      </c>
      <c r="O13" s="6">
        <f t="shared" si="1"/>
        <v>28000</v>
      </c>
      <c r="P13" s="6">
        <f t="shared" si="1"/>
        <v>28000</v>
      </c>
      <c r="Q13" s="6">
        <f t="shared" si="1"/>
        <v>28000</v>
      </c>
      <c r="R13" s="6">
        <f t="shared" si="1"/>
        <v>28000</v>
      </c>
      <c r="S13" s="6">
        <f t="shared" si="1"/>
        <v>28000</v>
      </c>
      <c r="T13" s="6">
        <f t="shared" si="1"/>
        <v>28000</v>
      </c>
      <c r="U13" s="6">
        <f t="shared" si="1"/>
        <v>28000</v>
      </c>
      <c r="V13" s="6">
        <f t="shared" si="1"/>
        <v>28000</v>
      </c>
      <c r="W13" s="6">
        <f t="shared" si="1"/>
        <v>28000</v>
      </c>
      <c r="X13" s="6">
        <f t="shared" si="1"/>
        <v>28000</v>
      </c>
      <c r="Y13" s="6">
        <f t="shared" si="1"/>
        <v>28000</v>
      </c>
      <c r="Z13" s="6">
        <f t="shared" si="1"/>
        <v>28000</v>
      </c>
      <c r="AA13" s="6">
        <f t="shared" si="1"/>
        <v>28000</v>
      </c>
      <c r="AB13" s="6">
        <f t="shared" si="1"/>
        <v>28000</v>
      </c>
      <c r="AC13" s="6">
        <f t="shared" si="1"/>
        <v>28000</v>
      </c>
      <c r="AD13" s="6">
        <f t="shared" si="1"/>
        <v>28000</v>
      </c>
      <c r="AE13" s="6">
        <f t="shared" si="1"/>
        <v>28000</v>
      </c>
      <c r="AF13" s="6">
        <f t="shared" si="1"/>
        <v>28000</v>
      </c>
      <c r="AG13" s="6">
        <f t="shared" si="1"/>
        <v>28000</v>
      </c>
      <c r="AH13" s="6">
        <f t="shared" si="1"/>
        <v>28000</v>
      </c>
      <c r="AI13" s="6">
        <f t="shared" si="1"/>
        <v>28000</v>
      </c>
      <c r="AJ13" s="6">
        <f t="shared" si="1"/>
        <v>28000</v>
      </c>
      <c r="AK13" s="6">
        <f t="shared" si="1"/>
        <v>28000</v>
      </c>
      <c r="AL13" s="6">
        <f t="shared" si="1"/>
        <v>28000</v>
      </c>
      <c r="AM13" s="6">
        <f t="shared" si="1"/>
        <v>28000</v>
      </c>
      <c r="AN13" s="6">
        <f t="shared" si="1"/>
        <v>28000</v>
      </c>
      <c r="AO13" s="6">
        <f t="shared" si="1"/>
        <v>28000</v>
      </c>
      <c r="AP13" s="6">
        <f t="shared" si="1"/>
        <v>28000</v>
      </c>
      <c r="AQ13" s="6">
        <f t="shared" si="1"/>
        <v>28000</v>
      </c>
      <c r="AR13" s="6">
        <f t="shared" si="1"/>
        <v>28000</v>
      </c>
      <c r="AS13" s="6">
        <f t="shared" si="1"/>
        <v>28000</v>
      </c>
      <c r="AT13" s="6">
        <f t="shared" si="1"/>
        <v>28000</v>
      </c>
      <c r="AU13" s="6">
        <f t="shared" si="1"/>
        <v>28000</v>
      </c>
      <c r="AV13" s="6">
        <f t="shared" si="1"/>
        <v>28000</v>
      </c>
      <c r="AW13" s="6">
        <f t="shared" si="1"/>
        <v>28000</v>
      </c>
      <c r="AX13" s="6">
        <f t="shared" si="1"/>
        <v>28000</v>
      </c>
      <c r="AY13" s="6">
        <f t="shared" si="1"/>
        <v>28000</v>
      </c>
      <c r="AZ13" s="6">
        <f t="shared" si="1"/>
        <v>28000</v>
      </c>
      <c r="BA13" s="6">
        <f t="shared" si="1"/>
        <v>28000</v>
      </c>
      <c r="BB13" s="137">
        <f t="shared" si="1"/>
        <v>28000</v>
      </c>
      <c r="BC13" s="137">
        <f t="shared" si="1"/>
        <v>28000</v>
      </c>
      <c r="BD13" s="137">
        <f t="shared" si="1"/>
        <v>28000</v>
      </c>
      <c r="BE13" s="137">
        <f t="shared" si="1"/>
        <v>28000</v>
      </c>
      <c r="BF13" s="137">
        <f t="shared" si="1"/>
        <v>28000</v>
      </c>
      <c r="BG13" s="137">
        <f t="shared" si="1"/>
        <v>28000</v>
      </c>
      <c r="BH13" s="137">
        <f t="shared" si="1"/>
        <v>28000</v>
      </c>
      <c r="BI13" s="137">
        <f t="shared" si="1"/>
        <v>28000</v>
      </c>
      <c r="BJ13" s="137">
        <f t="shared" si="1"/>
        <v>28000</v>
      </c>
      <c r="BK13" s="137">
        <f t="shared" si="1"/>
        <v>28000</v>
      </c>
      <c r="BL13" s="137">
        <f t="shared" si="1"/>
        <v>28000</v>
      </c>
      <c r="BM13" s="137">
        <f t="shared" si="1"/>
        <v>28000</v>
      </c>
      <c r="BN13" t="s">
        <v>338</v>
      </c>
    </row>
    <row r="14" spans="2:66" x14ac:dyDescent="0.25">
      <c r="B14" s="127" t="s">
        <v>341</v>
      </c>
      <c r="C14" s="128"/>
      <c r="D14" s="128"/>
      <c r="E14" s="143"/>
      <c r="F14" s="143">
        <f>+F13+E14</f>
        <v>28000</v>
      </c>
      <c r="G14" s="143">
        <f>+G13+F14</f>
        <v>56000</v>
      </c>
      <c r="H14" s="143">
        <f t="shared" ref="H14:BM14" si="2">+H13+G14</f>
        <v>84000</v>
      </c>
      <c r="I14" s="143">
        <f t="shared" si="2"/>
        <v>112000</v>
      </c>
      <c r="J14" s="138">
        <f t="shared" si="2"/>
        <v>140000</v>
      </c>
      <c r="K14" s="138">
        <f t="shared" si="2"/>
        <v>168000</v>
      </c>
      <c r="L14" s="138">
        <f t="shared" si="2"/>
        <v>196000</v>
      </c>
      <c r="M14" s="138">
        <f t="shared" si="2"/>
        <v>224000</v>
      </c>
      <c r="N14" s="138">
        <f t="shared" si="2"/>
        <v>252000</v>
      </c>
      <c r="O14" s="141">
        <f t="shared" si="2"/>
        <v>280000</v>
      </c>
      <c r="P14" s="138">
        <f t="shared" si="2"/>
        <v>308000</v>
      </c>
      <c r="Q14" s="138">
        <f t="shared" si="2"/>
        <v>336000</v>
      </c>
      <c r="R14" s="138">
        <f t="shared" si="2"/>
        <v>364000</v>
      </c>
      <c r="S14" s="138">
        <f t="shared" si="2"/>
        <v>392000</v>
      </c>
      <c r="T14" s="138">
        <f t="shared" si="2"/>
        <v>420000</v>
      </c>
      <c r="U14" s="138">
        <f t="shared" si="2"/>
        <v>448000</v>
      </c>
      <c r="V14" s="138">
        <f t="shared" si="2"/>
        <v>476000</v>
      </c>
      <c r="W14" s="138">
        <f t="shared" si="2"/>
        <v>504000</v>
      </c>
      <c r="X14" s="138">
        <f t="shared" si="2"/>
        <v>532000</v>
      </c>
      <c r="Y14" s="138">
        <f t="shared" si="2"/>
        <v>560000</v>
      </c>
      <c r="Z14" s="138">
        <f t="shared" si="2"/>
        <v>588000</v>
      </c>
      <c r="AA14" s="138">
        <f t="shared" si="2"/>
        <v>616000</v>
      </c>
      <c r="AB14" s="138">
        <f t="shared" si="2"/>
        <v>644000</v>
      </c>
      <c r="AC14" s="138">
        <f t="shared" si="2"/>
        <v>672000</v>
      </c>
      <c r="AD14" s="138">
        <f t="shared" si="2"/>
        <v>700000</v>
      </c>
      <c r="AE14" s="138">
        <f t="shared" si="2"/>
        <v>728000</v>
      </c>
      <c r="AF14" s="138">
        <f t="shared" si="2"/>
        <v>756000</v>
      </c>
      <c r="AG14" s="138">
        <f t="shared" si="2"/>
        <v>784000</v>
      </c>
      <c r="AH14" s="138">
        <f t="shared" si="2"/>
        <v>812000</v>
      </c>
      <c r="AI14" s="138">
        <f t="shared" si="2"/>
        <v>840000</v>
      </c>
      <c r="AJ14" s="138">
        <f t="shared" si="2"/>
        <v>868000</v>
      </c>
      <c r="AK14" s="138">
        <f t="shared" si="2"/>
        <v>896000</v>
      </c>
      <c r="AL14" s="138">
        <f t="shared" si="2"/>
        <v>924000</v>
      </c>
      <c r="AM14" s="138">
        <f t="shared" si="2"/>
        <v>952000</v>
      </c>
      <c r="AN14" s="138">
        <f t="shared" si="2"/>
        <v>980000</v>
      </c>
      <c r="AO14" s="138">
        <f t="shared" si="2"/>
        <v>1008000</v>
      </c>
      <c r="AP14" s="138">
        <f t="shared" si="2"/>
        <v>1036000</v>
      </c>
      <c r="AQ14" s="138">
        <f t="shared" si="2"/>
        <v>1064000</v>
      </c>
      <c r="AR14" s="138">
        <f t="shared" si="2"/>
        <v>1092000</v>
      </c>
      <c r="AS14" s="138">
        <f t="shared" si="2"/>
        <v>1120000</v>
      </c>
      <c r="AT14" s="138">
        <f t="shared" si="2"/>
        <v>1148000</v>
      </c>
      <c r="AU14" s="138">
        <f t="shared" si="2"/>
        <v>1176000</v>
      </c>
      <c r="AV14" s="138">
        <f t="shared" si="2"/>
        <v>1204000</v>
      </c>
      <c r="AW14" s="138">
        <f t="shared" si="2"/>
        <v>1232000</v>
      </c>
      <c r="AX14" s="138">
        <f t="shared" si="2"/>
        <v>1260000</v>
      </c>
      <c r="AY14" s="138">
        <f t="shared" si="2"/>
        <v>1288000</v>
      </c>
      <c r="AZ14" s="138">
        <f t="shared" si="2"/>
        <v>1316000</v>
      </c>
      <c r="BA14" s="138">
        <f t="shared" si="2"/>
        <v>1344000</v>
      </c>
      <c r="BB14" s="138">
        <f t="shared" si="2"/>
        <v>1372000</v>
      </c>
      <c r="BC14" s="138">
        <f t="shared" si="2"/>
        <v>1400000</v>
      </c>
      <c r="BD14" s="138">
        <f t="shared" si="2"/>
        <v>1428000</v>
      </c>
      <c r="BE14" s="138">
        <f t="shared" si="2"/>
        <v>1456000</v>
      </c>
      <c r="BF14" s="138">
        <f t="shared" si="2"/>
        <v>1484000</v>
      </c>
      <c r="BG14" s="138">
        <f t="shared" si="2"/>
        <v>1512000</v>
      </c>
      <c r="BH14" s="138">
        <f t="shared" si="2"/>
        <v>1540000</v>
      </c>
      <c r="BI14" s="138">
        <f t="shared" si="2"/>
        <v>1568000</v>
      </c>
      <c r="BJ14" s="138">
        <f t="shared" si="2"/>
        <v>1596000</v>
      </c>
      <c r="BK14" s="138">
        <f t="shared" si="2"/>
        <v>1624000</v>
      </c>
      <c r="BL14" s="138">
        <f t="shared" si="2"/>
        <v>1652000</v>
      </c>
      <c r="BM14" s="138">
        <f t="shared" si="2"/>
        <v>1680000</v>
      </c>
      <c r="BN14" t="s">
        <v>338</v>
      </c>
    </row>
    <row r="15" spans="2:66" x14ac:dyDescent="0.25">
      <c r="B15" s="21" t="s">
        <v>342</v>
      </c>
      <c r="E15" s="6">
        <f t="shared" ref="E15:BL15" si="3">+E12-E14</f>
        <v>280000</v>
      </c>
      <c r="F15" s="6">
        <f t="shared" si="3"/>
        <v>252000</v>
      </c>
      <c r="G15" s="6">
        <f t="shared" si="3"/>
        <v>224000</v>
      </c>
      <c r="H15" s="6">
        <f t="shared" si="3"/>
        <v>196000</v>
      </c>
      <c r="I15" s="6">
        <f t="shared" si="3"/>
        <v>168000</v>
      </c>
      <c r="J15" s="6">
        <f t="shared" si="3"/>
        <v>140000</v>
      </c>
      <c r="K15" s="6">
        <f t="shared" si="3"/>
        <v>112000</v>
      </c>
      <c r="L15" s="6">
        <f t="shared" si="3"/>
        <v>84000</v>
      </c>
      <c r="M15" s="6">
        <f t="shared" si="3"/>
        <v>56000</v>
      </c>
      <c r="N15" s="142">
        <f t="shared" si="3"/>
        <v>28000</v>
      </c>
      <c r="O15" s="6">
        <f t="shared" si="3"/>
        <v>0</v>
      </c>
      <c r="P15" s="6">
        <f t="shared" si="3"/>
        <v>-28000</v>
      </c>
      <c r="Q15" s="6">
        <f t="shared" si="3"/>
        <v>-56000</v>
      </c>
      <c r="R15" s="6">
        <f t="shared" si="3"/>
        <v>-84000</v>
      </c>
      <c r="S15" s="6">
        <f t="shared" si="3"/>
        <v>-112000</v>
      </c>
      <c r="T15" s="6">
        <f t="shared" si="3"/>
        <v>-140000</v>
      </c>
      <c r="U15" s="6">
        <f t="shared" si="3"/>
        <v>-168000</v>
      </c>
      <c r="V15" s="6">
        <f t="shared" si="3"/>
        <v>-196000</v>
      </c>
      <c r="W15" s="6">
        <f t="shared" si="3"/>
        <v>-224000</v>
      </c>
      <c r="X15" s="6">
        <f t="shared" si="3"/>
        <v>-252000</v>
      </c>
      <c r="Y15" s="6">
        <f t="shared" si="3"/>
        <v>-280000</v>
      </c>
      <c r="Z15" s="6">
        <f t="shared" si="3"/>
        <v>-308000</v>
      </c>
      <c r="AA15" s="6">
        <f t="shared" si="3"/>
        <v>-336000</v>
      </c>
      <c r="AB15" s="6">
        <f t="shared" si="3"/>
        <v>-364000</v>
      </c>
      <c r="AC15" s="6">
        <f t="shared" si="3"/>
        <v>-392000</v>
      </c>
      <c r="AD15" s="6">
        <f t="shared" si="3"/>
        <v>-420000</v>
      </c>
      <c r="AE15" s="6">
        <f t="shared" si="3"/>
        <v>-448000</v>
      </c>
      <c r="AF15" s="6">
        <f t="shared" si="3"/>
        <v>-476000</v>
      </c>
      <c r="AG15" s="6">
        <f t="shared" si="3"/>
        <v>-504000</v>
      </c>
      <c r="AH15" s="6">
        <f t="shared" si="3"/>
        <v>-532000</v>
      </c>
      <c r="AI15" s="6">
        <f t="shared" si="3"/>
        <v>-560000</v>
      </c>
      <c r="AJ15" s="6">
        <f t="shared" si="3"/>
        <v>-588000</v>
      </c>
      <c r="AK15" s="6">
        <f t="shared" si="3"/>
        <v>-616000</v>
      </c>
      <c r="AL15" s="6">
        <f t="shared" si="3"/>
        <v>-644000</v>
      </c>
      <c r="AM15" s="6">
        <f t="shared" si="3"/>
        <v>-672000</v>
      </c>
      <c r="AN15" s="6">
        <f t="shared" si="3"/>
        <v>-700000</v>
      </c>
      <c r="AO15" s="6">
        <f t="shared" si="3"/>
        <v>-728000</v>
      </c>
      <c r="AP15" s="6">
        <f t="shared" si="3"/>
        <v>-756000</v>
      </c>
      <c r="AQ15" s="6">
        <f t="shared" si="3"/>
        <v>-784000</v>
      </c>
      <c r="AR15" s="6">
        <f t="shared" si="3"/>
        <v>-812000</v>
      </c>
      <c r="AS15" s="6">
        <f t="shared" si="3"/>
        <v>-840000</v>
      </c>
      <c r="AT15" s="6">
        <f t="shared" si="3"/>
        <v>-868000</v>
      </c>
      <c r="AU15" s="6">
        <f t="shared" si="3"/>
        <v>-896000</v>
      </c>
      <c r="AV15" s="6">
        <f t="shared" si="3"/>
        <v>-924000</v>
      </c>
      <c r="AW15" s="6">
        <f t="shared" si="3"/>
        <v>-952000</v>
      </c>
      <c r="AX15" s="6">
        <f t="shared" si="3"/>
        <v>-980000</v>
      </c>
      <c r="AY15" s="6">
        <f t="shared" si="3"/>
        <v>-1008000</v>
      </c>
      <c r="AZ15" s="6">
        <f t="shared" si="3"/>
        <v>-1036000</v>
      </c>
      <c r="BA15" s="6">
        <f t="shared" si="3"/>
        <v>-1064000</v>
      </c>
      <c r="BB15" s="6">
        <f t="shared" si="3"/>
        <v>-1092000</v>
      </c>
      <c r="BC15" s="6">
        <f t="shared" si="3"/>
        <v>-1120000</v>
      </c>
      <c r="BD15" s="6">
        <f t="shared" si="3"/>
        <v>-1148000</v>
      </c>
      <c r="BE15" s="6">
        <f t="shared" si="3"/>
        <v>-1176000</v>
      </c>
      <c r="BF15" s="6">
        <f t="shared" si="3"/>
        <v>-1204000</v>
      </c>
      <c r="BG15" s="6">
        <f t="shared" si="3"/>
        <v>-1232000</v>
      </c>
      <c r="BH15" s="6">
        <f t="shared" si="3"/>
        <v>-1260000</v>
      </c>
      <c r="BI15" s="6">
        <f t="shared" si="3"/>
        <v>-1288000</v>
      </c>
      <c r="BJ15" s="6">
        <f t="shared" si="3"/>
        <v>-1316000</v>
      </c>
      <c r="BK15" s="6">
        <f t="shared" si="3"/>
        <v>-1344000</v>
      </c>
      <c r="BL15" s="6">
        <f t="shared" si="3"/>
        <v>-1372000</v>
      </c>
      <c r="BM15" s="139">
        <f>+BM12-BM14</f>
        <v>-1400000</v>
      </c>
      <c r="BN15" t="s">
        <v>338</v>
      </c>
    </row>
    <row r="16" spans="2:66" x14ac:dyDescent="0.25"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t="s">
        <v>338</v>
      </c>
    </row>
    <row r="17" spans="2:66" x14ac:dyDescent="0.25">
      <c r="B17" s="145" t="str">
        <f>+B4</f>
        <v>Vehículo (2 motos)</v>
      </c>
      <c r="C17" s="140">
        <v>5</v>
      </c>
      <c r="E17" s="6">
        <f>+$C$4</f>
        <v>5600000</v>
      </c>
      <c r="F17" s="6">
        <f t="shared" ref="F17:BM17" si="4">+$C$4</f>
        <v>5600000</v>
      </c>
      <c r="G17" s="6">
        <f t="shared" si="4"/>
        <v>5600000</v>
      </c>
      <c r="H17" s="6">
        <f t="shared" si="4"/>
        <v>5600000</v>
      </c>
      <c r="I17" s="6">
        <f t="shared" si="4"/>
        <v>5600000</v>
      </c>
      <c r="J17" s="6">
        <f t="shared" si="4"/>
        <v>5600000</v>
      </c>
      <c r="K17" s="6">
        <f t="shared" si="4"/>
        <v>5600000</v>
      </c>
      <c r="L17" s="6">
        <f t="shared" si="4"/>
        <v>5600000</v>
      </c>
      <c r="M17" s="6">
        <f t="shared" si="4"/>
        <v>5600000</v>
      </c>
      <c r="N17" s="6">
        <f t="shared" si="4"/>
        <v>5600000</v>
      </c>
      <c r="O17" s="6">
        <f t="shared" si="4"/>
        <v>5600000</v>
      </c>
      <c r="P17" s="6">
        <f t="shared" si="4"/>
        <v>5600000</v>
      </c>
      <c r="Q17" s="6">
        <f t="shared" si="4"/>
        <v>5600000</v>
      </c>
      <c r="R17" s="6">
        <f t="shared" si="4"/>
        <v>5600000</v>
      </c>
      <c r="S17" s="6">
        <f t="shared" si="4"/>
        <v>5600000</v>
      </c>
      <c r="T17" s="6">
        <f t="shared" si="4"/>
        <v>5600000</v>
      </c>
      <c r="U17" s="6">
        <f t="shared" si="4"/>
        <v>5600000</v>
      </c>
      <c r="V17" s="6">
        <f t="shared" si="4"/>
        <v>5600000</v>
      </c>
      <c r="W17" s="6">
        <f t="shared" si="4"/>
        <v>5600000</v>
      </c>
      <c r="X17" s="6">
        <f t="shared" si="4"/>
        <v>5600000</v>
      </c>
      <c r="Y17" s="6">
        <f t="shared" si="4"/>
        <v>5600000</v>
      </c>
      <c r="Z17" s="6">
        <f t="shared" si="4"/>
        <v>5600000</v>
      </c>
      <c r="AA17" s="6">
        <f t="shared" si="4"/>
        <v>5600000</v>
      </c>
      <c r="AB17" s="6">
        <f t="shared" si="4"/>
        <v>5600000</v>
      </c>
      <c r="AC17" s="6">
        <f t="shared" si="4"/>
        <v>5600000</v>
      </c>
      <c r="AD17" s="6">
        <f t="shared" si="4"/>
        <v>5600000</v>
      </c>
      <c r="AE17" s="6">
        <f t="shared" si="4"/>
        <v>5600000</v>
      </c>
      <c r="AF17" s="6">
        <f t="shared" si="4"/>
        <v>5600000</v>
      </c>
      <c r="AG17" s="6">
        <f t="shared" si="4"/>
        <v>5600000</v>
      </c>
      <c r="AH17" s="6">
        <f t="shared" si="4"/>
        <v>5600000</v>
      </c>
      <c r="AI17" s="6">
        <f t="shared" si="4"/>
        <v>5600000</v>
      </c>
      <c r="AJ17" s="6">
        <f t="shared" si="4"/>
        <v>5600000</v>
      </c>
      <c r="AK17" s="6">
        <f t="shared" si="4"/>
        <v>5600000</v>
      </c>
      <c r="AL17" s="6">
        <f t="shared" si="4"/>
        <v>5600000</v>
      </c>
      <c r="AM17" s="6">
        <f t="shared" si="4"/>
        <v>5600000</v>
      </c>
      <c r="AN17" s="6">
        <f t="shared" si="4"/>
        <v>5600000</v>
      </c>
      <c r="AO17" s="6">
        <f t="shared" si="4"/>
        <v>5600000</v>
      </c>
      <c r="AP17" s="6">
        <f t="shared" si="4"/>
        <v>5600000</v>
      </c>
      <c r="AQ17" s="6">
        <f t="shared" si="4"/>
        <v>5600000</v>
      </c>
      <c r="AR17" s="6">
        <f t="shared" si="4"/>
        <v>5600000</v>
      </c>
      <c r="AS17" s="6">
        <f t="shared" si="4"/>
        <v>5600000</v>
      </c>
      <c r="AT17" s="6">
        <f t="shared" si="4"/>
        <v>5600000</v>
      </c>
      <c r="AU17" s="6">
        <f t="shared" si="4"/>
        <v>5600000</v>
      </c>
      <c r="AV17" s="6">
        <f t="shared" si="4"/>
        <v>5600000</v>
      </c>
      <c r="AW17" s="6">
        <f t="shared" si="4"/>
        <v>5600000</v>
      </c>
      <c r="AX17" s="6">
        <f t="shared" si="4"/>
        <v>5600000</v>
      </c>
      <c r="AY17" s="6">
        <f t="shared" si="4"/>
        <v>5600000</v>
      </c>
      <c r="AZ17" s="6">
        <f t="shared" si="4"/>
        <v>5600000</v>
      </c>
      <c r="BA17" s="6">
        <f t="shared" si="4"/>
        <v>5600000</v>
      </c>
      <c r="BB17" s="6">
        <f t="shared" si="4"/>
        <v>5600000</v>
      </c>
      <c r="BC17" s="6">
        <f t="shared" si="4"/>
        <v>5600000</v>
      </c>
      <c r="BD17" s="6">
        <f t="shared" si="4"/>
        <v>5600000</v>
      </c>
      <c r="BE17" s="6">
        <f t="shared" si="4"/>
        <v>5600000</v>
      </c>
      <c r="BF17" s="6">
        <f t="shared" si="4"/>
        <v>5600000</v>
      </c>
      <c r="BG17" s="6">
        <f t="shared" si="4"/>
        <v>5600000</v>
      </c>
      <c r="BH17" s="6">
        <f t="shared" si="4"/>
        <v>5600000</v>
      </c>
      <c r="BI17" s="6">
        <f t="shared" si="4"/>
        <v>5600000</v>
      </c>
      <c r="BJ17" s="6">
        <f t="shared" si="4"/>
        <v>5600000</v>
      </c>
      <c r="BK17" s="6">
        <f t="shared" si="4"/>
        <v>5600000</v>
      </c>
      <c r="BL17" s="6">
        <f t="shared" si="4"/>
        <v>5600000</v>
      </c>
      <c r="BM17" s="6">
        <f t="shared" si="4"/>
        <v>5600000</v>
      </c>
      <c r="BN17" t="s">
        <v>338</v>
      </c>
    </row>
    <row r="18" spans="2:66" x14ac:dyDescent="0.25">
      <c r="B18" s="21" t="s">
        <v>340</v>
      </c>
      <c r="E18" s="6"/>
      <c r="F18" s="6">
        <f>+F17/$C$17</f>
        <v>1120000</v>
      </c>
      <c r="G18" s="6">
        <f t="shared" ref="G18:BL18" si="5">+G17/$C$17</f>
        <v>1120000</v>
      </c>
      <c r="H18" s="6">
        <f t="shared" si="5"/>
        <v>1120000</v>
      </c>
      <c r="I18" s="6">
        <f t="shared" si="5"/>
        <v>1120000</v>
      </c>
      <c r="J18" s="6">
        <f t="shared" si="5"/>
        <v>1120000</v>
      </c>
      <c r="K18" s="6">
        <f t="shared" si="5"/>
        <v>1120000</v>
      </c>
      <c r="L18" s="6">
        <f t="shared" si="5"/>
        <v>1120000</v>
      </c>
      <c r="M18" s="6">
        <f t="shared" si="5"/>
        <v>1120000</v>
      </c>
      <c r="N18" s="6">
        <f t="shared" si="5"/>
        <v>1120000</v>
      </c>
      <c r="O18" s="6">
        <f t="shared" si="5"/>
        <v>1120000</v>
      </c>
      <c r="P18" s="6">
        <f t="shared" si="5"/>
        <v>1120000</v>
      </c>
      <c r="Q18" s="6">
        <f t="shared" si="5"/>
        <v>1120000</v>
      </c>
      <c r="R18" s="6">
        <f t="shared" si="5"/>
        <v>1120000</v>
      </c>
      <c r="S18" s="6">
        <f t="shared" si="5"/>
        <v>1120000</v>
      </c>
      <c r="T18" s="6">
        <f t="shared" si="5"/>
        <v>1120000</v>
      </c>
      <c r="U18" s="6">
        <f t="shared" si="5"/>
        <v>1120000</v>
      </c>
      <c r="V18" s="6">
        <f t="shared" si="5"/>
        <v>1120000</v>
      </c>
      <c r="W18" s="6">
        <f t="shared" si="5"/>
        <v>1120000</v>
      </c>
      <c r="X18" s="6">
        <f t="shared" si="5"/>
        <v>1120000</v>
      </c>
      <c r="Y18" s="6">
        <f t="shared" si="5"/>
        <v>1120000</v>
      </c>
      <c r="Z18" s="6">
        <f t="shared" si="5"/>
        <v>1120000</v>
      </c>
      <c r="AA18" s="6">
        <f t="shared" si="5"/>
        <v>1120000</v>
      </c>
      <c r="AB18" s="6">
        <f t="shared" si="5"/>
        <v>1120000</v>
      </c>
      <c r="AC18" s="6">
        <f t="shared" si="5"/>
        <v>1120000</v>
      </c>
      <c r="AD18" s="6">
        <f t="shared" si="5"/>
        <v>1120000</v>
      </c>
      <c r="AE18" s="6">
        <f t="shared" si="5"/>
        <v>1120000</v>
      </c>
      <c r="AF18" s="6">
        <f t="shared" si="5"/>
        <v>1120000</v>
      </c>
      <c r="AG18" s="6">
        <f t="shared" si="5"/>
        <v>1120000</v>
      </c>
      <c r="AH18" s="6">
        <f t="shared" si="5"/>
        <v>1120000</v>
      </c>
      <c r="AI18" s="6">
        <f t="shared" si="5"/>
        <v>1120000</v>
      </c>
      <c r="AJ18" s="6">
        <f t="shared" si="5"/>
        <v>1120000</v>
      </c>
      <c r="AK18" s="6">
        <f t="shared" si="5"/>
        <v>1120000</v>
      </c>
      <c r="AL18" s="6">
        <f t="shared" si="5"/>
        <v>1120000</v>
      </c>
      <c r="AM18" s="6">
        <f t="shared" si="5"/>
        <v>1120000</v>
      </c>
      <c r="AN18" s="6">
        <f t="shared" si="5"/>
        <v>1120000</v>
      </c>
      <c r="AO18" s="6">
        <f t="shared" si="5"/>
        <v>1120000</v>
      </c>
      <c r="AP18" s="6">
        <f t="shared" si="5"/>
        <v>1120000</v>
      </c>
      <c r="AQ18" s="6">
        <f t="shared" si="5"/>
        <v>1120000</v>
      </c>
      <c r="AR18" s="6">
        <f t="shared" si="5"/>
        <v>1120000</v>
      </c>
      <c r="AS18" s="6">
        <f t="shared" si="5"/>
        <v>1120000</v>
      </c>
      <c r="AT18" s="6">
        <f t="shared" si="5"/>
        <v>1120000</v>
      </c>
      <c r="AU18" s="6">
        <f t="shared" si="5"/>
        <v>1120000</v>
      </c>
      <c r="AV18" s="6">
        <f t="shared" si="5"/>
        <v>1120000</v>
      </c>
      <c r="AW18" s="6">
        <f t="shared" si="5"/>
        <v>1120000</v>
      </c>
      <c r="AX18" s="6">
        <f t="shared" si="5"/>
        <v>1120000</v>
      </c>
      <c r="AY18" s="6">
        <f t="shared" si="5"/>
        <v>1120000</v>
      </c>
      <c r="AZ18" s="6">
        <f t="shared" si="5"/>
        <v>1120000</v>
      </c>
      <c r="BA18" s="6">
        <f t="shared" si="5"/>
        <v>1120000</v>
      </c>
      <c r="BB18" s="137">
        <f t="shared" si="5"/>
        <v>1120000</v>
      </c>
      <c r="BC18" s="137">
        <f t="shared" si="5"/>
        <v>1120000</v>
      </c>
      <c r="BD18" s="137">
        <f t="shared" si="5"/>
        <v>1120000</v>
      </c>
      <c r="BE18" s="137">
        <f t="shared" si="5"/>
        <v>1120000</v>
      </c>
      <c r="BF18" s="137">
        <f t="shared" si="5"/>
        <v>1120000</v>
      </c>
      <c r="BG18" s="137">
        <f t="shared" si="5"/>
        <v>1120000</v>
      </c>
      <c r="BH18" s="137">
        <f t="shared" si="5"/>
        <v>1120000</v>
      </c>
      <c r="BI18" s="137">
        <f t="shared" si="5"/>
        <v>1120000</v>
      </c>
      <c r="BJ18" s="137">
        <f t="shared" si="5"/>
        <v>1120000</v>
      </c>
      <c r="BK18" s="137">
        <f t="shared" si="5"/>
        <v>1120000</v>
      </c>
      <c r="BL18" s="137">
        <f t="shared" si="5"/>
        <v>1120000</v>
      </c>
      <c r="BM18" s="137">
        <f>+BM17/$C$17</f>
        <v>1120000</v>
      </c>
      <c r="BN18" t="s">
        <v>338</v>
      </c>
    </row>
    <row r="19" spans="2:66" x14ac:dyDescent="0.25">
      <c r="B19" s="127" t="s">
        <v>341</v>
      </c>
      <c r="C19" s="128"/>
      <c r="D19" s="128"/>
      <c r="E19" s="143"/>
      <c r="F19" s="143">
        <f>+F18+E19</f>
        <v>1120000</v>
      </c>
      <c r="G19" s="143">
        <f>+G18+F19</f>
        <v>2240000</v>
      </c>
      <c r="H19" s="143">
        <f t="shared" ref="H19:BM19" si="6">+H18+G19</f>
        <v>3360000</v>
      </c>
      <c r="I19" s="143">
        <f t="shared" si="6"/>
        <v>4480000</v>
      </c>
      <c r="J19" s="141">
        <f t="shared" si="6"/>
        <v>5600000</v>
      </c>
      <c r="K19" s="138">
        <f t="shared" si="6"/>
        <v>6720000</v>
      </c>
      <c r="L19" s="138">
        <f t="shared" si="6"/>
        <v>7840000</v>
      </c>
      <c r="M19" s="138">
        <f t="shared" si="6"/>
        <v>8960000</v>
      </c>
      <c r="N19" s="138">
        <f t="shared" si="6"/>
        <v>10080000</v>
      </c>
      <c r="O19" s="138">
        <f t="shared" si="6"/>
        <v>11200000</v>
      </c>
      <c r="P19" s="138">
        <f t="shared" si="6"/>
        <v>12320000</v>
      </c>
      <c r="Q19" s="138">
        <f t="shared" si="6"/>
        <v>13440000</v>
      </c>
      <c r="R19" s="138">
        <f t="shared" si="6"/>
        <v>14560000</v>
      </c>
      <c r="S19" s="138">
        <f t="shared" si="6"/>
        <v>15680000</v>
      </c>
      <c r="T19" s="138">
        <f t="shared" si="6"/>
        <v>16800000</v>
      </c>
      <c r="U19" s="138">
        <f t="shared" si="6"/>
        <v>17920000</v>
      </c>
      <c r="V19" s="138">
        <f t="shared" si="6"/>
        <v>19040000</v>
      </c>
      <c r="W19" s="138">
        <f t="shared" si="6"/>
        <v>20160000</v>
      </c>
      <c r="X19" s="138">
        <f t="shared" si="6"/>
        <v>21280000</v>
      </c>
      <c r="Y19" s="138">
        <f t="shared" si="6"/>
        <v>22400000</v>
      </c>
      <c r="Z19" s="138">
        <f t="shared" si="6"/>
        <v>23520000</v>
      </c>
      <c r="AA19" s="138">
        <f t="shared" si="6"/>
        <v>24640000</v>
      </c>
      <c r="AB19" s="138">
        <f t="shared" si="6"/>
        <v>25760000</v>
      </c>
      <c r="AC19" s="138">
        <f t="shared" si="6"/>
        <v>26880000</v>
      </c>
      <c r="AD19" s="138">
        <f t="shared" si="6"/>
        <v>28000000</v>
      </c>
      <c r="AE19" s="138">
        <f t="shared" si="6"/>
        <v>29120000</v>
      </c>
      <c r="AF19" s="138">
        <f t="shared" si="6"/>
        <v>30240000</v>
      </c>
      <c r="AG19" s="138">
        <f t="shared" si="6"/>
        <v>31360000</v>
      </c>
      <c r="AH19" s="138">
        <f t="shared" si="6"/>
        <v>32480000</v>
      </c>
      <c r="AI19" s="138">
        <f t="shared" si="6"/>
        <v>33600000</v>
      </c>
      <c r="AJ19" s="138">
        <f t="shared" si="6"/>
        <v>34720000</v>
      </c>
      <c r="AK19" s="138">
        <f t="shared" si="6"/>
        <v>35840000</v>
      </c>
      <c r="AL19" s="138">
        <f t="shared" si="6"/>
        <v>36960000</v>
      </c>
      <c r="AM19" s="138">
        <f t="shared" si="6"/>
        <v>38080000</v>
      </c>
      <c r="AN19" s="138">
        <f t="shared" si="6"/>
        <v>39200000</v>
      </c>
      <c r="AO19" s="138">
        <f t="shared" si="6"/>
        <v>40320000</v>
      </c>
      <c r="AP19" s="138">
        <f t="shared" si="6"/>
        <v>41440000</v>
      </c>
      <c r="AQ19" s="138">
        <f t="shared" si="6"/>
        <v>42560000</v>
      </c>
      <c r="AR19" s="138">
        <f t="shared" si="6"/>
        <v>43680000</v>
      </c>
      <c r="AS19" s="138">
        <f t="shared" si="6"/>
        <v>44800000</v>
      </c>
      <c r="AT19" s="138">
        <f t="shared" si="6"/>
        <v>45920000</v>
      </c>
      <c r="AU19" s="138">
        <f t="shared" si="6"/>
        <v>47040000</v>
      </c>
      <c r="AV19" s="138">
        <f t="shared" si="6"/>
        <v>48160000</v>
      </c>
      <c r="AW19" s="138">
        <f t="shared" si="6"/>
        <v>49280000</v>
      </c>
      <c r="AX19" s="138">
        <f t="shared" si="6"/>
        <v>50400000</v>
      </c>
      <c r="AY19" s="138">
        <f t="shared" si="6"/>
        <v>51520000</v>
      </c>
      <c r="AZ19" s="138">
        <f t="shared" si="6"/>
        <v>52640000</v>
      </c>
      <c r="BA19" s="138">
        <f t="shared" si="6"/>
        <v>53760000</v>
      </c>
      <c r="BB19" s="138">
        <f t="shared" si="6"/>
        <v>54880000</v>
      </c>
      <c r="BC19" s="138">
        <f t="shared" si="6"/>
        <v>56000000</v>
      </c>
      <c r="BD19" s="138">
        <f t="shared" si="6"/>
        <v>57120000</v>
      </c>
      <c r="BE19" s="138">
        <f t="shared" si="6"/>
        <v>58240000</v>
      </c>
      <c r="BF19" s="138">
        <f t="shared" si="6"/>
        <v>59360000</v>
      </c>
      <c r="BG19" s="138">
        <f t="shared" si="6"/>
        <v>60480000</v>
      </c>
      <c r="BH19" s="138">
        <f t="shared" si="6"/>
        <v>61600000</v>
      </c>
      <c r="BI19" s="138">
        <f t="shared" si="6"/>
        <v>62720000</v>
      </c>
      <c r="BJ19" s="138">
        <f t="shared" si="6"/>
        <v>63840000</v>
      </c>
      <c r="BK19" s="138">
        <f t="shared" si="6"/>
        <v>64960000</v>
      </c>
      <c r="BL19" s="138">
        <f t="shared" si="6"/>
        <v>66080000</v>
      </c>
      <c r="BM19" s="138">
        <f t="shared" si="6"/>
        <v>67200000</v>
      </c>
      <c r="BN19" t="s">
        <v>338</v>
      </c>
    </row>
    <row r="20" spans="2:66" x14ac:dyDescent="0.25">
      <c r="B20" s="21" t="s">
        <v>342</v>
      </c>
      <c r="E20" s="6">
        <f t="shared" ref="E20" si="7">+E17-E19</f>
        <v>5600000</v>
      </c>
      <c r="F20" s="6">
        <f>+F17-F19</f>
        <v>4480000</v>
      </c>
      <c r="G20" s="6">
        <f>+G17-G19</f>
        <v>3360000</v>
      </c>
      <c r="H20" s="6">
        <f t="shared" ref="H20:BL20" si="8">+H17-H19</f>
        <v>2240000</v>
      </c>
      <c r="I20" s="6">
        <f t="shared" si="8"/>
        <v>1120000</v>
      </c>
      <c r="J20" s="6">
        <f t="shared" si="8"/>
        <v>0</v>
      </c>
      <c r="K20" s="6">
        <f t="shared" si="8"/>
        <v>-1120000</v>
      </c>
      <c r="L20" s="6">
        <f t="shared" si="8"/>
        <v>-2240000</v>
      </c>
      <c r="M20" s="6">
        <f t="shared" si="8"/>
        <v>-3360000</v>
      </c>
      <c r="N20" s="6">
        <f t="shared" si="8"/>
        <v>-4480000</v>
      </c>
      <c r="O20" s="6">
        <f t="shared" si="8"/>
        <v>-5600000</v>
      </c>
      <c r="P20" s="6">
        <f t="shared" si="8"/>
        <v>-6720000</v>
      </c>
      <c r="Q20" s="6">
        <f t="shared" si="8"/>
        <v>-7840000</v>
      </c>
      <c r="R20" s="6">
        <f t="shared" si="8"/>
        <v>-8960000</v>
      </c>
      <c r="S20" s="6">
        <f t="shared" si="8"/>
        <v>-10080000</v>
      </c>
      <c r="T20" s="6">
        <f t="shared" si="8"/>
        <v>-11200000</v>
      </c>
      <c r="U20" s="6">
        <f t="shared" si="8"/>
        <v>-12320000</v>
      </c>
      <c r="V20" s="6">
        <f t="shared" si="8"/>
        <v>-13440000</v>
      </c>
      <c r="W20" s="6">
        <f t="shared" si="8"/>
        <v>-14560000</v>
      </c>
      <c r="X20" s="6">
        <f t="shared" si="8"/>
        <v>-15680000</v>
      </c>
      <c r="Y20" s="6">
        <f t="shared" si="8"/>
        <v>-16800000</v>
      </c>
      <c r="Z20" s="6">
        <f t="shared" si="8"/>
        <v>-17920000</v>
      </c>
      <c r="AA20" s="6">
        <f t="shared" si="8"/>
        <v>-19040000</v>
      </c>
      <c r="AB20" s="6">
        <f t="shared" si="8"/>
        <v>-20160000</v>
      </c>
      <c r="AC20" s="6">
        <f t="shared" si="8"/>
        <v>-21280000</v>
      </c>
      <c r="AD20" s="6">
        <f t="shared" si="8"/>
        <v>-22400000</v>
      </c>
      <c r="AE20" s="6">
        <f t="shared" si="8"/>
        <v>-23520000</v>
      </c>
      <c r="AF20" s="6">
        <f t="shared" si="8"/>
        <v>-24640000</v>
      </c>
      <c r="AG20" s="6">
        <f t="shared" si="8"/>
        <v>-25760000</v>
      </c>
      <c r="AH20" s="6">
        <f t="shared" si="8"/>
        <v>-26880000</v>
      </c>
      <c r="AI20" s="6">
        <f t="shared" si="8"/>
        <v>-28000000</v>
      </c>
      <c r="AJ20" s="6">
        <f t="shared" si="8"/>
        <v>-29120000</v>
      </c>
      <c r="AK20" s="6">
        <f t="shared" si="8"/>
        <v>-30240000</v>
      </c>
      <c r="AL20" s="6">
        <f t="shared" si="8"/>
        <v>-31360000</v>
      </c>
      <c r="AM20" s="6">
        <f t="shared" si="8"/>
        <v>-32480000</v>
      </c>
      <c r="AN20" s="6">
        <f t="shared" si="8"/>
        <v>-33600000</v>
      </c>
      <c r="AO20" s="6">
        <f t="shared" si="8"/>
        <v>-34720000</v>
      </c>
      <c r="AP20" s="6">
        <f t="shared" si="8"/>
        <v>-35840000</v>
      </c>
      <c r="AQ20" s="6">
        <f t="shared" si="8"/>
        <v>-36960000</v>
      </c>
      <c r="AR20" s="6">
        <f t="shared" si="8"/>
        <v>-38080000</v>
      </c>
      <c r="AS20" s="6">
        <f t="shared" si="8"/>
        <v>-39200000</v>
      </c>
      <c r="AT20" s="6">
        <f t="shared" si="8"/>
        <v>-40320000</v>
      </c>
      <c r="AU20" s="6">
        <f t="shared" si="8"/>
        <v>-41440000</v>
      </c>
      <c r="AV20" s="6">
        <f t="shared" si="8"/>
        <v>-42560000</v>
      </c>
      <c r="AW20" s="6">
        <f t="shared" si="8"/>
        <v>-43680000</v>
      </c>
      <c r="AX20" s="6">
        <f t="shared" si="8"/>
        <v>-44800000</v>
      </c>
      <c r="AY20" s="6">
        <f t="shared" si="8"/>
        <v>-45920000</v>
      </c>
      <c r="AZ20" s="6">
        <f t="shared" si="8"/>
        <v>-47040000</v>
      </c>
      <c r="BA20" s="6">
        <f t="shared" si="8"/>
        <v>-48160000</v>
      </c>
      <c r="BB20" s="6">
        <f t="shared" si="8"/>
        <v>-49280000</v>
      </c>
      <c r="BC20" s="6">
        <f t="shared" si="8"/>
        <v>-50400000</v>
      </c>
      <c r="BD20" s="6">
        <f t="shared" si="8"/>
        <v>-51520000</v>
      </c>
      <c r="BE20" s="6">
        <f t="shared" si="8"/>
        <v>-52640000</v>
      </c>
      <c r="BF20" s="6">
        <f t="shared" si="8"/>
        <v>-53760000</v>
      </c>
      <c r="BG20" s="6">
        <f t="shared" si="8"/>
        <v>-54880000</v>
      </c>
      <c r="BH20" s="6">
        <f t="shared" si="8"/>
        <v>-56000000</v>
      </c>
      <c r="BI20" s="6">
        <f t="shared" si="8"/>
        <v>-57120000</v>
      </c>
      <c r="BJ20" s="6">
        <f t="shared" si="8"/>
        <v>-58240000</v>
      </c>
      <c r="BK20" s="6">
        <f t="shared" si="8"/>
        <v>-59360000</v>
      </c>
      <c r="BL20" s="6">
        <f t="shared" si="8"/>
        <v>-60480000</v>
      </c>
      <c r="BM20" s="6">
        <f>+BM17-BM19</f>
        <v>-61600000</v>
      </c>
      <c r="BN20" t="s">
        <v>338</v>
      </c>
    </row>
    <row r="21" spans="2:66" x14ac:dyDescent="0.25"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t="s">
        <v>338</v>
      </c>
    </row>
    <row r="22" spans="2:66" x14ac:dyDescent="0.25">
      <c r="B22" s="145" t="str">
        <f>+B5</f>
        <v>Equipos computo</v>
      </c>
      <c r="C22" s="140">
        <v>5</v>
      </c>
      <c r="E22" s="6">
        <f>+$C$5</f>
        <v>3600000</v>
      </c>
      <c r="F22" s="6">
        <f t="shared" ref="F22:BM22" si="9">+$C$5</f>
        <v>3600000</v>
      </c>
      <c r="G22" s="6">
        <f t="shared" si="9"/>
        <v>3600000</v>
      </c>
      <c r="H22" s="6">
        <f t="shared" si="9"/>
        <v>3600000</v>
      </c>
      <c r="I22" s="6">
        <f t="shared" si="9"/>
        <v>3600000</v>
      </c>
      <c r="J22" s="6">
        <f t="shared" si="9"/>
        <v>3600000</v>
      </c>
      <c r="K22" s="6">
        <f t="shared" si="9"/>
        <v>3600000</v>
      </c>
      <c r="L22" s="6">
        <f t="shared" si="9"/>
        <v>3600000</v>
      </c>
      <c r="M22" s="6">
        <f t="shared" si="9"/>
        <v>3600000</v>
      </c>
      <c r="N22" s="6">
        <f t="shared" si="9"/>
        <v>3600000</v>
      </c>
      <c r="O22" s="6">
        <f t="shared" si="9"/>
        <v>3600000</v>
      </c>
      <c r="P22" s="6">
        <f t="shared" si="9"/>
        <v>3600000</v>
      </c>
      <c r="Q22" s="6">
        <f t="shared" si="9"/>
        <v>3600000</v>
      </c>
      <c r="R22" s="6">
        <f t="shared" si="9"/>
        <v>3600000</v>
      </c>
      <c r="S22" s="6">
        <f t="shared" si="9"/>
        <v>3600000</v>
      </c>
      <c r="T22" s="6">
        <f t="shared" si="9"/>
        <v>3600000</v>
      </c>
      <c r="U22" s="6">
        <f t="shared" si="9"/>
        <v>3600000</v>
      </c>
      <c r="V22" s="6">
        <f t="shared" si="9"/>
        <v>3600000</v>
      </c>
      <c r="W22" s="6">
        <f t="shared" si="9"/>
        <v>3600000</v>
      </c>
      <c r="X22" s="6">
        <f t="shared" si="9"/>
        <v>3600000</v>
      </c>
      <c r="Y22" s="6">
        <f t="shared" si="9"/>
        <v>3600000</v>
      </c>
      <c r="Z22" s="6">
        <f t="shared" si="9"/>
        <v>3600000</v>
      </c>
      <c r="AA22" s="6">
        <f t="shared" si="9"/>
        <v>3600000</v>
      </c>
      <c r="AB22" s="6">
        <f t="shared" si="9"/>
        <v>3600000</v>
      </c>
      <c r="AC22" s="6">
        <f t="shared" si="9"/>
        <v>3600000</v>
      </c>
      <c r="AD22" s="6">
        <f t="shared" si="9"/>
        <v>3600000</v>
      </c>
      <c r="AE22" s="6">
        <f t="shared" si="9"/>
        <v>3600000</v>
      </c>
      <c r="AF22" s="6">
        <f t="shared" si="9"/>
        <v>3600000</v>
      </c>
      <c r="AG22" s="6">
        <f t="shared" si="9"/>
        <v>3600000</v>
      </c>
      <c r="AH22" s="6">
        <f t="shared" si="9"/>
        <v>3600000</v>
      </c>
      <c r="AI22" s="6">
        <f t="shared" si="9"/>
        <v>3600000</v>
      </c>
      <c r="AJ22" s="6">
        <f t="shared" si="9"/>
        <v>3600000</v>
      </c>
      <c r="AK22" s="6">
        <f t="shared" si="9"/>
        <v>3600000</v>
      </c>
      <c r="AL22" s="6">
        <f t="shared" si="9"/>
        <v>3600000</v>
      </c>
      <c r="AM22" s="6">
        <f t="shared" si="9"/>
        <v>3600000</v>
      </c>
      <c r="AN22" s="6">
        <f t="shared" si="9"/>
        <v>3600000</v>
      </c>
      <c r="AO22" s="6">
        <f t="shared" si="9"/>
        <v>3600000</v>
      </c>
      <c r="AP22" s="6">
        <f t="shared" si="9"/>
        <v>3600000</v>
      </c>
      <c r="AQ22" s="6">
        <f t="shared" si="9"/>
        <v>3600000</v>
      </c>
      <c r="AR22" s="6">
        <f t="shared" si="9"/>
        <v>3600000</v>
      </c>
      <c r="AS22" s="6">
        <f t="shared" si="9"/>
        <v>3600000</v>
      </c>
      <c r="AT22" s="6">
        <f t="shared" si="9"/>
        <v>3600000</v>
      </c>
      <c r="AU22" s="6">
        <f t="shared" si="9"/>
        <v>3600000</v>
      </c>
      <c r="AV22" s="6">
        <f t="shared" si="9"/>
        <v>3600000</v>
      </c>
      <c r="AW22" s="6">
        <f t="shared" si="9"/>
        <v>3600000</v>
      </c>
      <c r="AX22" s="6">
        <f t="shared" si="9"/>
        <v>3600000</v>
      </c>
      <c r="AY22" s="6">
        <f t="shared" si="9"/>
        <v>3600000</v>
      </c>
      <c r="AZ22" s="6">
        <f t="shared" si="9"/>
        <v>3600000</v>
      </c>
      <c r="BA22" s="6">
        <f t="shared" si="9"/>
        <v>3600000</v>
      </c>
      <c r="BB22" s="6">
        <f t="shared" si="9"/>
        <v>3600000</v>
      </c>
      <c r="BC22" s="6">
        <f t="shared" si="9"/>
        <v>3600000</v>
      </c>
      <c r="BD22" s="6">
        <f t="shared" si="9"/>
        <v>3600000</v>
      </c>
      <c r="BE22" s="6">
        <f t="shared" si="9"/>
        <v>3600000</v>
      </c>
      <c r="BF22" s="6">
        <f t="shared" si="9"/>
        <v>3600000</v>
      </c>
      <c r="BG22" s="6">
        <f t="shared" si="9"/>
        <v>3600000</v>
      </c>
      <c r="BH22" s="6">
        <f t="shared" si="9"/>
        <v>3600000</v>
      </c>
      <c r="BI22" s="6">
        <f t="shared" si="9"/>
        <v>3600000</v>
      </c>
      <c r="BJ22" s="6">
        <f t="shared" si="9"/>
        <v>3600000</v>
      </c>
      <c r="BK22" s="6">
        <f t="shared" si="9"/>
        <v>3600000</v>
      </c>
      <c r="BL22" s="6">
        <f t="shared" si="9"/>
        <v>3600000</v>
      </c>
      <c r="BM22" s="6">
        <f t="shared" si="9"/>
        <v>3600000</v>
      </c>
      <c r="BN22" t="s">
        <v>338</v>
      </c>
    </row>
    <row r="23" spans="2:66" x14ac:dyDescent="0.25">
      <c r="B23" s="21" t="s">
        <v>340</v>
      </c>
      <c r="E23" s="6"/>
      <c r="F23" s="6">
        <f>+F22/$C$22</f>
        <v>720000</v>
      </c>
      <c r="G23" s="6">
        <f t="shared" ref="G23:BM23" si="10">+G22/$C$22</f>
        <v>720000</v>
      </c>
      <c r="H23" s="6">
        <f t="shared" si="10"/>
        <v>720000</v>
      </c>
      <c r="I23" s="6">
        <f t="shared" si="10"/>
        <v>720000</v>
      </c>
      <c r="J23" s="6">
        <f t="shared" si="10"/>
        <v>720000</v>
      </c>
      <c r="K23" s="6">
        <f t="shared" si="10"/>
        <v>720000</v>
      </c>
      <c r="L23" s="6">
        <f t="shared" si="10"/>
        <v>720000</v>
      </c>
      <c r="M23" s="6">
        <f t="shared" si="10"/>
        <v>720000</v>
      </c>
      <c r="N23" s="6">
        <f t="shared" si="10"/>
        <v>720000</v>
      </c>
      <c r="O23" s="6">
        <f t="shared" si="10"/>
        <v>720000</v>
      </c>
      <c r="P23" s="6">
        <f t="shared" si="10"/>
        <v>720000</v>
      </c>
      <c r="Q23" s="6">
        <f t="shared" si="10"/>
        <v>720000</v>
      </c>
      <c r="R23" s="6">
        <f t="shared" si="10"/>
        <v>720000</v>
      </c>
      <c r="S23" s="6">
        <f t="shared" si="10"/>
        <v>720000</v>
      </c>
      <c r="T23" s="6">
        <f t="shared" si="10"/>
        <v>720000</v>
      </c>
      <c r="U23" s="6">
        <f t="shared" si="10"/>
        <v>720000</v>
      </c>
      <c r="V23" s="6">
        <f t="shared" si="10"/>
        <v>720000</v>
      </c>
      <c r="W23" s="6">
        <f t="shared" si="10"/>
        <v>720000</v>
      </c>
      <c r="X23" s="6">
        <f t="shared" si="10"/>
        <v>720000</v>
      </c>
      <c r="Y23" s="6">
        <f t="shared" si="10"/>
        <v>720000</v>
      </c>
      <c r="Z23" s="6">
        <f t="shared" si="10"/>
        <v>720000</v>
      </c>
      <c r="AA23" s="6">
        <f t="shared" si="10"/>
        <v>720000</v>
      </c>
      <c r="AB23" s="6">
        <f t="shared" si="10"/>
        <v>720000</v>
      </c>
      <c r="AC23" s="6">
        <f t="shared" si="10"/>
        <v>720000</v>
      </c>
      <c r="AD23" s="6">
        <f t="shared" si="10"/>
        <v>720000</v>
      </c>
      <c r="AE23" s="6">
        <f t="shared" si="10"/>
        <v>720000</v>
      </c>
      <c r="AF23" s="6">
        <f t="shared" si="10"/>
        <v>720000</v>
      </c>
      <c r="AG23" s="6">
        <f t="shared" si="10"/>
        <v>720000</v>
      </c>
      <c r="AH23" s="6">
        <f t="shared" si="10"/>
        <v>720000</v>
      </c>
      <c r="AI23" s="6">
        <f t="shared" si="10"/>
        <v>720000</v>
      </c>
      <c r="AJ23" s="6">
        <f t="shared" si="10"/>
        <v>720000</v>
      </c>
      <c r="AK23" s="6">
        <f t="shared" si="10"/>
        <v>720000</v>
      </c>
      <c r="AL23" s="6">
        <f t="shared" si="10"/>
        <v>720000</v>
      </c>
      <c r="AM23" s="6">
        <f t="shared" si="10"/>
        <v>720000</v>
      </c>
      <c r="AN23" s="6">
        <f t="shared" si="10"/>
        <v>720000</v>
      </c>
      <c r="AO23" s="6">
        <f t="shared" si="10"/>
        <v>720000</v>
      </c>
      <c r="AP23" s="6">
        <f t="shared" si="10"/>
        <v>720000</v>
      </c>
      <c r="AQ23" s="6">
        <f t="shared" si="10"/>
        <v>720000</v>
      </c>
      <c r="AR23" s="6">
        <f t="shared" si="10"/>
        <v>720000</v>
      </c>
      <c r="AS23" s="6">
        <f t="shared" si="10"/>
        <v>720000</v>
      </c>
      <c r="AT23" s="6">
        <f t="shared" si="10"/>
        <v>720000</v>
      </c>
      <c r="AU23" s="6">
        <f t="shared" si="10"/>
        <v>720000</v>
      </c>
      <c r="AV23" s="6">
        <f t="shared" si="10"/>
        <v>720000</v>
      </c>
      <c r="AW23" s="6">
        <f t="shared" si="10"/>
        <v>720000</v>
      </c>
      <c r="AX23" s="6">
        <f t="shared" si="10"/>
        <v>720000</v>
      </c>
      <c r="AY23" s="6">
        <f t="shared" si="10"/>
        <v>720000</v>
      </c>
      <c r="AZ23" s="6">
        <f t="shared" si="10"/>
        <v>720000</v>
      </c>
      <c r="BA23" s="6">
        <f t="shared" si="10"/>
        <v>720000</v>
      </c>
      <c r="BB23" s="137">
        <f t="shared" si="10"/>
        <v>720000</v>
      </c>
      <c r="BC23" s="137">
        <f t="shared" si="10"/>
        <v>720000</v>
      </c>
      <c r="BD23" s="137">
        <f t="shared" si="10"/>
        <v>720000</v>
      </c>
      <c r="BE23" s="137">
        <f t="shared" si="10"/>
        <v>720000</v>
      </c>
      <c r="BF23" s="137">
        <f t="shared" si="10"/>
        <v>720000</v>
      </c>
      <c r="BG23" s="137">
        <f t="shared" si="10"/>
        <v>720000</v>
      </c>
      <c r="BH23" s="137">
        <f t="shared" si="10"/>
        <v>720000</v>
      </c>
      <c r="BI23" s="137">
        <f t="shared" si="10"/>
        <v>720000</v>
      </c>
      <c r="BJ23" s="137">
        <f t="shared" si="10"/>
        <v>720000</v>
      </c>
      <c r="BK23" s="137">
        <f t="shared" si="10"/>
        <v>720000</v>
      </c>
      <c r="BL23" s="137">
        <f t="shared" si="10"/>
        <v>720000</v>
      </c>
      <c r="BM23" s="137">
        <f t="shared" si="10"/>
        <v>720000</v>
      </c>
      <c r="BN23" t="s">
        <v>338</v>
      </c>
    </row>
    <row r="24" spans="2:66" x14ac:dyDescent="0.25">
      <c r="B24" s="127" t="s">
        <v>341</v>
      </c>
      <c r="C24" s="128"/>
      <c r="D24" s="128"/>
      <c r="E24" s="143"/>
      <c r="F24" s="143">
        <f>+F23+E24</f>
        <v>720000</v>
      </c>
      <c r="G24" s="143">
        <f>+G23+F24</f>
        <v>1440000</v>
      </c>
      <c r="H24" s="143">
        <f t="shared" ref="H24:BM24" si="11">+H23+G24</f>
        <v>2160000</v>
      </c>
      <c r="I24" s="143">
        <f t="shared" si="11"/>
        <v>2880000</v>
      </c>
      <c r="J24" s="141">
        <f t="shared" si="11"/>
        <v>3600000</v>
      </c>
      <c r="K24" s="138">
        <f t="shared" si="11"/>
        <v>4320000</v>
      </c>
      <c r="L24" s="138">
        <f t="shared" si="11"/>
        <v>5040000</v>
      </c>
      <c r="M24" s="138">
        <f t="shared" si="11"/>
        <v>5760000</v>
      </c>
      <c r="N24" s="138">
        <f t="shared" si="11"/>
        <v>6480000</v>
      </c>
      <c r="O24" s="138">
        <f t="shared" si="11"/>
        <v>7200000</v>
      </c>
      <c r="P24" s="138">
        <f t="shared" si="11"/>
        <v>7920000</v>
      </c>
      <c r="Q24" s="138">
        <f t="shared" si="11"/>
        <v>8640000</v>
      </c>
      <c r="R24" s="138">
        <f t="shared" si="11"/>
        <v>9360000</v>
      </c>
      <c r="S24" s="138">
        <f t="shared" si="11"/>
        <v>10080000</v>
      </c>
      <c r="T24" s="138">
        <f t="shared" si="11"/>
        <v>10800000</v>
      </c>
      <c r="U24" s="138">
        <f t="shared" si="11"/>
        <v>11520000</v>
      </c>
      <c r="V24" s="138">
        <f t="shared" si="11"/>
        <v>12240000</v>
      </c>
      <c r="W24" s="138">
        <f t="shared" si="11"/>
        <v>12960000</v>
      </c>
      <c r="X24" s="138">
        <f t="shared" si="11"/>
        <v>13680000</v>
      </c>
      <c r="Y24" s="138">
        <f t="shared" si="11"/>
        <v>14400000</v>
      </c>
      <c r="Z24" s="138">
        <f t="shared" si="11"/>
        <v>15120000</v>
      </c>
      <c r="AA24" s="138">
        <f t="shared" si="11"/>
        <v>15840000</v>
      </c>
      <c r="AB24" s="138">
        <f t="shared" si="11"/>
        <v>16560000</v>
      </c>
      <c r="AC24" s="138">
        <f t="shared" si="11"/>
        <v>17280000</v>
      </c>
      <c r="AD24" s="138">
        <f t="shared" si="11"/>
        <v>18000000</v>
      </c>
      <c r="AE24" s="138">
        <f t="shared" si="11"/>
        <v>18720000</v>
      </c>
      <c r="AF24" s="138">
        <f t="shared" si="11"/>
        <v>19440000</v>
      </c>
      <c r="AG24" s="138">
        <f t="shared" si="11"/>
        <v>20160000</v>
      </c>
      <c r="AH24" s="138">
        <f t="shared" si="11"/>
        <v>20880000</v>
      </c>
      <c r="AI24" s="138">
        <f t="shared" si="11"/>
        <v>21600000</v>
      </c>
      <c r="AJ24" s="138">
        <f t="shared" si="11"/>
        <v>22320000</v>
      </c>
      <c r="AK24" s="138">
        <f t="shared" si="11"/>
        <v>23040000</v>
      </c>
      <c r="AL24" s="138">
        <f t="shared" si="11"/>
        <v>23760000</v>
      </c>
      <c r="AM24" s="138">
        <f t="shared" si="11"/>
        <v>24480000</v>
      </c>
      <c r="AN24" s="138">
        <f t="shared" si="11"/>
        <v>25200000</v>
      </c>
      <c r="AO24" s="138">
        <f t="shared" si="11"/>
        <v>25920000</v>
      </c>
      <c r="AP24" s="138">
        <f t="shared" si="11"/>
        <v>26640000</v>
      </c>
      <c r="AQ24" s="138">
        <f t="shared" si="11"/>
        <v>27360000</v>
      </c>
      <c r="AR24" s="138">
        <f t="shared" si="11"/>
        <v>28080000</v>
      </c>
      <c r="AS24" s="138">
        <f t="shared" si="11"/>
        <v>28800000</v>
      </c>
      <c r="AT24" s="138">
        <f t="shared" si="11"/>
        <v>29520000</v>
      </c>
      <c r="AU24" s="138">
        <f t="shared" si="11"/>
        <v>30240000</v>
      </c>
      <c r="AV24" s="138">
        <f t="shared" si="11"/>
        <v>30960000</v>
      </c>
      <c r="AW24" s="138">
        <f t="shared" si="11"/>
        <v>31680000</v>
      </c>
      <c r="AX24" s="138">
        <f t="shared" si="11"/>
        <v>32400000</v>
      </c>
      <c r="AY24" s="138">
        <f t="shared" si="11"/>
        <v>33120000</v>
      </c>
      <c r="AZ24" s="138">
        <f t="shared" si="11"/>
        <v>33840000</v>
      </c>
      <c r="BA24" s="138">
        <f t="shared" si="11"/>
        <v>34560000</v>
      </c>
      <c r="BB24" s="138">
        <f t="shared" si="11"/>
        <v>35280000</v>
      </c>
      <c r="BC24" s="138">
        <f t="shared" si="11"/>
        <v>36000000</v>
      </c>
      <c r="BD24" s="138">
        <f t="shared" si="11"/>
        <v>36720000</v>
      </c>
      <c r="BE24" s="138">
        <f t="shared" si="11"/>
        <v>37440000</v>
      </c>
      <c r="BF24" s="138">
        <f t="shared" si="11"/>
        <v>38160000</v>
      </c>
      <c r="BG24" s="138">
        <f t="shared" si="11"/>
        <v>38880000</v>
      </c>
      <c r="BH24" s="138">
        <f t="shared" si="11"/>
        <v>39600000</v>
      </c>
      <c r="BI24" s="138">
        <f t="shared" si="11"/>
        <v>40320000</v>
      </c>
      <c r="BJ24" s="138">
        <f t="shared" si="11"/>
        <v>41040000</v>
      </c>
      <c r="BK24" s="138">
        <f t="shared" si="11"/>
        <v>41760000</v>
      </c>
      <c r="BL24" s="138">
        <f t="shared" si="11"/>
        <v>42480000</v>
      </c>
      <c r="BM24" s="138">
        <f t="shared" si="11"/>
        <v>43200000</v>
      </c>
      <c r="BN24" t="s">
        <v>338</v>
      </c>
    </row>
    <row r="25" spans="2:66" x14ac:dyDescent="0.25">
      <c r="B25" s="21" t="s">
        <v>342</v>
      </c>
      <c r="E25" s="6">
        <f t="shared" ref="E25" si="12">+E22-E24</f>
        <v>3600000</v>
      </c>
      <c r="F25" s="6">
        <f>+F22-F24</f>
        <v>2880000</v>
      </c>
      <c r="G25" s="6">
        <f>+G22-G24</f>
        <v>2160000</v>
      </c>
      <c r="H25" s="6">
        <f t="shared" ref="H25:BL25" si="13">+H22-H24</f>
        <v>1440000</v>
      </c>
      <c r="I25" s="6">
        <f t="shared" si="13"/>
        <v>720000</v>
      </c>
      <c r="J25" s="6">
        <f t="shared" si="13"/>
        <v>0</v>
      </c>
      <c r="K25" s="6">
        <f t="shared" si="13"/>
        <v>-720000</v>
      </c>
      <c r="L25" s="6">
        <f t="shared" si="13"/>
        <v>-1440000</v>
      </c>
      <c r="M25" s="6">
        <f t="shared" si="13"/>
        <v>-2160000</v>
      </c>
      <c r="N25" s="6">
        <f t="shared" si="13"/>
        <v>-2880000</v>
      </c>
      <c r="O25" s="6">
        <f t="shared" si="13"/>
        <v>-3600000</v>
      </c>
      <c r="P25" s="6">
        <f t="shared" si="13"/>
        <v>-4320000</v>
      </c>
      <c r="Q25" s="6">
        <f t="shared" si="13"/>
        <v>-5040000</v>
      </c>
      <c r="R25" s="6">
        <f t="shared" si="13"/>
        <v>-5760000</v>
      </c>
      <c r="S25" s="6">
        <f t="shared" si="13"/>
        <v>-6480000</v>
      </c>
      <c r="T25" s="6">
        <f t="shared" si="13"/>
        <v>-7200000</v>
      </c>
      <c r="U25" s="6">
        <f t="shared" si="13"/>
        <v>-7920000</v>
      </c>
      <c r="V25" s="6">
        <f t="shared" si="13"/>
        <v>-8640000</v>
      </c>
      <c r="W25" s="6">
        <f t="shared" si="13"/>
        <v>-9360000</v>
      </c>
      <c r="X25" s="6">
        <f t="shared" si="13"/>
        <v>-10080000</v>
      </c>
      <c r="Y25" s="6">
        <f t="shared" si="13"/>
        <v>-10800000</v>
      </c>
      <c r="Z25" s="6">
        <f t="shared" si="13"/>
        <v>-11520000</v>
      </c>
      <c r="AA25" s="6">
        <f t="shared" si="13"/>
        <v>-12240000</v>
      </c>
      <c r="AB25" s="6">
        <f t="shared" si="13"/>
        <v>-12960000</v>
      </c>
      <c r="AC25" s="6">
        <f t="shared" si="13"/>
        <v>-13680000</v>
      </c>
      <c r="AD25" s="6">
        <f t="shared" si="13"/>
        <v>-14400000</v>
      </c>
      <c r="AE25" s="6">
        <f t="shared" si="13"/>
        <v>-15120000</v>
      </c>
      <c r="AF25" s="6">
        <f t="shared" si="13"/>
        <v>-15840000</v>
      </c>
      <c r="AG25" s="6">
        <f t="shared" si="13"/>
        <v>-16560000</v>
      </c>
      <c r="AH25" s="6">
        <f t="shared" si="13"/>
        <v>-17280000</v>
      </c>
      <c r="AI25" s="6">
        <f t="shared" si="13"/>
        <v>-18000000</v>
      </c>
      <c r="AJ25" s="6">
        <f t="shared" si="13"/>
        <v>-18720000</v>
      </c>
      <c r="AK25" s="6">
        <f t="shared" si="13"/>
        <v>-19440000</v>
      </c>
      <c r="AL25" s="6">
        <f t="shared" si="13"/>
        <v>-20160000</v>
      </c>
      <c r="AM25" s="6">
        <f t="shared" si="13"/>
        <v>-20880000</v>
      </c>
      <c r="AN25" s="6">
        <f t="shared" si="13"/>
        <v>-21600000</v>
      </c>
      <c r="AO25" s="6">
        <f t="shared" si="13"/>
        <v>-22320000</v>
      </c>
      <c r="AP25" s="6">
        <f t="shared" si="13"/>
        <v>-23040000</v>
      </c>
      <c r="AQ25" s="6">
        <f t="shared" si="13"/>
        <v>-23760000</v>
      </c>
      <c r="AR25" s="6">
        <f t="shared" si="13"/>
        <v>-24480000</v>
      </c>
      <c r="AS25" s="6">
        <f t="shared" si="13"/>
        <v>-25200000</v>
      </c>
      <c r="AT25" s="6">
        <f t="shared" si="13"/>
        <v>-25920000</v>
      </c>
      <c r="AU25" s="6">
        <f t="shared" si="13"/>
        <v>-26640000</v>
      </c>
      <c r="AV25" s="6">
        <f t="shared" si="13"/>
        <v>-27360000</v>
      </c>
      <c r="AW25" s="6">
        <f t="shared" si="13"/>
        <v>-28080000</v>
      </c>
      <c r="AX25" s="6">
        <f t="shared" si="13"/>
        <v>-28800000</v>
      </c>
      <c r="AY25" s="6">
        <f t="shared" si="13"/>
        <v>-29520000</v>
      </c>
      <c r="AZ25" s="6">
        <f t="shared" si="13"/>
        <v>-30240000</v>
      </c>
      <c r="BA25" s="6">
        <f t="shared" si="13"/>
        <v>-30960000</v>
      </c>
      <c r="BB25" s="6">
        <f t="shared" si="13"/>
        <v>-31680000</v>
      </c>
      <c r="BC25" s="6">
        <f t="shared" si="13"/>
        <v>-32400000</v>
      </c>
      <c r="BD25" s="6">
        <f t="shared" si="13"/>
        <v>-33120000</v>
      </c>
      <c r="BE25" s="6">
        <f t="shared" si="13"/>
        <v>-33840000</v>
      </c>
      <c r="BF25" s="6">
        <f t="shared" si="13"/>
        <v>-34560000</v>
      </c>
      <c r="BG25" s="6">
        <f t="shared" si="13"/>
        <v>-35280000</v>
      </c>
      <c r="BH25" s="6">
        <f t="shared" si="13"/>
        <v>-36000000</v>
      </c>
      <c r="BI25" s="6">
        <f t="shared" si="13"/>
        <v>-36720000</v>
      </c>
      <c r="BJ25" s="6">
        <f t="shared" si="13"/>
        <v>-37440000</v>
      </c>
      <c r="BK25" s="6">
        <f t="shared" si="13"/>
        <v>-38160000</v>
      </c>
      <c r="BL25" s="6">
        <f t="shared" si="13"/>
        <v>-38880000</v>
      </c>
      <c r="BM25" s="6">
        <f>+BM22-BM24</f>
        <v>-39600000</v>
      </c>
      <c r="BN25" t="s">
        <v>338</v>
      </c>
    </row>
    <row r="26" spans="2:66" x14ac:dyDescent="0.25"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t="s">
        <v>338</v>
      </c>
    </row>
    <row r="27" spans="2:66" x14ac:dyDescent="0.25">
      <c r="B27" s="145" t="str">
        <f>+B6</f>
        <v>Muebles y enseres</v>
      </c>
      <c r="C27" s="140">
        <v>10</v>
      </c>
      <c r="E27" s="6">
        <f>+$C$6</f>
        <v>630000</v>
      </c>
      <c r="F27" s="6">
        <f t="shared" ref="F27:BM27" si="14">+$C$6</f>
        <v>630000</v>
      </c>
      <c r="G27" s="6">
        <f t="shared" si="14"/>
        <v>630000</v>
      </c>
      <c r="H27" s="6">
        <f t="shared" si="14"/>
        <v>630000</v>
      </c>
      <c r="I27" s="6">
        <f t="shared" si="14"/>
        <v>630000</v>
      </c>
      <c r="J27" s="6">
        <f t="shared" si="14"/>
        <v>630000</v>
      </c>
      <c r="K27" s="6">
        <f t="shared" si="14"/>
        <v>630000</v>
      </c>
      <c r="L27" s="6">
        <f t="shared" si="14"/>
        <v>630000</v>
      </c>
      <c r="M27" s="6">
        <f t="shared" si="14"/>
        <v>630000</v>
      </c>
      <c r="N27" s="6">
        <f t="shared" si="14"/>
        <v>630000</v>
      </c>
      <c r="O27" s="6">
        <f t="shared" si="14"/>
        <v>630000</v>
      </c>
      <c r="P27" s="6">
        <f t="shared" si="14"/>
        <v>630000</v>
      </c>
      <c r="Q27" s="6">
        <f t="shared" si="14"/>
        <v>630000</v>
      </c>
      <c r="R27" s="6">
        <f t="shared" si="14"/>
        <v>630000</v>
      </c>
      <c r="S27" s="6">
        <f t="shared" si="14"/>
        <v>630000</v>
      </c>
      <c r="T27" s="6">
        <f t="shared" si="14"/>
        <v>630000</v>
      </c>
      <c r="U27" s="6">
        <f t="shared" si="14"/>
        <v>630000</v>
      </c>
      <c r="V27" s="6">
        <f t="shared" si="14"/>
        <v>630000</v>
      </c>
      <c r="W27" s="6">
        <f t="shared" si="14"/>
        <v>630000</v>
      </c>
      <c r="X27" s="6">
        <f t="shared" si="14"/>
        <v>630000</v>
      </c>
      <c r="Y27" s="6">
        <f t="shared" si="14"/>
        <v>630000</v>
      </c>
      <c r="Z27" s="6">
        <f t="shared" si="14"/>
        <v>630000</v>
      </c>
      <c r="AA27" s="6">
        <f t="shared" si="14"/>
        <v>630000</v>
      </c>
      <c r="AB27" s="6">
        <f t="shared" si="14"/>
        <v>630000</v>
      </c>
      <c r="AC27" s="6">
        <f t="shared" si="14"/>
        <v>630000</v>
      </c>
      <c r="AD27" s="6">
        <f t="shared" si="14"/>
        <v>630000</v>
      </c>
      <c r="AE27" s="6">
        <f t="shared" si="14"/>
        <v>630000</v>
      </c>
      <c r="AF27" s="6">
        <f t="shared" si="14"/>
        <v>630000</v>
      </c>
      <c r="AG27" s="6">
        <f t="shared" si="14"/>
        <v>630000</v>
      </c>
      <c r="AH27" s="6">
        <f t="shared" si="14"/>
        <v>630000</v>
      </c>
      <c r="AI27" s="6">
        <f t="shared" si="14"/>
        <v>630000</v>
      </c>
      <c r="AJ27" s="6">
        <f t="shared" si="14"/>
        <v>630000</v>
      </c>
      <c r="AK27" s="6">
        <f t="shared" si="14"/>
        <v>630000</v>
      </c>
      <c r="AL27" s="6">
        <f t="shared" si="14"/>
        <v>630000</v>
      </c>
      <c r="AM27" s="6">
        <f t="shared" si="14"/>
        <v>630000</v>
      </c>
      <c r="AN27" s="6">
        <f t="shared" si="14"/>
        <v>630000</v>
      </c>
      <c r="AO27" s="6">
        <f t="shared" si="14"/>
        <v>630000</v>
      </c>
      <c r="AP27" s="6">
        <f t="shared" si="14"/>
        <v>630000</v>
      </c>
      <c r="AQ27" s="6">
        <f t="shared" si="14"/>
        <v>630000</v>
      </c>
      <c r="AR27" s="6">
        <f t="shared" si="14"/>
        <v>630000</v>
      </c>
      <c r="AS27" s="6">
        <f t="shared" si="14"/>
        <v>630000</v>
      </c>
      <c r="AT27" s="6">
        <f t="shared" si="14"/>
        <v>630000</v>
      </c>
      <c r="AU27" s="6">
        <f t="shared" si="14"/>
        <v>630000</v>
      </c>
      <c r="AV27" s="6">
        <f t="shared" si="14"/>
        <v>630000</v>
      </c>
      <c r="AW27" s="6">
        <f t="shared" si="14"/>
        <v>630000</v>
      </c>
      <c r="AX27" s="6">
        <f t="shared" si="14"/>
        <v>630000</v>
      </c>
      <c r="AY27" s="6">
        <f t="shared" si="14"/>
        <v>630000</v>
      </c>
      <c r="AZ27" s="6">
        <f t="shared" si="14"/>
        <v>630000</v>
      </c>
      <c r="BA27" s="6">
        <f t="shared" si="14"/>
        <v>630000</v>
      </c>
      <c r="BB27" s="6">
        <f t="shared" si="14"/>
        <v>630000</v>
      </c>
      <c r="BC27" s="6">
        <f t="shared" si="14"/>
        <v>630000</v>
      </c>
      <c r="BD27" s="6">
        <f t="shared" si="14"/>
        <v>630000</v>
      </c>
      <c r="BE27" s="6">
        <f t="shared" si="14"/>
        <v>630000</v>
      </c>
      <c r="BF27" s="6">
        <f t="shared" si="14"/>
        <v>630000</v>
      </c>
      <c r="BG27" s="6">
        <f t="shared" si="14"/>
        <v>630000</v>
      </c>
      <c r="BH27" s="6">
        <f t="shared" si="14"/>
        <v>630000</v>
      </c>
      <c r="BI27" s="6">
        <f t="shared" si="14"/>
        <v>630000</v>
      </c>
      <c r="BJ27" s="6">
        <f t="shared" si="14"/>
        <v>630000</v>
      </c>
      <c r="BK27" s="6">
        <f t="shared" si="14"/>
        <v>630000</v>
      </c>
      <c r="BL27" s="6">
        <f t="shared" si="14"/>
        <v>630000</v>
      </c>
      <c r="BM27" s="6">
        <f t="shared" si="14"/>
        <v>630000</v>
      </c>
      <c r="BN27" t="s">
        <v>338</v>
      </c>
    </row>
    <row r="28" spans="2:66" x14ac:dyDescent="0.25">
      <c r="B28" s="21" t="s">
        <v>340</v>
      </c>
      <c r="E28" s="6"/>
      <c r="F28" s="6">
        <f>+F27/$C$27</f>
        <v>63000</v>
      </c>
      <c r="G28" s="6">
        <f t="shared" ref="G28:BM28" si="15">+G27/$C$27</f>
        <v>63000</v>
      </c>
      <c r="H28" s="6">
        <f t="shared" si="15"/>
        <v>63000</v>
      </c>
      <c r="I28" s="6">
        <f t="shared" si="15"/>
        <v>63000</v>
      </c>
      <c r="J28" s="6">
        <f t="shared" si="15"/>
        <v>63000</v>
      </c>
      <c r="K28" s="6">
        <f t="shared" si="15"/>
        <v>63000</v>
      </c>
      <c r="L28" s="6">
        <f t="shared" si="15"/>
        <v>63000</v>
      </c>
      <c r="M28" s="6">
        <f t="shared" si="15"/>
        <v>63000</v>
      </c>
      <c r="N28" s="6">
        <f t="shared" si="15"/>
        <v>63000</v>
      </c>
      <c r="O28" s="6">
        <f t="shared" si="15"/>
        <v>63000</v>
      </c>
      <c r="P28" s="6">
        <f t="shared" si="15"/>
        <v>63000</v>
      </c>
      <c r="Q28" s="6">
        <f t="shared" si="15"/>
        <v>63000</v>
      </c>
      <c r="R28" s="6">
        <f t="shared" si="15"/>
        <v>63000</v>
      </c>
      <c r="S28" s="6">
        <f t="shared" si="15"/>
        <v>63000</v>
      </c>
      <c r="T28" s="6">
        <f t="shared" si="15"/>
        <v>63000</v>
      </c>
      <c r="U28" s="6">
        <f t="shared" si="15"/>
        <v>63000</v>
      </c>
      <c r="V28" s="6">
        <f t="shared" si="15"/>
        <v>63000</v>
      </c>
      <c r="W28" s="6">
        <f t="shared" si="15"/>
        <v>63000</v>
      </c>
      <c r="X28" s="6">
        <f t="shared" si="15"/>
        <v>63000</v>
      </c>
      <c r="Y28" s="6">
        <f t="shared" si="15"/>
        <v>63000</v>
      </c>
      <c r="Z28" s="6">
        <f t="shared" si="15"/>
        <v>63000</v>
      </c>
      <c r="AA28" s="6">
        <f t="shared" si="15"/>
        <v>63000</v>
      </c>
      <c r="AB28" s="6">
        <f t="shared" si="15"/>
        <v>63000</v>
      </c>
      <c r="AC28" s="6">
        <f t="shared" si="15"/>
        <v>63000</v>
      </c>
      <c r="AD28" s="6">
        <f t="shared" si="15"/>
        <v>63000</v>
      </c>
      <c r="AE28" s="6">
        <f t="shared" si="15"/>
        <v>63000</v>
      </c>
      <c r="AF28" s="6">
        <f t="shared" si="15"/>
        <v>63000</v>
      </c>
      <c r="AG28" s="6">
        <f t="shared" si="15"/>
        <v>63000</v>
      </c>
      <c r="AH28" s="6">
        <f t="shared" si="15"/>
        <v>63000</v>
      </c>
      <c r="AI28" s="6">
        <f t="shared" si="15"/>
        <v>63000</v>
      </c>
      <c r="AJ28" s="6">
        <f t="shared" si="15"/>
        <v>63000</v>
      </c>
      <c r="AK28" s="6">
        <f t="shared" si="15"/>
        <v>63000</v>
      </c>
      <c r="AL28" s="6">
        <f t="shared" si="15"/>
        <v>63000</v>
      </c>
      <c r="AM28" s="6">
        <f t="shared" si="15"/>
        <v>63000</v>
      </c>
      <c r="AN28" s="6">
        <f t="shared" si="15"/>
        <v>63000</v>
      </c>
      <c r="AO28" s="6">
        <f t="shared" si="15"/>
        <v>63000</v>
      </c>
      <c r="AP28" s="6">
        <f t="shared" si="15"/>
        <v>63000</v>
      </c>
      <c r="AQ28" s="6">
        <f t="shared" si="15"/>
        <v>63000</v>
      </c>
      <c r="AR28" s="6">
        <f t="shared" si="15"/>
        <v>63000</v>
      </c>
      <c r="AS28" s="6">
        <f t="shared" si="15"/>
        <v>63000</v>
      </c>
      <c r="AT28" s="6">
        <f t="shared" si="15"/>
        <v>63000</v>
      </c>
      <c r="AU28" s="6">
        <f t="shared" si="15"/>
        <v>63000</v>
      </c>
      <c r="AV28" s="6">
        <f t="shared" si="15"/>
        <v>63000</v>
      </c>
      <c r="AW28" s="6">
        <f t="shared" si="15"/>
        <v>63000</v>
      </c>
      <c r="AX28" s="6">
        <f t="shared" si="15"/>
        <v>63000</v>
      </c>
      <c r="AY28" s="6">
        <f t="shared" si="15"/>
        <v>63000</v>
      </c>
      <c r="AZ28" s="6">
        <f t="shared" si="15"/>
        <v>63000</v>
      </c>
      <c r="BA28" s="6">
        <f t="shared" si="15"/>
        <v>63000</v>
      </c>
      <c r="BB28" s="137">
        <f t="shared" si="15"/>
        <v>63000</v>
      </c>
      <c r="BC28" s="137">
        <f t="shared" si="15"/>
        <v>63000</v>
      </c>
      <c r="BD28" s="137">
        <f t="shared" si="15"/>
        <v>63000</v>
      </c>
      <c r="BE28" s="137">
        <f t="shared" si="15"/>
        <v>63000</v>
      </c>
      <c r="BF28" s="137">
        <f t="shared" si="15"/>
        <v>63000</v>
      </c>
      <c r="BG28" s="137">
        <f t="shared" si="15"/>
        <v>63000</v>
      </c>
      <c r="BH28" s="137">
        <f t="shared" si="15"/>
        <v>63000</v>
      </c>
      <c r="BI28" s="137">
        <f t="shared" si="15"/>
        <v>63000</v>
      </c>
      <c r="BJ28" s="137">
        <f t="shared" si="15"/>
        <v>63000</v>
      </c>
      <c r="BK28" s="137">
        <f t="shared" si="15"/>
        <v>63000</v>
      </c>
      <c r="BL28" s="137">
        <f t="shared" si="15"/>
        <v>63000</v>
      </c>
      <c r="BM28" s="137">
        <f t="shared" si="15"/>
        <v>63000</v>
      </c>
      <c r="BN28" t="s">
        <v>338</v>
      </c>
    </row>
    <row r="29" spans="2:66" x14ac:dyDescent="0.25">
      <c r="B29" s="127" t="s">
        <v>341</v>
      </c>
      <c r="C29" s="128"/>
      <c r="D29" s="128"/>
      <c r="E29" s="143"/>
      <c r="F29" s="143">
        <f>+F28+E29</f>
        <v>63000</v>
      </c>
      <c r="G29" s="143">
        <f>+G28+F29</f>
        <v>126000</v>
      </c>
      <c r="H29" s="143">
        <f t="shared" ref="H29:BM29" si="16">+H28+G29</f>
        <v>189000</v>
      </c>
      <c r="I29" s="143">
        <f t="shared" si="16"/>
        <v>252000</v>
      </c>
      <c r="J29" s="138">
        <f t="shared" si="16"/>
        <v>315000</v>
      </c>
      <c r="K29" s="138">
        <f t="shared" si="16"/>
        <v>378000</v>
      </c>
      <c r="L29" s="138">
        <f t="shared" si="16"/>
        <v>441000</v>
      </c>
      <c r="M29" s="138">
        <f t="shared" si="16"/>
        <v>504000</v>
      </c>
      <c r="N29" s="138">
        <f t="shared" si="16"/>
        <v>567000</v>
      </c>
      <c r="O29" s="141">
        <f t="shared" si="16"/>
        <v>630000</v>
      </c>
      <c r="P29" s="138">
        <f t="shared" si="16"/>
        <v>693000</v>
      </c>
      <c r="Q29" s="138">
        <f t="shared" si="16"/>
        <v>756000</v>
      </c>
      <c r="R29" s="138">
        <f t="shared" si="16"/>
        <v>819000</v>
      </c>
      <c r="S29" s="138">
        <f t="shared" si="16"/>
        <v>882000</v>
      </c>
      <c r="T29" s="138">
        <f t="shared" si="16"/>
        <v>945000</v>
      </c>
      <c r="U29" s="138">
        <f t="shared" si="16"/>
        <v>1008000</v>
      </c>
      <c r="V29" s="138">
        <f t="shared" si="16"/>
        <v>1071000</v>
      </c>
      <c r="W29" s="138">
        <f t="shared" si="16"/>
        <v>1134000</v>
      </c>
      <c r="X29" s="138">
        <f t="shared" si="16"/>
        <v>1197000</v>
      </c>
      <c r="Y29" s="138">
        <f t="shared" si="16"/>
        <v>1260000</v>
      </c>
      <c r="Z29" s="138">
        <f t="shared" si="16"/>
        <v>1323000</v>
      </c>
      <c r="AA29" s="138">
        <f t="shared" si="16"/>
        <v>1386000</v>
      </c>
      <c r="AB29" s="138">
        <f t="shared" si="16"/>
        <v>1449000</v>
      </c>
      <c r="AC29" s="138">
        <f t="shared" si="16"/>
        <v>1512000</v>
      </c>
      <c r="AD29" s="138">
        <f t="shared" si="16"/>
        <v>1575000</v>
      </c>
      <c r="AE29" s="138">
        <f t="shared" si="16"/>
        <v>1638000</v>
      </c>
      <c r="AF29" s="138">
        <f t="shared" si="16"/>
        <v>1701000</v>
      </c>
      <c r="AG29" s="138">
        <f t="shared" si="16"/>
        <v>1764000</v>
      </c>
      <c r="AH29" s="138">
        <f t="shared" si="16"/>
        <v>1827000</v>
      </c>
      <c r="AI29" s="138">
        <f t="shared" si="16"/>
        <v>1890000</v>
      </c>
      <c r="AJ29" s="138">
        <f t="shared" si="16"/>
        <v>1953000</v>
      </c>
      <c r="AK29" s="138">
        <f t="shared" si="16"/>
        <v>2016000</v>
      </c>
      <c r="AL29" s="138">
        <f t="shared" si="16"/>
        <v>2079000</v>
      </c>
      <c r="AM29" s="138">
        <f t="shared" si="16"/>
        <v>2142000</v>
      </c>
      <c r="AN29" s="138">
        <f t="shared" si="16"/>
        <v>2205000</v>
      </c>
      <c r="AO29" s="138">
        <f t="shared" si="16"/>
        <v>2268000</v>
      </c>
      <c r="AP29" s="138">
        <f t="shared" si="16"/>
        <v>2331000</v>
      </c>
      <c r="AQ29" s="138">
        <f t="shared" si="16"/>
        <v>2394000</v>
      </c>
      <c r="AR29" s="138">
        <f t="shared" si="16"/>
        <v>2457000</v>
      </c>
      <c r="AS29" s="138">
        <f t="shared" si="16"/>
        <v>2520000</v>
      </c>
      <c r="AT29" s="138">
        <f t="shared" si="16"/>
        <v>2583000</v>
      </c>
      <c r="AU29" s="138">
        <f t="shared" si="16"/>
        <v>2646000</v>
      </c>
      <c r="AV29" s="138">
        <f t="shared" si="16"/>
        <v>2709000</v>
      </c>
      <c r="AW29" s="138">
        <f t="shared" si="16"/>
        <v>2772000</v>
      </c>
      <c r="AX29" s="138">
        <f t="shared" si="16"/>
        <v>2835000</v>
      </c>
      <c r="AY29" s="138">
        <f t="shared" si="16"/>
        <v>2898000</v>
      </c>
      <c r="AZ29" s="138">
        <f t="shared" si="16"/>
        <v>2961000</v>
      </c>
      <c r="BA29" s="138">
        <f t="shared" si="16"/>
        <v>3024000</v>
      </c>
      <c r="BB29" s="138">
        <f t="shared" si="16"/>
        <v>3087000</v>
      </c>
      <c r="BC29" s="138">
        <f t="shared" si="16"/>
        <v>3150000</v>
      </c>
      <c r="BD29" s="138">
        <f t="shared" si="16"/>
        <v>3213000</v>
      </c>
      <c r="BE29" s="138">
        <f t="shared" si="16"/>
        <v>3276000</v>
      </c>
      <c r="BF29" s="138">
        <f t="shared" si="16"/>
        <v>3339000</v>
      </c>
      <c r="BG29" s="138">
        <f t="shared" si="16"/>
        <v>3402000</v>
      </c>
      <c r="BH29" s="138">
        <f t="shared" si="16"/>
        <v>3465000</v>
      </c>
      <c r="BI29" s="138">
        <f t="shared" si="16"/>
        <v>3528000</v>
      </c>
      <c r="BJ29" s="138">
        <f t="shared" si="16"/>
        <v>3591000</v>
      </c>
      <c r="BK29" s="138">
        <f t="shared" si="16"/>
        <v>3654000</v>
      </c>
      <c r="BL29" s="138">
        <f t="shared" si="16"/>
        <v>3717000</v>
      </c>
      <c r="BM29" s="138">
        <f t="shared" si="16"/>
        <v>3780000</v>
      </c>
      <c r="BN29" t="s">
        <v>338</v>
      </c>
    </row>
    <row r="30" spans="2:66" x14ac:dyDescent="0.25">
      <c r="B30" s="21" t="s">
        <v>342</v>
      </c>
      <c r="E30" s="6">
        <f t="shared" ref="E30" si="17">+E27-E29</f>
        <v>630000</v>
      </c>
      <c r="F30" s="6">
        <f>+F27-F29</f>
        <v>567000</v>
      </c>
      <c r="G30" s="6">
        <f>+G27-G29</f>
        <v>504000</v>
      </c>
      <c r="H30" s="6">
        <f t="shared" ref="H30:BL30" si="18">+H27-H29</f>
        <v>441000</v>
      </c>
      <c r="I30" s="6">
        <f t="shared" si="18"/>
        <v>378000</v>
      </c>
      <c r="J30" s="6">
        <f t="shared" si="18"/>
        <v>315000</v>
      </c>
      <c r="K30" s="6">
        <f t="shared" si="18"/>
        <v>252000</v>
      </c>
      <c r="L30" s="6">
        <f t="shared" si="18"/>
        <v>189000</v>
      </c>
      <c r="M30" s="6">
        <f t="shared" si="18"/>
        <v>126000</v>
      </c>
      <c r="N30" s="6">
        <f t="shared" si="18"/>
        <v>63000</v>
      </c>
      <c r="O30" s="6">
        <f t="shared" si="18"/>
        <v>0</v>
      </c>
      <c r="P30" s="6">
        <f t="shared" si="18"/>
        <v>-63000</v>
      </c>
      <c r="Q30" s="6">
        <f t="shared" si="18"/>
        <v>-126000</v>
      </c>
      <c r="R30" s="6">
        <f t="shared" si="18"/>
        <v>-189000</v>
      </c>
      <c r="S30" s="6">
        <f t="shared" si="18"/>
        <v>-252000</v>
      </c>
      <c r="T30" s="6">
        <f t="shared" si="18"/>
        <v>-315000</v>
      </c>
      <c r="U30" s="6">
        <f t="shared" si="18"/>
        <v>-378000</v>
      </c>
      <c r="V30" s="6">
        <f t="shared" si="18"/>
        <v>-441000</v>
      </c>
      <c r="W30" s="6">
        <f t="shared" si="18"/>
        <v>-504000</v>
      </c>
      <c r="X30" s="6">
        <f t="shared" si="18"/>
        <v>-567000</v>
      </c>
      <c r="Y30" s="6">
        <f t="shared" si="18"/>
        <v>-630000</v>
      </c>
      <c r="Z30" s="6">
        <f t="shared" si="18"/>
        <v>-693000</v>
      </c>
      <c r="AA30" s="6">
        <f t="shared" si="18"/>
        <v>-756000</v>
      </c>
      <c r="AB30" s="6">
        <f t="shared" si="18"/>
        <v>-819000</v>
      </c>
      <c r="AC30" s="6">
        <f t="shared" si="18"/>
        <v>-882000</v>
      </c>
      <c r="AD30" s="6">
        <f t="shared" si="18"/>
        <v>-945000</v>
      </c>
      <c r="AE30" s="6">
        <f t="shared" si="18"/>
        <v>-1008000</v>
      </c>
      <c r="AF30" s="6">
        <f t="shared" si="18"/>
        <v>-1071000</v>
      </c>
      <c r="AG30" s="6">
        <f t="shared" si="18"/>
        <v>-1134000</v>
      </c>
      <c r="AH30" s="6">
        <f t="shared" si="18"/>
        <v>-1197000</v>
      </c>
      <c r="AI30" s="6">
        <f t="shared" si="18"/>
        <v>-1260000</v>
      </c>
      <c r="AJ30" s="6">
        <f t="shared" si="18"/>
        <v>-1323000</v>
      </c>
      <c r="AK30" s="6">
        <f t="shared" si="18"/>
        <v>-1386000</v>
      </c>
      <c r="AL30" s="6">
        <f t="shared" si="18"/>
        <v>-1449000</v>
      </c>
      <c r="AM30" s="6">
        <f t="shared" si="18"/>
        <v>-1512000</v>
      </c>
      <c r="AN30" s="6">
        <f t="shared" si="18"/>
        <v>-1575000</v>
      </c>
      <c r="AO30" s="6">
        <f t="shared" si="18"/>
        <v>-1638000</v>
      </c>
      <c r="AP30" s="6">
        <f t="shared" si="18"/>
        <v>-1701000</v>
      </c>
      <c r="AQ30" s="6">
        <f t="shared" si="18"/>
        <v>-1764000</v>
      </c>
      <c r="AR30" s="6">
        <f t="shared" si="18"/>
        <v>-1827000</v>
      </c>
      <c r="AS30" s="6">
        <f t="shared" si="18"/>
        <v>-1890000</v>
      </c>
      <c r="AT30" s="6">
        <f t="shared" si="18"/>
        <v>-1953000</v>
      </c>
      <c r="AU30" s="6">
        <f t="shared" si="18"/>
        <v>-2016000</v>
      </c>
      <c r="AV30" s="6">
        <f t="shared" si="18"/>
        <v>-2079000</v>
      </c>
      <c r="AW30" s="6">
        <f t="shared" si="18"/>
        <v>-2142000</v>
      </c>
      <c r="AX30" s="6">
        <f t="shared" si="18"/>
        <v>-2205000</v>
      </c>
      <c r="AY30" s="6">
        <f t="shared" si="18"/>
        <v>-2268000</v>
      </c>
      <c r="AZ30" s="6">
        <f t="shared" si="18"/>
        <v>-2331000</v>
      </c>
      <c r="BA30" s="6">
        <f t="shared" si="18"/>
        <v>-2394000</v>
      </c>
      <c r="BB30" s="6">
        <f t="shared" si="18"/>
        <v>-2457000</v>
      </c>
      <c r="BC30" s="6">
        <f t="shared" si="18"/>
        <v>-2520000</v>
      </c>
      <c r="BD30" s="6">
        <f t="shared" si="18"/>
        <v>-2583000</v>
      </c>
      <c r="BE30" s="6">
        <f t="shared" si="18"/>
        <v>-2646000</v>
      </c>
      <c r="BF30" s="6">
        <f t="shared" si="18"/>
        <v>-2709000</v>
      </c>
      <c r="BG30" s="6">
        <f t="shared" si="18"/>
        <v>-2772000</v>
      </c>
      <c r="BH30" s="6">
        <f t="shared" si="18"/>
        <v>-2835000</v>
      </c>
      <c r="BI30" s="6">
        <f t="shared" si="18"/>
        <v>-2898000</v>
      </c>
      <c r="BJ30" s="6">
        <f t="shared" si="18"/>
        <v>-2961000</v>
      </c>
      <c r="BK30" s="6">
        <f t="shared" si="18"/>
        <v>-3024000</v>
      </c>
      <c r="BL30" s="6">
        <f t="shared" si="18"/>
        <v>-3087000</v>
      </c>
      <c r="BM30" s="135">
        <f>+BM27-BM29</f>
        <v>-3150000</v>
      </c>
      <c r="BN30" t="s">
        <v>338</v>
      </c>
    </row>
    <row r="31" spans="2:66" x14ac:dyDescent="0.25">
      <c r="BN31" t="s">
        <v>338</v>
      </c>
    </row>
    <row r="32" spans="2:66" x14ac:dyDescent="0.25">
      <c r="BN32" t="s">
        <v>338</v>
      </c>
    </row>
    <row r="33" spans="1:66" x14ac:dyDescent="0.25">
      <c r="A33" s="454" t="s">
        <v>343</v>
      </c>
      <c r="B33" s="120" t="s">
        <v>344</v>
      </c>
      <c r="E33" s="131" t="str">
        <f>+E9</f>
        <v>Año 0</v>
      </c>
      <c r="F33" s="131" t="str">
        <f t="shared" ref="F33:P33" si="19">+F9</f>
        <v>Año 1</v>
      </c>
      <c r="G33" s="131" t="str">
        <f t="shared" si="19"/>
        <v>Año 2</v>
      </c>
      <c r="H33" s="131" t="str">
        <f t="shared" si="19"/>
        <v>Año 3</v>
      </c>
      <c r="I33" s="131" t="str">
        <f t="shared" si="19"/>
        <v xml:space="preserve">Año 4 </v>
      </c>
      <c r="J33" s="131" t="str">
        <f t="shared" si="19"/>
        <v>Año 5</v>
      </c>
      <c r="K33" s="131" t="str">
        <f t="shared" si="19"/>
        <v>Año 6</v>
      </c>
      <c r="L33" s="131" t="str">
        <f t="shared" si="19"/>
        <v>Año 7</v>
      </c>
      <c r="M33" s="131" t="str">
        <f t="shared" si="19"/>
        <v>Año 8</v>
      </c>
      <c r="N33" s="131" t="str">
        <f t="shared" si="19"/>
        <v>Año 9</v>
      </c>
      <c r="O33" s="131" t="str">
        <f t="shared" si="19"/>
        <v>Año 10</v>
      </c>
      <c r="P33" s="131" t="str">
        <f t="shared" si="19"/>
        <v>Año 11</v>
      </c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t="s">
        <v>338</v>
      </c>
    </row>
    <row r="34" spans="1:66" x14ac:dyDescent="0.25">
      <c r="A34" s="454"/>
      <c r="BN34" t="s">
        <v>338</v>
      </c>
    </row>
    <row r="35" spans="1:66" x14ac:dyDescent="0.25">
      <c r="A35" s="454"/>
      <c r="B35" s="132" t="s">
        <v>345</v>
      </c>
      <c r="C35" s="133">
        <v>5.0000000000000001E-3</v>
      </c>
      <c r="BN35" t="s">
        <v>338</v>
      </c>
    </row>
    <row r="36" spans="1:66" x14ac:dyDescent="0.25">
      <c r="A36" s="454"/>
      <c r="B36" t="str">
        <f t="shared" ref="B36:C39" si="20">+B3</f>
        <v>Maquinaria y equipos de planta</v>
      </c>
      <c r="C36" s="4">
        <f t="shared" si="20"/>
        <v>280000</v>
      </c>
      <c r="E36" s="4">
        <f>+($C$35/12)*C36</f>
        <v>116.66666666666667</v>
      </c>
      <c r="F36" s="4">
        <f>+E36</f>
        <v>116.66666666666667</v>
      </c>
      <c r="G36" s="4">
        <f t="shared" ref="G36:P39" si="21">+F36</f>
        <v>116.66666666666667</v>
      </c>
      <c r="H36" s="4">
        <f t="shared" si="21"/>
        <v>116.66666666666667</v>
      </c>
      <c r="I36" s="4">
        <f t="shared" si="21"/>
        <v>116.66666666666667</v>
      </c>
      <c r="J36" s="4">
        <f t="shared" si="21"/>
        <v>116.66666666666667</v>
      </c>
      <c r="K36" s="4">
        <f t="shared" si="21"/>
        <v>116.66666666666667</v>
      </c>
      <c r="L36" s="4">
        <f t="shared" si="21"/>
        <v>116.66666666666667</v>
      </c>
      <c r="M36" s="4">
        <f t="shared" si="21"/>
        <v>116.66666666666667</v>
      </c>
      <c r="N36" s="4">
        <f t="shared" si="21"/>
        <v>116.66666666666667</v>
      </c>
      <c r="O36" s="4">
        <f t="shared" si="21"/>
        <v>116.66666666666667</v>
      </c>
      <c r="P36" s="4">
        <f t="shared" si="21"/>
        <v>116.66666666666667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t="s">
        <v>338</v>
      </c>
    </row>
    <row r="37" spans="1:66" x14ac:dyDescent="0.25">
      <c r="A37" s="454"/>
      <c r="B37" t="str">
        <f t="shared" si="20"/>
        <v>Vehículo (2 motos)</v>
      </c>
      <c r="C37" s="4">
        <f t="shared" si="20"/>
        <v>5600000</v>
      </c>
      <c r="E37" s="4">
        <f>+($C$35/12)*C37</f>
        <v>2333.3333333333335</v>
      </c>
      <c r="F37" s="4">
        <f t="shared" ref="F37:P39" si="22">+E37</f>
        <v>2333.3333333333335</v>
      </c>
      <c r="G37" s="4">
        <f t="shared" si="22"/>
        <v>2333.3333333333335</v>
      </c>
      <c r="H37" s="4">
        <f t="shared" si="22"/>
        <v>2333.3333333333335</v>
      </c>
      <c r="I37" s="4">
        <f t="shared" si="22"/>
        <v>2333.3333333333335</v>
      </c>
      <c r="J37" s="4">
        <f t="shared" si="22"/>
        <v>2333.3333333333335</v>
      </c>
      <c r="K37" s="4">
        <f t="shared" si="22"/>
        <v>2333.3333333333335</v>
      </c>
      <c r="L37" s="4">
        <f t="shared" si="22"/>
        <v>2333.3333333333335</v>
      </c>
      <c r="M37" s="4">
        <f t="shared" si="22"/>
        <v>2333.3333333333335</v>
      </c>
      <c r="N37" s="4">
        <f t="shared" si="22"/>
        <v>2333.3333333333335</v>
      </c>
      <c r="O37" s="4">
        <f t="shared" si="22"/>
        <v>2333.3333333333335</v>
      </c>
      <c r="P37" s="4">
        <f t="shared" si="22"/>
        <v>2333.3333333333335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t="s">
        <v>338</v>
      </c>
    </row>
    <row r="38" spans="1:66" x14ac:dyDescent="0.25">
      <c r="A38" s="454"/>
      <c r="B38" t="str">
        <f t="shared" si="20"/>
        <v>Equipos computo</v>
      </c>
      <c r="C38" s="4">
        <f t="shared" si="20"/>
        <v>3600000</v>
      </c>
      <c r="E38" s="4">
        <f>+($C$35/12)*C38</f>
        <v>1500</v>
      </c>
      <c r="F38" s="4">
        <f t="shared" si="22"/>
        <v>1500</v>
      </c>
      <c r="G38" s="4">
        <f t="shared" si="21"/>
        <v>1500</v>
      </c>
      <c r="H38" s="4">
        <f t="shared" si="21"/>
        <v>1500</v>
      </c>
      <c r="I38" s="4">
        <f t="shared" si="21"/>
        <v>1500</v>
      </c>
      <c r="J38" s="4">
        <f t="shared" si="21"/>
        <v>1500</v>
      </c>
      <c r="K38" s="4">
        <f t="shared" si="21"/>
        <v>1500</v>
      </c>
      <c r="L38" s="4">
        <f t="shared" si="21"/>
        <v>1500</v>
      </c>
      <c r="M38" s="4">
        <f t="shared" si="21"/>
        <v>1500</v>
      </c>
      <c r="N38" s="4">
        <f t="shared" si="21"/>
        <v>1500</v>
      </c>
      <c r="O38" s="4">
        <f t="shared" si="21"/>
        <v>1500</v>
      </c>
      <c r="P38" s="4">
        <f t="shared" si="21"/>
        <v>1500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t="s">
        <v>338</v>
      </c>
    </row>
    <row r="39" spans="1:66" x14ac:dyDescent="0.25">
      <c r="A39" s="454"/>
      <c r="B39" s="128" t="str">
        <f t="shared" si="20"/>
        <v>Muebles y enseres</v>
      </c>
      <c r="C39" s="129">
        <f t="shared" si="20"/>
        <v>630000</v>
      </c>
      <c r="D39" s="128"/>
      <c r="E39" s="129">
        <f>+($C$35/12)*C39</f>
        <v>262.5</v>
      </c>
      <c r="F39" s="4">
        <f t="shared" si="22"/>
        <v>262.5</v>
      </c>
      <c r="G39" s="4">
        <f t="shared" si="21"/>
        <v>262.5</v>
      </c>
      <c r="H39" s="4">
        <f t="shared" si="21"/>
        <v>262.5</v>
      </c>
      <c r="I39" s="4">
        <f t="shared" si="21"/>
        <v>262.5</v>
      </c>
      <c r="J39" s="4">
        <f t="shared" si="21"/>
        <v>262.5</v>
      </c>
      <c r="K39" s="4">
        <f t="shared" si="21"/>
        <v>262.5</v>
      </c>
      <c r="L39" s="4">
        <f t="shared" si="21"/>
        <v>262.5</v>
      </c>
      <c r="M39" s="4">
        <f t="shared" si="21"/>
        <v>262.5</v>
      </c>
      <c r="N39" s="4">
        <f t="shared" si="21"/>
        <v>262.5</v>
      </c>
      <c r="O39" s="4">
        <f t="shared" si="21"/>
        <v>262.5</v>
      </c>
      <c r="P39" s="4">
        <f t="shared" si="21"/>
        <v>262.5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t="s">
        <v>338</v>
      </c>
    </row>
    <row r="40" spans="1:66" x14ac:dyDescent="0.25">
      <c r="A40" s="454"/>
      <c r="C40" s="257">
        <f>+SUM(C36:C39)</f>
        <v>10110000</v>
      </c>
      <c r="E40" s="4">
        <f t="shared" ref="E40:P40" si="23">+SUM(E36:E39)</f>
        <v>4212.5</v>
      </c>
      <c r="F40" s="4">
        <f t="shared" si="23"/>
        <v>4212.5</v>
      </c>
      <c r="G40" s="4">
        <f t="shared" si="23"/>
        <v>4212.5</v>
      </c>
      <c r="H40" s="4">
        <f t="shared" si="23"/>
        <v>4212.5</v>
      </c>
      <c r="I40" s="4">
        <f t="shared" si="23"/>
        <v>4212.5</v>
      </c>
      <c r="J40" s="4">
        <f t="shared" si="23"/>
        <v>4212.5</v>
      </c>
      <c r="K40" s="4">
        <f t="shared" si="23"/>
        <v>4212.5</v>
      </c>
      <c r="L40" s="4">
        <f t="shared" si="23"/>
        <v>4212.5</v>
      </c>
      <c r="M40" s="4">
        <f t="shared" si="23"/>
        <v>4212.5</v>
      </c>
      <c r="N40" s="4">
        <f t="shared" si="23"/>
        <v>4212.5</v>
      </c>
      <c r="O40" s="4">
        <f t="shared" si="23"/>
        <v>4212.5</v>
      </c>
      <c r="P40" s="4">
        <f t="shared" si="23"/>
        <v>4212.5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t="s">
        <v>338</v>
      </c>
    </row>
    <row r="41" spans="1:66" x14ac:dyDescent="0.25">
      <c r="B41" t="s">
        <v>510</v>
      </c>
      <c r="C41" s="135">
        <f>+C40*C35</f>
        <v>50550</v>
      </c>
      <c r="E41" s="130">
        <f>+C41*12</f>
        <v>606600</v>
      </c>
      <c r="F41" s="130"/>
      <c r="G41" s="130"/>
      <c r="BN41" t="s">
        <v>338</v>
      </c>
    </row>
    <row r="42" spans="1:66" x14ac:dyDescent="0.25">
      <c r="E42" s="155" t="s">
        <v>512</v>
      </c>
      <c r="BN42" t="s">
        <v>338</v>
      </c>
    </row>
    <row r="43" spans="1:66" x14ac:dyDescent="0.25">
      <c r="B43" t="s">
        <v>511</v>
      </c>
      <c r="C43" s="258">
        <f>+C41*60</f>
        <v>3033000</v>
      </c>
      <c r="F43" s="4"/>
      <c r="G43" s="4"/>
      <c r="BN43" t="s">
        <v>338</v>
      </c>
    </row>
    <row r="44" spans="1:66" x14ac:dyDescent="0.25">
      <c r="B44" s="120" t="s">
        <v>346</v>
      </c>
      <c r="E44" s="131" t="str">
        <f t="shared" ref="E44:P44" si="24">+E33</f>
        <v>Año 0</v>
      </c>
      <c r="F44" s="131" t="str">
        <f t="shared" si="24"/>
        <v>Año 1</v>
      </c>
      <c r="G44" s="131" t="str">
        <f t="shared" si="24"/>
        <v>Año 2</v>
      </c>
      <c r="H44" s="131" t="str">
        <f t="shared" si="24"/>
        <v>Año 3</v>
      </c>
      <c r="I44" s="131" t="str">
        <f t="shared" si="24"/>
        <v xml:space="preserve">Año 4 </v>
      </c>
      <c r="J44" s="131" t="str">
        <f t="shared" si="24"/>
        <v>Año 5</v>
      </c>
      <c r="K44" s="131" t="str">
        <f t="shared" si="24"/>
        <v>Año 6</v>
      </c>
      <c r="L44" s="131" t="str">
        <f t="shared" si="24"/>
        <v>Año 7</v>
      </c>
      <c r="M44" s="131" t="str">
        <f t="shared" si="24"/>
        <v>Año 8</v>
      </c>
      <c r="N44" s="131" t="str">
        <f t="shared" si="24"/>
        <v>Año 9</v>
      </c>
      <c r="O44" s="131" t="str">
        <f t="shared" si="24"/>
        <v>Año 10</v>
      </c>
      <c r="P44" s="131" t="str">
        <f t="shared" si="24"/>
        <v>Año 11</v>
      </c>
      <c r="BN44" t="s">
        <v>338</v>
      </c>
    </row>
    <row r="45" spans="1:66" x14ac:dyDescent="0.25">
      <c r="BN45" t="s">
        <v>338</v>
      </c>
    </row>
    <row r="46" spans="1:66" x14ac:dyDescent="0.25">
      <c r="B46" s="132" t="s">
        <v>347</v>
      </c>
      <c r="C46" s="133">
        <v>0.05</v>
      </c>
      <c r="BN46" t="s">
        <v>338</v>
      </c>
    </row>
    <row r="47" spans="1:66" x14ac:dyDescent="0.25">
      <c r="B47" t="str">
        <f t="shared" ref="B47:C49" si="25">+B36</f>
        <v>Maquinaria y equipos de planta</v>
      </c>
      <c r="C47" s="4">
        <f t="shared" si="25"/>
        <v>280000</v>
      </c>
      <c r="E47" s="4">
        <f>+($C$46/12)*C47</f>
        <v>1166.6666666666667</v>
      </c>
      <c r="F47" s="4">
        <f>+E47</f>
        <v>1166.6666666666667</v>
      </c>
      <c r="G47" s="4">
        <f t="shared" ref="G47:P49" si="26">+F47</f>
        <v>1166.6666666666667</v>
      </c>
      <c r="H47" s="4">
        <f t="shared" si="26"/>
        <v>1166.6666666666667</v>
      </c>
      <c r="I47" s="4">
        <f t="shared" si="26"/>
        <v>1166.6666666666667</v>
      </c>
      <c r="J47" s="4">
        <f t="shared" si="26"/>
        <v>1166.6666666666667</v>
      </c>
      <c r="K47" s="4">
        <f t="shared" si="26"/>
        <v>1166.6666666666667</v>
      </c>
      <c r="L47" s="4">
        <f t="shared" si="26"/>
        <v>1166.6666666666667</v>
      </c>
      <c r="M47" s="4">
        <f t="shared" si="26"/>
        <v>1166.6666666666667</v>
      </c>
      <c r="N47" s="4">
        <f t="shared" si="26"/>
        <v>1166.6666666666667</v>
      </c>
      <c r="O47" s="4">
        <f t="shared" si="26"/>
        <v>1166.6666666666667</v>
      </c>
      <c r="P47" s="4">
        <f t="shared" si="26"/>
        <v>1166.6666666666667</v>
      </c>
      <c r="BN47" t="s">
        <v>338</v>
      </c>
    </row>
    <row r="48" spans="1:66" x14ac:dyDescent="0.25">
      <c r="B48" t="str">
        <f t="shared" si="25"/>
        <v>Vehículo (2 motos)</v>
      </c>
      <c r="C48" s="4">
        <f t="shared" si="25"/>
        <v>5600000</v>
      </c>
      <c r="E48" s="4">
        <f>+($C$46/12)*C48</f>
        <v>23333.333333333332</v>
      </c>
      <c r="F48" s="4">
        <f t="shared" ref="F48:P49" si="27">+E48</f>
        <v>23333.333333333332</v>
      </c>
      <c r="G48" s="4">
        <f t="shared" si="27"/>
        <v>23333.333333333332</v>
      </c>
      <c r="H48" s="4">
        <f t="shared" si="27"/>
        <v>23333.333333333332</v>
      </c>
      <c r="I48" s="4">
        <f t="shared" si="27"/>
        <v>23333.333333333332</v>
      </c>
      <c r="J48" s="4">
        <f t="shared" si="27"/>
        <v>23333.333333333332</v>
      </c>
      <c r="K48" s="4">
        <f t="shared" si="27"/>
        <v>23333.333333333332</v>
      </c>
      <c r="L48" s="4">
        <f t="shared" si="27"/>
        <v>23333.333333333332</v>
      </c>
      <c r="M48" s="4">
        <f t="shared" si="27"/>
        <v>23333.333333333332</v>
      </c>
      <c r="N48" s="4">
        <f t="shared" si="27"/>
        <v>23333.333333333332</v>
      </c>
      <c r="O48" s="4">
        <f t="shared" si="27"/>
        <v>23333.333333333332</v>
      </c>
      <c r="P48" s="4">
        <f t="shared" si="27"/>
        <v>23333.333333333332</v>
      </c>
      <c r="BN48" t="s">
        <v>338</v>
      </c>
    </row>
    <row r="49" spans="2:66" x14ac:dyDescent="0.25">
      <c r="B49" t="str">
        <f t="shared" si="25"/>
        <v>Equipos computo</v>
      </c>
      <c r="C49" s="129">
        <f t="shared" si="25"/>
        <v>3600000</v>
      </c>
      <c r="D49" s="128"/>
      <c r="E49" s="129">
        <f>+($C$46/12)*C49</f>
        <v>15000</v>
      </c>
      <c r="F49" s="129">
        <f t="shared" si="27"/>
        <v>15000</v>
      </c>
      <c r="G49" s="129">
        <f t="shared" si="26"/>
        <v>15000</v>
      </c>
      <c r="H49" s="129">
        <f t="shared" si="26"/>
        <v>15000</v>
      </c>
      <c r="I49" s="129">
        <f t="shared" si="26"/>
        <v>15000</v>
      </c>
      <c r="J49" s="129">
        <f t="shared" si="26"/>
        <v>15000</v>
      </c>
      <c r="K49" s="129">
        <f t="shared" si="26"/>
        <v>15000</v>
      </c>
      <c r="L49" s="129">
        <f t="shared" si="26"/>
        <v>15000</v>
      </c>
      <c r="M49" s="129">
        <f t="shared" si="26"/>
        <v>15000</v>
      </c>
      <c r="N49" s="129">
        <f t="shared" si="26"/>
        <v>15000</v>
      </c>
      <c r="O49" s="129">
        <f t="shared" si="26"/>
        <v>15000</v>
      </c>
      <c r="P49" s="129">
        <f t="shared" si="26"/>
        <v>15000</v>
      </c>
      <c r="BN49" t="s">
        <v>338</v>
      </c>
    </row>
    <row r="50" spans="2:66" x14ac:dyDescent="0.25">
      <c r="C50" s="4">
        <f>+SUM(C47:C49)</f>
        <v>9480000</v>
      </c>
      <c r="E50" s="4">
        <f t="shared" ref="E50:P50" si="28">+SUM(E47:E49)</f>
        <v>39500</v>
      </c>
      <c r="F50" s="4">
        <f t="shared" si="28"/>
        <v>39500</v>
      </c>
      <c r="G50" s="4">
        <f t="shared" si="28"/>
        <v>39500</v>
      </c>
      <c r="H50" s="4">
        <f t="shared" si="28"/>
        <v>39500</v>
      </c>
      <c r="I50" s="4">
        <f t="shared" si="28"/>
        <v>39500</v>
      </c>
      <c r="J50" s="4">
        <f t="shared" si="28"/>
        <v>39500</v>
      </c>
      <c r="K50" s="4">
        <f t="shared" si="28"/>
        <v>39500</v>
      </c>
      <c r="L50" s="4">
        <f t="shared" si="28"/>
        <v>39500</v>
      </c>
      <c r="M50" s="4">
        <f t="shared" si="28"/>
        <v>39500</v>
      </c>
      <c r="N50" s="4">
        <f t="shared" si="28"/>
        <v>39500</v>
      </c>
      <c r="O50" s="4">
        <f t="shared" si="28"/>
        <v>39500</v>
      </c>
      <c r="P50" s="4">
        <f t="shared" si="28"/>
        <v>39500</v>
      </c>
      <c r="BN50" t="s">
        <v>338</v>
      </c>
    </row>
    <row r="51" spans="2:66" x14ac:dyDescent="0.25">
      <c r="C51" s="130">
        <f>+C50*C46</f>
        <v>474000</v>
      </c>
      <c r="E51" s="130">
        <f>+SUM(E50:P50)</f>
        <v>474000</v>
      </c>
      <c r="BN51" t="s">
        <v>338</v>
      </c>
    </row>
    <row r="52" spans="2:66" x14ac:dyDescent="0.25">
      <c r="C52" s="134" t="s">
        <v>348</v>
      </c>
      <c r="BN52" t="s">
        <v>338</v>
      </c>
    </row>
    <row r="53" spans="2:66" x14ac:dyDescent="0.25">
      <c r="E53">
        <f>+E50*12</f>
        <v>474000</v>
      </c>
      <c r="BN53" t="s">
        <v>338</v>
      </c>
    </row>
    <row r="54" spans="2:66" x14ac:dyDescent="0.25">
      <c r="BN54" t="s">
        <v>338</v>
      </c>
    </row>
    <row r="55" spans="2:66" x14ac:dyDescent="0.25">
      <c r="B55" t="s">
        <v>349</v>
      </c>
      <c r="BN55" t="s">
        <v>338</v>
      </c>
    </row>
    <row r="56" spans="2:66" x14ac:dyDescent="0.25">
      <c r="BN56" t="s">
        <v>338</v>
      </c>
    </row>
    <row r="57" spans="2:66" x14ac:dyDescent="0.25">
      <c r="BN57" t="s">
        <v>338</v>
      </c>
    </row>
    <row r="58" spans="2:66" x14ac:dyDescent="0.25">
      <c r="B58" t="s">
        <v>350</v>
      </c>
      <c r="BN58" t="s">
        <v>338</v>
      </c>
    </row>
    <row r="59" spans="2:66" x14ac:dyDescent="0.25">
      <c r="BN59" t="s">
        <v>338</v>
      </c>
    </row>
    <row r="60" spans="2:66" x14ac:dyDescent="0.25">
      <c r="BN60" t="s">
        <v>338</v>
      </c>
    </row>
    <row r="61" spans="2:66" x14ac:dyDescent="0.25">
      <c r="BN61" t="s">
        <v>338</v>
      </c>
    </row>
    <row r="62" spans="2:66" x14ac:dyDescent="0.25">
      <c r="BN62" t="s">
        <v>338</v>
      </c>
    </row>
    <row r="63" spans="2:66" x14ac:dyDescent="0.25">
      <c r="N63">
        <v>2022</v>
      </c>
      <c r="O63">
        <v>2023</v>
      </c>
      <c r="P63">
        <v>2024</v>
      </c>
      <c r="Q63">
        <v>2025</v>
      </c>
      <c r="R63">
        <v>2026</v>
      </c>
      <c r="BN63" t="s">
        <v>338</v>
      </c>
    </row>
    <row r="64" spans="2:66" x14ac:dyDescent="0.25">
      <c r="J64" s="37" t="s">
        <v>120</v>
      </c>
      <c r="K64" s="46">
        <f>+N53</f>
        <v>0</v>
      </c>
      <c r="L64" s="71">
        <v>0.1</v>
      </c>
      <c r="M64" s="71">
        <v>0.9</v>
      </c>
      <c r="N64" s="6"/>
      <c r="O64" s="6">
        <f>F14*$L$64</f>
        <v>2800</v>
      </c>
      <c r="P64" s="6">
        <f t="shared" ref="P64:R64" si="29">G14*$L$64</f>
        <v>5600</v>
      </c>
      <c r="Q64" s="6">
        <f t="shared" si="29"/>
        <v>8400</v>
      </c>
      <c r="R64" s="6">
        <f t="shared" si="29"/>
        <v>11200</v>
      </c>
      <c r="BN64" t="s">
        <v>338</v>
      </c>
    </row>
    <row r="65" spans="10:66" x14ac:dyDescent="0.25">
      <c r="J65" s="37" t="s">
        <v>118</v>
      </c>
      <c r="K65" s="46">
        <f t="shared" ref="K65:K67" si="30">+N54</f>
        <v>0</v>
      </c>
      <c r="L65" s="71">
        <v>0.9</v>
      </c>
      <c r="M65" s="71">
        <v>0.1</v>
      </c>
      <c r="O65" s="6">
        <f>F29*$L$65</f>
        <v>56700</v>
      </c>
      <c r="P65" s="6">
        <f t="shared" ref="P65:R65" si="31">G29*$L$65</f>
        <v>113400</v>
      </c>
      <c r="Q65" s="6">
        <f t="shared" si="31"/>
        <v>170100</v>
      </c>
      <c r="R65" s="6">
        <f t="shared" si="31"/>
        <v>226800</v>
      </c>
      <c r="BN65" t="s">
        <v>338</v>
      </c>
    </row>
    <row r="66" spans="10:66" x14ac:dyDescent="0.25">
      <c r="J66" s="37" t="s">
        <v>374</v>
      </c>
      <c r="K66" s="46">
        <f t="shared" si="30"/>
        <v>0</v>
      </c>
      <c r="L66" s="71">
        <v>0.85</v>
      </c>
      <c r="M66" s="71">
        <v>0.15</v>
      </c>
      <c r="O66" s="6">
        <f>F24*$L$66</f>
        <v>612000</v>
      </c>
      <c r="P66" s="6">
        <f t="shared" ref="P66:R66" si="32">G24*$L$66</f>
        <v>1224000</v>
      </c>
      <c r="Q66" s="6">
        <f t="shared" si="32"/>
        <v>1836000</v>
      </c>
      <c r="R66" s="6">
        <f t="shared" si="32"/>
        <v>2448000</v>
      </c>
      <c r="BN66" t="s">
        <v>338</v>
      </c>
    </row>
    <row r="67" spans="10:66" x14ac:dyDescent="0.25">
      <c r="J67" s="37" t="s">
        <v>117</v>
      </c>
      <c r="K67" s="46">
        <f t="shared" si="30"/>
        <v>0</v>
      </c>
      <c r="L67" s="71">
        <v>0.05</v>
      </c>
      <c r="M67" s="71">
        <v>0.95</v>
      </c>
      <c r="O67" s="6">
        <f>F19*$L$67</f>
        <v>56000</v>
      </c>
      <c r="P67" s="6">
        <f t="shared" ref="P67:R67" si="33">G19*$L$67</f>
        <v>112000</v>
      </c>
      <c r="Q67" s="6">
        <f t="shared" si="33"/>
        <v>168000</v>
      </c>
      <c r="R67" s="6">
        <f t="shared" si="33"/>
        <v>224000</v>
      </c>
      <c r="BN67" t="s">
        <v>338</v>
      </c>
    </row>
    <row r="68" spans="10:66" x14ac:dyDescent="0.25">
      <c r="O68" s="6">
        <f>SUM(O64:O67)</f>
        <v>727500</v>
      </c>
      <c r="P68" s="6">
        <f>SUM(P64:P67)</f>
        <v>1455000</v>
      </c>
      <c r="Q68" s="6">
        <f t="shared" ref="Q68:R68" si="34">SUM(Q64:Q67)</f>
        <v>2182500</v>
      </c>
      <c r="R68" s="6">
        <f t="shared" si="34"/>
        <v>2910000</v>
      </c>
      <c r="BN68" t="s">
        <v>338</v>
      </c>
    </row>
    <row r="69" spans="10:66" x14ac:dyDescent="0.25">
      <c r="N69">
        <v>2022</v>
      </c>
      <c r="O69">
        <v>2023</v>
      </c>
      <c r="P69">
        <v>2024</v>
      </c>
      <c r="Q69">
        <v>2025</v>
      </c>
      <c r="R69">
        <v>2026</v>
      </c>
      <c r="BN69" t="s">
        <v>338</v>
      </c>
    </row>
    <row r="70" spans="10:66" x14ac:dyDescent="0.25">
      <c r="O70" s="6">
        <f>F14*$M$64</f>
        <v>25200</v>
      </c>
      <c r="P70" s="6">
        <f t="shared" ref="P70:R70" si="35">G14*$M$64</f>
        <v>50400</v>
      </c>
      <c r="Q70" s="6">
        <f t="shared" si="35"/>
        <v>75600</v>
      </c>
      <c r="R70" s="6">
        <f t="shared" si="35"/>
        <v>100800</v>
      </c>
      <c r="BN70" t="s">
        <v>338</v>
      </c>
    </row>
    <row r="71" spans="10:66" x14ac:dyDescent="0.25">
      <c r="O71" s="6">
        <f>F29*$M$65</f>
        <v>6300</v>
      </c>
      <c r="P71" s="6">
        <f t="shared" ref="P71:R71" si="36">G29*$M$65</f>
        <v>12600</v>
      </c>
      <c r="Q71" s="6">
        <f t="shared" si="36"/>
        <v>18900</v>
      </c>
      <c r="R71" s="6">
        <f t="shared" si="36"/>
        <v>25200</v>
      </c>
      <c r="BN71" t="s">
        <v>338</v>
      </c>
    </row>
    <row r="72" spans="10:66" x14ac:dyDescent="0.25">
      <c r="O72" s="6">
        <f>F24*$M$66</f>
        <v>108000</v>
      </c>
      <c r="P72" s="6">
        <f t="shared" ref="P72:R72" si="37">G24*$M$66</f>
        <v>216000</v>
      </c>
      <c r="Q72" s="6">
        <f t="shared" si="37"/>
        <v>324000</v>
      </c>
      <c r="R72" s="6">
        <f t="shared" si="37"/>
        <v>432000</v>
      </c>
      <c r="BN72" t="s">
        <v>338</v>
      </c>
    </row>
    <row r="73" spans="10:66" x14ac:dyDescent="0.25">
      <c r="O73" s="6">
        <f>F19*$M$67</f>
        <v>1064000</v>
      </c>
      <c r="P73" s="6">
        <f t="shared" ref="P73:R73" si="38">G19*$M$67</f>
        <v>2128000</v>
      </c>
      <c r="Q73" s="6">
        <f t="shared" si="38"/>
        <v>3192000</v>
      </c>
      <c r="R73" s="6">
        <f t="shared" si="38"/>
        <v>4256000</v>
      </c>
      <c r="BN73" t="s">
        <v>338</v>
      </c>
    </row>
    <row r="74" spans="10:66" x14ac:dyDescent="0.25">
      <c r="O74" s="6">
        <f>SUM(O70:O73)</f>
        <v>1203500</v>
      </c>
      <c r="P74" s="6">
        <f t="shared" ref="P74:R74" si="39">SUM(P70:P73)</f>
        <v>2407000</v>
      </c>
      <c r="Q74" s="6">
        <f t="shared" si="39"/>
        <v>3610500</v>
      </c>
      <c r="R74" s="6">
        <f t="shared" si="39"/>
        <v>4814000</v>
      </c>
      <c r="BN74" t="s">
        <v>338</v>
      </c>
    </row>
    <row r="75" spans="10:66" x14ac:dyDescent="0.25">
      <c r="BN75" t="s">
        <v>338</v>
      </c>
    </row>
    <row r="76" spans="10:66" x14ac:dyDescent="0.25">
      <c r="BN76" t="s">
        <v>338</v>
      </c>
    </row>
    <row r="77" spans="10:66" x14ac:dyDescent="0.25">
      <c r="BN77" t="s">
        <v>338</v>
      </c>
    </row>
    <row r="78" spans="10:66" x14ac:dyDescent="0.25">
      <c r="BN78" t="s">
        <v>338</v>
      </c>
    </row>
    <row r="79" spans="10:66" x14ac:dyDescent="0.25">
      <c r="BN79" t="s">
        <v>338</v>
      </c>
    </row>
    <row r="80" spans="10:66" x14ac:dyDescent="0.25">
      <c r="BN80" t="s">
        <v>338</v>
      </c>
    </row>
    <row r="81" spans="66:66" x14ac:dyDescent="0.25">
      <c r="BN81" t="s">
        <v>338</v>
      </c>
    </row>
    <row r="82" spans="66:66" x14ac:dyDescent="0.25">
      <c r="BN82" t="s">
        <v>338</v>
      </c>
    </row>
    <row r="83" spans="66:66" x14ac:dyDescent="0.25">
      <c r="BN83" t="s">
        <v>338</v>
      </c>
    </row>
    <row r="84" spans="66:66" x14ac:dyDescent="0.25">
      <c r="BN84" t="s">
        <v>338</v>
      </c>
    </row>
    <row r="85" spans="66:66" x14ac:dyDescent="0.25">
      <c r="BN85" t="s">
        <v>338</v>
      </c>
    </row>
    <row r="86" spans="66:66" x14ac:dyDescent="0.25">
      <c r="BN86" t="s">
        <v>338</v>
      </c>
    </row>
    <row r="87" spans="66:66" x14ac:dyDescent="0.25">
      <c r="BN87" t="s">
        <v>338</v>
      </c>
    </row>
    <row r="88" spans="66:66" x14ac:dyDescent="0.25">
      <c r="BN88" t="s">
        <v>338</v>
      </c>
    </row>
    <row r="89" spans="66:66" x14ac:dyDescent="0.25">
      <c r="BN89" t="s">
        <v>338</v>
      </c>
    </row>
    <row r="90" spans="66:66" x14ac:dyDescent="0.25">
      <c r="BN90" t="s">
        <v>338</v>
      </c>
    </row>
    <row r="91" spans="66:66" x14ac:dyDescent="0.25">
      <c r="BN91" t="s">
        <v>338</v>
      </c>
    </row>
    <row r="92" spans="66:66" x14ac:dyDescent="0.25">
      <c r="BN92" t="s">
        <v>338</v>
      </c>
    </row>
    <row r="93" spans="66:66" x14ac:dyDescent="0.25">
      <c r="BN93" t="s">
        <v>338</v>
      </c>
    </row>
    <row r="94" spans="66:66" x14ac:dyDescent="0.25">
      <c r="BN94" t="s">
        <v>338</v>
      </c>
    </row>
    <row r="95" spans="66:66" x14ac:dyDescent="0.25">
      <c r="BN95" t="s">
        <v>338</v>
      </c>
    </row>
    <row r="96" spans="66:66" x14ac:dyDescent="0.25">
      <c r="BN96" t="s">
        <v>338</v>
      </c>
    </row>
    <row r="97" spans="66:66" x14ac:dyDescent="0.25">
      <c r="BN97" t="s">
        <v>338</v>
      </c>
    </row>
    <row r="98" spans="66:66" x14ac:dyDescent="0.25">
      <c r="BN98" t="s">
        <v>338</v>
      </c>
    </row>
    <row r="99" spans="66:66" x14ac:dyDescent="0.25">
      <c r="BN99" t="s">
        <v>338</v>
      </c>
    </row>
    <row r="100" spans="66:66" x14ac:dyDescent="0.25">
      <c r="BN100" t="s">
        <v>338</v>
      </c>
    </row>
    <row r="101" spans="66:66" x14ac:dyDescent="0.25">
      <c r="BN101" t="s">
        <v>338</v>
      </c>
    </row>
    <row r="102" spans="66:66" x14ac:dyDescent="0.25">
      <c r="BN102" t="s">
        <v>338</v>
      </c>
    </row>
    <row r="103" spans="66:66" x14ac:dyDescent="0.25">
      <c r="BN103" t="s">
        <v>338</v>
      </c>
    </row>
    <row r="104" spans="66:66" x14ac:dyDescent="0.25">
      <c r="BN104" t="s">
        <v>338</v>
      </c>
    </row>
    <row r="105" spans="66:66" x14ac:dyDescent="0.25">
      <c r="BN105" t="s">
        <v>338</v>
      </c>
    </row>
    <row r="106" spans="66:66" x14ac:dyDescent="0.25">
      <c r="BN106" t="s">
        <v>338</v>
      </c>
    </row>
    <row r="107" spans="66:66" x14ac:dyDescent="0.25">
      <c r="BN107" t="s">
        <v>338</v>
      </c>
    </row>
    <row r="108" spans="66:66" x14ac:dyDescent="0.25">
      <c r="BN108" t="s">
        <v>338</v>
      </c>
    </row>
    <row r="109" spans="66:66" x14ac:dyDescent="0.25">
      <c r="BN109" t="s">
        <v>338</v>
      </c>
    </row>
    <row r="110" spans="66:66" x14ac:dyDescent="0.25">
      <c r="BN110" t="s">
        <v>338</v>
      </c>
    </row>
    <row r="111" spans="66:66" x14ac:dyDescent="0.25">
      <c r="BN111" t="s">
        <v>338</v>
      </c>
    </row>
    <row r="112" spans="66:66" x14ac:dyDescent="0.25">
      <c r="BN112" t="s">
        <v>338</v>
      </c>
    </row>
    <row r="113" spans="66:66" x14ac:dyDescent="0.25">
      <c r="BN113" t="s">
        <v>338</v>
      </c>
    </row>
    <row r="114" spans="66:66" x14ac:dyDescent="0.25">
      <c r="BN114" t="s">
        <v>338</v>
      </c>
    </row>
    <row r="115" spans="66:66" x14ac:dyDescent="0.25">
      <c r="BN115" t="s">
        <v>338</v>
      </c>
    </row>
    <row r="116" spans="66:66" x14ac:dyDescent="0.25">
      <c r="BN116" t="s">
        <v>338</v>
      </c>
    </row>
    <row r="117" spans="66:66" x14ac:dyDescent="0.25">
      <c r="BN117" t="s">
        <v>338</v>
      </c>
    </row>
    <row r="118" spans="66:66" x14ac:dyDescent="0.25">
      <c r="BN118" t="s">
        <v>338</v>
      </c>
    </row>
    <row r="119" spans="66:66" x14ac:dyDescent="0.25">
      <c r="BN119" t="s">
        <v>338</v>
      </c>
    </row>
    <row r="120" spans="66:66" x14ac:dyDescent="0.25">
      <c r="BN120" t="s">
        <v>338</v>
      </c>
    </row>
    <row r="121" spans="66:66" x14ac:dyDescent="0.25">
      <c r="BN121" t="s">
        <v>338</v>
      </c>
    </row>
    <row r="122" spans="66:66" x14ac:dyDescent="0.25">
      <c r="BN122" t="s">
        <v>338</v>
      </c>
    </row>
    <row r="123" spans="66:66" x14ac:dyDescent="0.25">
      <c r="BN123" t="s">
        <v>338</v>
      </c>
    </row>
    <row r="124" spans="66:66" x14ac:dyDescent="0.25">
      <c r="BN124" t="s">
        <v>338</v>
      </c>
    </row>
    <row r="125" spans="66:66" x14ac:dyDescent="0.25">
      <c r="BN125" t="s">
        <v>338</v>
      </c>
    </row>
    <row r="126" spans="66:66" x14ac:dyDescent="0.25">
      <c r="BN126" t="s">
        <v>338</v>
      </c>
    </row>
    <row r="127" spans="66:66" x14ac:dyDescent="0.25">
      <c r="BN127" t="s">
        <v>338</v>
      </c>
    </row>
    <row r="128" spans="66:66" x14ac:dyDescent="0.25">
      <c r="BN128" t="s">
        <v>338</v>
      </c>
    </row>
    <row r="129" spans="66:66" x14ac:dyDescent="0.25">
      <c r="BN129" t="s">
        <v>338</v>
      </c>
    </row>
    <row r="130" spans="66:66" x14ac:dyDescent="0.25">
      <c r="BN130" t="s">
        <v>338</v>
      </c>
    </row>
    <row r="131" spans="66:66" x14ac:dyDescent="0.25">
      <c r="BN131" t="s">
        <v>338</v>
      </c>
    </row>
    <row r="132" spans="66:66" x14ac:dyDescent="0.25">
      <c r="BN132" t="s">
        <v>338</v>
      </c>
    </row>
    <row r="133" spans="66:66" x14ac:dyDescent="0.25">
      <c r="BN133" t="s">
        <v>338</v>
      </c>
    </row>
    <row r="134" spans="66:66" x14ac:dyDescent="0.25">
      <c r="BN134" t="s">
        <v>338</v>
      </c>
    </row>
    <row r="135" spans="66:66" x14ac:dyDescent="0.25">
      <c r="BN135" t="s">
        <v>338</v>
      </c>
    </row>
    <row r="136" spans="66:66" x14ac:dyDescent="0.25">
      <c r="BN136" t="s">
        <v>338</v>
      </c>
    </row>
    <row r="137" spans="66:66" x14ac:dyDescent="0.25">
      <c r="BN137" t="s">
        <v>338</v>
      </c>
    </row>
    <row r="138" spans="66:66" x14ac:dyDescent="0.25">
      <c r="BN138" t="s">
        <v>338</v>
      </c>
    </row>
    <row r="139" spans="66:66" x14ac:dyDescent="0.25">
      <c r="BN139" t="s">
        <v>338</v>
      </c>
    </row>
    <row r="140" spans="66:66" x14ac:dyDescent="0.25">
      <c r="BN140" t="s">
        <v>338</v>
      </c>
    </row>
    <row r="141" spans="66:66" x14ac:dyDescent="0.25">
      <c r="BN141" t="s">
        <v>338</v>
      </c>
    </row>
    <row r="142" spans="66:66" x14ac:dyDescent="0.25">
      <c r="BN142" t="s">
        <v>338</v>
      </c>
    </row>
    <row r="143" spans="66:66" x14ac:dyDescent="0.25">
      <c r="BN143" t="s">
        <v>338</v>
      </c>
    </row>
    <row r="144" spans="66:66" x14ac:dyDescent="0.25">
      <c r="BN144" t="s">
        <v>338</v>
      </c>
    </row>
    <row r="145" spans="66:66" x14ac:dyDescent="0.25">
      <c r="BN145" t="s">
        <v>338</v>
      </c>
    </row>
    <row r="146" spans="66:66" x14ac:dyDescent="0.25">
      <c r="BN146" t="s">
        <v>338</v>
      </c>
    </row>
    <row r="147" spans="66:66" x14ac:dyDescent="0.25">
      <c r="BN147" t="s">
        <v>338</v>
      </c>
    </row>
    <row r="148" spans="66:66" x14ac:dyDescent="0.25">
      <c r="BN148" t="s">
        <v>338</v>
      </c>
    </row>
    <row r="149" spans="66:66" x14ac:dyDescent="0.25">
      <c r="BN149" t="s">
        <v>338</v>
      </c>
    </row>
    <row r="150" spans="66:66" x14ac:dyDescent="0.25">
      <c r="BN150" t="s">
        <v>338</v>
      </c>
    </row>
    <row r="151" spans="66:66" x14ac:dyDescent="0.25">
      <c r="BN151" t="s">
        <v>338</v>
      </c>
    </row>
    <row r="152" spans="66:66" x14ac:dyDescent="0.25">
      <c r="BN152" t="s">
        <v>338</v>
      </c>
    </row>
    <row r="153" spans="66:66" x14ac:dyDescent="0.25">
      <c r="BN153" t="s">
        <v>338</v>
      </c>
    </row>
    <row r="154" spans="66:66" x14ac:dyDescent="0.25">
      <c r="BN154" t="s">
        <v>338</v>
      </c>
    </row>
    <row r="155" spans="66:66" x14ac:dyDescent="0.25">
      <c r="BN155" t="s">
        <v>338</v>
      </c>
    </row>
    <row r="156" spans="66:66" x14ac:dyDescent="0.25">
      <c r="BN156" t="s">
        <v>338</v>
      </c>
    </row>
    <row r="157" spans="66:66" x14ac:dyDescent="0.25">
      <c r="BN157" t="s">
        <v>338</v>
      </c>
    </row>
    <row r="158" spans="66:66" x14ac:dyDescent="0.25">
      <c r="BN158" t="s">
        <v>338</v>
      </c>
    </row>
    <row r="159" spans="66:66" x14ac:dyDescent="0.25">
      <c r="BN159" t="s">
        <v>338</v>
      </c>
    </row>
    <row r="160" spans="66:66" x14ac:dyDescent="0.25">
      <c r="BN160" t="s">
        <v>338</v>
      </c>
    </row>
    <row r="161" spans="66:66" x14ac:dyDescent="0.25">
      <c r="BN161" t="s">
        <v>338</v>
      </c>
    </row>
    <row r="162" spans="66:66" x14ac:dyDescent="0.25">
      <c r="BN162" t="s">
        <v>338</v>
      </c>
    </row>
    <row r="163" spans="66:66" x14ac:dyDescent="0.25">
      <c r="BN163" t="s">
        <v>338</v>
      </c>
    </row>
    <row r="164" spans="66:66" x14ac:dyDescent="0.25">
      <c r="BN164" t="s">
        <v>338</v>
      </c>
    </row>
    <row r="165" spans="66:66" x14ac:dyDescent="0.25">
      <c r="BN165" t="s">
        <v>338</v>
      </c>
    </row>
    <row r="166" spans="66:66" x14ac:dyDescent="0.25">
      <c r="BN166" t="s">
        <v>338</v>
      </c>
    </row>
    <row r="167" spans="66:66" x14ac:dyDescent="0.25">
      <c r="BN167" t="s">
        <v>338</v>
      </c>
    </row>
    <row r="168" spans="66:66" x14ac:dyDescent="0.25">
      <c r="BN168" t="s">
        <v>338</v>
      </c>
    </row>
    <row r="169" spans="66:66" x14ac:dyDescent="0.25">
      <c r="BN169" t="s">
        <v>338</v>
      </c>
    </row>
    <row r="170" spans="66:66" x14ac:dyDescent="0.25">
      <c r="BN170" t="s">
        <v>338</v>
      </c>
    </row>
    <row r="171" spans="66:66" x14ac:dyDescent="0.25">
      <c r="BN171" t="s">
        <v>338</v>
      </c>
    </row>
    <row r="172" spans="66:66" x14ac:dyDescent="0.25">
      <c r="BN172" t="s">
        <v>338</v>
      </c>
    </row>
    <row r="173" spans="66:66" x14ac:dyDescent="0.25">
      <c r="BN173" t="s">
        <v>338</v>
      </c>
    </row>
    <row r="174" spans="66:66" x14ac:dyDescent="0.25">
      <c r="BN174" t="s">
        <v>338</v>
      </c>
    </row>
    <row r="175" spans="66:66" x14ac:dyDescent="0.25">
      <c r="BN175" t="s">
        <v>338</v>
      </c>
    </row>
    <row r="176" spans="66:66" x14ac:dyDescent="0.25">
      <c r="BN176" t="s">
        <v>338</v>
      </c>
    </row>
    <row r="177" spans="66:66" x14ac:dyDescent="0.25">
      <c r="BN177" t="s">
        <v>338</v>
      </c>
    </row>
    <row r="178" spans="66:66" x14ac:dyDescent="0.25">
      <c r="BN178" t="s">
        <v>338</v>
      </c>
    </row>
    <row r="179" spans="66:66" x14ac:dyDescent="0.25">
      <c r="BN179" t="s">
        <v>338</v>
      </c>
    </row>
    <row r="180" spans="66:66" x14ac:dyDescent="0.25">
      <c r="BN180" t="s">
        <v>338</v>
      </c>
    </row>
    <row r="181" spans="66:66" x14ac:dyDescent="0.25">
      <c r="BN181" t="s">
        <v>338</v>
      </c>
    </row>
    <row r="182" spans="66:66" x14ac:dyDescent="0.25">
      <c r="BN182" t="s">
        <v>338</v>
      </c>
    </row>
    <row r="183" spans="66:66" x14ac:dyDescent="0.25">
      <c r="BN183" t="s">
        <v>338</v>
      </c>
    </row>
    <row r="184" spans="66:66" x14ac:dyDescent="0.25">
      <c r="BN184" t="s">
        <v>338</v>
      </c>
    </row>
    <row r="185" spans="66:66" x14ac:dyDescent="0.25">
      <c r="BN185" t="s">
        <v>338</v>
      </c>
    </row>
    <row r="186" spans="66:66" x14ac:dyDescent="0.25">
      <c r="BN186" t="s">
        <v>338</v>
      </c>
    </row>
    <row r="187" spans="66:66" x14ac:dyDescent="0.25">
      <c r="BN187" t="s">
        <v>338</v>
      </c>
    </row>
    <row r="188" spans="66:66" x14ac:dyDescent="0.25">
      <c r="BN188" t="s">
        <v>338</v>
      </c>
    </row>
    <row r="189" spans="66:66" x14ac:dyDescent="0.25">
      <c r="BN189" t="s">
        <v>338</v>
      </c>
    </row>
    <row r="190" spans="66:66" x14ac:dyDescent="0.25">
      <c r="BN190" t="s">
        <v>338</v>
      </c>
    </row>
    <row r="191" spans="66:66" x14ac:dyDescent="0.25">
      <c r="BN191" t="s">
        <v>338</v>
      </c>
    </row>
    <row r="192" spans="66:66" x14ac:dyDescent="0.25">
      <c r="BN192" t="s">
        <v>338</v>
      </c>
    </row>
    <row r="193" spans="66:66" x14ac:dyDescent="0.25">
      <c r="BN193" t="s">
        <v>338</v>
      </c>
    </row>
    <row r="194" spans="66:66" x14ac:dyDescent="0.25">
      <c r="BN194" t="s">
        <v>338</v>
      </c>
    </row>
    <row r="195" spans="66:66" x14ac:dyDescent="0.25">
      <c r="BN195" t="s">
        <v>338</v>
      </c>
    </row>
    <row r="196" spans="66:66" x14ac:dyDescent="0.25">
      <c r="BN196" t="s">
        <v>338</v>
      </c>
    </row>
    <row r="197" spans="66:66" x14ac:dyDescent="0.25">
      <c r="BN197" t="s">
        <v>338</v>
      </c>
    </row>
    <row r="198" spans="66:66" x14ac:dyDescent="0.25">
      <c r="BN198" t="s">
        <v>338</v>
      </c>
    </row>
    <row r="199" spans="66:66" x14ac:dyDescent="0.25">
      <c r="BN199" t="s">
        <v>338</v>
      </c>
    </row>
    <row r="200" spans="66:66" x14ac:dyDescent="0.25">
      <c r="BN200" t="s">
        <v>338</v>
      </c>
    </row>
    <row r="201" spans="66:66" x14ac:dyDescent="0.25">
      <c r="BN201" t="s">
        <v>338</v>
      </c>
    </row>
    <row r="202" spans="66:66" x14ac:dyDescent="0.25">
      <c r="BN202" t="s">
        <v>338</v>
      </c>
    </row>
    <row r="203" spans="66:66" x14ac:dyDescent="0.25">
      <c r="BN203" t="s">
        <v>338</v>
      </c>
    </row>
    <row r="204" spans="66:66" x14ac:dyDescent="0.25">
      <c r="BN204" t="s">
        <v>338</v>
      </c>
    </row>
    <row r="205" spans="66:66" x14ac:dyDescent="0.25">
      <c r="BN205" t="s">
        <v>338</v>
      </c>
    </row>
    <row r="206" spans="66:66" x14ac:dyDescent="0.25">
      <c r="BN206" t="s">
        <v>338</v>
      </c>
    </row>
    <row r="207" spans="66:66" x14ac:dyDescent="0.25">
      <c r="BN207" t="s">
        <v>338</v>
      </c>
    </row>
    <row r="208" spans="66:66" x14ac:dyDescent="0.25">
      <c r="BN208" t="s">
        <v>338</v>
      </c>
    </row>
    <row r="209" spans="66:66" x14ac:dyDescent="0.25">
      <c r="BN209" t="s">
        <v>338</v>
      </c>
    </row>
    <row r="210" spans="66:66" x14ac:dyDescent="0.25">
      <c r="BN210" t="s">
        <v>338</v>
      </c>
    </row>
    <row r="211" spans="66:66" x14ac:dyDescent="0.25">
      <c r="BN211" t="s">
        <v>338</v>
      </c>
    </row>
    <row r="212" spans="66:66" x14ac:dyDescent="0.25">
      <c r="BN212" t="s">
        <v>338</v>
      </c>
    </row>
    <row r="213" spans="66:66" x14ac:dyDescent="0.25">
      <c r="BN213" t="s">
        <v>338</v>
      </c>
    </row>
    <row r="214" spans="66:66" x14ac:dyDescent="0.25">
      <c r="BN214" t="s">
        <v>338</v>
      </c>
    </row>
    <row r="215" spans="66:66" x14ac:dyDescent="0.25">
      <c r="BN215" t="s">
        <v>338</v>
      </c>
    </row>
    <row r="216" spans="66:66" x14ac:dyDescent="0.25">
      <c r="BN216" t="s">
        <v>338</v>
      </c>
    </row>
    <row r="217" spans="66:66" x14ac:dyDescent="0.25">
      <c r="BN217" t="s">
        <v>338</v>
      </c>
    </row>
    <row r="218" spans="66:66" x14ac:dyDescent="0.25">
      <c r="BN218" t="s">
        <v>338</v>
      </c>
    </row>
    <row r="219" spans="66:66" x14ac:dyDescent="0.25">
      <c r="BN219" t="s">
        <v>338</v>
      </c>
    </row>
    <row r="220" spans="66:66" x14ac:dyDescent="0.25">
      <c r="BN220" t="s">
        <v>338</v>
      </c>
    </row>
    <row r="221" spans="66:66" x14ac:dyDescent="0.25">
      <c r="BN221" t="s">
        <v>338</v>
      </c>
    </row>
    <row r="222" spans="66:66" x14ac:dyDescent="0.25">
      <c r="BN222" t="s">
        <v>338</v>
      </c>
    </row>
    <row r="223" spans="66:66" x14ac:dyDescent="0.25">
      <c r="BN223" t="s">
        <v>338</v>
      </c>
    </row>
    <row r="224" spans="66:66" x14ac:dyDescent="0.25">
      <c r="BN224" t="s">
        <v>338</v>
      </c>
    </row>
  </sheetData>
  <mergeCells count="2">
    <mergeCell ref="B2:C2"/>
    <mergeCell ref="A33:A40"/>
  </mergeCells>
  <phoneticPr fontId="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4FAC-2A0D-4849-A5B0-0C5F4A873FD2}">
  <dimension ref="B3:T95"/>
  <sheetViews>
    <sheetView showGridLines="0" topLeftCell="C7" workbookViewId="0">
      <selection activeCell="G15" sqref="G15"/>
    </sheetView>
  </sheetViews>
  <sheetFormatPr baseColWidth="10" defaultRowHeight="15" x14ac:dyDescent="0.25"/>
  <cols>
    <col min="1" max="1" width="14.7109375" bestFit="1" customWidth="1"/>
    <col min="2" max="2" width="21.28515625" customWidth="1"/>
    <col min="3" max="3" width="17" customWidth="1"/>
    <col min="4" max="4" width="22.28515625" bestFit="1" customWidth="1"/>
    <col min="5" max="5" width="13.42578125" bestFit="1" customWidth="1"/>
    <col min="6" max="6" width="18.7109375" bestFit="1" customWidth="1"/>
    <col min="7" max="7" width="13.42578125" bestFit="1" customWidth="1"/>
    <col min="8" max="8" width="12.42578125" bestFit="1" customWidth="1"/>
    <col min="9" max="9" width="16.7109375" bestFit="1" customWidth="1"/>
    <col min="10" max="10" width="13.140625" bestFit="1" customWidth="1"/>
    <col min="11" max="11" width="18.140625" bestFit="1" customWidth="1"/>
    <col min="12" max="12" width="22.28515625" bestFit="1" customWidth="1"/>
    <col min="13" max="13" width="16.7109375" bestFit="1" customWidth="1"/>
    <col min="14" max="14" width="13.140625" bestFit="1" customWidth="1"/>
    <col min="15" max="15" width="15.42578125" bestFit="1" customWidth="1"/>
    <col min="18" max="18" width="14.7109375" bestFit="1" customWidth="1"/>
    <col min="19" max="19" width="20.42578125" bestFit="1" customWidth="1"/>
    <col min="20" max="20" width="12.7109375" bestFit="1" customWidth="1"/>
  </cols>
  <sheetData>
    <row r="3" spans="2:20" x14ac:dyDescent="0.25">
      <c r="B3" s="91" t="s">
        <v>215</v>
      </c>
      <c r="C3" s="91" t="s">
        <v>216</v>
      </c>
      <c r="D3" s="91" t="s">
        <v>217</v>
      </c>
      <c r="E3" s="91" t="s">
        <v>222</v>
      </c>
      <c r="F3" s="91" t="s">
        <v>223</v>
      </c>
    </row>
    <row r="4" spans="2:20" x14ac:dyDescent="0.25">
      <c r="B4" s="91" t="s">
        <v>218</v>
      </c>
      <c r="C4" s="92">
        <v>1000000</v>
      </c>
      <c r="D4" s="93">
        <v>360</v>
      </c>
      <c r="E4" s="93">
        <v>360</v>
      </c>
      <c r="F4" s="94">
        <f>+C4</f>
        <v>1000000</v>
      </c>
    </row>
    <row r="5" spans="2:20" x14ac:dyDescent="0.25">
      <c r="B5" s="91" t="s">
        <v>219</v>
      </c>
      <c r="C5" s="92">
        <v>1000000</v>
      </c>
      <c r="D5" s="93">
        <v>360</v>
      </c>
      <c r="E5" s="93">
        <v>360</v>
      </c>
      <c r="F5" s="94">
        <f>+C5</f>
        <v>1000000</v>
      </c>
    </row>
    <row r="6" spans="2:20" x14ac:dyDescent="0.25">
      <c r="B6" s="91" t="s">
        <v>220</v>
      </c>
      <c r="C6" s="92">
        <v>1000000</v>
      </c>
      <c r="D6" s="93">
        <v>360</v>
      </c>
      <c r="E6" s="93">
        <v>360</v>
      </c>
      <c r="F6" s="92">
        <f>+C6*0.12</f>
        <v>120000</v>
      </c>
    </row>
    <row r="7" spans="2:20" x14ac:dyDescent="0.25">
      <c r="B7" s="91" t="s">
        <v>221</v>
      </c>
      <c r="C7" s="92">
        <v>1000000</v>
      </c>
      <c r="D7" s="93">
        <v>360</v>
      </c>
      <c r="E7" s="93"/>
      <c r="F7" s="92">
        <f>+C7/2</f>
        <v>500000</v>
      </c>
    </row>
    <row r="8" spans="2:20" x14ac:dyDescent="0.25">
      <c r="B8" s="93"/>
      <c r="C8" s="93"/>
      <c r="D8" s="93"/>
      <c r="E8" s="93" t="s">
        <v>146</v>
      </c>
      <c r="F8" s="94">
        <f>SUM(F4:F7)</f>
        <v>2620000</v>
      </c>
    </row>
    <row r="9" spans="2:20" x14ac:dyDescent="0.25">
      <c r="B9" s="95" t="s">
        <v>224</v>
      </c>
      <c r="C9" s="91" t="s">
        <v>227</v>
      </c>
      <c r="D9" s="91" t="s">
        <v>230</v>
      </c>
      <c r="E9" s="91" t="s">
        <v>228</v>
      </c>
      <c r="F9" s="91" t="s">
        <v>229</v>
      </c>
    </row>
    <row r="10" spans="2:20" x14ac:dyDescent="0.25">
      <c r="B10" s="95" t="s">
        <v>225</v>
      </c>
      <c r="C10" s="96">
        <v>1000000</v>
      </c>
      <c r="D10" s="97">
        <v>8.5000000000000006E-2</v>
      </c>
      <c r="E10" s="93">
        <v>12</v>
      </c>
      <c r="F10" s="98">
        <f>C10*D10*E10</f>
        <v>1020000</v>
      </c>
    </row>
    <row r="11" spans="2:20" x14ac:dyDescent="0.25">
      <c r="B11" s="95" t="s">
        <v>226</v>
      </c>
      <c r="C11" s="96">
        <v>1000000</v>
      </c>
      <c r="D11" s="99">
        <v>0.12</v>
      </c>
      <c r="E11" s="93">
        <v>12</v>
      </c>
      <c r="F11" s="94">
        <f>C11*D11*E11</f>
        <v>1440000</v>
      </c>
    </row>
    <row r="12" spans="2:20" x14ac:dyDescent="0.25">
      <c r="B12" s="93"/>
      <c r="C12" s="93"/>
      <c r="D12" s="93"/>
      <c r="E12" s="93" t="s">
        <v>146</v>
      </c>
      <c r="F12" s="98">
        <f>F10+F11</f>
        <v>2460000</v>
      </c>
    </row>
    <row r="13" spans="2:20" x14ac:dyDescent="0.25">
      <c r="B13" s="95" t="s">
        <v>231</v>
      </c>
      <c r="C13" s="91" t="s">
        <v>236</v>
      </c>
      <c r="D13" s="91" t="s">
        <v>233</v>
      </c>
      <c r="E13" s="95" t="s">
        <v>228</v>
      </c>
      <c r="F13" s="91" t="s">
        <v>234</v>
      </c>
    </row>
    <row r="14" spans="2:20" x14ac:dyDescent="0.25">
      <c r="B14" s="95" t="s">
        <v>232</v>
      </c>
      <c r="C14" s="92">
        <v>1000000</v>
      </c>
      <c r="D14" s="92">
        <v>117172</v>
      </c>
      <c r="E14" s="93">
        <v>12</v>
      </c>
      <c r="F14" s="94">
        <f>(C14+D14)*12</f>
        <v>13406064</v>
      </c>
    </row>
    <row r="15" spans="2:20" x14ac:dyDescent="0.25">
      <c r="B15" s="93"/>
      <c r="C15" s="93"/>
      <c r="D15" s="93"/>
      <c r="E15" s="93" t="s">
        <v>146</v>
      </c>
      <c r="F15" s="94">
        <f>F14</f>
        <v>13406064</v>
      </c>
      <c r="S15" s="93" t="s">
        <v>393</v>
      </c>
      <c r="T15" s="92">
        <v>3000000</v>
      </c>
    </row>
    <row r="16" spans="2:20" x14ac:dyDescent="0.25">
      <c r="B16" s="95" t="s">
        <v>235</v>
      </c>
      <c r="C16" s="91" t="s">
        <v>236</v>
      </c>
      <c r="D16" s="91" t="s">
        <v>45</v>
      </c>
      <c r="E16" s="95" t="s">
        <v>237</v>
      </c>
      <c r="F16" s="95" t="s">
        <v>238</v>
      </c>
      <c r="L16" t="s">
        <v>407</v>
      </c>
      <c r="M16" s="153">
        <v>3300</v>
      </c>
      <c r="O16" s="153">
        <f>M16*3</f>
        <v>9900</v>
      </c>
      <c r="S16" s="93" t="s">
        <v>394</v>
      </c>
      <c r="T16" s="89">
        <v>9900</v>
      </c>
    </row>
    <row r="17" spans="2:20" x14ac:dyDescent="0.25">
      <c r="B17" s="95"/>
      <c r="C17" s="92">
        <v>1000000</v>
      </c>
      <c r="D17" s="99">
        <v>0.09</v>
      </c>
      <c r="E17" s="93">
        <v>12</v>
      </c>
      <c r="F17" s="94">
        <f>C17*D17</f>
        <v>90000</v>
      </c>
      <c r="M17" s="153"/>
      <c r="S17" s="2" t="s">
        <v>395</v>
      </c>
      <c r="T17" s="5">
        <f>T15/T16</f>
        <v>303.030303030303</v>
      </c>
    </row>
    <row r="18" spans="2:20" x14ac:dyDescent="0.25">
      <c r="B18" s="93"/>
      <c r="C18" s="2"/>
      <c r="D18" s="2"/>
      <c r="E18" s="2" t="s">
        <v>146</v>
      </c>
      <c r="F18" s="90">
        <f>+F17</f>
        <v>90000</v>
      </c>
      <c r="M18" s="6"/>
      <c r="O18" s="153"/>
      <c r="S18" s="158" t="s">
        <v>396</v>
      </c>
      <c r="T18" s="92">
        <v>14900</v>
      </c>
    </row>
    <row r="19" spans="2:20" x14ac:dyDescent="0.25">
      <c r="B19" s="95" t="s">
        <v>239</v>
      </c>
      <c r="C19" s="455" t="s">
        <v>240</v>
      </c>
      <c r="D19" s="455"/>
      <c r="E19" s="455"/>
      <c r="F19" s="100">
        <f>+F8+F12+F15+F18</f>
        <v>18576064</v>
      </c>
    </row>
    <row r="20" spans="2:20" x14ac:dyDescent="0.25">
      <c r="B20" s="91" t="s">
        <v>225</v>
      </c>
      <c r="C20" s="97">
        <v>0.125</v>
      </c>
    </row>
    <row r="21" spans="2:20" x14ac:dyDescent="0.25">
      <c r="B21" s="95" t="s">
        <v>226</v>
      </c>
      <c r="C21" s="99">
        <v>0.16</v>
      </c>
    </row>
    <row r="24" spans="2:20" x14ac:dyDescent="0.25">
      <c r="B24" s="104" t="s">
        <v>243</v>
      </c>
      <c r="C24" s="105"/>
      <c r="D24" s="101"/>
    </row>
    <row r="25" spans="2:20" x14ac:dyDescent="0.25">
      <c r="B25" s="104" t="s">
        <v>244</v>
      </c>
      <c r="C25" s="106">
        <f>1/12</f>
        <v>8.3333333333333329E-2</v>
      </c>
      <c r="D25" s="102"/>
    </row>
    <row r="26" spans="2:20" x14ac:dyDescent="0.25">
      <c r="B26" s="104" t="s">
        <v>245</v>
      </c>
      <c r="C26" s="108">
        <f>1/12</f>
        <v>8.3333333333333329E-2</v>
      </c>
      <c r="D26" s="103"/>
      <c r="M26" t="s">
        <v>384</v>
      </c>
    </row>
    <row r="27" spans="2:20" x14ac:dyDescent="0.25">
      <c r="B27" s="104" t="s">
        <v>221</v>
      </c>
      <c r="C27" s="106">
        <f>0.5/12</f>
        <v>4.1666666666666664E-2</v>
      </c>
      <c r="D27" s="103"/>
      <c r="M27" t="s">
        <v>385</v>
      </c>
    </row>
    <row r="28" spans="2:20" x14ac:dyDescent="0.25">
      <c r="B28" s="104" t="s">
        <v>246</v>
      </c>
      <c r="C28" s="106">
        <v>0.01</v>
      </c>
      <c r="D28" s="103"/>
      <c r="M28" t="s">
        <v>386</v>
      </c>
    </row>
    <row r="29" spans="2:20" x14ac:dyDescent="0.25">
      <c r="B29" s="104" t="s">
        <v>247</v>
      </c>
      <c r="C29" s="106">
        <v>0.04</v>
      </c>
      <c r="D29" s="103"/>
      <c r="M29" t="s">
        <v>387</v>
      </c>
    </row>
    <row r="30" spans="2:20" x14ac:dyDescent="0.25">
      <c r="B30" s="104" t="s">
        <v>248</v>
      </c>
      <c r="C30" s="106">
        <v>0.20499999999999999</v>
      </c>
      <c r="D30" s="103"/>
    </row>
    <row r="31" spans="2:20" x14ac:dyDescent="0.25">
      <c r="B31" s="104" t="s">
        <v>249</v>
      </c>
      <c r="C31" s="106">
        <v>5.2199999999999998E-3</v>
      </c>
      <c r="D31" s="103"/>
    </row>
    <row r="32" spans="2:20" x14ac:dyDescent="0.25">
      <c r="B32" s="104" t="s">
        <v>250</v>
      </c>
      <c r="C32" s="107">
        <f>SUM(C25:C31)</f>
        <v>0.46855333333333327</v>
      </c>
      <c r="M32" s="3" t="s">
        <v>388</v>
      </c>
    </row>
    <row r="33" spans="2:19" x14ac:dyDescent="0.25">
      <c r="B33" s="104" t="s">
        <v>259</v>
      </c>
      <c r="C33" s="109">
        <v>1000000</v>
      </c>
      <c r="M33" s="3" t="s">
        <v>389</v>
      </c>
    </row>
    <row r="35" spans="2:19" x14ac:dyDescent="0.25">
      <c r="B35" s="104" t="s">
        <v>251</v>
      </c>
      <c r="C35" s="91" t="s">
        <v>78</v>
      </c>
      <c r="D35" s="91" t="s">
        <v>77</v>
      </c>
      <c r="E35" s="91" t="s">
        <v>252</v>
      </c>
      <c r="F35" s="91" t="s">
        <v>260</v>
      </c>
      <c r="G35" s="91" t="s">
        <v>253</v>
      </c>
    </row>
    <row r="36" spans="2:19" ht="45" x14ac:dyDescent="0.25">
      <c r="B36" s="104" t="s">
        <v>227</v>
      </c>
      <c r="C36" s="110">
        <v>1500000</v>
      </c>
      <c r="D36" s="110">
        <v>1500000</v>
      </c>
      <c r="E36" s="110">
        <v>1000000</v>
      </c>
      <c r="F36" s="110">
        <v>1000000</v>
      </c>
      <c r="G36" s="110">
        <v>1000000</v>
      </c>
      <c r="N36" s="159" t="s">
        <v>397</v>
      </c>
      <c r="O36" s="160" t="s">
        <v>398</v>
      </c>
      <c r="P36" s="160" t="s">
        <v>399</v>
      </c>
    </row>
    <row r="37" spans="2:19" x14ac:dyDescent="0.25">
      <c r="B37" s="104" t="s">
        <v>244</v>
      </c>
      <c r="C37" s="111">
        <f>$C$36*C25</f>
        <v>125000</v>
      </c>
      <c r="D37" s="111">
        <f>$D$36*C25</f>
        <v>125000</v>
      </c>
      <c r="E37" s="111">
        <f>$E$36*C25</f>
        <v>83333.333333333328</v>
      </c>
      <c r="F37" s="111">
        <f>$F$36*C25</f>
        <v>83333.333333333328</v>
      </c>
      <c r="G37" s="111">
        <v>83333.333333333328</v>
      </c>
      <c r="M37" s="164">
        <v>0.08</v>
      </c>
      <c r="N37" s="93">
        <v>139796</v>
      </c>
      <c r="O37" s="165">
        <f>N37*61%</f>
        <v>85275.56</v>
      </c>
      <c r="P37" s="2">
        <f>O37*3</f>
        <v>255826.68</v>
      </c>
    </row>
    <row r="38" spans="2:19" x14ac:dyDescent="0.25">
      <c r="B38" s="104" t="s">
        <v>245</v>
      </c>
      <c r="C38" s="111">
        <f t="shared" ref="C38:C43" si="0">$C$36*C26</f>
        <v>125000</v>
      </c>
      <c r="D38" s="111">
        <f t="shared" ref="D38:D43" si="1">$D$36*C26</f>
        <v>125000</v>
      </c>
      <c r="E38" s="111">
        <f t="shared" ref="E38:E43" si="2">$E$36*C26</f>
        <v>83333.333333333328</v>
      </c>
      <c r="F38" s="111">
        <f t="shared" ref="F38:F43" si="3">$F$36*C26</f>
        <v>83333.333333333328</v>
      </c>
      <c r="G38" s="111">
        <v>83333.333333333328</v>
      </c>
      <c r="M38" s="164"/>
      <c r="N38" s="166"/>
      <c r="R38" s="93" t="s">
        <v>400</v>
      </c>
      <c r="S38" s="93" t="s">
        <v>401</v>
      </c>
    </row>
    <row r="39" spans="2:19" x14ac:dyDescent="0.25">
      <c r="B39" s="104" t="s">
        <v>221</v>
      </c>
      <c r="C39" s="111">
        <f t="shared" si="0"/>
        <v>62500</v>
      </c>
      <c r="D39" s="111">
        <f t="shared" si="1"/>
        <v>62500</v>
      </c>
      <c r="E39" s="111">
        <f t="shared" si="2"/>
        <v>41666.666666666664</v>
      </c>
      <c r="F39" s="111">
        <f t="shared" si="3"/>
        <v>41666.666666666664</v>
      </c>
      <c r="G39" s="111">
        <v>41666.666666666664</v>
      </c>
      <c r="O39" s="2">
        <f>O37*5%</f>
        <v>4263.7780000000002</v>
      </c>
      <c r="P39" s="9">
        <f>+O39*3</f>
        <v>12791.334000000001</v>
      </c>
      <c r="Q39" s="163" t="s">
        <v>390</v>
      </c>
      <c r="R39" s="89">
        <f>14900*P39</f>
        <v>190590876.60000002</v>
      </c>
      <c r="S39" s="89">
        <f>13770*P39</f>
        <v>176136669.18000001</v>
      </c>
    </row>
    <row r="40" spans="2:19" x14ac:dyDescent="0.25">
      <c r="B40" s="104" t="s">
        <v>254</v>
      </c>
      <c r="C40" s="111">
        <f t="shared" si="0"/>
        <v>15000</v>
      </c>
      <c r="D40" s="111">
        <f t="shared" si="1"/>
        <v>15000</v>
      </c>
      <c r="E40" s="111">
        <f t="shared" si="2"/>
        <v>10000</v>
      </c>
      <c r="F40" s="111">
        <f t="shared" si="3"/>
        <v>10000</v>
      </c>
      <c r="G40" s="111">
        <v>10000</v>
      </c>
      <c r="O40" s="161">
        <f>O37*3%</f>
        <v>2558.2667999999999</v>
      </c>
      <c r="P40" s="161">
        <f>+O40*3</f>
        <v>7674.8004000000001</v>
      </c>
      <c r="Q40" s="161" t="s">
        <v>391</v>
      </c>
      <c r="R40" s="162">
        <f t="shared" ref="R40" si="4">14900*P40</f>
        <v>114354525.96000001</v>
      </c>
      <c r="S40" s="162">
        <f t="shared" ref="S40:S41" si="5">13770*P40</f>
        <v>105682001.508</v>
      </c>
    </row>
    <row r="41" spans="2:19" x14ac:dyDescent="0.25">
      <c r="B41" s="104" t="s">
        <v>255</v>
      </c>
      <c r="C41" s="111">
        <f t="shared" si="0"/>
        <v>60000</v>
      </c>
      <c r="D41" s="111">
        <f t="shared" si="1"/>
        <v>60000</v>
      </c>
      <c r="E41" s="111">
        <f t="shared" si="2"/>
        <v>40000</v>
      </c>
      <c r="F41" s="111">
        <f t="shared" si="3"/>
        <v>40000</v>
      </c>
      <c r="G41" s="111">
        <v>40000</v>
      </c>
      <c r="O41" s="2">
        <f>+O37*1%</f>
        <v>852.75559999999996</v>
      </c>
      <c r="P41" s="2">
        <f>+O41*3</f>
        <v>2558.2667999999999</v>
      </c>
      <c r="Q41" s="2" t="s">
        <v>392</v>
      </c>
      <c r="R41" s="89">
        <f>14900*P41</f>
        <v>38118175.32</v>
      </c>
      <c r="S41" s="89">
        <f t="shared" si="5"/>
        <v>35227333.835999995</v>
      </c>
    </row>
    <row r="42" spans="2:19" x14ac:dyDescent="0.25">
      <c r="B42" s="104" t="s">
        <v>256</v>
      </c>
      <c r="C42" s="111">
        <f t="shared" si="0"/>
        <v>307500</v>
      </c>
      <c r="D42" s="111">
        <f t="shared" si="1"/>
        <v>307500</v>
      </c>
      <c r="E42" s="111">
        <f t="shared" si="2"/>
        <v>205000</v>
      </c>
      <c r="F42" s="111">
        <f t="shared" si="3"/>
        <v>205000</v>
      </c>
      <c r="G42" s="111">
        <v>205000</v>
      </c>
    </row>
    <row r="43" spans="2:19" x14ac:dyDescent="0.25">
      <c r="B43" s="104" t="s">
        <v>249</v>
      </c>
      <c r="C43" s="111">
        <f t="shared" si="0"/>
        <v>7830</v>
      </c>
      <c r="D43" s="111">
        <f t="shared" si="1"/>
        <v>7830</v>
      </c>
      <c r="E43" s="111">
        <f t="shared" si="2"/>
        <v>5220</v>
      </c>
      <c r="F43" s="111">
        <f t="shared" si="3"/>
        <v>5220</v>
      </c>
      <c r="G43" s="111">
        <v>5220</v>
      </c>
      <c r="O43">
        <f>O37*4%</f>
        <v>3411.0223999999998</v>
      </c>
      <c r="P43" s="155">
        <f>+O43*3</f>
        <v>10233.0672</v>
      </c>
      <c r="Q43" t="s">
        <v>390</v>
      </c>
      <c r="R43" s="151">
        <f>14900*P43</f>
        <v>152472701.28</v>
      </c>
      <c r="S43" s="151">
        <f>13770*P43</f>
        <v>140909335.34399998</v>
      </c>
    </row>
    <row r="44" spans="2:19" x14ac:dyDescent="0.25">
      <c r="B44" s="104" t="s">
        <v>257</v>
      </c>
      <c r="C44" s="112">
        <f>SUM(C36:C43)</f>
        <v>2202830</v>
      </c>
      <c r="D44" s="112">
        <f>SUM(D36:D43)</f>
        <v>2202830</v>
      </c>
      <c r="E44" s="112">
        <f t="shared" ref="E44:F44" si="6">SUM(E36:E43)</f>
        <v>1468553.3333333333</v>
      </c>
      <c r="F44" s="112">
        <f t="shared" si="6"/>
        <v>1468553.3333333333</v>
      </c>
      <c r="G44" s="112">
        <v>1468553.3333333333</v>
      </c>
      <c r="O44" s="154">
        <f>O37*3%</f>
        <v>2558.2667999999999</v>
      </c>
      <c r="P44" s="154">
        <f>+O44*3</f>
        <v>7674.8004000000001</v>
      </c>
      <c r="Q44" s="154" t="s">
        <v>391</v>
      </c>
      <c r="R44" s="156">
        <f t="shared" ref="R44" si="7">14900*P44</f>
        <v>114354525.96000001</v>
      </c>
      <c r="S44" s="156">
        <f t="shared" ref="S44:S45" si="8">13770*P44</f>
        <v>105682001.508</v>
      </c>
    </row>
    <row r="45" spans="2:19" x14ac:dyDescent="0.25">
      <c r="B45" s="104" t="s">
        <v>258</v>
      </c>
      <c r="C45" s="93">
        <v>1</v>
      </c>
      <c r="D45" s="93">
        <v>1</v>
      </c>
      <c r="E45" s="93">
        <v>1</v>
      </c>
      <c r="F45" s="93">
        <v>1</v>
      </c>
      <c r="G45" s="113">
        <v>1</v>
      </c>
      <c r="O45">
        <f>+O37*1%</f>
        <v>852.75559999999996</v>
      </c>
      <c r="P45">
        <f>+O45*3</f>
        <v>2558.2667999999999</v>
      </c>
      <c r="Q45" t="s">
        <v>392</v>
      </c>
      <c r="R45" s="151">
        <f>14900*P45</f>
        <v>38118175.32</v>
      </c>
      <c r="S45" s="151">
        <f t="shared" si="8"/>
        <v>35227333.835999995</v>
      </c>
    </row>
    <row r="46" spans="2:19" x14ac:dyDescent="0.25">
      <c r="B46" s="104" t="s">
        <v>261</v>
      </c>
      <c r="C46" s="114">
        <f>C44/$C$33</f>
        <v>2.2028300000000001</v>
      </c>
      <c r="D46" s="114">
        <f t="shared" ref="D46:G46" si="9">D44/$C$33</f>
        <v>2.2028300000000001</v>
      </c>
      <c r="E46" s="114">
        <f t="shared" si="9"/>
        <v>1.4685533333333332</v>
      </c>
      <c r="F46" s="114">
        <f t="shared" si="9"/>
        <v>1.4685533333333332</v>
      </c>
      <c r="G46" s="114">
        <f t="shared" si="9"/>
        <v>1.4685533333333332</v>
      </c>
    </row>
    <row r="47" spans="2:19" x14ac:dyDescent="0.25">
      <c r="B47" s="104" t="s">
        <v>262</v>
      </c>
      <c r="C47" s="90">
        <f>C36</f>
        <v>1500000</v>
      </c>
      <c r="D47" s="90">
        <f t="shared" ref="D47:G47" si="10">D36</f>
        <v>1500000</v>
      </c>
      <c r="E47" s="90">
        <f t="shared" si="10"/>
        <v>1000000</v>
      </c>
      <c r="F47" s="90">
        <f t="shared" si="10"/>
        <v>1000000</v>
      </c>
      <c r="G47" s="90">
        <f t="shared" si="10"/>
        <v>1000000</v>
      </c>
    </row>
    <row r="48" spans="2:19" x14ac:dyDescent="0.25">
      <c r="B48" s="104" t="s">
        <v>263</v>
      </c>
      <c r="C48" s="90">
        <f>C44</f>
        <v>2202830</v>
      </c>
      <c r="D48" s="90">
        <f t="shared" ref="D48:G48" si="11">D44</f>
        <v>2202830</v>
      </c>
      <c r="E48" s="90">
        <f t="shared" si="11"/>
        <v>1468553.3333333333</v>
      </c>
      <c r="F48" s="90">
        <f t="shared" si="11"/>
        <v>1468553.3333333333</v>
      </c>
      <c r="G48" s="90">
        <f t="shared" si="11"/>
        <v>1468553.3333333333</v>
      </c>
    </row>
    <row r="49" spans="2:20" x14ac:dyDescent="0.25">
      <c r="B49" s="104" t="s">
        <v>264</v>
      </c>
      <c r="C49" s="255">
        <f>C48*12</f>
        <v>26433960</v>
      </c>
      <c r="D49" s="255">
        <f t="shared" ref="D49:G49" si="12">D48*12</f>
        <v>26433960</v>
      </c>
      <c r="E49" s="90">
        <f t="shared" si="12"/>
        <v>17622640</v>
      </c>
      <c r="F49" s="90">
        <f t="shared" si="12"/>
        <v>17622640</v>
      </c>
      <c r="G49" s="90">
        <f t="shared" si="12"/>
        <v>17622640</v>
      </c>
      <c r="I49" s="152"/>
      <c r="O49" s="164"/>
    </row>
    <row r="50" spans="2:20" x14ac:dyDescent="0.25">
      <c r="B50" s="254" t="s">
        <v>509</v>
      </c>
      <c r="C50" s="254" t="s">
        <v>508</v>
      </c>
      <c r="Q50" s="18"/>
      <c r="R50" s="18"/>
      <c r="S50" s="167"/>
      <c r="T50" s="151"/>
    </row>
    <row r="51" spans="2:20" x14ac:dyDescent="0.25">
      <c r="B51" s="112">
        <f>+C48+D48</f>
        <v>4405660</v>
      </c>
      <c r="C51" s="112">
        <f>B51*12</f>
        <v>52867920</v>
      </c>
      <c r="H51" s="152"/>
      <c r="Q51" s="18"/>
      <c r="R51" s="18"/>
      <c r="S51" s="167"/>
      <c r="T51" s="151"/>
    </row>
    <row r="52" spans="2:20" x14ac:dyDescent="0.25">
      <c r="B52" s="254" t="s">
        <v>265</v>
      </c>
      <c r="C52" s="254" t="s">
        <v>266</v>
      </c>
      <c r="H52" s="152"/>
      <c r="Q52" s="18"/>
      <c r="R52" s="18"/>
      <c r="S52" s="167"/>
      <c r="T52" s="151"/>
    </row>
    <row r="53" spans="2:20" x14ac:dyDescent="0.25">
      <c r="B53" s="238">
        <f>+SUM(C48:G48)</f>
        <v>8811320</v>
      </c>
      <c r="C53" s="238">
        <f>+B53*12</f>
        <v>105735840</v>
      </c>
      <c r="H53" s="152"/>
      <c r="Q53" s="18"/>
      <c r="R53" s="18"/>
      <c r="S53" s="167"/>
      <c r="T53" s="151"/>
    </row>
    <row r="54" spans="2:20" x14ac:dyDescent="0.25">
      <c r="Q54" s="18"/>
      <c r="R54" s="18"/>
      <c r="S54" s="167"/>
      <c r="T54" s="151"/>
    </row>
    <row r="55" spans="2:20" x14ac:dyDescent="0.25">
      <c r="B55" s="303" t="s">
        <v>327</v>
      </c>
      <c r="C55" s="304">
        <f>E59+E63+E66+E69</f>
        <v>17013500</v>
      </c>
      <c r="D55" s="90">
        <f t="shared" ref="D55:I55" si="13">C55*(1+5.62%)</f>
        <v>17969658.699999999</v>
      </c>
      <c r="E55" s="90">
        <f t="shared" si="13"/>
        <v>18979553.518939998</v>
      </c>
      <c r="F55" s="90">
        <f t="shared" si="13"/>
        <v>20046204.426704425</v>
      </c>
      <c r="G55" s="90">
        <f t="shared" si="13"/>
        <v>21172801.115485214</v>
      </c>
      <c r="H55" s="90">
        <f t="shared" si="13"/>
        <v>22362712.538175482</v>
      </c>
      <c r="I55" s="90">
        <f t="shared" si="13"/>
        <v>23619496.982820947</v>
      </c>
    </row>
    <row r="56" spans="2:20" x14ac:dyDescent="0.25">
      <c r="B56" s="95" t="s">
        <v>242</v>
      </c>
      <c r="C56" s="93" t="s">
        <v>267</v>
      </c>
      <c r="D56" s="93" t="s">
        <v>237</v>
      </c>
      <c r="E56" s="93" t="s">
        <v>491</v>
      </c>
    </row>
    <row r="57" spans="2:20" x14ac:dyDescent="0.25">
      <c r="B57" s="95" t="s">
        <v>269</v>
      </c>
      <c r="C57" s="403">
        <v>150000</v>
      </c>
      <c r="D57" s="93">
        <v>12</v>
      </c>
      <c r="E57" s="92">
        <f>C57*D57</f>
        <v>1800000</v>
      </c>
      <c r="K57" s="389" t="s">
        <v>327</v>
      </c>
      <c r="L57" s="392" t="s">
        <v>571</v>
      </c>
      <c r="M57" s="410" t="s">
        <v>564</v>
      </c>
      <c r="N57" s="410" t="s">
        <v>565</v>
      </c>
    </row>
    <row r="58" spans="2:20" x14ac:dyDescent="0.25">
      <c r="B58" s="95" t="s">
        <v>17</v>
      </c>
      <c r="C58" s="92">
        <f>60000*2</f>
        <v>120000</v>
      </c>
      <c r="D58" s="93">
        <v>12</v>
      </c>
      <c r="E58" s="92">
        <f>C58*D58</f>
        <v>1440000</v>
      </c>
      <c r="K58" s="389" t="s">
        <v>242</v>
      </c>
      <c r="L58" s="101" t="s">
        <v>267</v>
      </c>
      <c r="M58" s="101" t="s">
        <v>237</v>
      </c>
      <c r="N58" s="101" t="s">
        <v>491</v>
      </c>
    </row>
    <row r="59" spans="2:20" x14ac:dyDescent="0.25">
      <c r="B59" s="95"/>
      <c r="C59" s="93"/>
      <c r="D59" s="93" t="s">
        <v>274</v>
      </c>
      <c r="E59" s="92">
        <f>E57+E58</f>
        <v>3240000</v>
      </c>
      <c r="K59" s="389" t="s">
        <v>269</v>
      </c>
      <c r="L59" s="414">
        <v>150000</v>
      </c>
      <c r="M59" s="101">
        <v>12</v>
      </c>
      <c r="N59" s="237">
        <v>1800000</v>
      </c>
    </row>
    <row r="60" spans="2:20" x14ac:dyDescent="0.25">
      <c r="B60" s="95" t="s">
        <v>270</v>
      </c>
      <c r="C60" s="93" t="s">
        <v>267</v>
      </c>
      <c r="D60" s="93" t="s">
        <v>272</v>
      </c>
      <c r="E60" s="93" t="s">
        <v>268</v>
      </c>
      <c r="K60" s="389" t="s">
        <v>17</v>
      </c>
      <c r="L60" s="237">
        <v>120000</v>
      </c>
      <c r="M60" s="101">
        <v>12</v>
      </c>
      <c r="N60" s="237">
        <v>1440000</v>
      </c>
    </row>
    <row r="61" spans="2:20" x14ac:dyDescent="0.25">
      <c r="B61" s="95" t="s">
        <v>271</v>
      </c>
      <c r="C61" s="92">
        <v>100000</v>
      </c>
      <c r="D61" s="93">
        <v>3</v>
      </c>
      <c r="E61" s="92">
        <f>C61*D61</f>
        <v>300000</v>
      </c>
      <c r="K61" s="389"/>
      <c r="L61" s="101"/>
      <c r="M61" s="101" t="s">
        <v>274</v>
      </c>
      <c r="N61" s="237">
        <v>3240000</v>
      </c>
    </row>
    <row r="62" spans="2:20" x14ac:dyDescent="0.25">
      <c r="B62" s="95" t="s">
        <v>273</v>
      </c>
      <c r="C62" s="92">
        <v>90000</v>
      </c>
      <c r="D62" s="93">
        <v>3</v>
      </c>
      <c r="E62" s="92">
        <f>C62*D62</f>
        <v>270000</v>
      </c>
      <c r="K62" s="389" t="s">
        <v>270</v>
      </c>
      <c r="L62" s="101" t="s">
        <v>267</v>
      </c>
      <c r="M62" s="101" t="s">
        <v>272</v>
      </c>
      <c r="N62" s="101" t="s">
        <v>268</v>
      </c>
    </row>
    <row r="63" spans="2:20" x14ac:dyDescent="0.25">
      <c r="B63" s="95"/>
      <c r="C63" s="93"/>
      <c r="D63" s="93" t="s">
        <v>146</v>
      </c>
      <c r="E63" s="92">
        <f>E61+E62</f>
        <v>570000</v>
      </c>
      <c r="K63" s="389" t="s">
        <v>271</v>
      </c>
      <c r="L63" s="237">
        <v>100000</v>
      </c>
      <c r="M63" s="101">
        <v>3</v>
      </c>
      <c r="N63" s="237">
        <v>300000</v>
      </c>
    </row>
    <row r="64" spans="2:20" x14ac:dyDescent="0.25">
      <c r="B64" s="95" t="s">
        <v>242</v>
      </c>
      <c r="C64" s="93" t="s">
        <v>267</v>
      </c>
      <c r="D64" s="93" t="s">
        <v>237</v>
      </c>
      <c r="E64" s="93" t="s">
        <v>268</v>
      </c>
      <c r="K64" s="389" t="s">
        <v>273</v>
      </c>
      <c r="L64" s="237">
        <v>90000</v>
      </c>
      <c r="M64" s="101">
        <v>3</v>
      </c>
      <c r="N64" s="237">
        <v>270000</v>
      </c>
    </row>
    <row r="65" spans="2:14" x14ac:dyDescent="0.25">
      <c r="B65" s="95" t="s">
        <v>145</v>
      </c>
      <c r="C65" s="92">
        <f>'GV, GAD,INV,GCP,INSU,PRORRATEO'!G103</f>
        <v>100291.66666666666</v>
      </c>
      <c r="D65" s="93">
        <v>12</v>
      </c>
      <c r="E65" s="92">
        <f>C65*D65</f>
        <v>1203500</v>
      </c>
      <c r="K65" s="389"/>
      <c r="L65" s="101"/>
      <c r="M65" s="101" t="s">
        <v>146</v>
      </c>
      <c r="N65" s="237">
        <v>570000</v>
      </c>
    </row>
    <row r="66" spans="2:14" x14ac:dyDescent="0.25">
      <c r="B66" s="95"/>
      <c r="C66" s="92"/>
      <c r="D66" s="93" t="s">
        <v>146</v>
      </c>
      <c r="E66" s="92">
        <f>E65</f>
        <v>1203500</v>
      </c>
      <c r="K66" s="389" t="s">
        <v>242</v>
      </c>
      <c r="L66" s="101" t="s">
        <v>267</v>
      </c>
      <c r="M66" s="101" t="s">
        <v>237</v>
      </c>
      <c r="N66" s="101" t="s">
        <v>268</v>
      </c>
    </row>
    <row r="67" spans="2:14" x14ac:dyDescent="0.25">
      <c r="B67" s="95" t="s">
        <v>242</v>
      </c>
      <c r="C67" s="93" t="s">
        <v>267</v>
      </c>
      <c r="D67" s="93" t="s">
        <v>237</v>
      </c>
      <c r="E67" s="93" t="s">
        <v>268</v>
      </c>
      <c r="K67" s="389" t="s">
        <v>145</v>
      </c>
      <c r="L67" s="237">
        <v>100291.66666666666</v>
      </c>
      <c r="M67" s="101">
        <v>12</v>
      </c>
      <c r="N67" s="237">
        <v>1203500</v>
      </c>
    </row>
    <row r="68" spans="2:14" x14ac:dyDescent="0.25">
      <c r="B68" s="95" t="s">
        <v>330</v>
      </c>
      <c r="C68" s="92">
        <v>1000000</v>
      </c>
      <c r="D68" s="93">
        <v>12</v>
      </c>
      <c r="E68" s="92">
        <f>C68*D68</f>
        <v>12000000</v>
      </c>
      <c r="K68" s="389"/>
      <c r="L68" s="237"/>
      <c r="M68" s="101" t="s">
        <v>146</v>
      </c>
      <c r="N68" s="237">
        <v>1203500</v>
      </c>
    </row>
    <row r="69" spans="2:14" x14ac:dyDescent="0.25">
      <c r="B69" s="93"/>
      <c r="C69" s="93"/>
      <c r="D69" s="93" t="s">
        <v>146</v>
      </c>
      <c r="E69" s="92">
        <f>+E68</f>
        <v>12000000</v>
      </c>
      <c r="K69" s="389" t="s">
        <v>242</v>
      </c>
      <c r="L69" s="101" t="s">
        <v>267</v>
      </c>
      <c r="M69" s="101" t="s">
        <v>237</v>
      </c>
      <c r="N69" s="101" t="s">
        <v>268</v>
      </c>
    </row>
    <row r="70" spans="2:14" x14ac:dyDescent="0.25">
      <c r="K70" s="389" t="s">
        <v>330</v>
      </c>
      <c r="L70" s="237">
        <v>1000000</v>
      </c>
      <c r="M70" s="101">
        <v>12</v>
      </c>
      <c r="N70" s="237">
        <v>12000000</v>
      </c>
    </row>
    <row r="71" spans="2:14" x14ac:dyDescent="0.25">
      <c r="K71" s="101"/>
      <c r="L71" s="101"/>
      <c r="M71" s="101" t="s">
        <v>146</v>
      </c>
      <c r="N71" s="237">
        <v>12000000</v>
      </c>
    </row>
    <row r="72" spans="2:14" x14ac:dyDescent="0.25">
      <c r="B72" s="404" t="s">
        <v>275</v>
      </c>
      <c r="C72" s="405" t="s">
        <v>564</v>
      </c>
      <c r="D72" s="405" t="s">
        <v>565</v>
      </c>
      <c r="E72" s="405" t="s">
        <v>566</v>
      </c>
      <c r="F72" s="405" t="s">
        <v>568</v>
      </c>
      <c r="G72" s="405" t="s">
        <v>569</v>
      </c>
    </row>
    <row r="73" spans="2:14" x14ac:dyDescent="0.25">
      <c r="B73" s="404" t="s">
        <v>276</v>
      </c>
      <c r="C73" s="102">
        <v>2022</v>
      </c>
      <c r="D73" s="102">
        <v>2023</v>
      </c>
      <c r="E73" s="102">
        <v>2023</v>
      </c>
      <c r="F73" s="102">
        <v>2025</v>
      </c>
      <c r="G73" s="102">
        <v>2026</v>
      </c>
    </row>
    <row r="74" spans="2:14" x14ac:dyDescent="0.25">
      <c r="B74" s="404" t="s">
        <v>277</v>
      </c>
      <c r="C74" s="405">
        <v>0</v>
      </c>
      <c r="D74" s="406">
        <v>5.62E-2</v>
      </c>
      <c r="E74" s="406">
        <v>5.62E-2</v>
      </c>
      <c r="F74" s="406">
        <v>5.62E-2</v>
      </c>
      <c r="G74" s="406">
        <v>5.62E-2</v>
      </c>
    </row>
    <row r="75" spans="2:14" x14ac:dyDescent="0.25">
      <c r="B75" s="404" t="s">
        <v>278</v>
      </c>
      <c r="C75" s="407">
        <f>C79/C76</f>
        <v>4142.8411764705888</v>
      </c>
      <c r="D75" s="408">
        <f>C75*(1+D74)</f>
        <v>4375.6688505882357</v>
      </c>
      <c r="E75" s="408">
        <f t="shared" ref="E75:G75" si="14">D75*(1+E74)</f>
        <v>4621.5814399912942</v>
      </c>
      <c r="F75" s="408">
        <f t="shared" si="14"/>
        <v>4881.3143169188052</v>
      </c>
      <c r="G75" s="408">
        <f t="shared" si="14"/>
        <v>5155.6441815296421</v>
      </c>
      <c r="J75" s="212">
        <f>4824</f>
        <v>4824</v>
      </c>
      <c r="K75" s="212">
        <f>J75*(1+5.62%)</f>
        <v>5095.1088</v>
      </c>
      <c r="L75" s="212">
        <f t="shared" ref="L75:N75" si="15">K75*(1+5.62%)</f>
        <v>5381.4539145600002</v>
      </c>
      <c r="M75" s="212">
        <f t="shared" si="15"/>
        <v>5683.8916245582723</v>
      </c>
      <c r="N75" s="212">
        <f t="shared" si="15"/>
        <v>6003.3263338584475</v>
      </c>
    </row>
    <row r="76" spans="2:14" x14ac:dyDescent="0.25">
      <c r="B76" s="404" t="s">
        <v>279</v>
      </c>
      <c r="C76" s="409">
        <v>5500</v>
      </c>
      <c r="D76" s="409">
        <f>C76*(1+5.62%)</f>
        <v>5809.1</v>
      </c>
      <c r="E76" s="409">
        <f t="shared" ref="E76:G76" si="16">D76*(1+5.62%)</f>
        <v>6135.5714200000002</v>
      </c>
      <c r="F76" s="409">
        <f t="shared" si="16"/>
        <v>6480.3905338040004</v>
      </c>
      <c r="G76" s="409">
        <f t="shared" si="16"/>
        <v>6844.5884818037857</v>
      </c>
      <c r="J76" s="18">
        <f>+C75</f>
        <v>4142.8411764705888</v>
      </c>
      <c r="K76" s="18">
        <f t="shared" ref="K76:N76" si="17">+D75</f>
        <v>4375.6688505882357</v>
      </c>
      <c r="L76" s="18">
        <f t="shared" si="17"/>
        <v>4621.5814399912942</v>
      </c>
      <c r="M76" s="18">
        <f t="shared" si="17"/>
        <v>4881.3143169188052</v>
      </c>
      <c r="N76" s="18">
        <f t="shared" si="17"/>
        <v>5155.6441815296421</v>
      </c>
    </row>
    <row r="77" spans="2:14" x14ac:dyDescent="0.25">
      <c r="B77" s="404" t="s">
        <v>280</v>
      </c>
      <c r="C77" s="238">
        <f>C75*C76*12</f>
        <v>273427517.64705884</v>
      </c>
      <c r="D77" s="238">
        <f>D75*D76*12</f>
        <v>305024375.03942543</v>
      </c>
      <c r="E77" s="238">
        <f>E75*E76*12</f>
        <v>340272515.98095638</v>
      </c>
      <c r="F77" s="238">
        <f t="shared" ref="F77:G77" si="18">F75*F76*12</f>
        <v>379593877.1025908</v>
      </c>
      <c r="G77" s="238">
        <f t="shared" si="18"/>
        <v>423459153.37411791</v>
      </c>
      <c r="J77" s="152">
        <f>J75*J76*12</f>
        <v>239820790.02352944</v>
      </c>
      <c r="K77" s="152">
        <f t="shared" ref="K77:N77" si="19">K75*K76*12</f>
        <v>267534106.39821607</v>
      </c>
      <c r="L77" s="152">
        <f t="shared" si="19"/>
        <v>298449930.3803879</v>
      </c>
      <c r="M77" s="152">
        <f t="shared" si="19"/>
        <v>332938338.75325418</v>
      </c>
      <c r="N77" s="152">
        <f t="shared" si="19"/>
        <v>371412173.79577178</v>
      </c>
    </row>
    <row r="78" spans="2:14" x14ac:dyDescent="0.25">
      <c r="B78" s="244" t="s">
        <v>281</v>
      </c>
      <c r="C78" s="410"/>
      <c r="D78" s="410"/>
      <c r="E78" s="410"/>
      <c r="F78" s="410"/>
      <c r="G78" s="410"/>
    </row>
    <row r="79" spans="2:14" x14ac:dyDescent="0.25">
      <c r="B79" s="244" t="s">
        <v>282</v>
      </c>
      <c r="C79" s="411">
        <f>'Punto de Equilibrio'!C24</f>
        <v>22785626.470588237</v>
      </c>
      <c r="D79" s="411">
        <f>D77/12</f>
        <v>25418697.919952121</v>
      </c>
      <c r="E79" s="411">
        <f t="shared" ref="E79:G79" si="20">E77/12</f>
        <v>28356042.99841303</v>
      </c>
      <c r="F79" s="411">
        <f t="shared" si="20"/>
        <v>31632823.091882568</v>
      </c>
      <c r="G79" s="411">
        <f t="shared" si="20"/>
        <v>35288262.781176493</v>
      </c>
    </row>
    <row r="80" spans="2:14" x14ac:dyDescent="0.25">
      <c r="B80" s="244" t="s">
        <v>283</v>
      </c>
      <c r="C80" s="411">
        <f>C77</f>
        <v>273427517.64705884</v>
      </c>
      <c r="D80" s="411">
        <f>D77</f>
        <v>305024375.03942543</v>
      </c>
      <c r="E80" s="411">
        <f t="shared" ref="E80:F80" si="21">E77</f>
        <v>340272515.98095638</v>
      </c>
      <c r="F80" s="411">
        <f t="shared" si="21"/>
        <v>379593877.1025908</v>
      </c>
      <c r="G80" s="411">
        <f>G77</f>
        <v>423459153.37411791</v>
      </c>
    </row>
    <row r="83" spans="2:9" x14ac:dyDescent="0.25">
      <c r="B83" s="244" t="s">
        <v>285</v>
      </c>
      <c r="C83" s="410"/>
      <c r="D83" s="410"/>
      <c r="E83" s="410"/>
      <c r="F83" s="410"/>
      <c r="G83" s="410"/>
    </row>
    <row r="84" spans="2:9" x14ac:dyDescent="0.25">
      <c r="B84" s="244" t="s">
        <v>286</v>
      </c>
      <c r="C84" s="411">
        <f>C80</f>
        <v>273427517.64705884</v>
      </c>
      <c r="D84" s="411">
        <f>D80</f>
        <v>305024375.03942543</v>
      </c>
      <c r="E84" s="411">
        <f>E80</f>
        <v>340272515.98095638</v>
      </c>
      <c r="F84" s="411">
        <f>F80</f>
        <v>379593877.1025908</v>
      </c>
      <c r="G84" s="411">
        <f>G80</f>
        <v>423459153.37411791</v>
      </c>
    </row>
    <row r="85" spans="2:9" x14ac:dyDescent="0.25">
      <c r="B85" s="244" t="s">
        <v>287</v>
      </c>
      <c r="C85" s="412">
        <f>C75*3307*12</f>
        <v>164404509.24705887</v>
      </c>
      <c r="D85" s="412">
        <f>+D75*3493*12</f>
        <v>183410535.54125649</v>
      </c>
      <c r="E85" s="412">
        <f>E75*3689*12</f>
        <v>204588167.18553463</v>
      </c>
      <c r="F85" s="412">
        <f>F75*3896*12</f>
        <v>228211206.94458795</v>
      </c>
      <c r="G85" s="412">
        <f>G75*4115*12</f>
        <v>254585709.68393371</v>
      </c>
    </row>
    <row r="86" spans="2:9" x14ac:dyDescent="0.25">
      <c r="B86" s="244" t="s">
        <v>288</v>
      </c>
      <c r="C86" s="411">
        <f>C84-C85</f>
        <v>109023008.39999998</v>
      </c>
      <c r="D86" s="411">
        <f t="shared" ref="D86:G86" si="22">D84-D85</f>
        <v>121613839.49816895</v>
      </c>
      <c r="E86" s="411">
        <f t="shared" si="22"/>
        <v>135684348.79542175</v>
      </c>
      <c r="F86" s="411">
        <f t="shared" si="22"/>
        <v>151382670.15800285</v>
      </c>
      <c r="G86" s="411">
        <f t="shared" si="22"/>
        <v>168873443.69018421</v>
      </c>
      <c r="I86" s="253"/>
    </row>
    <row r="87" spans="2:9" x14ac:dyDescent="0.25">
      <c r="B87" s="244" t="s">
        <v>289</v>
      </c>
      <c r="C87" s="413">
        <f>C86/C84</f>
        <v>0.3987272727272726</v>
      </c>
      <c r="D87" s="413">
        <f t="shared" ref="D87:G87" si="23">D86/D84</f>
        <v>0.39870203646003682</v>
      </c>
      <c r="E87" s="413">
        <f t="shared" si="23"/>
        <v>0.39875200735582017</v>
      </c>
      <c r="F87" s="413">
        <f t="shared" si="23"/>
        <v>0.39880166485691093</v>
      </c>
      <c r="G87" s="413">
        <f t="shared" si="23"/>
        <v>0.39879511954010782</v>
      </c>
    </row>
    <row r="88" spans="2:9" x14ac:dyDescent="0.25">
      <c r="B88" s="244" t="s">
        <v>502</v>
      </c>
      <c r="C88" s="152"/>
      <c r="D88" s="152"/>
      <c r="E88" s="152"/>
      <c r="F88" s="152"/>
      <c r="G88" s="152"/>
    </row>
    <row r="89" spans="2:9" x14ac:dyDescent="0.25">
      <c r="C89" s="3"/>
      <c r="D89" s="209"/>
      <c r="E89" s="209"/>
      <c r="F89" s="209"/>
      <c r="G89" s="209"/>
    </row>
    <row r="95" spans="2:9" x14ac:dyDescent="0.25">
      <c r="H95" t="s">
        <v>570</v>
      </c>
    </row>
  </sheetData>
  <mergeCells count="1">
    <mergeCell ref="C19:E19"/>
  </mergeCells>
  <pageMargins left="0.7" right="0.7" top="0.75" bottom="0.75" header="0.3" footer="0.3"/>
  <pageSetup paperSize="9" orientation="portrait" r:id="rId1"/>
  <legacyDrawing r:id="rId2"/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3BBDE1C1510044B727E1ACF53A6BCA" ma:contentTypeVersion="5" ma:contentTypeDescription="Create a new document." ma:contentTypeScope="" ma:versionID="e51058118caaf332e762dda385bc5b1d">
  <xsd:schema xmlns:xsd="http://www.w3.org/2001/XMLSchema" xmlns:xs="http://www.w3.org/2001/XMLSchema" xmlns:p="http://schemas.microsoft.com/office/2006/metadata/properties" xmlns:ns3="0b69a8e6-ccad-4372-8af8-d5bfe369320b" xmlns:ns4="a9049d9b-22d6-4c7e-bf0d-ebedc7406cf0" targetNamespace="http://schemas.microsoft.com/office/2006/metadata/properties" ma:root="true" ma:fieldsID="c5b2c986aa918b980b24e318677ebe10" ns3:_="" ns4:_="">
    <xsd:import namespace="0b69a8e6-ccad-4372-8af8-d5bfe369320b"/>
    <xsd:import namespace="a9049d9b-22d6-4c7e-bf0d-ebedc7406c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9a8e6-ccad-4372-8af8-d5bfe3693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9d9b-22d6-4c7e-bf0d-ebedc7406c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E020F0-DE53-49AC-B8FF-FCC0BED76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9a8e6-ccad-4372-8af8-d5bfe369320b"/>
    <ds:schemaRef ds:uri="a9049d9b-22d6-4c7e-bf0d-ebedc7406c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D1D6F8-0636-4555-B0D6-2E03C117AB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260239-7DDA-4BD4-A52D-FA8C3EBE2615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a9049d9b-22d6-4c7e-bf0d-ebedc7406cf0"/>
    <ds:schemaRef ds:uri="0b69a8e6-ccad-4372-8af8-d5bfe369320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Estado de Resultados </vt:lpstr>
      <vt:lpstr>Estado resul corregido</vt:lpstr>
      <vt:lpstr>flujo de caja</vt:lpstr>
      <vt:lpstr>Market Share </vt:lpstr>
      <vt:lpstr>Costos </vt:lpstr>
      <vt:lpstr>Depreciaciones</vt:lpstr>
      <vt:lpstr>Estado de Situacion Financiera </vt:lpstr>
      <vt:lpstr>Tabla depreciaciones</vt:lpstr>
      <vt:lpstr>GO,CT,PV</vt:lpstr>
      <vt:lpstr>GV, GAD,INV,GCP,INSU,PRORRATEO</vt:lpstr>
      <vt:lpstr>Punto de Equilibrio</vt:lpstr>
      <vt:lpstr>Indicadores Financieros </vt:lpstr>
      <vt:lpstr>WACC</vt:lpstr>
      <vt:lpstr>VPN TIR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2022-02-18T01:20:06Z</dcterms:created>
  <dcterms:modified xsi:type="dcterms:W3CDTF">2022-04-27T16:25:15Z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0x010100D43BBDE1C1510044B727E1ACF53A6BCA</vt:lpwstr>
  </property>
</Properties>
</file>