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REDATOR TRITON\OneDrive\Escritorio\"/>
    </mc:Choice>
  </mc:AlternateContent>
  <xr:revisionPtr revIDLastSave="0" documentId="8_{4DDC4FBB-982D-4F56-9363-E43FF49361D5}" xr6:coauthVersionLast="47" xr6:coauthVersionMax="47" xr10:uidLastSave="{00000000-0000-0000-0000-000000000000}"/>
  <bookViews>
    <workbookView xWindow="-108" yWindow="-108" windowWidth="23256" windowHeight="12456" tabRatio="776" xr2:uid="{DF7EC3B3-73CD-45EE-B5BB-2CE5ED20BB56}"/>
  </bookViews>
  <sheets>
    <sheet name="RESULTADOS" sheetId="67" r:id="rId1"/>
    <sheet name="GENERAL" sheetId="68" state="hidden" r:id="rId2"/>
    <sheet name="1" sheetId="2" r:id="rId3"/>
    <sheet name="2" sheetId="30" r:id="rId4"/>
    <sheet name="3" sheetId="31" r:id="rId5"/>
    <sheet name="4" sheetId="32" r:id="rId6"/>
    <sheet name="5" sheetId="33" r:id="rId7"/>
    <sheet name="6" sheetId="34" r:id="rId8"/>
    <sheet name="7" sheetId="35" r:id="rId9"/>
    <sheet name="8" sheetId="36" r:id="rId10"/>
    <sheet name="9" sheetId="37" r:id="rId11"/>
    <sheet name="10" sheetId="38" r:id="rId12"/>
    <sheet name="11" sheetId="39" r:id="rId13"/>
    <sheet name="12" sheetId="40" r:id="rId14"/>
    <sheet name="13" sheetId="41" r:id="rId15"/>
    <sheet name="14" sheetId="42" r:id="rId16"/>
    <sheet name="15" sheetId="43" r:id="rId17"/>
    <sheet name="16" sheetId="44" r:id="rId18"/>
    <sheet name="17" sheetId="45" r:id="rId19"/>
    <sheet name="18" sheetId="46" r:id="rId20"/>
    <sheet name="19" sheetId="47" r:id="rId21"/>
    <sheet name="20" sheetId="48" r:id="rId22"/>
    <sheet name="21" sheetId="49" r:id="rId23"/>
    <sheet name="22" sheetId="50" r:id="rId24"/>
    <sheet name="23" sheetId="51" r:id="rId25"/>
    <sheet name="24" sheetId="52" r:id="rId26"/>
    <sheet name="25" sheetId="53" r:id="rId27"/>
    <sheet name="26" sheetId="54" r:id="rId28"/>
    <sheet name="27" sheetId="55" r:id="rId29"/>
    <sheet name="28" sheetId="56" r:id="rId30"/>
    <sheet name="29" sheetId="57" r:id="rId31"/>
    <sheet name="30" sheetId="58" r:id="rId32"/>
    <sheet name="31" sheetId="59" r:id="rId33"/>
    <sheet name="32" sheetId="60" r:id="rId34"/>
    <sheet name="33" sheetId="61" r:id="rId35"/>
    <sheet name="34" sheetId="62" r:id="rId36"/>
    <sheet name="35" sheetId="63" r:id="rId37"/>
    <sheet name="36" sheetId="64" r:id="rId38"/>
    <sheet name="37" sheetId="65" r:id="rId39"/>
    <sheet name="38" sheetId="66" r:id="rId40"/>
    <sheet name="COSTOS" sheetId="71" state="hidden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5" i="67" l="1"/>
  <c r="M26" i="67"/>
  <c r="M27" i="67"/>
  <c r="M28" i="67"/>
  <c r="M29" i="67"/>
  <c r="M30" i="67"/>
  <c r="M31" i="67"/>
  <c r="M32" i="67"/>
  <c r="M33" i="67"/>
  <c r="M34" i="67"/>
  <c r="M35" i="67"/>
  <c r="M36" i="67"/>
  <c r="M37" i="67"/>
  <c r="M38" i="67"/>
  <c r="M39" i="67"/>
  <c r="M40" i="67"/>
  <c r="M24" i="67"/>
  <c r="M4" i="67"/>
  <c r="M5" i="67"/>
  <c r="M6" i="67"/>
  <c r="M7" i="67"/>
  <c r="M8" i="67"/>
  <c r="M9" i="67"/>
  <c r="M10" i="67"/>
  <c r="M11" i="67"/>
  <c r="M12" i="67"/>
  <c r="M13" i="67"/>
  <c r="M14" i="67"/>
  <c r="M15" i="67"/>
  <c r="M16" i="67"/>
  <c r="M17" i="67"/>
  <c r="M18" i="67"/>
  <c r="M19" i="67"/>
  <c r="M20" i="67"/>
  <c r="M21" i="67"/>
  <c r="M22" i="67"/>
  <c r="M23" i="67"/>
  <c r="M3" i="67"/>
  <c r="L40" i="67" l="1"/>
  <c r="L39" i="67"/>
  <c r="L38" i="67"/>
  <c r="L37" i="67"/>
  <c r="L36" i="67"/>
  <c r="L35" i="67"/>
  <c r="L34" i="67"/>
  <c r="L33" i="67"/>
  <c r="L32" i="67"/>
  <c r="L31" i="67"/>
  <c r="L30" i="67"/>
  <c r="L29" i="67"/>
  <c r="L28" i="67"/>
  <c r="L27" i="67"/>
  <c r="L26" i="67"/>
  <c r="L25" i="67"/>
  <c r="L24" i="67"/>
  <c r="L23" i="67"/>
  <c r="L22" i="67"/>
  <c r="L21" i="67"/>
  <c r="L20" i="67"/>
  <c r="L19" i="67"/>
  <c r="L18" i="67"/>
  <c r="L17" i="67"/>
  <c r="L16" i="67"/>
  <c r="L15" i="67"/>
  <c r="L14" i="67"/>
  <c r="L13" i="67"/>
  <c r="L12" i="67"/>
  <c r="L11" i="67"/>
  <c r="L10" i="67"/>
  <c r="L9" i="67"/>
  <c r="L8" i="67"/>
  <c r="L7" i="67"/>
  <c r="L6" i="67"/>
  <c r="L5" i="67"/>
  <c r="L4" i="67"/>
  <c r="L3" i="67"/>
  <c r="I3" i="68"/>
  <c r="L40" i="68"/>
  <c r="J40" i="68"/>
  <c r="K40" i="68" s="1"/>
  <c r="H40" i="68"/>
  <c r="F40" i="68"/>
  <c r="E40" i="68"/>
  <c r="D40" i="68"/>
  <c r="C40" i="68"/>
  <c r="L39" i="68"/>
  <c r="J39" i="68"/>
  <c r="F39" i="68"/>
  <c r="K39" i="68" s="1"/>
  <c r="E39" i="68"/>
  <c r="D39" i="68"/>
  <c r="C39" i="68"/>
  <c r="L38" i="68"/>
  <c r="J38" i="68"/>
  <c r="K38" i="68" s="1"/>
  <c r="F38" i="68"/>
  <c r="I38" i="68" s="1"/>
  <c r="E38" i="68"/>
  <c r="D38" i="68"/>
  <c r="C38" i="68"/>
  <c r="L37" i="68"/>
  <c r="J37" i="68"/>
  <c r="K37" i="68" s="1"/>
  <c r="I37" i="68"/>
  <c r="H37" i="68"/>
  <c r="F37" i="68"/>
  <c r="E37" i="68"/>
  <c r="D37" i="68"/>
  <c r="C37" i="68"/>
  <c r="L36" i="68"/>
  <c r="J36" i="68"/>
  <c r="I36" i="68" s="1"/>
  <c r="H36" i="68"/>
  <c r="F36" i="68"/>
  <c r="K36" i="68" s="1"/>
  <c r="E36" i="68"/>
  <c r="D36" i="68"/>
  <c r="C36" i="68"/>
  <c r="L35" i="68"/>
  <c r="J35" i="68"/>
  <c r="K35" i="68" s="1"/>
  <c r="F35" i="68"/>
  <c r="I35" i="68" s="1"/>
  <c r="E35" i="68"/>
  <c r="D35" i="68"/>
  <c r="C35" i="68"/>
  <c r="L34" i="68"/>
  <c r="J34" i="68"/>
  <c r="K34" i="68" s="1"/>
  <c r="H34" i="68"/>
  <c r="F34" i="68"/>
  <c r="I34" i="68" s="1"/>
  <c r="E34" i="68"/>
  <c r="D34" i="68"/>
  <c r="C34" i="68"/>
  <c r="L33" i="68"/>
  <c r="J33" i="68"/>
  <c r="H33" i="68"/>
  <c r="F33" i="68"/>
  <c r="K33" i="68" s="1"/>
  <c r="E33" i="68"/>
  <c r="D33" i="68"/>
  <c r="C33" i="68"/>
  <c r="L32" i="68"/>
  <c r="J32" i="68"/>
  <c r="F32" i="68"/>
  <c r="K32" i="68" s="1"/>
  <c r="E32" i="68"/>
  <c r="D32" i="68"/>
  <c r="C32" i="68"/>
  <c r="L31" i="68"/>
  <c r="J31" i="68"/>
  <c r="K31" i="68" s="1"/>
  <c r="F31" i="68"/>
  <c r="H31" i="68" s="1"/>
  <c r="E31" i="68"/>
  <c r="D31" i="68"/>
  <c r="C31" i="68"/>
  <c r="L30" i="68"/>
  <c r="J30" i="68"/>
  <c r="F30" i="68"/>
  <c r="H30" i="68" s="1"/>
  <c r="E30" i="68"/>
  <c r="D30" i="68"/>
  <c r="C30" i="68"/>
  <c r="L29" i="68"/>
  <c r="K29" i="68"/>
  <c r="J29" i="68"/>
  <c r="F29" i="68"/>
  <c r="I29" i="68" s="1"/>
  <c r="E29" i="68"/>
  <c r="D29" i="68"/>
  <c r="C29" i="68"/>
  <c r="L28" i="68"/>
  <c r="J28" i="68"/>
  <c r="K28" i="68" s="1"/>
  <c r="I28" i="68"/>
  <c r="F28" i="68"/>
  <c r="H28" i="68" s="1"/>
  <c r="E28" i="68"/>
  <c r="D28" i="68"/>
  <c r="C28" i="68"/>
  <c r="L27" i="68"/>
  <c r="J27" i="68"/>
  <c r="F27" i="68"/>
  <c r="K27" i="68" s="1"/>
  <c r="E27" i="68"/>
  <c r="D27" i="68"/>
  <c r="C27" i="68"/>
  <c r="L26" i="68"/>
  <c r="K26" i="68"/>
  <c r="J26" i="68"/>
  <c r="F26" i="68"/>
  <c r="I26" i="68" s="1"/>
  <c r="E26" i="68"/>
  <c r="D26" i="68"/>
  <c r="C26" i="68"/>
  <c r="L25" i="68"/>
  <c r="J25" i="68"/>
  <c r="F25" i="68"/>
  <c r="I25" i="68" s="1"/>
  <c r="E25" i="68"/>
  <c r="D25" i="68"/>
  <c r="C25" i="68"/>
  <c r="L24" i="68"/>
  <c r="J24" i="68"/>
  <c r="K24" i="68" s="1"/>
  <c r="I24" i="68"/>
  <c r="H24" i="68"/>
  <c r="F24" i="68"/>
  <c r="E24" i="68"/>
  <c r="D24" i="68"/>
  <c r="C24" i="68"/>
  <c r="L23" i="68"/>
  <c r="J23" i="68"/>
  <c r="F23" i="68"/>
  <c r="H23" i="68" s="1"/>
  <c r="E23" i="68"/>
  <c r="D23" i="68"/>
  <c r="C23" i="68"/>
  <c r="L22" i="68"/>
  <c r="K22" i="68"/>
  <c r="J22" i="68"/>
  <c r="H22" i="68"/>
  <c r="F22" i="68"/>
  <c r="I22" i="68" s="1"/>
  <c r="E22" i="68"/>
  <c r="D22" i="68"/>
  <c r="C22" i="68"/>
  <c r="L21" i="68"/>
  <c r="J21" i="68"/>
  <c r="K21" i="68" s="1"/>
  <c r="I21" i="68"/>
  <c r="H21" i="68"/>
  <c r="F21" i="68"/>
  <c r="E21" i="68"/>
  <c r="D21" i="68"/>
  <c r="C21" i="68"/>
  <c r="L20" i="68"/>
  <c r="J20" i="68"/>
  <c r="I20" i="68" s="1"/>
  <c r="H20" i="68"/>
  <c r="F20" i="68"/>
  <c r="K20" i="68" s="1"/>
  <c r="E20" i="68"/>
  <c r="D20" i="68"/>
  <c r="C20" i="68"/>
  <c r="L19" i="68"/>
  <c r="J19" i="68"/>
  <c r="K19" i="68" s="1"/>
  <c r="F19" i="68"/>
  <c r="I19" i="68" s="1"/>
  <c r="E19" i="68"/>
  <c r="D19" i="68"/>
  <c r="C19" i="68"/>
  <c r="L18" i="68"/>
  <c r="J18" i="68"/>
  <c r="H18" i="68"/>
  <c r="F18" i="68"/>
  <c r="K18" i="68" s="1"/>
  <c r="E18" i="68"/>
  <c r="D18" i="68"/>
  <c r="C18" i="68"/>
  <c r="L17" i="68"/>
  <c r="J17" i="68"/>
  <c r="H17" i="68"/>
  <c r="F17" i="68"/>
  <c r="K17" i="68" s="1"/>
  <c r="E17" i="68"/>
  <c r="D17" i="68"/>
  <c r="C17" i="68"/>
  <c r="L16" i="68"/>
  <c r="J16" i="68"/>
  <c r="F16" i="68"/>
  <c r="H16" i="68" s="1"/>
  <c r="E16" i="68"/>
  <c r="D16" i="68"/>
  <c r="C16" i="68"/>
  <c r="L15" i="68"/>
  <c r="J15" i="68"/>
  <c r="K15" i="68" s="1"/>
  <c r="I15" i="68"/>
  <c r="F15" i="68"/>
  <c r="H15" i="68" s="1"/>
  <c r="E15" i="68"/>
  <c r="D15" i="68"/>
  <c r="C15" i="68"/>
  <c r="L14" i="68"/>
  <c r="J14" i="68"/>
  <c r="F14" i="68"/>
  <c r="H14" i="68" s="1"/>
  <c r="E14" i="68"/>
  <c r="D14" i="68"/>
  <c r="C14" i="68"/>
  <c r="L13" i="68"/>
  <c r="K13" i="68"/>
  <c r="J13" i="68"/>
  <c r="F13" i="68"/>
  <c r="I13" i="68" s="1"/>
  <c r="E13" i="68"/>
  <c r="D13" i="68"/>
  <c r="C13" i="68"/>
  <c r="L12" i="68"/>
  <c r="J12" i="68"/>
  <c r="K12" i="68" s="1"/>
  <c r="I12" i="68"/>
  <c r="F12" i="68"/>
  <c r="H12" i="68" s="1"/>
  <c r="E12" i="68"/>
  <c r="D12" i="68"/>
  <c r="C12" i="68"/>
  <c r="L11" i="68"/>
  <c r="J11" i="68"/>
  <c r="F11" i="68"/>
  <c r="I11" i="68" s="1"/>
  <c r="E11" i="68"/>
  <c r="D11" i="68"/>
  <c r="C11" i="68"/>
  <c r="L10" i="68"/>
  <c r="K10" i="68"/>
  <c r="J10" i="68"/>
  <c r="F10" i="68"/>
  <c r="I10" i="68" s="1"/>
  <c r="E10" i="68"/>
  <c r="D10" i="68"/>
  <c r="C10" i="68"/>
  <c r="L9" i="68"/>
  <c r="J9" i="68"/>
  <c r="F9" i="68"/>
  <c r="K9" i="68" s="1"/>
  <c r="E9" i="68"/>
  <c r="D9" i="68"/>
  <c r="C9" i="68"/>
  <c r="L8" i="68"/>
  <c r="J8" i="68"/>
  <c r="K8" i="68" s="1"/>
  <c r="I8" i="68"/>
  <c r="H8" i="68"/>
  <c r="F8" i="68"/>
  <c r="E8" i="68"/>
  <c r="D8" i="68"/>
  <c r="C8" i="68"/>
  <c r="L7" i="68"/>
  <c r="J7" i="68"/>
  <c r="F7" i="68"/>
  <c r="K7" i="68" s="1"/>
  <c r="E7" i="68"/>
  <c r="D7" i="68"/>
  <c r="C7" i="68"/>
  <c r="L6" i="68"/>
  <c r="J6" i="68"/>
  <c r="K6" i="68" s="1"/>
  <c r="H6" i="68"/>
  <c r="F6" i="68"/>
  <c r="I6" i="68" s="1"/>
  <c r="E6" i="68"/>
  <c r="D6" i="68"/>
  <c r="C6" i="68"/>
  <c r="L5" i="68"/>
  <c r="J5" i="68"/>
  <c r="K5" i="68" s="1"/>
  <c r="I5" i="68"/>
  <c r="H5" i="68"/>
  <c r="F5" i="68"/>
  <c r="E5" i="68"/>
  <c r="D5" i="68"/>
  <c r="C5" i="68"/>
  <c r="L4" i="68"/>
  <c r="J4" i="68"/>
  <c r="H4" i="68"/>
  <c r="F4" i="68"/>
  <c r="K4" i="68" s="1"/>
  <c r="E4" i="68"/>
  <c r="D4" i="68"/>
  <c r="C4" i="68"/>
  <c r="L3" i="68"/>
  <c r="J3" i="68"/>
  <c r="K3" i="68" s="1"/>
  <c r="F3" i="68"/>
  <c r="E3" i="68"/>
  <c r="D3" i="68"/>
  <c r="C3" i="68"/>
  <c r="I45" i="2"/>
  <c r="L42" i="67" l="1"/>
  <c r="L43" i="67" s="1"/>
  <c r="M42" i="67"/>
  <c r="I14" i="68"/>
  <c r="H39" i="68"/>
  <c r="I23" i="68"/>
  <c r="H32" i="68"/>
  <c r="I39" i="68"/>
  <c r="H9" i="68"/>
  <c r="K14" i="68"/>
  <c r="I16" i="68"/>
  <c r="H25" i="68"/>
  <c r="K30" i="68"/>
  <c r="I32" i="68"/>
  <c r="I7" i="68"/>
  <c r="K23" i="68"/>
  <c r="H11" i="68"/>
  <c r="K16" i="68"/>
  <c r="I18" i="68"/>
  <c r="H27" i="68"/>
  <c r="H7" i="68"/>
  <c r="I30" i="68"/>
  <c r="I9" i="68"/>
  <c r="K25" i="68"/>
  <c r="I27" i="68"/>
  <c r="I4" i="68"/>
  <c r="H13" i="68"/>
  <c r="H29" i="68"/>
  <c r="K11" i="68"/>
  <c r="H38" i="68"/>
  <c r="I31" i="68"/>
  <c r="I40" i="68"/>
  <c r="I17" i="68"/>
  <c r="H26" i="68"/>
  <c r="H35" i="68"/>
  <c r="H10" i="68"/>
  <c r="I33" i="68"/>
  <c r="H3" i="68"/>
  <c r="H19" i="68"/>
  <c r="F5" i="67"/>
  <c r="H5" i="67" s="1"/>
  <c r="F6" i="67"/>
  <c r="H6" i="67" s="1"/>
  <c r="F7" i="67"/>
  <c r="H7" i="67" s="1"/>
  <c r="F8" i="67"/>
  <c r="H8" i="67" s="1"/>
  <c r="F9" i="67"/>
  <c r="H9" i="67" s="1"/>
  <c r="F10" i="67"/>
  <c r="H10" i="67" s="1"/>
  <c r="F11" i="67"/>
  <c r="H11" i="67" s="1"/>
  <c r="F12" i="67"/>
  <c r="H12" i="67" s="1"/>
  <c r="F13" i="67"/>
  <c r="H13" i="67" s="1"/>
  <c r="F14" i="67"/>
  <c r="H14" i="67" s="1"/>
  <c r="F15" i="67"/>
  <c r="H15" i="67" s="1"/>
  <c r="F16" i="67"/>
  <c r="H16" i="67" s="1"/>
  <c r="F17" i="67"/>
  <c r="H17" i="67" s="1"/>
  <c r="F18" i="67"/>
  <c r="H18" i="67" s="1"/>
  <c r="F19" i="67"/>
  <c r="H19" i="67" s="1"/>
  <c r="F20" i="67"/>
  <c r="H20" i="67" s="1"/>
  <c r="F21" i="67"/>
  <c r="H21" i="67" s="1"/>
  <c r="F22" i="67"/>
  <c r="H22" i="67" s="1"/>
  <c r="F23" i="67"/>
  <c r="H23" i="67" s="1"/>
  <c r="F24" i="67"/>
  <c r="H24" i="67" s="1"/>
  <c r="F25" i="67"/>
  <c r="H25" i="67" s="1"/>
  <c r="F26" i="67"/>
  <c r="H26" i="67" s="1"/>
  <c r="F27" i="67"/>
  <c r="H27" i="67" s="1"/>
  <c r="F28" i="67"/>
  <c r="H28" i="67" s="1"/>
  <c r="F29" i="67"/>
  <c r="H29" i="67" s="1"/>
  <c r="F30" i="67"/>
  <c r="H30" i="67" s="1"/>
  <c r="F31" i="67"/>
  <c r="H31" i="67" s="1"/>
  <c r="F32" i="67"/>
  <c r="H32" i="67" s="1"/>
  <c r="F33" i="67"/>
  <c r="H33" i="67" s="1"/>
  <c r="F34" i="67"/>
  <c r="H34" i="67" s="1"/>
  <c r="F35" i="67"/>
  <c r="H35" i="67" s="1"/>
  <c r="F36" i="67"/>
  <c r="H36" i="67" s="1"/>
  <c r="F37" i="67"/>
  <c r="H37" i="67" s="1"/>
  <c r="F38" i="67"/>
  <c r="H38" i="67" s="1"/>
  <c r="F39" i="67"/>
  <c r="H39" i="67" s="1"/>
  <c r="F40" i="67"/>
  <c r="H40" i="67" s="1"/>
  <c r="F4" i="67"/>
  <c r="H4" i="67" s="1"/>
  <c r="J40" i="67"/>
  <c r="E40" i="67"/>
  <c r="C40" i="67"/>
  <c r="D40" i="67"/>
  <c r="J39" i="67"/>
  <c r="E39" i="67"/>
  <c r="C39" i="67"/>
  <c r="D39" i="67"/>
  <c r="J38" i="67"/>
  <c r="E38" i="67"/>
  <c r="C38" i="67"/>
  <c r="D38" i="67"/>
  <c r="J37" i="67"/>
  <c r="E37" i="67"/>
  <c r="C37" i="67"/>
  <c r="D37" i="67"/>
  <c r="J36" i="67"/>
  <c r="E36" i="67"/>
  <c r="C36" i="67"/>
  <c r="D36" i="67"/>
  <c r="J35" i="67"/>
  <c r="E35" i="67"/>
  <c r="C35" i="67"/>
  <c r="D35" i="67"/>
  <c r="J34" i="67"/>
  <c r="E34" i="67"/>
  <c r="C34" i="67"/>
  <c r="D34" i="67"/>
  <c r="J33" i="67"/>
  <c r="E33" i="67"/>
  <c r="C33" i="67"/>
  <c r="D33" i="67"/>
  <c r="J32" i="67"/>
  <c r="E32" i="67"/>
  <c r="C32" i="67"/>
  <c r="D32" i="67"/>
  <c r="J31" i="67"/>
  <c r="E31" i="67"/>
  <c r="C31" i="67"/>
  <c r="D31" i="67"/>
  <c r="J30" i="67"/>
  <c r="E30" i="67"/>
  <c r="C30" i="67"/>
  <c r="D30" i="67"/>
  <c r="J29" i="67"/>
  <c r="E29" i="67"/>
  <c r="C29" i="67"/>
  <c r="D29" i="67"/>
  <c r="J28" i="67"/>
  <c r="E28" i="67"/>
  <c r="C28" i="67"/>
  <c r="D28" i="67"/>
  <c r="J27" i="67"/>
  <c r="C27" i="67"/>
  <c r="J26" i="67"/>
  <c r="E26" i="67"/>
  <c r="C26" i="67"/>
  <c r="D26" i="67"/>
  <c r="J25" i="67"/>
  <c r="E25" i="67"/>
  <c r="C25" i="67"/>
  <c r="D25" i="67"/>
  <c r="J24" i="67"/>
  <c r="E24" i="67"/>
  <c r="C24" i="67"/>
  <c r="D24" i="67"/>
  <c r="J23" i="67"/>
  <c r="E23" i="67"/>
  <c r="C23" i="67"/>
  <c r="D23" i="67"/>
  <c r="J22" i="67"/>
  <c r="E22" i="67"/>
  <c r="C22" i="67"/>
  <c r="D22" i="67"/>
  <c r="J21" i="67"/>
  <c r="E21" i="67"/>
  <c r="C21" i="67"/>
  <c r="D21" i="67"/>
  <c r="J20" i="67"/>
  <c r="E20" i="67"/>
  <c r="C20" i="67"/>
  <c r="D20" i="67"/>
  <c r="J19" i="67"/>
  <c r="E19" i="67"/>
  <c r="C19" i="67"/>
  <c r="D19" i="67"/>
  <c r="J18" i="67"/>
  <c r="E18" i="67"/>
  <c r="C18" i="67"/>
  <c r="D18" i="67"/>
  <c r="J17" i="67"/>
  <c r="E17" i="67"/>
  <c r="C17" i="67"/>
  <c r="D17" i="67"/>
  <c r="J16" i="67"/>
  <c r="E16" i="67"/>
  <c r="C16" i="67"/>
  <c r="D16" i="67"/>
  <c r="J15" i="67"/>
  <c r="E15" i="67"/>
  <c r="C15" i="67"/>
  <c r="D15" i="67"/>
  <c r="J14" i="67"/>
  <c r="E14" i="67"/>
  <c r="C14" i="67"/>
  <c r="D14" i="67"/>
  <c r="J13" i="67"/>
  <c r="E13" i="67"/>
  <c r="C13" i="67"/>
  <c r="D13" i="67"/>
  <c r="J12" i="67"/>
  <c r="E12" i="67"/>
  <c r="C12" i="67"/>
  <c r="D12" i="67"/>
  <c r="J11" i="67"/>
  <c r="E11" i="67"/>
  <c r="C11" i="67"/>
  <c r="D11" i="67"/>
  <c r="J10" i="67"/>
  <c r="E10" i="67"/>
  <c r="C10" i="67"/>
  <c r="D10" i="67"/>
  <c r="J9" i="67"/>
  <c r="E9" i="67"/>
  <c r="C9" i="67"/>
  <c r="D9" i="67"/>
  <c r="J8" i="67"/>
  <c r="E8" i="67"/>
  <c r="C8" i="67"/>
  <c r="D8" i="67"/>
  <c r="J7" i="67"/>
  <c r="E7" i="67"/>
  <c r="C7" i="67"/>
  <c r="D7" i="67"/>
  <c r="J6" i="67"/>
  <c r="E6" i="67"/>
  <c r="C6" i="67"/>
  <c r="D6" i="67"/>
  <c r="J5" i="67"/>
  <c r="E5" i="67"/>
  <c r="D5" i="67"/>
  <c r="C5" i="67"/>
  <c r="J4" i="67"/>
  <c r="E4" i="67"/>
  <c r="D4" i="67"/>
  <c r="C4" i="67"/>
  <c r="J3" i="67"/>
  <c r="F3" i="67"/>
  <c r="H3" i="67" s="1"/>
  <c r="E3" i="67"/>
  <c r="D3" i="67"/>
  <c r="C3" i="67"/>
  <c r="I35" i="66"/>
  <c r="D35" i="66"/>
  <c r="G32" i="66"/>
  <c r="C26" i="66"/>
  <c r="G23" i="66"/>
  <c r="D21" i="66"/>
  <c r="I16" i="66"/>
  <c r="I35" i="65"/>
  <c r="G32" i="65"/>
  <c r="C26" i="65"/>
  <c r="D35" i="65" s="1"/>
  <c r="G23" i="65"/>
  <c r="D21" i="65"/>
  <c r="D23" i="65" s="1"/>
  <c r="D37" i="65" s="1"/>
  <c r="I16" i="65"/>
  <c r="I35" i="64"/>
  <c r="D35" i="64"/>
  <c r="G32" i="64"/>
  <c r="C26" i="64"/>
  <c r="G23" i="64"/>
  <c r="D21" i="64"/>
  <c r="D23" i="64" s="1"/>
  <c r="D37" i="64" s="1"/>
  <c r="I16" i="64"/>
  <c r="I35" i="63"/>
  <c r="G32" i="63"/>
  <c r="C26" i="63"/>
  <c r="D35" i="63" s="1"/>
  <c r="G23" i="63"/>
  <c r="D21" i="63"/>
  <c r="D23" i="63" s="1"/>
  <c r="D37" i="63" s="1"/>
  <c r="I16" i="63"/>
  <c r="I35" i="62"/>
  <c r="G32" i="62"/>
  <c r="C26" i="62"/>
  <c r="D35" i="62" s="1"/>
  <c r="G23" i="62"/>
  <c r="D21" i="62"/>
  <c r="D23" i="62" s="1"/>
  <c r="D37" i="62" s="1"/>
  <c r="I37" i="62" s="1"/>
  <c r="I16" i="62"/>
  <c r="I35" i="61"/>
  <c r="G32" i="61"/>
  <c r="C26" i="61"/>
  <c r="G23" i="61"/>
  <c r="D21" i="61"/>
  <c r="D23" i="61" s="1"/>
  <c r="D37" i="61" s="1"/>
  <c r="I16" i="61"/>
  <c r="I35" i="60"/>
  <c r="D35" i="60"/>
  <c r="G32" i="60"/>
  <c r="C26" i="60"/>
  <c r="G23" i="60"/>
  <c r="D21" i="60"/>
  <c r="I16" i="60"/>
  <c r="I35" i="59"/>
  <c r="G32" i="59"/>
  <c r="C26" i="59"/>
  <c r="D35" i="59" s="1"/>
  <c r="G23" i="59"/>
  <c r="D21" i="59"/>
  <c r="D23" i="59" s="1"/>
  <c r="D37" i="59" s="1"/>
  <c r="I16" i="59"/>
  <c r="I35" i="58"/>
  <c r="G32" i="58"/>
  <c r="C26" i="58"/>
  <c r="D35" i="58" s="1"/>
  <c r="G23" i="58"/>
  <c r="D21" i="58"/>
  <c r="D23" i="58" s="1"/>
  <c r="D37" i="58" s="1"/>
  <c r="I16" i="58"/>
  <c r="I35" i="57"/>
  <c r="G32" i="57"/>
  <c r="C26" i="57"/>
  <c r="D35" i="57" s="1"/>
  <c r="G23" i="57"/>
  <c r="D21" i="57"/>
  <c r="D23" i="57" s="1"/>
  <c r="D37" i="57" s="1"/>
  <c r="I16" i="57"/>
  <c r="I35" i="56"/>
  <c r="D35" i="56"/>
  <c r="G32" i="56"/>
  <c r="C26" i="56"/>
  <c r="G23" i="56"/>
  <c r="D21" i="56"/>
  <c r="D23" i="56" s="1"/>
  <c r="D37" i="56" s="1"/>
  <c r="I16" i="56"/>
  <c r="I35" i="55"/>
  <c r="G32" i="55"/>
  <c r="C26" i="55"/>
  <c r="G23" i="55"/>
  <c r="D21" i="55"/>
  <c r="I16" i="55"/>
  <c r="I35" i="54"/>
  <c r="D35" i="54"/>
  <c r="G32" i="54"/>
  <c r="C26" i="54"/>
  <c r="G23" i="54"/>
  <c r="D21" i="54"/>
  <c r="I39" i="54" s="1"/>
  <c r="I16" i="54"/>
  <c r="I35" i="53"/>
  <c r="G32" i="53"/>
  <c r="C26" i="53"/>
  <c r="D35" i="53" s="1"/>
  <c r="G23" i="53"/>
  <c r="D21" i="53"/>
  <c r="D23" i="53" s="1"/>
  <c r="D37" i="53" s="1"/>
  <c r="I16" i="53"/>
  <c r="I35" i="52"/>
  <c r="D35" i="52"/>
  <c r="G32" i="52"/>
  <c r="C26" i="52"/>
  <c r="G23" i="52"/>
  <c r="D21" i="52"/>
  <c r="I16" i="52"/>
  <c r="I35" i="51"/>
  <c r="G32" i="51"/>
  <c r="C26" i="51"/>
  <c r="D35" i="51" s="1"/>
  <c r="G23" i="51"/>
  <c r="D23" i="51"/>
  <c r="D37" i="51" s="1"/>
  <c r="D21" i="51"/>
  <c r="I16" i="51"/>
  <c r="I35" i="50"/>
  <c r="D35" i="50"/>
  <c r="G32" i="50"/>
  <c r="C26" i="50"/>
  <c r="G23" i="50"/>
  <c r="D21" i="50"/>
  <c r="D23" i="50" s="1"/>
  <c r="D37" i="50" s="1"/>
  <c r="I16" i="50"/>
  <c r="I35" i="49"/>
  <c r="G32" i="49"/>
  <c r="C26" i="49"/>
  <c r="D35" i="49" s="1"/>
  <c r="G23" i="49"/>
  <c r="D21" i="49"/>
  <c r="D23" i="49" s="1"/>
  <c r="D37" i="49" s="1"/>
  <c r="I16" i="49"/>
  <c r="I35" i="48"/>
  <c r="G32" i="48"/>
  <c r="C26" i="48"/>
  <c r="D35" i="48" s="1"/>
  <c r="G23" i="48"/>
  <c r="D21" i="48"/>
  <c r="D23" i="48" s="1"/>
  <c r="D37" i="48" s="1"/>
  <c r="I16" i="48"/>
  <c r="I35" i="47"/>
  <c r="G32" i="47"/>
  <c r="C26" i="47"/>
  <c r="G23" i="47"/>
  <c r="D23" i="47"/>
  <c r="D37" i="47" s="1"/>
  <c r="D21" i="47"/>
  <c r="I16" i="47"/>
  <c r="I35" i="46"/>
  <c r="D35" i="46"/>
  <c r="G32" i="46"/>
  <c r="C26" i="46"/>
  <c r="G23" i="46"/>
  <c r="D21" i="46"/>
  <c r="I16" i="46"/>
  <c r="I35" i="45"/>
  <c r="G32" i="45"/>
  <c r="I39" i="45" s="1"/>
  <c r="C26" i="45"/>
  <c r="D35" i="45" s="1"/>
  <c r="G23" i="45"/>
  <c r="D21" i="45"/>
  <c r="D23" i="45" s="1"/>
  <c r="D37" i="45" s="1"/>
  <c r="I16" i="45"/>
  <c r="I35" i="44"/>
  <c r="G32" i="44"/>
  <c r="I39" i="44" s="1"/>
  <c r="C26" i="44"/>
  <c r="G23" i="44"/>
  <c r="D21" i="44"/>
  <c r="D23" i="44" s="1"/>
  <c r="D37" i="44" s="1"/>
  <c r="I16" i="44"/>
  <c r="I35" i="43"/>
  <c r="G32" i="43"/>
  <c r="C26" i="43"/>
  <c r="D35" i="43" s="1"/>
  <c r="G23" i="43"/>
  <c r="D21" i="43"/>
  <c r="I16" i="43"/>
  <c r="I35" i="42"/>
  <c r="D35" i="42"/>
  <c r="G32" i="42"/>
  <c r="C26" i="42"/>
  <c r="G23" i="42"/>
  <c r="D21" i="42"/>
  <c r="D23" i="42" s="1"/>
  <c r="D37" i="42" s="1"/>
  <c r="I16" i="42"/>
  <c r="I35" i="41"/>
  <c r="D35" i="41"/>
  <c r="G32" i="41"/>
  <c r="C26" i="41"/>
  <c r="G23" i="41"/>
  <c r="D21" i="41"/>
  <c r="D23" i="41" s="1"/>
  <c r="D37" i="41" s="1"/>
  <c r="I16" i="41"/>
  <c r="I35" i="40"/>
  <c r="D35" i="40"/>
  <c r="G32" i="40"/>
  <c r="C26" i="40"/>
  <c r="G23" i="40"/>
  <c r="D21" i="40"/>
  <c r="D23" i="40" s="1"/>
  <c r="D37" i="40" s="1"/>
  <c r="I16" i="40"/>
  <c r="I35" i="39"/>
  <c r="G32" i="39"/>
  <c r="C26" i="39"/>
  <c r="G23" i="39"/>
  <c r="D21" i="39"/>
  <c r="I16" i="39"/>
  <c r="I35" i="38"/>
  <c r="G32" i="38"/>
  <c r="I39" i="38" s="1"/>
  <c r="C26" i="38"/>
  <c r="G23" i="38"/>
  <c r="D21" i="38"/>
  <c r="D23" i="38" s="1"/>
  <c r="D37" i="38" s="1"/>
  <c r="I16" i="38"/>
  <c r="I35" i="37"/>
  <c r="G32" i="37"/>
  <c r="I39" i="37" s="1"/>
  <c r="C26" i="37"/>
  <c r="G23" i="37"/>
  <c r="D21" i="37"/>
  <c r="D23" i="37" s="1"/>
  <c r="D37" i="37" s="1"/>
  <c r="I16" i="37"/>
  <c r="I35" i="36"/>
  <c r="D35" i="36"/>
  <c r="G32" i="36"/>
  <c r="C26" i="36"/>
  <c r="G23" i="36"/>
  <c r="D21" i="36"/>
  <c r="I16" i="36"/>
  <c r="I35" i="35"/>
  <c r="D35" i="35"/>
  <c r="G32" i="35"/>
  <c r="C26" i="35"/>
  <c r="G23" i="35"/>
  <c r="D21" i="35"/>
  <c r="D23" i="35" s="1"/>
  <c r="D37" i="35" s="1"/>
  <c r="I16" i="35"/>
  <c r="I35" i="34"/>
  <c r="G32" i="34"/>
  <c r="C26" i="34"/>
  <c r="D35" i="34" s="1"/>
  <c r="G23" i="34"/>
  <c r="D21" i="34"/>
  <c r="D23" i="34" s="1"/>
  <c r="D37" i="34" s="1"/>
  <c r="I37" i="34" s="1"/>
  <c r="I16" i="34"/>
  <c r="I35" i="33"/>
  <c r="G32" i="33"/>
  <c r="C26" i="33"/>
  <c r="D35" i="33" s="1"/>
  <c r="G23" i="33"/>
  <c r="D21" i="33"/>
  <c r="D23" i="33" s="1"/>
  <c r="D37" i="33" s="1"/>
  <c r="I16" i="33"/>
  <c r="I35" i="32"/>
  <c r="G32" i="32"/>
  <c r="C26" i="32"/>
  <c r="G23" i="32"/>
  <c r="D21" i="32"/>
  <c r="D23" i="32" s="1"/>
  <c r="D37" i="32" s="1"/>
  <c r="I16" i="32"/>
  <c r="I35" i="31"/>
  <c r="G32" i="31"/>
  <c r="C26" i="31"/>
  <c r="G23" i="31"/>
  <c r="D21" i="31"/>
  <c r="I16" i="31"/>
  <c r="I35" i="30"/>
  <c r="G32" i="30"/>
  <c r="I39" i="30" s="1"/>
  <c r="C26" i="30"/>
  <c r="D35" i="30" s="1"/>
  <c r="G23" i="30"/>
  <c r="D21" i="30"/>
  <c r="D23" i="30" s="1"/>
  <c r="D37" i="30" s="1"/>
  <c r="I16" i="30"/>
  <c r="K12" i="67" l="1"/>
  <c r="I16" i="67"/>
  <c r="I31" i="67"/>
  <c r="I15" i="67"/>
  <c r="I35" i="67"/>
  <c r="I32" i="67"/>
  <c r="I30" i="67"/>
  <c r="I14" i="67"/>
  <c r="I29" i="67"/>
  <c r="I28" i="67"/>
  <c r="I27" i="67"/>
  <c r="I11" i="67"/>
  <c r="I37" i="67"/>
  <c r="I3" i="67"/>
  <c r="I12" i="67"/>
  <c r="I26" i="67"/>
  <c r="I10" i="67"/>
  <c r="I4" i="67"/>
  <c r="I25" i="67"/>
  <c r="I9" i="67"/>
  <c r="I13" i="67"/>
  <c r="I40" i="67"/>
  <c r="I24" i="67"/>
  <c r="I8" i="67"/>
  <c r="I39" i="67"/>
  <c r="I23" i="67"/>
  <c r="I7" i="67"/>
  <c r="I38" i="67"/>
  <c r="I22" i="67"/>
  <c r="I6" i="67"/>
  <c r="I21" i="67"/>
  <c r="I5" i="67"/>
  <c r="I20" i="67"/>
  <c r="I19" i="67"/>
  <c r="I36" i="67"/>
  <c r="I34" i="67"/>
  <c r="I18" i="67"/>
  <c r="I33" i="67"/>
  <c r="I17" i="67"/>
  <c r="K24" i="67"/>
  <c r="K7" i="67"/>
  <c r="K13" i="67"/>
  <c r="K17" i="67"/>
  <c r="K33" i="67"/>
  <c r="K39" i="67"/>
  <c r="K36" i="67"/>
  <c r="K30" i="67"/>
  <c r="K19" i="67"/>
  <c r="K29" i="67"/>
  <c r="K32" i="67"/>
  <c r="K14" i="67"/>
  <c r="K8" i="67"/>
  <c r="K31" i="67"/>
  <c r="K3" i="67"/>
  <c r="K4" i="67"/>
  <c r="K34" i="67"/>
  <c r="K11" i="67"/>
  <c r="K5" i="67"/>
  <c r="K10" i="67"/>
  <c r="K27" i="67"/>
  <c r="K21" i="67"/>
  <c r="K15" i="67"/>
  <c r="K9" i="67"/>
  <c r="K38" i="67"/>
  <c r="K26" i="67"/>
  <c r="K20" i="67"/>
  <c r="K37" i="67"/>
  <c r="K25" i="67"/>
  <c r="K18" i="67"/>
  <c r="K6" i="67"/>
  <c r="K35" i="67"/>
  <c r="K23" i="67"/>
  <c r="K40" i="67"/>
  <c r="K28" i="67"/>
  <c r="K22" i="67"/>
  <c r="K16" i="67"/>
  <c r="I39" i="66"/>
  <c r="I39" i="60"/>
  <c r="I39" i="58"/>
  <c r="D41" i="58" s="1"/>
  <c r="I39" i="55"/>
  <c r="D41" i="55" s="1"/>
  <c r="D23" i="55"/>
  <c r="D37" i="55" s="1"/>
  <c r="I39" i="52"/>
  <c r="I37" i="48"/>
  <c r="D39" i="48" s="1"/>
  <c r="I39" i="47"/>
  <c r="D41" i="47" s="1"/>
  <c r="I39" i="46"/>
  <c r="D41" i="46" s="1"/>
  <c r="D23" i="39"/>
  <c r="D37" i="39" s="1"/>
  <c r="I39" i="39"/>
  <c r="D41" i="39" s="1"/>
  <c r="I39" i="36"/>
  <c r="I37" i="33"/>
  <c r="I39" i="32"/>
  <c r="D41" i="32" s="1"/>
  <c r="E26" i="32" s="1"/>
  <c r="I37" i="65"/>
  <c r="I37" i="61"/>
  <c r="D39" i="61" s="1"/>
  <c r="D39" i="62"/>
  <c r="I37" i="63"/>
  <c r="I37" i="64"/>
  <c r="I39" i="61"/>
  <c r="D41" i="61" s="1"/>
  <c r="D41" i="66"/>
  <c r="E26" i="66" s="1"/>
  <c r="D35" i="61"/>
  <c r="I39" i="62"/>
  <c r="D41" i="62" s="1"/>
  <c r="D23" i="66"/>
  <c r="D37" i="66" s="1"/>
  <c r="I39" i="63"/>
  <c r="D41" i="63" s="1"/>
  <c r="I39" i="64"/>
  <c r="D41" i="64" s="1"/>
  <c r="I39" i="65"/>
  <c r="D41" i="65" s="1"/>
  <c r="I37" i="57"/>
  <c r="I37" i="56"/>
  <c r="D39" i="56" s="1"/>
  <c r="D41" i="53"/>
  <c r="E26" i="53" s="1"/>
  <c r="I37" i="59"/>
  <c r="D39" i="59" s="1"/>
  <c r="I37" i="53"/>
  <c r="D41" i="54"/>
  <c r="D41" i="60"/>
  <c r="E26" i="60" s="1"/>
  <c r="D23" i="54"/>
  <c r="D37" i="54" s="1"/>
  <c r="D35" i="55"/>
  <c r="I37" i="55" s="1"/>
  <c r="I39" i="56"/>
  <c r="I37" i="58"/>
  <c r="D23" i="60"/>
  <c r="D37" i="60" s="1"/>
  <c r="D41" i="56"/>
  <c r="I39" i="57"/>
  <c r="D41" i="57" s="1"/>
  <c r="I39" i="53"/>
  <c r="I39" i="59"/>
  <c r="D41" i="59" s="1"/>
  <c r="I37" i="45"/>
  <c r="D39" i="45" s="1"/>
  <c r="I37" i="50"/>
  <c r="I37" i="49"/>
  <c r="D39" i="49" s="1"/>
  <c r="I37" i="51"/>
  <c r="D39" i="51" s="1"/>
  <c r="D41" i="45"/>
  <c r="E26" i="45" s="1"/>
  <c r="D41" i="52"/>
  <c r="E26" i="52" s="1"/>
  <c r="D23" i="46"/>
  <c r="D37" i="46" s="1"/>
  <c r="D35" i="47"/>
  <c r="I37" i="47" s="1"/>
  <c r="I39" i="48"/>
  <c r="D41" i="48" s="1"/>
  <c r="D23" i="52"/>
  <c r="D37" i="52" s="1"/>
  <c r="I39" i="49"/>
  <c r="D41" i="49" s="1"/>
  <c r="E26" i="49" s="1"/>
  <c r="I39" i="50"/>
  <c r="D41" i="50"/>
  <c r="I39" i="51"/>
  <c r="D41" i="51" s="1"/>
  <c r="I37" i="38"/>
  <c r="D43" i="38" s="1"/>
  <c r="I37" i="39"/>
  <c r="D39" i="39"/>
  <c r="I37" i="40"/>
  <c r="D39" i="40" s="1"/>
  <c r="D43" i="42"/>
  <c r="D41" i="41"/>
  <c r="I37" i="41"/>
  <c r="D43" i="41" s="1"/>
  <c r="I37" i="42"/>
  <c r="D39" i="42" s="1"/>
  <c r="D35" i="37"/>
  <c r="I37" i="37" s="1"/>
  <c r="D41" i="37"/>
  <c r="E26" i="37" s="1"/>
  <c r="D35" i="38"/>
  <c r="D41" i="38"/>
  <c r="E26" i="38" s="1"/>
  <c r="D23" i="43"/>
  <c r="D37" i="43" s="1"/>
  <c r="D35" i="44"/>
  <c r="I37" i="44" s="1"/>
  <c r="D41" i="44"/>
  <c r="D35" i="39"/>
  <c r="I39" i="40"/>
  <c r="D41" i="40"/>
  <c r="I39" i="41"/>
  <c r="I39" i="42"/>
  <c r="D41" i="42"/>
  <c r="I39" i="43"/>
  <c r="D41" i="43" s="1"/>
  <c r="I37" i="35"/>
  <c r="D41" i="36"/>
  <c r="E26" i="36" s="1"/>
  <c r="I39" i="33"/>
  <c r="D41" i="33" s="1"/>
  <c r="D39" i="34"/>
  <c r="I39" i="34"/>
  <c r="D41" i="34" s="1"/>
  <c r="E26" i="34" s="1"/>
  <c r="D23" i="36"/>
  <c r="D37" i="36" s="1"/>
  <c r="I39" i="35"/>
  <c r="D41" i="35" s="1"/>
  <c r="D35" i="31"/>
  <c r="D23" i="31"/>
  <c r="D37" i="31" s="1"/>
  <c r="D35" i="32"/>
  <c r="I37" i="32" s="1"/>
  <c r="I39" i="31"/>
  <c r="D41" i="31" s="1"/>
  <c r="I37" i="30"/>
  <c r="D43" i="30" s="1"/>
  <c r="D41" i="30"/>
  <c r="G32" i="2"/>
  <c r="D39" i="53" l="1"/>
  <c r="E27" i="67" s="1"/>
  <c r="D27" i="67"/>
  <c r="D43" i="65"/>
  <c r="I43" i="65" s="1"/>
  <c r="I45" i="65" s="1"/>
  <c r="D39" i="65"/>
  <c r="D43" i="63"/>
  <c r="D43" i="62"/>
  <c r="D43" i="58"/>
  <c r="D43" i="57"/>
  <c r="D45" i="55"/>
  <c r="E26" i="55"/>
  <c r="I41" i="55"/>
  <c r="D45" i="47"/>
  <c r="I41" i="47"/>
  <c r="E26" i="47"/>
  <c r="D45" i="39"/>
  <c r="E26" i="39"/>
  <c r="I41" i="39"/>
  <c r="D43" i="39"/>
  <c r="I43" i="39" s="1"/>
  <c r="I45" i="39" s="1"/>
  <c r="D39" i="38"/>
  <c r="D43" i="35"/>
  <c r="D43" i="34"/>
  <c r="D43" i="33"/>
  <c r="D39" i="33"/>
  <c r="I41" i="64"/>
  <c r="D45" i="64"/>
  <c r="E26" i="64"/>
  <c r="D45" i="61"/>
  <c r="I41" i="61"/>
  <c r="E26" i="61"/>
  <c r="I41" i="63"/>
  <c r="I43" i="63" s="1"/>
  <c r="I45" i="63" s="1"/>
  <c r="D45" i="63"/>
  <c r="E26" i="63"/>
  <c r="I37" i="66"/>
  <c r="D43" i="66" s="1"/>
  <c r="D45" i="65"/>
  <c r="I41" i="65"/>
  <c r="D43" i="64"/>
  <c r="I43" i="64" s="1"/>
  <c r="I45" i="64" s="1"/>
  <c r="I41" i="62"/>
  <c r="E26" i="62"/>
  <c r="D45" i="62"/>
  <c r="D39" i="64"/>
  <c r="E26" i="65"/>
  <c r="D39" i="63"/>
  <c r="D45" i="66"/>
  <c r="I41" i="66"/>
  <c r="D43" i="61"/>
  <c r="D45" i="59"/>
  <c r="I41" i="59"/>
  <c r="E26" i="59"/>
  <c r="D43" i="55"/>
  <c r="D39" i="55"/>
  <c r="I41" i="57"/>
  <c r="I43" i="57" s="1"/>
  <c r="I45" i="57" s="1"/>
  <c r="D45" i="57"/>
  <c r="E26" i="57"/>
  <c r="D45" i="54"/>
  <c r="I41" i="54"/>
  <c r="D43" i="53"/>
  <c r="D39" i="58"/>
  <c r="D43" i="56"/>
  <c r="I41" i="58"/>
  <c r="I43" i="58" s="1"/>
  <c r="I45" i="58" s="1"/>
  <c r="D45" i="58"/>
  <c r="E26" i="58"/>
  <c r="E26" i="54"/>
  <c r="D45" i="56"/>
  <c r="I41" i="56"/>
  <c r="E26" i="56"/>
  <c r="I37" i="54"/>
  <c r="D43" i="54" s="1"/>
  <c r="I41" i="53"/>
  <c r="D45" i="53"/>
  <c r="D39" i="57"/>
  <c r="I37" i="60"/>
  <c r="D43" i="60" s="1"/>
  <c r="D45" i="60"/>
  <c r="I41" i="60"/>
  <c r="D43" i="59"/>
  <c r="I43" i="59" s="1"/>
  <c r="I45" i="59" s="1"/>
  <c r="D45" i="51"/>
  <c r="I41" i="51"/>
  <c r="E26" i="51"/>
  <c r="I41" i="48"/>
  <c r="E26" i="48"/>
  <c r="D45" i="48"/>
  <c r="D43" i="47"/>
  <c r="D39" i="47"/>
  <c r="I41" i="49"/>
  <c r="D45" i="49"/>
  <c r="D43" i="45"/>
  <c r="D43" i="50"/>
  <c r="D45" i="46"/>
  <c r="E26" i="46"/>
  <c r="I41" i="46"/>
  <c r="D43" i="51"/>
  <c r="I43" i="51" s="1"/>
  <c r="I45" i="51" s="1"/>
  <c r="I37" i="46"/>
  <c r="D43" i="46" s="1"/>
  <c r="I37" i="52"/>
  <c r="D43" i="52" s="1"/>
  <c r="D45" i="52"/>
  <c r="I41" i="52"/>
  <c r="I41" i="45"/>
  <c r="D45" i="45"/>
  <c r="D43" i="48"/>
  <c r="D43" i="49"/>
  <c r="D39" i="50"/>
  <c r="I41" i="50"/>
  <c r="D45" i="50"/>
  <c r="E26" i="50"/>
  <c r="D39" i="44"/>
  <c r="D43" i="44"/>
  <c r="I43" i="41"/>
  <c r="I45" i="41" s="1"/>
  <c r="D45" i="43"/>
  <c r="I41" i="43"/>
  <c r="E26" i="43"/>
  <c r="D43" i="37"/>
  <c r="D39" i="37"/>
  <c r="D45" i="44"/>
  <c r="I41" i="44"/>
  <c r="I41" i="41"/>
  <c r="D45" i="41"/>
  <c r="I41" i="40"/>
  <c r="D45" i="40"/>
  <c r="D39" i="43"/>
  <c r="I37" i="43"/>
  <c r="D43" i="43" s="1"/>
  <c r="D39" i="41"/>
  <c r="D45" i="42"/>
  <c r="E26" i="42"/>
  <c r="I41" i="42"/>
  <c r="I41" i="38"/>
  <c r="I43" i="38" s="1"/>
  <c r="I45" i="38" s="1"/>
  <c r="D45" i="38"/>
  <c r="E26" i="40"/>
  <c r="E26" i="44"/>
  <c r="E26" i="41"/>
  <c r="I43" i="42"/>
  <c r="I45" i="42" s="1"/>
  <c r="I41" i="37"/>
  <c r="D45" i="37"/>
  <c r="D43" i="40"/>
  <c r="D45" i="35"/>
  <c r="I41" i="35"/>
  <c r="I43" i="35" s="1"/>
  <c r="I45" i="35" s="1"/>
  <c r="E26" i="35"/>
  <c r="I41" i="33"/>
  <c r="D45" i="33"/>
  <c r="D39" i="35"/>
  <c r="E26" i="33"/>
  <c r="I41" i="34"/>
  <c r="D45" i="34"/>
  <c r="I37" i="36"/>
  <c r="D43" i="36" s="1"/>
  <c r="D45" i="36"/>
  <c r="I41" i="36"/>
  <c r="D39" i="32"/>
  <c r="D43" i="32"/>
  <c r="D45" i="31"/>
  <c r="I41" i="31"/>
  <c r="I37" i="31"/>
  <c r="D43" i="31" s="1"/>
  <c r="D45" i="32"/>
  <c r="I41" i="32"/>
  <c r="E26" i="31"/>
  <c r="I41" i="30"/>
  <c r="I43" i="30" s="1"/>
  <c r="I45" i="30" s="1"/>
  <c r="D45" i="30"/>
  <c r="E26" i="30"/>
  <c r="D39" i="30"/>
  <c r="G23" i="2"/>
  <c r="I43" i="33" l="1"/>
  <c r="I45" i="33" s="1"/>
  <c r="I43" i="62"/>
  <c r="I45" i="62" s="1"/>
  <c r="I43" i="61"/>
  <c r="I45" i="61" s="1"/>
  <c r="I43" i="55"/>
  <c r="I45" i="55" s="1"/>
  <c r="I43" i="54"/>
  <c r="I45" i="54" s="1"/>
  <c r="D39" i="52"/>
  <c r="I43" i="50"/>
  <c r="I45" i="50" s="1"/>
  <c r="I43" i="48"/>
  <c r="I45" i="48" s="1"/>
  <c r="I43" i="47"/>
  <c r="I45" i="47" s="1"/>
  <c r="I43" i="46"/>
  <c r="I45" i="46" s="1"/>
  <c r="I43" i="43"/>
  <c r="I45" i="43" s="1"/>
  <c r="I43" i="34"/>
  <c r="I45" i="34" s="1"/>
  <c r="I43" i="66"/>
  <c r="I45" i="66" s="1"/>
  <c r="D39" i="66"/>
  <c r="I43" i="53"/>
  <c r="I45" i="53" s="1"/>
  <c r="I43" i="60"/>
  <c r="I45" i="60" s="1"/>
  <c r="D39" i="54"/>
  <c r="D39" i="60"/>
  <c r="I43" i="56"/>
  <c r="I45" i="56" s="1"/>
  <c r="I43" i="45"/>
  <c r="I45" i="45" s="1"/>
  <c r="D39" i="46"/>
  <c r="I43" i="49"/>
  <c r="I45" i="49" s="1"/>
  <c r="I43" i="52"/>
  <c r="I45" i="52" s="1"/>
  <c r="I43" i="44"/>
  <c r="I45" i="44" s="1"/>
  <c r="I43" i="37"/>
  <c r="I45" i="37" s="1"/>
  <c r="I43" i="40"/>
  <c r="I45" i="40" s="1"/>
  <c r="I43" i="36"/>
  <c r="I45" i="36" s="1"/>
  <c r="D39" i="36"/>
  <c r="I43" i="32"/>
  <c r="I45" i="32" s="1"/>
  <c r="I43" i="31"/>
  <c r="I45" i="31" s="1"/>
  <c r="D39" i="31"/>
  <c r="C26" i="2"/>
  <c r="D35" i="2" s="1"/>
  <c r="I35" i="2" l="1"/>
  <c r="I16" i="2" l="1"/>
  <c r="D21" i="2"/>
  <c r="D23" i="2" l="1"/>
  <c r="D37" i="2" s="1"/>
  <c r="I39" i="2"/>
  <c r="I37" i="2" l="1"/>
  <c r="D41" i="2"/>
  <c r="D43" i="2"/>
  <c r="D39" i="2" l="1"/>
  <c r="I41" i="2"/>
  <c r="I43" i="2" s="1"/>
  <c r="E26" i="2"/>
  <c r="D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2EBAF4C-4074-4EAD-88E6-64B6F9A55D3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C27779B1-B7D5-4455-8ADE-551BB9D0789F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08DB43EA-F2D0-4C13-9A3F-50568C19B9DC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9500B884-ABED-4A57-8BBE-9086C50C614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269AB7A1-C46B-43F9-AACF-92555B13D030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446BCEFF-E850-4509-A919-C43D1620316C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04CB0C5-DD27-4BE3-A869-8D40037E101F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631D8E9C-1692-446E-925E-09601358757C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DB731EDA-B0B0-43C6-8989-F27AE91F2E74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14BD7A5-2017-4FB2-8729-04002D26C7E4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240F8921-F36E-441F-9537-9BB60F02D9A7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0EA931F4-94BE-48ED-9200-3203D31C70E9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7099FD66-CFDE-453E-8AB2-39B359E4EF24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C0C17C2B-AB04-4400-A9BF-70C5993F9144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7D69D40C-F485-443D-9DE4-2B65B39F204E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AC7F10B1-BD1C-4B5E-ABD9-6797D1189439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E2F2824D-7344-4FD2-8E3E-CA362B61221A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DF4FDF7B-A898-4D9A-80B1-BDB6045E9FBA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D351A402-A8CF-4FBD-8B46-655AF0CD8D7D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70D9B79E-D881-4176-98A6-66ED3BDEEE30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CC3FBA7-795B-4091-ADCA-B90E73DDF5E9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92E4B37-1E9A-4B84-A8B4-71C4631E10C2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84BB3FBE-BAC6-482E-962C-CCDA41E12C08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CC4B95D4-21EC-418B-8518-CB9DF6B35AEA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2984FB2B-2A4E-4D2C-BA0B-A9DDACF3EA26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BA63F1F-C601-4D5F-9A2B-7C62A9559A85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D2A262A4-5AFF-421D-88F4-716FE98DC275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AA563C19-5505-46BA-B771-1C306FE903D5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548CE7A6-2D5E-4B55-8D09-CCF6FBB46BBD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45588BB6-729C-4691-A7CA-30B7B59CC359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32662508-F6CC-46B4-91B5-3A3778B63242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28934870-A0D0-4CBA-AA06-5C8B3D057719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6CD2B909-F0C2-41A7-8A97-0BC9546F6ED0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E4B2E013-A796-49AE-BF00-4AD396730DC7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4AC9BB55-E916-4102-8312-203B0A2FEC2F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7468BA72-E169-4049-9633-D381B753CC4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35310A72-FD6D-4D78-A7FF-A9400E5A275D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B5D8B6A3-EDDF-4C14-A866-09C931C0438E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6E23C095-E7DA-41F9-B11A-97FFB7CAE3C2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78924EE0-459F-4A88-826D-63514F4D91BB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6948A60-5855-4E44-ADB7-F729A0A7E9C7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48AFB246-2E6F-417C-89DF-033F5A532E91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6D246666-3785-4E66-AC58-9D185DCBAC2B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EA32CAAE-C658-46EF-8CF2-13F218CA425E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0BAEDCD5-8FC6-4331-8B47-3100ACFEED80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F064BA2-3DDF-4A95-8BF4-872FA13C2C5E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320D5544-E5C2-4592-ADCB-72D2C9489EF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EFED8B50-20CD-4CD0-A6F6-CCC326444B7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6E2D50ED-00F2-4053-A860-8A30D6849B0A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8C14ED1C-C059-4E66-91DC-4DBDB4B3104F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35A8BB9-CBC2-4C94-90A0-DFAAEC5CDD80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C79353DD-8F5C-4760-9271-A6499D91628D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B6C74F70-BE9C-4605-9822-40D266105317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555C617F-F0F0-4703-B4C2-2DE6CEC0462B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9EA66613-B9A8-4E77-BE82-E82DFCF48240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3B725FF0-B47E-4943-8E7C-36B7424591F6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5DA9F3E2-599A-44CE-81FC-9364B26EBBEB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ADD21952-F630-415C-A9F4-276651420CBE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5142EA93-3016-4B82-BBD5-9510D3EC0A4B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DAC38509-22C8-495F-A0D1-8ABD3E142995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E31F428-38B8-4E61-87B7-1E15575004BE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2D84A324-2179-4A95-9655-E2E5723D19B8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0058B0D1-3B72-4F31-BF97-5D6DEB3A1E2F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22B97F3D-2241-4229-B6E7-8BF73690A46B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6E4CA98-5202-49F2-8D08-3D0B869C69D4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1C13B1D7-5CCF-4C56-B4F3-0D058886DC3F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5AEF77A3-19EC-4B81-B349-CBF05BDFDA78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0BFC9E22-CC3B-49C5-B72B-2366C7B7FF2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16AE08CC-EE3E-4E27-847B-755C54CA138D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C5DDD99-E689-4BDB-9C07-47A56ED370CC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2E5E0A01-EC35-40A4-BEB6-E80A55651C7A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17F66E1C-FDBF-4791-A533-47F701384913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98116C34-1DB4-4508-A6D4-44D8B5C77D65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55D90E3B-4EC0-4D14-B317-E82D9FB01BDD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805F7CB5-6972-4FC7-B65D-EE43868507A4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70656067-2BC0-4ED6-8ED3-0851F566E624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364953E3-C414-4E0A-A015-1F3A47AB84C3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1850D52B-DB3E-4C2F-B50C-E4FB15369131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3E57A82A-6656-4AAB-9BFF-BDFD114DD036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711B520B-7AF0-481C-BB7B-5FA0CD1564CD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8D8EC18F-8B28-44AA-B804-9ADBF9AA2317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0C5F51E0-FEC0-4384-9D2C-2E6D1863B67B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7E03A201-E572-417B-8678-6DB98492B1AF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D91C1486-8AEB-4E3F-9E68-CB06D1EF5DF2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1D163D00-3779-420F-AFA5-D6D08720C5D0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27935232-F38B-474C-A49F-9A96E8930E7B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B6080995-6DE7-428B-8355-EDB2129A4529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081E8CCD-067C-4071-A356-DDB28C187A6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7E204447-C8D0-4CBE-8BDC-47A78F207B8D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3461816C-1A26-47D1-810C-1B5129519EEC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3B7EC200-D322-45CE-9C95-737E79AA8081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754C4502-DA4E-4109-B00F-9B3BD4AE427B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71D1475-2C3B-4D9E-A326-883C5A4646A8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7F43FE1-9345-4979-8EB6-4F2CA978CF8F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AA136F3A-4386-42BC-9540-B59FD46FAFF2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B6771C6D-09BF-4464-ACC9-B631A1D5478C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D66065E-0D8C-4EBF-B146-F307DF8B1646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1BD0FEFE-61A8-42FA-B9C5-7B3FBA85C468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1EE263A7-D13A-4341-9D63-5C40DF1BC729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9D33089C-AE6E-4C20-A8AC-6F938BCE4ABB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99FBEAC-7A65-4FF1-8A65-7A6A091EC0B7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CD4B028D-FFAC-484B-8046-3785A085A880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7D946C0B-F342-4C07-89AF-A81A8AB7B78B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42461726-0A26-4C71-91C7-05F193F7D20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AFFFD305-B76D-420F-A091-B16B583FF836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01F1710-2A6D-4250-A0F0-47E287138754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15346E66-0815-40D9-9958-AD77DCDC47DD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906F8E3C-AAAB-4BB5-B6EB-A308C3F31A18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D9690067-7EA2-496E-8975-A76ECA1F760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3F718DEC-BAD3-46B2-BC50-96615B5E1701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0E4FA08B-EFCB-4871-9DD2-7911C36D49BB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7AC028A1-749B-4722-89B1-8D22A825F629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EC0CA6CC-30C6-43B4-8BFC-0A86A63D7686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B4A84176-71A0-4F1B-AB50-E6FA84994E9B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5BCBD78A-A809-46F8-8F76-A02CD1BBB87F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15026DBC-8F9B-4DA5-8FE3-3ECE69FB1295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950845EA-8B79-4990-90D6-5F576E867887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B6BC3945-5A9E-4648-8137-C220E00B61B4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10345A3E-BFBD-4EA4-8947-39044E23BFA7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9D43065C-4E4A-4986-A33A-383945AD64E4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02B9C26C-A390-421E-A0A1-2F65917AE8B0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3C941A14-83C0-438A-BB8C-0FFC1EB92761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EDE4FA1A-79F2-425F-AF77-5A57B08C8E7A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F0796331-FACD-47C1-BEA2-5A1006566C31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20FB108B-0A77-427F-883E-1342A4B95871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3E53002-3A3A-4333-9EED-58B0A6B87C79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E9E27C1C-A3C6-457D-8428-FD204E09E42B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F8675248-BC13-4283-934E-3D05C6613E2F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C4AF37D8-CA06-4DD2-BB8C-E0957053E83A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63925DC8-C579-4729-97C8-B7D7A68717B3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2E8EE249-2BCF-4FBF-87F8-011788CECF0A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2B104606-0E6A-426F-82B3-5FE3B1A17F4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1A03AF2D-E8D4-4F4B-BE0F-9990C8DB7DFB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17634C58-2FBE-47EB-A0BA-89864C066DE5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8FE5B7CC-F92E-42C1-8C6F-5314098C83D4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38228C69-D7B8-408B-984E-AC893B3B3C1E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0200A250-A0CB-479B-A819-7F95EF09956B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381E6BEE-6F53-48B4-BD7A-90ED9060DCD0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8C402A85-59B7-433C-9F15-ACC1B47393E5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895362E1-76E8-432F-8CFA-140DBA372FBA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7D3C1F7D-6548-4FCD-9B58-398A4B3044E2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C5AB47F6-491C-49ED-A186-F12FF39CBC1C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0117AFD7-3FF2-496B-B94E-ACB722524168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F519DE17-F6B9-44D6-8965-53AC02C7D69B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A6F2148E-6C70-4AEB-A5FB-3A64D986DCDD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211815AD-4D75-4ACD-8FC1-16C0C08AF3F4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4C7BEBB0-ECD6-4CF3-852A-60C70BFD07C4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58BA8F7D-6C65-4F0B-A4A4-3ACA92E86DA4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45365914-7590-4A5E-BE86-C7B3A0824986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D1F90F43-49FC-43D6-8FCB-E858FF333AFE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532A50CE-12A0-4E74-8830-368182B9C595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29E82D57-032F-44C4-AB3F-FF7443D2E00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BF9E958B-2249-42BF-9923-3335E2E49143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B169F978-78A7-4434-B4DF-5882D79E065D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1BE3FDC5-193A-4C57-AC2B-74489E2391F7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3D296FFD-6F70-49B2-A86A-706C88477F3F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27F3D340-C3AF-4FC9-A71A-AD47BFAB0E64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3E304757-237A-4069-8737-3EDDA1F291F9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7CEBF65-C27B-4472-9A69-C025F4A56E03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A8A5EBF1-DA86-487A-8C73-FBF77AEE6369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2CC7DB10-C052-41C7-B199-8943C5947E90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9283D05F-0D0C-49A4-BE4F-9699DD4B127C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456A950D-0C2E-4E59-A417-E816538C66A0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28C340E2-F0D5-4C14-A7C2-2E4008A8315B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FC3BAF4D-41F0-4560-9FBD-8768597F15A4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286A628E-DB24-49A3-BB51-0490FB0E84DE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793D0AA0-86C3-4F57-AA0E-AAD0A8E539E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709D303D-4D69-4CC6-9721-57075EDBEF71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47980A9-D5C0-49E2-8EF8-25F56ACFE6B1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62957753-E756-42A8-B082-B3E7299149EC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447AC83-CC5B-4669-968A-6BE569742226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3C1CDC0C-6282-4AA5-AAA7-D973B9E57CA6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F9B9014E-B995-4385-BB32-A5BB31177EEE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2086883C-9466-419E-B639-891A5DFC7391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E6A3CF12-B43C-4210-B5D4-27EE70908AC7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DB3F7F13-75F6-4ABB-878E-2FFC6D1DB60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AE4C973-7F7D-4DF5-BE00-64AE72F39D78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BA99DCBD-AD21-4F67-BA48-32DA84468F86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01DB0BEA-A46A-4158-96C2-98AC150B29E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6B4D687F-B2C2-4051-B535-A63804DEA8D5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32D3E03C-DD1A-44DD-BA4C-7BC8C839B7C9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AAD2A70C-0E8E-47E5-B9A0-1EE5BF161DD2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3D86A542-826D-4B30-82C9-5FACEFE30F70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6A17B8B7-1F23-4C26-9E16-916B9F7E9110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35BB5FD6-2E3F-4CA0-9018-0375E9B82022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A99F22CC-E6B8-4F74-B5CC-B25EC5899AFA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D29EB469-16CC-4E15-8197-36E46E62A91D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1086DC1B-66C8-4406-8B80-22EA7B83F857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C3F4141-80EC-4178-A99D-5984C9122579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9BE8919D-8242-466A-A98C-38E856838CA6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73E9FB7B-56C8-4CEE-A6D5-27315AAF2F60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8E68C025-40E1-488B-A6F8-7099BE38CB4E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78204F46-E143-4984-9B98-D30D8FCE6571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BE06D22A-1AC9-4480-85B3-FF05CD9FFFEC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A8645FCC-5BD3-4CAC-A4AC-9B501FE3BBF3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21F6D02D-1035-4284-80AD-EB43D4D3915F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F89CB4CA-8AB6-4B64-80BB-FE2EB942CB83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723007A-91B2-4A3E-894B-0CCA8A32BD4C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B37CA595-55DA-4FAA-8712-883EB5E480DF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408D7D08-FF55-4EA7-B860-E878A3013E0F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F635B4ED-1388-458A-9C5A-E1C90FA95CE9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2377B0E7-7578-44D5-8376-95A42B808EDA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7393E352-764B-4A88-A47D-D32BF1FC89F0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9C510682-56D4-44BE-A84E-6E0126A199C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24FC26A1-8EA0-443D-B265-5B9BA5D53565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AC545E82-FD17-4E32-A2E5-C84E8B68E0C2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D50C5682-9237-48A7-8ED0-B55727958B3E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BFC3E8D0-60C4-4C2E-874D-51F93BA0EF9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A9D3A9BF-B493-4C27-8008-2970AF32A1F8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0F225567-3CFE-4AD1-A411-E202357B51C6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7A3F6FA-0DD2-4582-BDD9-3E967EFFFAA9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82176BC3-B327-447C-8807-FE2F5CA84458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E53D239-E861-4798-95C3-F67FD7077CF2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C36C0E8C-D12E-4E2E-BC95-26270F7F9D4E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54710CBA-2172-409D-98BE-FB403371EB5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EAC6ED55-BEDC-4D79-B11F-EC796FACBEFA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2BF243AC-45F2-4F44-ADB1-9DE79727FA8A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60A31806-CF44-4EF1-95FD-3E43B7CD1C0A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27991BE-2227-4A13-A8FC-D821BA1EB1B3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7CAC1A51-94EF-4FE6-BF3F-EC198C6837FC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6AA7E389-4247-45A6-8423-CE625176D7E9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F81372D7-444B-4917-9C14-800C168D0E33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E75CCA92-DC9B-4CD4-914D-85B4DAC674D8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E3CC20A8-B7ED-4482-A2D9-31BC5CFED13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685CBFA4-5261-4401-8A3F-047C35BDA89F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70D967DF-739C-47F1-B356-2C17C41F1E66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D0E4C168-1EC7-4B06-8270-A36D26D9AB6F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A72A119D-A20B-4F27-8775-DB853209D17F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983ED7D1-9851-47D9-ABF2-A4F5877CCC7E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C6D99501-AD01-49B7-85B3-09A5EC2B347A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13D103AC-EDE4-4FB3-8048-73B2341DF6D5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C9F13BF6-0B1E-439F-94DF-02A0C592F117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105D84BF-CE9B-4E11-AAE6-E08FEA3A8360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2074C8D0-BC7E-4162-B4ED-F0F9E50B92FA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ED1D29C8-2BAD-4D10-9472-DAE4DD63933E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C480FD66-BEF8-4A01-9013-6AF94A999DB2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35197B47-4F91-45E3-8800-32147109F004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E12B8A2-C5E0-46F0-A5A7-5EF73FD8D317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72A5629A-FD86-41E8-BC95-25BD01F4D343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DF6845D4-A72C-4F72-AE88-059C6FC3C9B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CF4CFE14-6BD1-4769-A3A5-014553AD87BF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9A524E50-FBC0-4912-A77B-F02D7F1060E2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72FECC53-2913-4E5B-B3DB-88D314AA4316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DE1CC723-09AC-474F-A2C9-54799086C825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B885E0E6-C51A-43DC-B34B-33990E09567A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C6E17CE4-CF7F-4826-83AD-A1CED16AE891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9FFA8458-F7EB-470E-AA17-0C953638CA8B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64AE650A-FB3A-48F5-B796-2344F964A4E7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6E67A16B-64CF-4930-847A-CAB8A47F7E9C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6C56F17-7ADB-4CBB-92EF-AEDEC539A237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B767B419-BEBF-4647-80F1-FD2CF9D63B1D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56A0A75C-4800-489D-9BB4-D3B6FD6D6110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588A168B-2C36-4A39-A672-85F21C0E442E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6BD8FD79-5F3B-4AE6-89F0-656D90A12C4E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A2EA3B7E-7BD5-4318-9101-3F3F4B961720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97152E02-C6A2-47C6-9405-63E7FB59AB92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DC5AEF2E-6201-4FA5-93EE-B1EF7432F626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A24563AC-AC36-4AE0-926C-32FDB9CC4338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02E425C-74C2-4F59-A45E-197B81B7C7C7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A3816DB5-4D97-4A95-8AEC-1A445C210C67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7717CCC5-1993-4FF5-AA8A-FA9273CAE483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0B0C3ACA-E7AE-4D25-AFCF-E0F909B23080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3DAB0470-62BD-4FDE-AFEC-FA9878EA94F4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B47FC3EA-7EE8-4221-A694-7EF4EE7E304D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196C19E6-9C86-4CC2-9FA8-EDF3A02E1071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6F342CAD-41D6-4E13-9737-A910A1AB64EB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E1C15D7-0733-4577-8FBB-42D97D989E59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1C7D7C73-44E1-48FA-B8C8-79405D74C5D2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9825A4FC-DD50-4DDD-BBC3-041A1FED9656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0AADAA80-9314-4CAA-886A-4DB7D5F9B279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DCA679E7-A107-4E28-A6B1-E3BAB1786976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C7CC6453-AE16-42B4-9E88-969ECC0F583D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AE178192-A627-453E-AA08-4EC9294E6E01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AEEEF252-B2E5-4CB3-A846-F293D8BFF3A4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3C9C8F79-6970-4174-BEC2-145D38E73B09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F4FC8EB7-68CD-4916-86E9-097EED4E4B4C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E7FF857F-5FFF-44C0-879C-B4DC716313DE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3FD7E18-C5EE-481F-945C-BC88BC6FA552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2D447D33-E181-4937-A8D2-EC99F7A6CF9D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0D40E86F-BF12-404E-AE64-8CAE9F04031D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EB4E72F9-0A42-4661-9D5B-FCB010EDCEFD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5AD7CA1-2AB1-4735-9577-CAB01EAEBC09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5152FD8A-2FDE-4ABB-B487-E8FDDE1BAD61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360D9E80-6A0B-44EF-A40A-EED132942F66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6440FEB-AB2F-46A9-B291-F2D3A5640ACA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A8392559-9C8B-4F2F-BB87-7935A8AE4AB5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F664A0C5-ED0F-4CF3-A4DA-E6E74705F6F0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1C4ADD04-0C1C-4873-9870-822738A268A1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9E03994-44F3-4113-8DC5-D7F4F33DB38B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D509F81-80EC-4E0A-8A7E-5F9AD5581D1A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6626C1E6-22DF-4DB4-945F-2727A6DC4050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EB2E8E26-8953-404A-94DD-65ACA9F8B844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1F90E07A-F3AF-4E8B-98CF-EF236C490EE9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E829B135-E860-46FE-AD69-7330B6ADC8D2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A6BD3274-4D34-4EC1-BF81-4CA55E1241B9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8B76AF0D-DE74-46BC-B57E-383D7DC35ED7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A354E327-41A8-4324-95D0-394344D8DA1E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C2F1B411-50F3-423B-8A6F-5475E81C4618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E310ABA2-05B1-4089-A380-B1F2513DB1B5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E20C505B-8EFD-42A8-8DBA-336464D2829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6080F05A-41EF-4546-B1AE-33EE1A956640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C0EC738F-D69D-4B18-A71C-6D851A6485B3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5D909592-5873-412C-9C21-886F7EC27D63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8E691050-3A17-48B9-8979-D600D3368B9B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74A449FD-0598-477B-8EE3-355B36B7EE06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7E7E3DC-C697-45A7-9A40-A443E521A714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F9025DA-EFBC-4C51-B185-E603333B68EA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E8ECAA72-DA5D-4DE0-A76F-3259466F0D22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A249E546-B0DE-416C-971E-323F47DC232B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30A21E1-3A37-4A2A-BE64-839FE7CAE64B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F1F8CBC1-4ED0-441C-9072-616D8A14527D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A6E0B9FC-4CC9-40D6-972A-718993507ED2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D76808A5-EA5F-4DC6-A265-0A3E559AEFB6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D782AD2E-D9E2-4D5A-975E-D5201904151B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4DB97385-DFC5-42A5-86ED-D3E7DCF95BF6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61158487-63B1-4AB9-BDD7-5D50210890C3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2B87C8E-1294-4059-8BA3-DD5696936184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C3358D6D-BFCE-4260-BC2E-502EBB82618A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8779F94C-9E5A-47E8-996E-3AFB0F9BBE3E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8BE79978-3ACF-42F9-B45D-589824B25FD8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D191B16C-FBFA-46DC-954D-F6D23CCDD590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8E6D2CC7-067E-4C4B-BAF7-D8444131B203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83445E7F-B647-453C-8E55-C1AC91B02B75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D3BD98DA-B7EE-446D-81E4-208FC0BAE0A5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45B11D6D-4A70-4BB9-808D-0B3441F91845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DB5153D-FDBE-4D65-BB5B-FE54EC4D34CE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B9AFF56E-675A-4B6C-BF28-9D002CB43194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C02C4719-09BE-4059-B7B9-93E46092C403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7D0EA4CE-7C86-4AA4-B254-9F3B83EB3ECB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9BBA6D71-E99E-4F84-BBE7-4C000A3F7B80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EB8DAF1C-BED5-4566-95F1-AE509D83FDB1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1B14A2C9-1E60-4F85-BF15-998F3ACD37F5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340E8DC1-55A1-4211-A229-06631A05555F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6D43CBB-9DDF-4E94-AB11-0076F3BB8CB7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8783F45E-BC08-4F86-9E0C-DA3E303FFEDA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CD0620F6-C73A-4C93-842D-2B5D6CA31E74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7CE0A233-4AAD-4065-9343-28ED4BCB08FD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8C07EFE7-F37A-4368-BB3F-F80E2C2DC6C6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380C0C0C-08FC-480A-B796-A5822CE1BBEB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E1E4D712-0C26-47B6-A9C4-EA3C11F65E06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BAD5857E-FF05-416A-A4E4-226BAA0C2A0E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6E35129-0745-4064-AF44-57762740AA98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930A66DA-5999-4CB6-AC6A-E01A7A864A65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CEC61AAD-BEB8-44EA-A8CA-4FDFF3C2F50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DF8BE5A1-4F3D-48A6-98B8-A572A2424B4A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AC9A687D-BDF7-4C99-972A-7799466A1CBB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00787193-3515-4F79-8E57-E25AE15E2AB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6D6F4BE4-F63F-489C-8BED-E8DF3A28CFBE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23AC34F6-DC24-4FAC-885F-2A19A98D5726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2B90EECC-0610-4E8B-BDD5-67DFD643D0B2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CE651DCA-E8C2-44F6-A8AA-A80FF13FEEDE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E80BA7D9-4817-4156-AB7F-6CF97790DC17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EF351260-4D21-4BA2-B70F-9165BB4B2BCB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265985B8-2F55-487F-BA3F-69D10F9CCEC9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CC1AD34-222C-4914-8C59-2B431C5C02DE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F3FA800A-34C3-4697-81D8-26D6E9F701A1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DC72E6B6-5ED8-40BB-AB2F-B88CED921A2D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767F42DC-2750-4A9E-9766-700F85C7E570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5B873956-D50E-4E98-9FC5-7694DD93C865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9D0F0990-6ABD-4123-AB61-49139FBA6A8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EF63B7B1-921E-4F22-B839-3EA5B5857A3D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FCF2D79A-E9FA-4910-8F03-FA8B9F9E0041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5697C772-18A5-4C44-8489-D7B60867B388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D48DB665-271E-44E9-B060-AEEB8AE9C88A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2D42D165-DA30-466D-A384-435BD6974CAC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1BA5F90-2D78-4867-BBCD-1DCFE61016BA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8275C29E-841A-4973-8ACD-4240346413BF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3EE11FC3-F791-4EC3-BC18-9B5CBE7B627C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0AFCB116-397C-410C-A847-518D063625C2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D430FD0B-B169-4A2A-B053-6AED16D565F6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BC27ED58-81B1-4F26-BB14-3123F92A8A8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AC5901F0-33A8-407A-8787-E472A3C6F345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39C31261-E190-4533-B5C5-75E2D38F994A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A5A83BC3-FB8B-46FD-94D5-283766FB7AA3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51B63278-B124-4990-A81B-7A5F7C105E57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9987F636-4BA1-4DD2-90E0-E8AEEC90A612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98CCD01D-E96B-43CF-95B8-C7052B10D923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0803E232-5609-4DE7-B615-665D5E79DA02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2D15DB39-2160-4435-8C03-4754BCB1E6F7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47CFF581-733B-4335-8AE0-55B8C5A25879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A9099FED-D983-4E57-B64C-5D6AC633A5AB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8982828D-8EF9-46E7-9C5B-F23C617ED709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64DF37DD-FCBA-4338-A99F-E00D55C1E579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6CA3B943-1818-4100-931C-36C4D0984558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0F12347C-7F18-42FB-AA3A-97AC787502F3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B223AEF4-9B35-4220-BAEE-9952DDB454CB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D90A5793-29EA-4E3A-8780-235C9BD392BF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6F3EA370-928B-46E9-B167-4CA0188B281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CD5449C6-79BB-436C-B194-98500E73343F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6C3775DE-26F1-4178-8D56-821DD58C9DDC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988F2EDC-BA5C-4640-85F3-EDB9E49E55F4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69B37712-C851-426D-A9ED-9E5EC77EE40B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3B3740B3-7EF1-4A2B-9394-78752B7AA14F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29FD3F9B-8390-45EF-81C0-2791947CE415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E48D1D2F-67D6-44D4-A569-9A994DDDF215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0E71E4A6-A37B-4D86-A20C-735D0A2AB939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55F4902D-0392-4DCF-A5DF-4A5651AFB1B9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00469BBD-56A8-429F-B12B-69E7C80A0CC4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40A9CAF4-89DB-43CC-9363-F9C543D59871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BB8DAE0B-A4BA-4DFD-BCCC-4F6724F8799A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7969A1FF-0967-4DC1-825F-B99A6850DAC8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B955BDE6-73D5-40E5-A4ED-F7BA86B40EC2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6E94D984-BAD6-43A9-94D7-77F0C6C48CD9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510A8074-AC00-4CE4-A517-250048FD1CC7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8ACB51BC-72BD-45BE-BC91-02A9D1AE6070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E044CAFF-7052-4B12-852F-D31B927CA4B9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0006D56B-AE7E-4385-869D-E77C5A993B71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3219BE80-DCE6-4114-9B4F-6E8F1267202C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5C6A2E47-4447-4199-8DED-B1277CE7F3F3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54ABCC2-9AB7-472E-B767-7196FA05AA49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2785E4F-B5F3-4221-8BB3-F2A92269960D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18660A23-6443-46E9-90DE-476F39B7D8CD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F4B668C3-F015-44D5-9516-6B980A8DE46F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3842F215-0687-4ED6-AFD2-6957119179A0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AF7BAABA-17B1-40F7-B444-DBD85468B5CC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0A2F48D3-F1D2-4D48-AD31-2C2D2114463B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51F8B250-7203-4509-8D71-C81C6C83B254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F2C6FBC7-8B9C-4D12-B48C-FBFC333ACF91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E2EF6766-86CE-4ED8-83D3-849AB4CEA138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778A2ED0-D064-42F3-8FFD-6543B13196D7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457B9092-818E-4031-9ECB-C763082422A5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FB2243E7-3932-435A-96FE-3B3189AD9213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C692986-708D-4AEB-B6C8-510D3EDF9125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F6503248-B755-4146-BB75-70288E351B4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FE9F7A71-A044-49D2-B126-33AA2F01C8BA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940B7D05-05DC-49FB-8B64-828C77553415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39360001-84EF-46BD-B1E4-7E475087C858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212578E6-F9CC-47ED-AF7C-0BDB2E9A0108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BF27A6D6-CC9E-494C-915B-9CA2BE3B9584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4B66B9A-01A5-4A21-8277-7F5F973AFDF9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67478F5D-21C2-491B-9BB4-85ABB0EDC2FE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626E76B1-F6EE-4DA0-9590-83E7916A20C0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B0FC2B91-E1EF-4AA9-9EAD-A739FC1BA96E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3887E2B7-C87A-45EA-84E6-02489EF93447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EE925252-0D58-4295-80EF-D92D89E4A6DC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C23C6961-4AAE-42AD-8AFD-514DD5A62A80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032ED63-C7F4-4891-8946-DB85919AF0CB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E09E54D4-37ED-4A47-9367-6EFA1E46DD05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778EDBB1-26DC-46D7-8646-325595AFF1BB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B5EE2C03-3BC3-4F2A-8F5F-55F2BB57E17D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0475971F-94D4-43D7-8647-DB9F97C5E68C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6953CD34-D7CC-4C53-A7F7-92ABAD85FF3B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AE0A19A1-BBA3-4BEB-A3B6-F75B54101D85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26898544-2284-4E66-996C-151BAC447984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C60E5D84-D648-4972-A496-94D7B92BDFCD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E60BF45E-736E-4266-9D77-608CD39EF2E0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1BA49094-D971-41B5-A3F9-66B48CD64A87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B0998754-A4BB-499A-99B3-001EFB5BC81D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5237E72-1E8B-4000-8725-0F914462C713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44B40884-716D-4866-B80B-FECAA0DFCD3A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B40F1D24-C5B8-43CF-9F97-DF6C62A12F55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D9B43103-EC92-4302-B50B-D743599CD5D4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995791A7-67FD-4076-B910-7D946AC7077B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208FF4A-243E-4714-A705-0488249C34B5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7D250968-2262-4A3B-A3B9-1A0AFE02F604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F53BD2E8-D6D0-4B2C-B809-E8D04C8D1FBF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sharedStrings.xml><?xml version="1.0" encoding="utf-8"?>
<sst xmlns="http://schemas.openxmlformats.org/spreadsheetml/2006/main" count="2168" uniqueCount="111">
  <si>
    <t>Paraliza la producción</t>
  </si>
  <si>
    <t>Afecta parcialmente la producción</t>
  </si>
  <si>
    <t>AVIDESA MAC POLLO S.A.</t>
  </si>
  <si>
    <t>PLANTA:</t>
  </si>
  <si>
    <t>GRUPO PLANIFICACIÓN:</t>
  </si>
  <si>
    <t>EQUIPO:</t>
  </si>
  <si>
    <t>CODIGO SAP:</t>
  </si>
  <si>
    <t>REPUESTO:</t>
  </si>
  <si>
    <t>CRITICIDAD DEL COMPONENTE</t>
  </si>
  <si>
    <t>COSTOS ESPECIFICOS DEL COMPONENTE:</t>
  </si>
  <si>
    <t>DEMANDA MENSUAL DEL COMPONENTE</t>
  </si>
  <si>
    <t>PORCENTAJE DE COSTO DE ALMACENAMIENTO</t>
  </si>
  <si>
    <t>RESULTADOS</t>
  </si>
  <si>
    <t>TIEMPO DE REPOSICIÓN</t>
  </si>
  <si>
    <t>No afecta la producción</t>
  </si>
  <si>
    <t>NIVEL DE SERVICIO (%)</t>
  </si>
  <si>
    <t>NIVEL DE CONFIANZA (%)</t>
  </si>
  <si>
    <t>IMPACTO A PRODUCCIÓN</t>
  </si>
  <si>
    <t>FECHA DE ACTUALIZACIÓN</t>
  </si>
  <si>
    <t>FECHA DE CREACIÓN:</t>
  </si>
  <si>
    <t>ENERO:</t>
  </si>
  <si>
    <t>FEBRERO:</t>
  </si>
  <si>
    <t>MARZO:</t>
  </si>
  <si>
    <t>ABRIL:</t>
  </si>
  <si>
    <t>MAYO:</t>
  </si>
  <si>
    <t>JUNIO:</t>
  </si>
  <si>
    <t>JULIO:</t>
  </si>
  <si>
    <t>AGOSTO:</t>
  </si>
  <si>
    <t>SEPTIEMBRE:</t>
  </si>
  <si>
    <t>OCTUBRE:</t>
  </si>
  <si>
    <t>NOVIEMBRE:</t>
  </si>
  <si>
    <t>DICIEMBRE:</t>
  </si>
  <si>
    <t>DEMANDA ANUAL (UNIDADES)</t>
  </si>
  <si>
    <t>DEMANDA PROMEDIO (UNIDADES/MES)</t>
  </si>
  <si>
    <t>TIEMPO ADMINISTRATIVO (DÍAS)</t>
  </si>
  <si>
    <t>TIEMPO DEL PROVEEDOR (DÍAS)</t>
  </si>
  <si>
    <t>TIEMPO DE REPOSICIÓN (DÍAS)</t>
  </si>
  <si>
    <t>FACTOR Z:</t>
  </si>
  <si>
    <t>DESVIACIÓN ABOSULTA PROMEDIO:</t>
  </si>
  <si>
    <t>STOCK MINIMO (UNIDADES):</t>
  </si>
  <si>
    <t>STOCK DE SEGURIDAD (UNIDADES):</t>
  </si>
  <si>
    <t>PUNTO DE PEDIDO (UNIDADES REMANENTES EN STOCK):</t>
  </si>
  <si>
    <t>NÚMERO DE PEDIDOS POR AÑO:</t>
  </si>
  <si>
    <t>CANTIDAD ECONOMICA DE PEDIDO (UNIDADES/ORDEN DE COMPRA):</t>
  </si>
  <si>
    <t>COSTO ANUAL DE PEDIDO (COP):</t>
  </si>
  <si>
    <t>COSTO ANUAL DE ALMACENAMIENTO (COP):</t>
  </si>
  <si>
    <t>COSTO ANUAL TOTAL DE INVENTARIO (COP):</t>
  </si>
  <si>
    <t>TIEMPO ENTRE PEDIDOS (DÍAS):</t>
  </si>
  <si>
    <t>COSTO ANUAL TOTAL DEL COMPONENTE (COP):</t>
  </si>
  <si>
    <t>COSTO UNITARIO DEL COMPONENTE (COP/UNIDAD):</t>
  </si>
  <si>
    <t>COSTO DE REALIZAR UN PEDIDO (COP/PEDIDO):</t>
  </si>
  <si>
    <t>COSTO DE ALMACENAMIENTO DEL COMPONENTE (COP/UNIDAD) :</t>
  </si>
  <si>
    <t>MATERIAL</t>
  </si>
  <si>
    <t>TEXTO BREVE</t>
  </si>
  <si>
    <t>STOCK MINIMO</t>
  </si>
  <si>
    <t>STOCK DE SEGURIDAD</t>
  </si>
  <si>
    <t>PUNTO DE PEDIDO</t>
  </si>
  <si>
    <t>EOQ</t>
  </si>
  <si>
    <t>PEDIDOS POR AÑO</t>
  </si>
  <si>
    <t>TIEMPO ENTRE PEDIDOS</t>
  </si>
  <si>
    <t>PILOTO</t>
  </si>
  <si>
    <t>GESTIÓN DE INVENTARIOS PARA REPUESTO 1X-1Y-1Z MACRO PEDIDO</t>
  </si>
  <si>
    <t>CINTA TEFLON PROFESIONAL DE 3/4".</t>
  </si>
  <si>
    <t>ADAPTADOR 1 MACHO PVC</t>
  </si>
  <si>
    <t>CODO 3/4 PVC</t>
  </si>
  <si>
    <t>TERMINAL PVC 1/2.</t>
  </si>
  <si>
    <t>TOMA CORRIENTE DOBLE</t>
  </si>
  <si>
    <t>CABLE COBRE AISLADO THHN/THWN 10 AWG</t>
  </si>
  <si>
    <t>EMPAQUE 2228.305.00.</t>
  </si>
  <si>
    <t>ANILLOS 2228.306.02.</t>
  </si>
  <si>
    <t>EMPAQUE 2228.308.00.</t>
  </si>
  <si>
    <t>CAJA RESORTE 2228.603.10.</t>
  </si>
  <si>
    <t>BUJES METALICOS 2228.615.00.</t>
  </si>
  <si>
    <t>CAPASILLO 2228.619.00.</t>
  </si>
  <si>
    <t>CHUPA PISTON</t>
  </si>
  <si>
    <t>CAJA RECTANGULAR PLASTICA</t>
  </si>
  <si>
    <t>DEDO ROJO PARA DESPLUMADORA DUREZA 60-65</t>
  </si>
  <si>
    <t>GANCHO DESPRESE PESAJE PLADESAN NACIONAL</t>
  </si>
  <si>
    <t>GANCHO SELECCION PESAJE PLADESAN NAL.</t>
  </si>
  <si>
    <t>RODAMIENTO 6005 2RS</t>
  </si>
  <si>
    <t>RUEDA DIRECCIONAL CON RODAMIENTO DE BOLA</t>
  </si>
  <si>
    <t>RUEDA DE NYLON 2" 5/8 CON RODAMIENTO</t>
  </si>
  <si>
    <t>CINTA AISLANTE NEGRA</t>
  </si>
  <si>
    <t>PLAFON PLASTICO CON ROSETA</t>
  </si>
  <si>
    <t>AMARRE ELECTRICO DE 20 CMS</t>
  </si>
  <si>
    <t>CINTA ADHESIVA TERMICA 1.25” X 25 MTS</t>
  </si>
  <si>
    <t>EMPAQUE 2228.303.33</t>
  </si>
  <si>
    <t>DEDO DESPLUMADORA DUREZA 50-55 AMARILLO</t>
  </si>
  <si>
    <t>TUBO CONDUIT PVC 1/2".</t>
  </si>
  <si>
    <t>CONECTOR DE RESORTE 3M ROJO-AMARILLO</t>
  </si>
  <si>
    <t>CONECTOR DE RESORTE 3M AZUL-NARANJA</t>
  </si>
  <si>
    <t>ARANDELA INOX PARA TORNILLO 1/4</t>
  </si>
  <si>
    <t>ARANDELA INOX PARA TORNILLO 3/8</t>
  </si>
  <si>
    <t>CURVA PVC CONDUIT 1/2".</t>
  </si>
  <si>
    <t>CHUPA EMBOLO 8MM POSICION 9</t>
  </si>
  <si>
    <t>INTERRUPTOR SENCILLO 15 A 120V</t>
  </si>
  <si>
    <t>ANILLO DE LA TUERCA PARTE #5</t>
  </si>
  <si>
    <t>3480488 GUIA 12X150</t>
  </si>
  <si>
    <t>3480454 CASQUILLO 12,25X19,1X15</t>
  </si>
  <si>
    <t>PIN INOXIDABLE 4MM X 40MM</t>
  </si>
  <si>
    <t>CAPACIDAD</t>
  </si>
  <si>
    <t>12 meses</t>
  </si>
  <si>
    <t>AMPLIACIÓN</t>
  </si>
  <si>
    <t>MINIMO</t>
  </si>
  <si>
    <t>SEGURIDAD</t>
  </si>
  <si>
    <t>STOCK</t>
  </si>
  <si>
    <t>ACTUAL</t>
  </si>
  <si>
    <t>COSTO ANUAL INVENTARIO</t>
  </si>
  <si>
    <t>COSTO TOTAL INVENTARIO</t>
  </si>
  <si>
    <t>COSTO ANUAL</t>
  </si>
  <si>
    <t>% 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</si>
</sst>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0.000"/>
    <numFmt numFmtId="165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Arial Narrow"/>
      <family val="2"/>
      <charset val="1"/>
    </font>
    <font>
      <sz val="10"/>
      <color indexed="8"/>
      <name val="Arial Narrow"/>
      <family val="2"/>
    </font>
    <font>
      <sz val="10"/>
      <name val="Arial Narrow"/>
      <family val="2"/>
      <charset val="1"/>
    </font>
    <font>
      <sz val="10"/>
      <name val="Arial Narrow"/>
      <family val="2"/>
    </font>
    <font>
      <b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5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5" xfId="0" applyFill="1" applyBorder="1"/>
    <xf numFmtId="10" fontId="0" fillId="3" borderId="10" xfId="2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165" fontId="1" fillId="0" borderId="10" xfId="1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" fontId="0" fillId="2" borderId="4" xfId="0" applyNumberFormat="1" applyFill="1" applyBorder="1" applyAlignment="1">
      <alignment horizontal="center" vertical="center"/>
    </xf>
    <xf numFmtId="44" fontId="0" fillId="0" borderId="4" xfId="1" applyFont="1" applyBorder="1"/>
    <xf numFmtId="165" fontId="0" fillId="0" borderId="1" xfId="1" applyNumberFormat="1" applyFont="1" applyBorder="1" applyAlignment="1">
      <alignment horizontal="center" vertical="center"/>
    </xf>
    <xf numFmtId="165" fontId="0" fillId="0" borderId="0" xfId="1" applyNumberFormat="1" applyFont="1"/>
    <xf numFmtId="165" fontId="12" fillId="0" borderId="23" xfId="0" applyNumberFormat="1" applyFont="1" applyBorder="1" applyAlignment="1">
      <alignment vertical="center"/>
    </xf>
    <xf numFmtId="165" fontId="13" fillId="0" borderId="24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9" fontId="2" fillId="0" borderId="26" xfId="2" applyFont="1" applyBorder="1" applyAlignment="1">
      <alignment horizontal="center"/>
    </xf>
    <xf numFmtId="9" fontId="2" fillId="0" borderId="27" xfId="2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/>
    </xf>
    <xf numFmtId="44" fontId="0" fillId="3" borderId="10" xfId="1" applyFont="1" applyFill="1" applyBorder="1" applyAlignment="1">
      <alignment horizontal="center"/>
    </xf>
    <xf numFmtId="44" fontId="0" fillId="2" borderId="1" xfId="1" applyFont="1" applyFill="1" applyBorder="1" applyAlignment="1">
      <alignment horizontal="center" vertical="center"/>
    </xf>
    <xf numFmtId="44" fontId="0" fillId="2" borderId="10" xfId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0922EC-244F-CBC5-839F-866230488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4585" y="0"/>
          <a:ext cx="2360082" cy="10689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55DF06-9FCF-4C06-A5D9-B018A7E84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69486D-E335-4896-93D9-9E0C66BE5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C0E6FA-311F-4B96-9088-4AA5CB42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173A1F-D0EE-446A-BFC2-DB1A67907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C089E-FE75-449A-9CBD-203C09545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70C6C3-0F34-43E6-86BF-13E9135D0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3F1C46-F95B-4FBF-8A5A-61B536B68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5BB26C-13FF-49ED-824C-294D44AB3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A400D-E930-4AC4-9A02-7A1E88162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864434-7575-400B-BCCB-2E5DEE72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0BACFB-E9C5-406D-87D6-903B903DB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64C77-CCC2-43D8-8AEE-F4E862416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5115F0-2E69-444B-8E5D-2137CBB69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3A6AA5-87E6-4B06-8BBC-405C477C5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8CB11F-9E17-4B11-9F4C-39E3A541B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386138-C556-4C43-A9A5-4AA42AF9E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BADB9B-8D87-4A76-8151-F2BB6EB7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9D2FC9-DCCC-439F-9259-BC552F84E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3A38B7-DCBD-494C-92DE-A9C06FD7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F20A6E-9802-4D9C-9A6A-12AF2EC8C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FF16C1-3702-409B-A6F5-6EFDB14F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6C1D7-5756-4204-8E6B-250169C12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99814-46A2-4889-A7CE-FDE01D49D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0D7C67-B3B3-4F4A-A995-CA3385A5E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C04351-3A53-478D-9A34-A674FCFE0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364397-30E1-49AD-812C-700985629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9F2E00-A663-4980-A6FC-6FEDC822E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81F52C-99C3-4D1E-9F35-E11E08016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06F02B-3DB7-4ADF-93F8-08F3AFA7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30B963-9C8C-4DD3-B3BF-266F30E0F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1E6FDD-4009-440B-9E97-DEE13D746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CC267F-846E-4B9C-A9A3-CF4056079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E42B84-5A07-438C-954F-C27DFD343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5F1F00-649E-4AEA-A3A3-261503BE4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BE41B9-EF94-41D6-8636-D43858323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96E5C7-97CB-48AD-91CD-F1CD76752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6786BB-3625-479B-8C4B-BA8704AFC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5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6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9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0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1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2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3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4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5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0756-DA3B-4AE8-9C8B-3663DFBA42FB}">
  <dimension ref="A1:M43"/>
  <sheetViews>
    <sheetView tabSelected="1" zoomScale="80" zoomScaleNormal="80" workbookViewId="0">
      <pane ySplit="2" topLeftCell="A27" activePane="bottomLeft" state="frozen"/>
      <selection pane="bottomLeft" activeCell="K52" sqref="K52"/>
    </sheetView>
  </sheetViews>
  <sheetFormatPr baseColWidth="10" defaultRowHeight="14.4" x14ac:dyDescent="0.3"/>
  <cols>
    <col min="2" max="2" width="42.33203125" customWidth="1"/>
    <col min="3" max="3" width="8.109375" customWidth="1"/>
    <col min="4" max="4" width="12.109375" customWidth="1"/>
    <col min="5" max="5" width="9.88671875" customWidth="1"/>
    <col min="7" max="7" width="11.33203125" customWidth="1"/>
    <col min="8" max="8" width="13.44140625" hidden="1" customWidth="1"/>
    <col min="9" max="9" width="0" hidden="1" customWidth="1"/>
    <col min="10" max="10" width="12.6640625" customWidth="1"/>
    <col min="11" max="11" width="12.21875" customWidth="1"/>
    <col min="12" max="12" width="19.44140625" customWidth="1"/>
    <col min="13" max="13" width="21.109375" customWidth="1"/>
  </cols>
  <sheetData>
    <row r="1" spans="1:13" x14ac:dyDescent="0.3">
      <c r="A1" s="61" t="s">
        <v>52</v>
      </c>
      <c r="B1" s="61" t="s">
        <v>53</v>
      </c>
      <c r="C1" s="62" t="s">
        <v>105</v>
      </c>
      <c r="D1" s="62"/>
      <c r="E1" s="62"/>
      <c r="F1" s="62" t="s">
        <v>57</v>
      </c>
      <c r="G1" s="62"/>
      <c r="H1" s="62"/>
      <c r="I1" s="62"/>
      <c r="J1" s="62" t="s">
        <v>58</v>
      </c>
      <c r="K1" s="62"/>
      <c r="L1" s="52" t="s">
        <v>107</v>
      </c>
      <c r="M1" s="52"/>
    </row>
    <row r="2" spans="1:13" ht="28.8" x14ac:dyDescent="0.3">
      <c r="A2" s="61"/>
      <c r="B2" s="61"/>
      <c r="C2" s="34" t="s">
        <v>103</v>
      </c>
      <c r="D2" s="34" t="s">
        <v>104</v>
      </c>
      <c r="E2" s="40" t="s">
        <v>56</v>
      </c>
      <c r="F2" s="34" t="s">
        <v>60</v>
      </c>
      <c r="G2" s="34" t="s">
        <v>106</v>
      </c>
      <c r="H2" s="34" t="s">
        <v>102</v>
      </c>
      <c r="I2" s="34" t="s">
        <v>101</v>
      </c>
      <c r="J2" s="34" t="s">
        <v>60</v>
      </c>
      <c r="K2" s="34" t="s">
        <v>106</v>
      </c>
      <c r="L2" s="34" t="s">
        <v>60</v>
      </c>
      <c r="M2" s="34" t="s">
        <v>106</v>
      </c>
    </row>
    <row r="3" spans="1:13" x14ac:dyDescent="0.3">
      <c r="A3" s="35">
        <v>25795</v>
      </c>
      <c r="B3" s="33" t="s">
        <v>62</v>
      </c>
      <c r="C3" s="20">
        <f>'1'!D37</f>
        <v>8.8444444444444432</v>
      </c>
      <c r="D3" s="20">
        <f>'1'!I37</f>
        <v>2.7216582537946414</v>
      </c>
      <c r="E3" s="20">
        <f>'1'!D39</f>
        <v>11.566102698239085</v>
      </c>
      <c r="F3" s="20">
        <f>'1'!I39</f>
        <v>196.52487919263248</v>
      </c>
      <c r="G3" s="29">
        <v>60</v>
      </c>
      <c r="H3" s="20">
        <f>G3-F3</f>
        <v>-136.52487919263248</v>
      </c>
      <c r="I3" s="20">
        <f t="shared" ref="I3:I40" si="0">(F3*J3)/12</f>
        <v>33.166666666666664</v>
      </c>
      <c r="J3" s="20">
        <f>'1'!D41</f>
        <v>2.0251888800800781</v>
      </c>
      <c r="K3" s="20">
        <f t="shared" ref="K3:K40" si="1">(F3*J3)/G3</f>
        <v>6.6333333333333337</v>
      </c>
      <c r="L3" s="41">
        <f>'1'!$I$45</f>
        <v>1722685.4227354173</v>
      </c>
      <c r="M3" s="41">
        <f>_xlfn.XLOOKUP(A3,COSTOS!$A$2:$A$62,COSTOS!$B$2:$B$62)</f>
        <v>1755356.4000000001</v>
      </c>
    </row>
    <row r="4" spans="1:13" x14ac:dyDescent="0.3">
      <c r="A4" s="29">
        <v>28123</v>
      </c>
      <c r="B4" s="32" t="s">
        <v>63</v>
      </c>
      <c r="C4" s="20">
        <f>'2'!D37</f>
        <v>3.6666666666666665</v>
      </c>
      <c r="D4" s="20">
        <f>'2'!I37</f>
        <v>2.6609023062788806</v>
      </c>
      <c r="E4" s="20">
        <f>'2'!D39</f>
        <v>6.3275689729455475</v>
      </c>
      <c r="F4" s="20">
        <f>'2'!I39</f>
        <v>242.96911175404045</v>
      </c>
      <c r="G4" s="29">
        <v>30</v>
      </c>
      <c r="H4" s="20">
        <f t="shared" ref="H4:H40" si="2">G4-F4</f>
        <v>-212.96911175404045</v>
      </c>
      <c r="I4" s="20">
        <f t="shared" si="0"/>
        <v>13.75</v>
      </c>
      <c r="J4" s="20">
        <f>'2'!D41</f>
        <v>0.67909866735254309</v>
      </c>
      <c r="K4" s="20">
        <f t="shared" si="1"/>
        <v>5.5</v>
      </c>
      <c r="L4" s="41">
        <f>'2'!$I$45</f>
        <v>211931.4355719437</v>
      </c>
      <c r="M4" s="41">
        <f>_xlfn.XLOOKUP(A4,COSTOS!$A$2:$A$62,COSTOS!$B$2:$B$62)</f>
        <v>197379.69</v>
      </c>
    </row>
    <row r="5" spans="1:13" x14ac:dyDescent="0.3">
      <c r="A5" s="35">
        <v>28143</v>
      </c>
      <c r="B5" s="33" t="s">
        <v>64</v>
      </c>
      <c r="C5" s="20">
        <f>'3'!D37</f>
        <v>4.6444444444444448</v>
      </c>
      <c r="D5" s="20">
        <f>'3'!I37</f>
        <v>3.4190652807392867</v>
      </c>
      <c r="E5" s="20">
        <f>'3'!D39</f>
        <v>8.0635097251837315</v>
      </c>
      <c r="F5" s="20">
        <f>'3'!I39</f>
        <v>352.44845133289203</v>
      </c>
      <c r="G5" s="29">
        <v>40</v>
      </c>
      <c r="H5" s="20">
        <f t="shared" si="2"/>
        <v>-312.44845133289203</v>
      </c>
      <c r="I5" s="20">
        <f t="shared" si="0"/>
        <v>17.416666666666668</v>
      </c>
      <c r="J5" s="20">
        <f>'3'!D41</f>
        <v>0.59299451936759073</v>
      </c>
      <c r="K5" s="20">
        <f t="shared" si="1"/>
        <v>5.2249999999999996</v>
      </c>
      <c r="L5" s="41">
        <f>'3'!$I$45</f>
        <v>164606.88386809739</v>
      </c>
      <c r="M5" s="41">
        <f>_xlfn.XLOOKUP(A5,COSTOS!$A$2:$A$62,COSTOS!$B$2:$B$62)</f>
        <v>150599.29</v>
      </c>
    </row>
    <row r="6" spans="1:13" x14ac:dyDescent="0.3">
      <c r="A6" s="29">
        <v>28307</v>
      </c>
      <c r="B6" s="32" t="s">
        <v>65</v>
      </c>
      <c r="C6" s="20">
        <f>'4'!D37</f>
        <v>23.422222222222221</v>
      </c>
      <c r="D6" s="20">
        <f>'4'!I37</f>
        <v>14.905241836493433</v>
      </c>
      <c r="E6" s="20">
        <f>'4'!D39</f>
        <v>38.327464058715655</v>
      </c>
      <c r="F6" s="20">
        <f>'4'!I39</f>
        <v>1670.9437393678011</v>
      </c>
      <c r="G6" s="29">
        <v>100</v>
      </c>
      <c r="H6" s="20">
        <f t="shared" si="2"/>
        <v>-1570.9437393678011</v>
      </c>
      <c r="I6" s="20">
        <f t="shared" si="0"/>
        <v>87.833333333333329</v>
      </c>
      <c r="J6" s="20">
        <f>'4'!D41</f>
        <v>0.63078126161134496</v>
      </c>
      <c r="K6" s="20">
        <f t="shared" si="1"/>
        <v>10.54</v>
      </c>
      <c r="L6" s="41">
        <f>'4'!$I$45</f>
        <v>184610.31961618486</v>
      </c>
      <c r="M6" s="41">
        <f>_xlfn.XLOOKUP(A6,COSTOS!$A$2:$A$62,COSTOS!$B$2:$B$62)</f>
        <v>170279.80000000002</v>
      </c>
    </row>
    <row r="7" spans="1:13" x14ac:dyDescent="0.3">
      <c r="A7" s="35">
        <v>62654</v>
      </c>
      <c r="B7" s="33" t="s">
        <v>66</v>
      </c>
      <c r="C7" s="20">
        <f>'5'!D37</f>
        <v>15.799999999999999</v>
      </c>
      <c r="D7" s="20">
        <f>'5'!I37</f>
        <v>6.6571369564711516</v>
      </c>
      <c r="E7" s="20">
        <f>'5'!D39</f>
        <v>22.45713695647115</v>
      </c>
      <c r="F7" s="20">
        <f>'5'!I39</f>
        <v>255.22483418972695</v>
      </c>
      <c r="G7" s="29">
        <v>20</v>
      </c>
      <c r="H7" s="20">
        <f t="shared" si="2"/>
        <v>-235.22483418972695</v>
      </c>
      <c r="I7" s="20">
        <f t="shared" si="0"/>
        <v>59.25</v>
      </c>
      <c r="J7" s="20">
        <f>'5'!D41</f>
        <v>2.7857790651808698</v>
      </c>
      <c r="K7" s="20">
        <f t="shared" si="1"/>
        <v>35.549999999999997</v>
      </c>
      <c r="L7" s="41">
        <f>'5'!$I$45</f>
        <v>3218563.6686024303</v>
      </c>
      <c r="M7" s="41">
        <f>_xlfn.XLOOKUP(A7,COSTOS!$A$2:$A$62,COSTOS!$B$2:$B$62)</f>
        <v>3321441.5700000003</v>
      </c>
    </row>
    <row r="8" spans="1:13" x14ac:dyDescent="0.3">
      <c r="A8" s="29">
        <v>62863</v>
      </c>
      <c r="B8" s="32" t="s">
        <v>67</v>
      </c>
      <c r="C8" s="20">
        <f>'6'!D37</f>
        <v>55.866666666666667</v>
      </c>
      <c r="D8" s="20">
        <f>'6'!I37</f>
        <v>45.831527461573486</v>
      </c>
      <c r="E8" s="20">
        <f>'6'!D39</f>
        <v>101.69819412824015</v>
      </c>
      <c r="F8" s="20">
        <f>'6'!I39</f>
        <v>601.43712780725127</v>
      </c>
      <c r="G8" s="29">
        <v>200</v>
      </c>
      <c r="H8" s="20">
        <f t="shared" si="2"/>
        <v>-401.43712780725127</v>
      </c>
      <c r="I8" s="20">
        <f t="shared" si="0"/>
        <v>209.5</v>
      </c>
      <c r="J8" s="20">
        <f>'6'!D41</f>
        <v>4.1799880382603973</v>
      </c>
      <c r="K8" s="20">
        <f t="shared" si="1"/>
        <v>12.57</v>
      </c>
      <c r="L8" s="41">
        <f>'6'!$I$45</f>
        <v>7168860.686164733</v>
      </c>
      <c r="M8" s="41">
        <f>_xlfn.XLOOKUP(A8,COSTOS!$A$2:$A$62,COSTOS!$B$2:$B$62)</f>
        <v>7479380.25</v>
      </c>
    </row>
    <row r="9" spans="1:13" x14ac:dyDescent="0.3">
      <c r="A9" s="35">
        <v>63137</v>
      </c>
      <c r="B9" s="33" t="s">
        <v>68</v>
      </c>
      <c r="C9" s="20">
        <f>'7'!D37</f>
        <v>5.155555555555555</v>
      </c>
      <c r="D9" s="20">
        <f>'7'!I37</f>
        <v>1.5470397597066399</v>
      </c>
      <c r="E9" s="20">
        <f>'7'!D39</f>
        <v>6.7025953152621947</v>
      </c>
      <c r="F9" s="20">
        <f>'7'!I39</f>
        <v>208.09560242354183</v>
      </c>
      <c r="G9" s="29">
        <v>24</v>
      </c>
      <c r="H9" s="20">
        <f t="shared" si="2"/>
        <v>-184.09560242354183</v>
      </c>
      <c r="I9" s="20">
        <f t="shared" si="0"/>
        <v>19.333333333333332</v>
      </c>
      <c r="J9" s="20">
        <f>'7'!D41</f>
        <v>1.1148721899841256</v>
      </c>
      <c r="K9" s="20">
        <f t="shared" si="1"/>
        <v>9.6666666666666661</v>
      </c>
      <c r="L9" s="41">
        <f>'7'!$I$45</f>
        <v>542102.41821987019</v>
      </c>
      <c r="M9" s="41">
        <f>_xlfn.XLOOKUP(A9,COSTOS!$A$2:$A$62,COSTOS!$B$2:$B$62)</f>
        <v>531900.21000000008</v>
      </c>
    </row>
    <row r="10" spans="1:13" x14ac:dyDescent="0.3">
      <c r="A10" s="29">
        <v>63138</v>
      </c>
      <c r="B10" s="32" t="s">
        <v>69</v>
      </c>
      <c r="C10" s="20">
        <f>'8'!D37</f>
        <v>0.35555555555555551</v>
      </c>
      <c r="D10" s="20">
        <f>'8'!I37</f>
        <v>0.52706495461957692</v>
      </c>
      <c r="E10" s="20">
        <f>'8'!D39</f>
        <v>0.88262051017513243</v>
      </c>
      <c r="F10" s="20">
        <f>'8'!I39</f>
        <v>25.029348474202635</v>
      </c>
      <c r="G10" s="29">
        <v>12</v>
      </c>
      <c r="H10" s="20">
        <f t="shared" si="2"/>
        <v>-13.029348474202635</v>
      </c>
      <c r="I10" s="20">
        <f t="shared" si="0"/>
        <v>1.3333333333333333</v>
      </c>
      <c r="J10" s="20">
        <f>'8'!D41</f>
        <v>0.6392495600311352</v>
      </c>
      <c r="K10" s="20">
        <f t="shared" si="1"/>
        <v>1.3333333333333333</v>
      </c>
      <c r="L10" s="41">
        <f>'8'!$I$45</f>
        <v>189564.43195888476</v>
      </c>
      <c r="M10" s="41">
        <f>_xlfn.XLOOKUP(A10,COSTOS!$A$2:$A$62,COSTOS!$B$2:$B$62)</f>
        <v>174893.64</v>
      </c>
    </row>
    <row r="11" spans="1:13" x14ac:dyDescent="0.3">
      <c r="A11" s="35">
        <v>63140</v>
      </c>
      <c r="B11" s="33" t="s">
        <v>70</v>
      </c>
      <c r="C11" s="20">
        <f>'9'!D37</f>
        <v>5.4</v>
      </c>
      <c r="D11" s="20">
        <f>'9'!I37</f>
        <v>2.582302066586005</v>
      </c>
      <c r="E11" s="20">
        <f>'9'!D39</f>
        <v>7.9823020665860049</v>
      </c>
      <c r="F11" s="20">
        <f>'9'!I39</f>
        <v>201.66669548278318</v>
      </c>
      <c r="G11" s="29">
        <v>24</v>
      </c>
      <c r="H11" s="20">
        <f t="shared" si="2"/>
        <v>-177.66669548278318</v>
      </c>
      <c r="I11" s="20">
        <f t="shared" si="0"/>
        <v>20.25</v>
      </c>
      <c r="J11" s="20">
        <f>'9'!D41</f>
        <v>1.2049585055096297</v>
      </c>
      <c r="K11" s="20">
        <f t="shared" si="1"/>
        <v>10.125</v>
      </c>
      <c r="L11" s="41">
        <f>'9'!$I$45</f>
        <v>629585.51041429921</v>
      </c>
      <c r="M11" s="41">
        <f>_xlfn.XLOOKUP(A11,COSTOS!$A$2:$A$62,COSTOS!$B$2:$B$62)</f>
        <v>621361.84000000008</v>
      </c>
    </row>
    <row r="12" spans="1:13" x14ac:dyDescent="0.3">
      <c r="A12" s="29">
        <v>63158</v>
      </c>
      <c r="B12" s="32" t="s">
        <v>71</v>
      </c>
      <c r="C12" s="20">
        <f>'10'!D37</f>
        <v>0.13333333333333333</v>
      </c>
      <c r="D12" s="20">
        <f>'10'!I37</f>
        <v>0.1513122453122675</v>
      </c>
      <c r="E12" s="20">
        <f>'10'!D39</f>
        <v>0.28464557864560081</v>
      </c>
      <c r="F12" s="20">
        <f>'10'!I39</f>
        <v>11.458856594935169</v>
      </c>
      <c r="G12" s="29">
        <v>3</v>
      </c>
      <c r="H12" s="20">
        <f t="shared" si="2"/>
        <v>-8.4588565949351686</v>
      </c>
      <c r="I12" s="20">
        <f t="shared" si="0"/>
        <v>0.5</v>
      </c>
      <c r="J12" s="20">
        <f>'10'!D41</f>
        <v>0.52361245210556251</v>
      </c>
      <c r="K12" s="20">
        <f t="shared" si="1"/>
        <v>2</v>
      </c>
      <c r="L12" s="41">
        <f>'10'!$I$45</f>
        <v>130889.06660620426</v>
      </c>
      <c r="M12" s="41">
        <f>_xlfn.XLOOKUP(A12,COSTOS!$A$2:$A$62,COSTOS!$B$2:$B$62)</f>
        <v>117343.69</v>
      </c>
    </row>
    <row r="13" spans="1:13" x14ac:dyDescent="0.3">
      <c r="A13" s="35">
        <v>63162</v>
      </c>
      <c r="B13" s="33" t="s">
        <v>72</v>
      </c>
      <c r="C13" s="20">
        <f>'11'!D37</f>
        <v>0.33333333333333331</v>
      </c>
      <c r="D13" s="20">
        <f>'11'!I37</f>
        <v>0.39602204450366496</v>
      </c>
      <c r="E13" s="20">
        <f>'11'!D39</f>
        <v>0.72935537783699833</v>
      </c>
      <c r="F13" s="20">
        <f>'11'!I39</f>
        <v>25.355080415191281</v>
      </c>
      <c r="G13" s="29">
        <v>10</v>
      </c>
      <c r="H13" s="20">
        <f t="shared" si="2"/>
        <v>-15.355080415191281</v>
      </c>
      <c r="I13" s="20">
        <f t="shared" si="0"/>
        <v>1.25</v>
      </c>
      <c r="J13" s="20">
        <f>'11'!D41</f>
        <v>0.59159741378745057</v>
      </c>
      <c r="K13" s="20">
        <f t="shared" si="1"/>
        <v>1.5</v>
      </c>
      <c r="L13" s="41">
        <f>'11'!$I$45</f>
        <v>164028.5039256333</v>
      </c>
      <c r="M13" s="41">
        <f>_xlfn.XLOOKUP(A13,COSTOS!$A$2:$A$62,COSTOS!$B$2:$B$62)</f>
        <v>59916.79</v>
      </c>
    </row>
    <row r="14" spans="1:13" x14ac:dyDescent="0.3">
      <c r="A14" s="29">
        <v>63166</v>
      </c>
      <c r="B14" s="32" t="s">
        <v>73</v>
      </c>
      <c r="C14" s="20">
        <f>'12'!D37</f>
        <v>0.17777777777777776</v>
      </c>
      <c r="D14" s="20">
        <f>'12'!I37</f>
        <v>0.25915213107148122</v>
      </c>
      <c r="E14" s="20">
        <f>'12'!D39</f>
        <v>0.43692990884925897</v>
      </c>
      <c r="F14" s="20">
        <f>'12'!I39</f>
        <v>41.466922264955812</v>
      </c>
      <c r="G14" s="29">
        <v>10</v>
      </c>
      <c r="H14" s="20">
        <f t="shared" si="2"/>
        <v>-31.466922264955812</v>
      </c>
      <c r="I14" s="20">
        <f t="shared" si="0"/>
        <v>0.66666666666666663</v>
      </c>
      <c r="J14" s="20">
        <f>'12'!D41</f>
        <v>0.19292485583770694</v>
      </c>
      <c r="K14" s="20">
        <f t="shared" si="1"/>
        <v>0.8</v>
      </c>
      <c r="L14" s="41">
        <f>'12'!$I$45</f>
        <v>22653.22244510068</v>
      </c>
      <c r="M14" s="41">
        <f>_xlfn.XLOOKUP(A14,COSTOS!$A$2:$A$62,COSTOS!$B$2:$B$62)</f>
        <v>15926.95</v>
      </c>
    </row>
    <row r="15" spans="1:13" x14ac:dyDescent="0.3">
      <c r="A15" s="35">
        <v>63727</v>
      </c>
      <c r="B15" s="33" t="s">
        <v>74</v>
      </c>
      <c r="C15" s="20">
        <f>'13'!D37</f>
        <v>5.0666666666666664</v>
      </c>
      <c r="D15" s="20">
        <f>'13'!I37</f>
        <v>1.8971442183983642</v>
      </c>
      <c r="E15" s="20">
        <f>'13'!D39</f>
        <v>6.9638108850650307</v>
      </c>
      <c r="F15" s="20">
        <f>'13'!I39</f>
        <v>99.316286952296565</v>
      </c>
      <c r="G15" s="29">
        <v>20</v>
      </c>
      <c r="H15" s="20">
        <f t="shared" si="2"/>
        <v>-79.316286952296565</v>
      </c>
      <c r="I15" s="20">
        <f t="shared" si="0"/>
        <v>18.999999999999996</v>
      </c>
      <c r="J15" s="20">
        <f>'13'!D41</f>
        <v>2.2956959729023354</v>
      </c>
      <c r="K15" s="20">
        <f t="shared" si="1"/>
        <v>11.399999999999999</v>
      </c>
      <c r="L15" s="41">
        <f>'13'!$I$45</f>
        <v>2201669.9384604245</v>
      </c>
      <c r="M15" s="41">
        <f>_xlfn.XLOOKUP(A15,COSTOS!$A$2:$A$62,COSTOS!$B$2:$B$62)</f>
        <v>2255741.9</v>
      </c>
    </row>
    <row r="16" spans="1:13" x14ac:dyDescent="0.3">
      <c r="A16" s="29">
        <v>63732</v>
      </c>
      <c r="B16" s="32" t="s">
        <v>75</v>
      </c>
      <c r="C16" s="20">
        <f>'14'!D37</f>
        <v>16.866666666666667</v>
      </c>
      <c r="D16" s="20">
        <f>'14'!I37</f>
        <v>8.0489723634151726</v>
      </c>
      <c r="E16" s="20">
        <f>'14'!D39</f>
        <v>24.915639030081842</v>
      </c>
      <c r="F16" s="20">
        <f>'14'!I39</f>
        <v>883.43801420118461</v>
      </c>
      <c r="G16" s="29">
        <v>50</v>
      </c>
      <c r="H16" s="20">
        <f t="shared" si="2"/>
        <v>-833.43801420118461</v>
      </c>
      <c r="I16" s="20">
        <f t="shared" si="0"/>
        <v>63.25</v>
      </c>
      <c r="J16" s="20">
        <f>'14'!D41</f>
        <v>0.85914346881065229</v>
      </c>
      <c r="K16" s="20">
        <f t="shared" si="1"/>
        <v>15.18</v>
      </c>
      <c r="L16" s="41">
        <f>'14'!$I$45</f>
        <v>329929.84377736296</v>
      </c>
      <c r="M16" s="41">
        <f>_xlfn.XLOOKUP(A16,COSTOS!$A$2:$A$62,COSTOS!$B$2:$B$62)</f>
        <v>315652.14</v>
      </c>
    </row>
    <row r="17" spans="1:13" x14ac:dyDescent="0.3">
      <c r="A17" s="35">
        <v>64272</v>
      </c>
      <c r="B17" s="36" t="s">
        <v>76</v>
      </c>
      <c r="C17" s="20">
        <f>'15'!D37</f>
        <v>1864.4444444444446</v>
      </c>
      <c r="D17" s="20">
        <f>'15'!I37</f>
        <v>528.81050077739792</v>
      </c>
      <c r="E17" s="20">
        <f>'15'!D39</f>
        <v>2393.2549452218427</v>
      </c>
      <c r="F17" s="20">
        <f>'15'!I39</f>
        <v>5486.2240847891162</v>
      </c>
      <c r="G17" s="29">
        <v>8000</v>
      </c>
      <c r="H17" s="20">
        <f t="shared" si="2"/>
        <v>2513.7759152108838</v>
      </c>
      <c r="I17" s="20">
        <f t="shared" si="0"/>
        <v>6991.666666666667</v>
      </c>
      <c r="J17" s="20">
        <f>'15'!D41</f>
        <v>15.292849636349663</v>
      </c>
      <c r="K17" s="20">
        <f t="shared" si="1"/>
        <v>10.487500000000001</v>
      </c>
      <c r="L17" s="41">
        <f>'15'!$I$45</f>
        <v>94219176.356290668</v>
      </c>
      <c r="M17" s="41">
        <f>_xlfn.XLOOKUP(A17,COSTOS!$A$2:$A$62,COSTOS!$B$2:$B$62)</f>
        <v>100134101.04000001</v>
      </c>
    </row>
    <row r="18" spans="1:13" x14ac:dyDescent="0.3">
      <c r="A18" s="29">
        <v>64439</v>
      </c>
      <c r="B18" s="32" t="s">
        <v>77</v>
      </c>
      <c r="C18" s="20">
        <f>'16'!D37</f>
        <v>15.555555555555555</v>
      </c>
      <c r="D18" s="20">
        <f>'16'!I37</f>
        <v>8.4020316814509872</v>
      </c>
      <c r="E18" s="20">
        <f>'16'!D39</f>
        <v>23.957587237006543</v>
      </c>
      <c r="F18" s="20">
        <f>'16'!I39</f>
        <v>218.18078781453303</v>
      </c>
      <c r="G18" s="29">
        <v>100</v>
      </c>
      <c r="H18" s="20">
        <f t="shared" si="2"/>
        <v>-118.18078781453303</v>
      </c>
      <c r="I18" s="20">
        <f t="shared" si="0"/>
        <v>58.333333333333336</v>
      </c>
      <c r="J18" s="20">
        <f>'16'!D41</f>
        <v>3.2083484848127082</v>
      </c>
      <c r="K18" s="20">
        <f t="shared" si="1"/>
        <v>7</v>
      </c>
      <c r="L18" s="41">
        <f>'16'!$I$45</f>
        <v>4250676.014427538</v>
      </c>
      <c r="M18" s="41">
        <f>_xlfn.XLOOKUP(A18,COSTOS!$A$2:$A$62,COSTOS!$B$2:$B$62)</f>
        <v>4405939</v>
      </c>
    </row>
    <row r="19" spans="1:13" x14ac:dyDescent="0.3">
      <c r="A19" s="35">
        <v>64440</v>
      </c>
      <c r="B19" s="33" t="s">
        <v>78</v>
      </c>
      <c r="C19" s="20">
        <f>'17'!D37</f>
        <v>43.888888888888893</v>
      </c>
      <c r="D19" s="20">
        <f>'17'!I37</f>
        <v>21.191593724441383</v>
      </c>
      <c r="E19" s="20">
        <f>'17'!D39</f>
        <v>65.080482613330275</v>
      </c>
      <c r="F19" s="20">
        <f>'17'!I39</f>
        <v>364.50298836000928</v>
      </c>
      <c r="G19" s="29">
        <v>200</v>
      </c>
      <c r="H19" s="20">
        <f t="shared" si="2"/>
        <v>-164.50298836000928</v>
      </c>
      <c r="I19" s="20">
        <f t="shared" si="0"/>
        <v>164.58333333333334</v>
      </c>
      <c r="J19" s="20">
        <f>'17'!D41</f>
        <v>5.4183369219715383</v>
      </c>
      <c r="K19" s="20">
        <f t="shared" si="1"/>
        <v>9.8750000000000018</v>
      </c>
      <c r="L19" s="41">
        <f>'17'!$I$45</f>
        <v>11972683.998507414</v>
      </c>
      <c r="M19" s="41">
        <f>_xlfn.XLOOKUP(A19,COSTOS!$A$2:$A$62,COSTOS!$B$2:$B$62)</f>
        <v>12566030.780000001</v>
      </c>
    </row>
    <row r="20" spans="1:13" x14ac:dyDescent="0.3">
      <c r="A20" s="29">
        <v>65453</v>
      </c>
      <c r="B20" s="32" t="s">
        <v>79</v>
      </c>
      <c r="C20" s="20">
        <f>'18'!D37</f>
        <v>15.266666666666666</v>
      </c>
      <c r="D20" s="20">
        <f>'18'!I37</f>
        <v>5.89389845059614</v>
      </c>
      <c r="E20" s="20">
        <f>'18'!D39</f>
        <v>21.160565117262806</v>
      </c>
      <c r="F20" s="20">
        <f>'18'!I39</f>
        <v>148.28781954895143</v>
      </c>
      <c r="G20" s="29">
        <v>70</v>
      </c>
      <c r="H20" s="20">
        <f t="shared" si="2"/>
        <v>-78.287819548951433</v>
      </c>
      <c r="I20" s="20">
        <f t="shared" si="0"/>
        <v>57.25</v>
      </c>
      <c r="J20" s="20">
        <f>'18'!D41</f>
        <v>4.6328822022581146</v>
      </c>
      <c r="K20" s="20">
        <f t="shared" si="1"/>
        <v>9.8142857142857149</v>
      </c>
      <c r="L20" s="41">
        <f>'18'!$I$45</f>
        <v>8778119.8929840345</v>
      </c>
      <c r="M20" s="41">
        <f>_xlfn.XLOOKUP(A20,COSTOS!$A$2:$A$62,COSTOS!$B$2:$B$62)</f>
        <v>9186168.2800000012</v>
      </c>
    </row>
    <row r="21" spans="1:13" x14ac:dyDescent="0.3">
      <c r="A21" s="35">
        <v>65571</v>
      </c>
      <c r="B21" s="33" t="s">
        <v>80</v>
      </c>
      <c r="C21" s="20">
        <f>'19'!D37</f>
        <v>2.6</v>
      </c>
      <c r="D21" s="20">
        <f>'19'!I37</f>
        <v>1.0532245325289189</v>
      </c>
      <c r="E21" s="20">
        <f>'19'!D39</f>
        <v>3.653224532528919</v>
      </c>
      <c r="F21" s="20">
        <f>'19'!I39</f>
        <v>24.219036326432292</v>
      </c>
      <c r="G21" s="29">
        <v>10</v>
      </c>
      <c r="H21" s="20">
        <f t="shared" si="2"/>
        <v>-14.219036326432292</v>
      </c>
      <c r="I21" s="20">
        <f t="shared" si="0"/>
        <v>9.7500000000000018</v>
      </c>
      <c r="J21" s="20">
        <f>'19'!D41</f>
        <v>4.8309106284426342</v>
      </c>
      <c r="K21" s="20">
        <f t="shared" si="1"/>
        <v>11.700000000000001</v>
      </c>
      <c r="L21" s="41">
        <f>'19'!$I$45</f>
        <v>9536718.787715394</v>
      </c>
      <c r="M21" s="41">
        <f>_xlfn.XLOOKUP(A21,COSTOS!$A$2:$A$62,COSTOS!$B$2:$B$62)</f>
        <v>9988557</v>
      </c>
    </row>
    <row r="22" spans="1:13" x14ac:dyDescent="0.3">
      <c r="A22" s="29">
        <v>65576</v>
      </c>
      <c r="B22" s="32" t="s">
        <v>81</v>
      </c>
      <c r="C22" s="20">
        <f>'20'!D37</f>
        <v>7.488888888888888</v>
      </c>
      <c r="D22" s="20">
        <f>'20'!I37</f>
        <v>3.6821558458873396</v>
      </c>
      <c r="E22" s="20">
        <f>'20'!D39</f>
        <v>11.171044734776228</v>
      </c>
      <c r="F22" s="20">
        <f>'20'!I39</f>
        <v>44.012675386106153</v>
      </c>
      <c r="G22" s="29">
        <v>20</v>
      </c>
      <c r="H22" s="20">
        <f t="shared" si="2"/>
        <v>-24.012675386106153</v>
      </c>
      <c r="I22" s="20">
        <f t="shared" si="0"/>
        <v>28.083333333333332</v>
      </c>
      <c r="J22" s="20">
        <f>'20'!D41</f>
        <v>7.6568851369208879</v>
      </c>
      <c r="K22" s="20">
        <f t="shared" si="1"/>
        <v>16.850000000000001</v>
      </c>
      <c r="L22" s="41">
        <f>'20'!$I$45</f>
        <v>23783054.791577198</v>
      </c>
      <c r="M22" s="41">
        <f>_xlfn.XLOOKUP(A22,COSTOS!$A$2:$A$62,COSTOS!$B$2:$B$62)</f>
        <v>25092798.98</v>
      </c>
    </row>
    <row r="23" spans="1:13" x14ac:dyDescent="0.3">
      <c r="A23" s="35">
        <v>67353</v>
      </c>
      <c r="B23" s="33" t="s">
        <v>82</v>
      </c>
      <c r="C23" s="20">
        <f>'21'!D37</f>
        <v>3.8222222222222224</v>
      </c>
      <c r="D23" s="20">
        <f>'21'!I37</f>
        <v>2.0172444013243838</v>
      </c>
      <c r="E23" s="20">
        <f>'21'!D39</f>
        <v>5.8394666235466062</v>
      </c>
      <c r="F23" s="20">
        <f>'21'!I39</f>
        <v>168.61124537264917</v>
      </c>
      <c r="G23" s="29">
        <v>50</v>
      </c>
      <c r="H23" s="20">
        <f t="shared" si="2"/>
        <v>-118.61124537264917</v>
      </c>
      <c r="I23" s="20">
        <f t="shared" si="0"/>
        <v>14.333333333333334</v>
      </c>
      <c r="J23" s="20">
        <f>'21'!D41</f>
        <v>1.0200980345045274</v>
      </c>
      <c r="K23" s="20">
        <f t="shared" si="1"/>
        <v>3.44</v>
      </c>
      <c r="L23" s="41">
        <f>'21'!$I$45</f>
        <v>457532.0945253016</v>
      </c>
      <c r="M23" s="41">
        <f>_xlfn.XLOOKUP(A23,COSTOS!$A$2:$A$62,COSTOS!$B$2:$B$62)</f>
        <v>445300.83</v>
      </c>
    </row>
    <row r="24" spans="1:13" x14ac:dyDescent="0.3">
      <c r="A24" s="29">
        <v>67380</v>
      </c>
      <c r="B24" s="32" t="s">
        <v>83</v>
      </c>
      <c r="C24" s="20">
        <f>'22'!D37</f>
        <v>27.466666666666665</v>
      </c>
      <c r="D24" s="20">
        <f>'22'!I37</f>
        <v>18.011115482232203</v>
      </c>
      <c r="E24" s="20">
        <f>'22'!D39</f>
        <v>45.477782148898868</v>
      </c>
      <c r="F24" s="20">
        <f>'22'!I39</f>
        <v>514.18384527128808</v>
      </c>
      <c r="G24" s="29">
        <v>100</v>
      </c>
      <c r="H24" s="20">
        <f t="shared" si="2"/>
        <v>-414.18384527128808</v>
      </c>
      <c r="I24" s="20">
        <f t="shared" si="0"/>
        <v>103</v>
      </c>
      <c r="J24" s="20">
        <f>'22'!D41</f>
        <v>2.4038094766432718</v>
      </c>
      <c r="K24" s="20">
        <f t="shared" si="1"/>
        <v>12.36</v>
      </c>
      <c r="L24" s="41">
        <f>'22'!$I$45</f>
        <v>2410840.4576609083</v>
      </c>
      <c r="M24" s="41">
        <f>_xlfn.XLOOKUP(A24,COSTOS!$A$2:$A$62,COSTOS!$B$2:$B$62)</f>
        <v>2473281.46</v>
      </c>
    </row>
    <row r="25" spans="1:13" x14ac:dyDescent="0.3">
      <c r="A25" s="35">
        <v>67596</v>
      </c>
      <c r="B25" s="33" t="s">
        <v>84</v>
      </c>
      <c r="C25" s="20">
        <f>'23'!D37</f>
        <v>382.22222222222217</v>
      </c>
      <c r="D25" s="20">
        <f>'23'!I37</f>
        <v>184.03188056328463</v>
      </c>
      <c r="E25" s="20">
        <f>'23'!D39</f>
        <v>566.2541027855068</v>
      </c>
      <c r="F25" s="20">
        <f>'23'!I39</f>
        <v>11614.730336271854</v>
      </c>
      <c r="G25" s="29">
        <v>1500</v>
      </c>
      <c r="H25" s="20">
        <f t="shared" si="2"/>
        <v>-10114.730336271854</v>
      </c>
      <c r="I25" s="20">
        <f t="shared" si="0"/>
        <v>1433.3333333333333</v>
      </c>
      <c r="J25" s="20">
        <f>'23'!D41</f>
        <v>1.4808781178746617</v>
      </c>
      <c r="K25" s="20">
        <f t="shared" si="1"/>
        <v>11.466666666666667</v>
      </c>
      <c r="L25" s="41">
        <f>'23'!$I$45</f>
        <v>937373.68730585917</v>
      </c>
      <c r="M25" s="41">
        <f>_xlfn.XLOOKUP(A25,COSTOS!$A$2:$A$62,COSTOS!$B$2:$B$62)</f>
        <v>930626.08000000007</v>
      </c>
    </row>
    <row r="26" spans="1:13" x14ac:dyDescent="0.3">
      <c r="A26" s="29">
        <v>67717</v>
      </c>
      <c r="B26" s="32" t="s">
        <v>85</v>
      </c>
      <c r="C26" s="20">
        <f>'24'!D37</f>
        <v>3.3111111111111109</v>
      </c>
      <c r="D26" s="20">
        <f>'24'!I37</f>
        <v>2.0243256208306444</v>
      </c>
      <c r="E26" s="20">
        <f>'24'!D39</f>
        <v>5.3354367319417548</v>
      </c>
      <c r="F26" s="20">
        <f>'24'!I39</f>
        <v>28.487273309526117</v>
      </c>
      <c r="G26" s="29">
        <v>10</v>
      </c>
      <c r="H26" s="20">
        <f t="shared" si="2"/>
        <v>-18.487273309526117</v>
      </c>
      <c r="I26" s="20">
        <f t="shared" si="0"/>
        <v>12.416666666666666</v>
      </c>
      <c r="J26" s="20">
        <f>'24'!D41</f>
        <v>5.2304058159955433</v>
      </c>
      <c r="K26" s="20">
        <f t="shared" si="1"/>
        <v>14.9</v>
      </c>
      <c r="L26" s="41">
        <f>'24'!$I$45</f>
        <v>11166941.284864327</v>
      </c>
      <c r="M26" s="41">
        <f>_xlfn.XLOOKUP(A26,COSTOS!$A$2:$A$62,COSTOS!$B$2:$B$62)</f>
        <v>11708810.98</v>
      </c>
    </row>
    <row r="27" spans="1:13" x14ac:dyDescent="0.3">
      <c r="A27" s="35">
        <v>68979</v>
      </c>
      <c r="B27" s="33" t="s">
        <v>86</v>
      </c>
      <c r="C27" s="20">
        <f>'25'!D37</f>
        <v>6.0888888888888886</v>
      </c>
      <c r="D27" s="20">
        <f>'25'!I37</f>
        <v>2.875463532078026</v>
      </c>
      <c r="E27" s="20">
        <f>'25'!D39</f>
        <v>8.9643524209669145</v>
      </c>
      <c r="F27" s="20">
        <f>'25'!I39</f>
        <v>229.38269033861363</v>
      </c>
      <c r="G27" s="29">
        <v>24</v>
      </c>
      <c r="H27" s="20">
        <f t="shared" si="2"/>
        <v>-205.38269033861363</v>
      </c>
      <c r="I27" s="20">
        <f t="shared" si="0"/>
        <v>22.833333333333332</v>
      </c>
      <c r="J27" s="20">
        <f>'25'!D41</f>
        <v>1.1945103599383307</v>
      </c>
      <c r="K27" s="20">
        <f t="shared" si="1"/>
        <v>11.416666666666666</v>
      </c>
      <c r="L27" s="41">
        <f>'25'!$I$45</f>
        <v>619121.37345126504</v>
      </c>
      <c r="M27" s="41">
        <f>_xlfn.XLOOKUP(A27,COSTOS!$A$2:$A$62,COSTOS!$B$2:$B$62)</f>
        <v>610559.12</v>
      </c>
    </row>
    <row r="28" spans="1:13" x14ac:dyDescent="0.3">
      <c r="A28" s="29">
        <v>69176</v>
      </c>
      <c r="B28" s="37" t="s">
        <v>87</v>
      </c>
      <c r="C28" s="20">
        <f>'26'!D37</f>
        <v>797.77777777777771</v>
      </c>
      <c r="D28" s="20">
        <f>'26'!I37</f>
        <v>342.97627701952553</v>
      </c>
      <c r="E28" s="20">
        <f>'26'!D39</f>
        <v>1140.7540547973033</v>
      </c>
      <c r="F28" s="20">
        <f>'26'!I39</f>
        <v>3587.1135349393112</v>
      </c>
      <c r="G28" s="29">
        <v>2000</v>
      </c>
      <c r="H28" s="20">
        <f t="shared" si="2"/>
        <v>-1587.1135349393112</v>
      </c>
      <c r="I28" s="20">
        <f t="shared" si="0"/>
        <v>2991.6666666666665</v>
      </c>
      <c r="J28" s="20">
        <f>'26'!D41</f>
        <v>10.00804676248068</v>
      </c>
      <c r="K28" s="20">
        <f t="shared" si="1"/>
        <v>17.95</v>
      </c>
      <c r="L28" s="41">
        <f>'26'!$I$45</f>
        <v>40502998.023014605</v>
      </c>
      <c r="M28" s="41">
        <f>_xlfn.XLOOKUP(A28,COSTOS!$A$2:$A$62,COSTOS!$B$2:$B$62)</f>
        <v>42858096.719999999</v>
      </c>
    </row>
    <row r="29" spans="1:13" x14ac:dyDescent="0.3">
      <c r="A29" s="35">
        <v>69302</v>
      </c>
      <c r="B29" s="30" t="s">
        <v>88</v>
      </c>
      <c r="C29" s="20">
        <f>'27'!D37</f>
        <v>15.822222222222223</v>
      </c>
      <c r="D29" s="20">
        <f>'27'!I37</f>
        <v>12.949829655872263</v>
      </c>
      <c r="E29" s="20">
        <f>'27'!D39</f>
        <v>28.772051878094487</v>
      </c>
      <c r="F29" s="20">
        <f>'27'!I39</f>
        <v>244.27233019087174</v>
      </c>
      <c r="G29" s="29">
        <v>40</v>
      </c>
      <c r="H29" s="20">
        <f t="shared" si="2"/>
        <v>-204.27233019087174</v>
      </c>
      <c r="I29" s="20">
        <f t="shared" si="0"/>
        <v>59.333333333333336</v>
      </c>
      <c r="J29" s="20">
        <f>'27'!D41</f>
        <v>2.9147795800025773</v>
      </c>
      <c r="K29" s="20">
        <f t="shared" si="1"/>
        <v>17.8</v>
      </c>
      <c r="L29" s="41">
        <f>'27'!$I$45</f>
        <v>3521148.136894851</v>
      </c>
      <c r="M29" s="41">
        <f>_xlfn.XLOOKUP(A29,COSTOS!$A$2:$A$62,COSTOS!$B$2:$B$62)</f>
        <v>3636188.49</v>
      </c>
    </row>
    <row r="30" spans="1:13" x14ac:dyDescent="0.3">
      <c r="A30" s="29">
        <v>70273</v>
      </c>
      <c r="B30" s="32" t="s">
        <v>89</v>
      </c>
      <c r="C30" s="20">
        <f>'28'!D37</f>
        <v>8.9777777777777779</v>
      </c>
      <c r="D30" s="20">
        <f>'28'!I37</f>
        <v>14.703730618990233</v>
      </c>
      <c r="E30" s="20">
        <f>'28'!D39</f>
        <v>23.68150839676801</v>
      </c>
      <c r="F30" s="20">
        <f>'28'!I39</f>
        <v>550.11064600354894</v>
      </c>
      <c r="G30" s="29">
        <v>100</v>
      </c>
      <c r="H30" s="20">
        <f t="shared" si="2"/>
        <v>-450.11064600354894</v>
      </c>
      <c r="I30" s="20">
        <f t="shared" si="0"/>
        <v>33.666666666666664</v>
      </c>
      <c r="J30" s="20">
        <f>'28'!D41</f>
        <v>0.73439771241473784</v>
      </c>
      <c r="K30" s="20">
        <f t="shared" si="1"/>
        <v>4.04</v>
      </c>
      <c r="L30" s="41">
        <f>'28'!$I$45</f>
        <v>245897.0877116436</v>
      </c>
      <c r="M30" s="41">
        <f>_xlfn.XLOOKUP(A30,COSTOS!$A$2:$A$62,COSTOS!$B$2:$B$62)</f>
        <v>242486.61000000002</v>
      </c>
    </row>
    <row r="31" spans="1:13" x14ac:dyDescent="0.3">
      <c r="A31" s="35">
        <v>70274</v>
      </c>
      <c r="B31" s="33" t="s">
        <v>90</v>
      </c>
      <c r="C31" s="20">
        <f>'29'!D37</f>
        <v>17.600000000000001</v>
      </c>
      <c r="D31" s="20">
        <f>'29'!I37</f>
        <v>15.132434980773207</v>
      </c>
      <c r="E31" s="20">
        <f>'29'!D39</f>
        <v>32.732434980773206</v>
      </c>
      <c r="F31" s="20">
        <f>'29'!I39</f>
        <v>877.95382549882947</v>
      </c>
      <c r="G31" s="29">
        <v>50</v>
      </c>
      <c r="H31" s="20">
        <f t="shared" si="2"/>
        <v>-827.95382549882947</v>
      </c>
      <c r="I31" s="20">
        <f t="shared" si="0"/>
        <v>66</v>
      </c>
      <c r="J31" s="20">
        <f>'29'!D41</f>
        <v>0.90209755570004735</v>
      </c>
      <c r="K31" s="20">
        <f t="shared" si="1"/>
        <v>15.84</v>
      </c>
      <c r="L31" s="41">
        <f>'29'!$I$45</f>
        <v>362217.84530571167</v>
      </c>
      <c r="M31" s="41">
        <f>_xlfn.XLOOKUP(A31,COSTOS!$A$2:$A$62,COSTOS!$B$2:$B$62)</f>
        <v>348421.96</v>
      </c>
    </row>
    <row r="32" spans="1:13" x14ac:dyDescent="0.3">
      <c r="A32" s="29">
        <v>70561</v>
      </c>
      <c r="B32" s="32" t="s">
        <v>91</v>
      </c>
      <c r="C32" s="20">
        <f>'30'!D37</f>
        <v>35.93333333333333</v>
      </c>
      <c r="D32" s="20">
        <f>'30'!I37</f>
        <v>20.506494003972694</v>
      </c>
      <c r="E32" s="20">
        <f>'30'!D39</f>
        <v>56.439827337306028</v>
      </c>
      <c r="F32" s="20">
        <f>'30'!I39</f>
        <v>2695.8144836648307</v>
      </c>
      <c r="G32" s="29">
        <v>200</v>
      </c>
      <c r="H32" s="20">
        <f t="shared" si="2"/>
        <v>-2495.8144836648307</v>
      </c>
      <c r="I32" s="20">
        <f t="shared" si="0"/>
        <v>134.75</v>
      </c>
      <c r="J32" s="20">
        <f>'30'!D41</f>
        <v>0.5998187226154249</v>
      </c>
      <c r="K32" s="20">
        <f t="shared" si="1"/>
        <v>8.0850000000000009</v>
      </c>
      <c r="L32" s="41">
        <f>'30'!$I$45</f>
        <v>168088.25670125237</v>
      </c>
      <c r="M32" s="41">
        <f>_xlfn.XLOOKUP(A32,COSTOS!$A$2:$A$62,COSTOS!$B$2:$B$62)</f>
        <v>153530.02000000002</v>
      </c>
    </row>
    <row r="33" spans="1:13" x14ac:dyDescent="0.3">
      <c r="A33" s="35">
        <v>70571</v>
      </c>
      <c r="B33" s="33" t="s">
        <v>92</v>
      </c>
      <c r="C33" s="20">
        <f>'31'!D37</f>
        <v>25.6</v>
      </c>
      <c r="D33" s="20">
        <f>'31'!I37</f>
        <v>18.542758497155454</v>
      </c>
      <c r="E33" s="20">
        <f>'31'!D39</f>
        <v>44.142758497155455</v>
      </c>
      <c r="F33" s="20">
        <f>'31'!I39</f>
        <v>1632.0489622033101</v>
      </c>
      <c r="G33" s="29">
        <v>200</v>
      </c>
      <c r="H33" s="20">
        <f t="shared" si="2"/>
        <v>-1432.0489622033101</v>
      </c>
      <c r="I33" s="20">
        <f t="shared" si="0"/>
        <v>96</v>
      </c>
      <c r="J33" s="20">
        <f>'31'!D41</f>
        <v>0.70586117615293165</v>
      </c>
      <c r="K33" s="20">
        <f t="shared" si="1"/>
        <v>5.76</v>
      </c>
      <c r="L33" s="41">
        <f>'31'!$I$45</f>
        <v>227851.23676811805</v>
      </c>
      <c r="M33" s="41">
        <f>_xlfn.XLOOKUP(A33,COSTOS!$A$2:$A$62,COSTOS!$B$2:$B$62)</f>
        <v>213396.52000000002</v>
      </c>
    </row>
    <row r="34" spans="1:13" x14ac:dyDescent="0.3">
      <c r="A34" s="29">
        <v>70588</v>
      </c>
      <c r="B34" s="32" t="s">
        <v>93</v>
      </c>
      <c r="C34" s="20">
        <f>'32'!D37</f>
        <v>14.088888888888889</v>
      </c>
      <c r="D34" s="20">
        <f>'32'!I37</f>
        <v>6.7437294891822752</v>
      </c>
      <c r="E34" s="20">
        <f>'32'!D39</f>
        <v>20.832618378071164</v>
      </c>
      <c r="F34" s="20">
        <f>'32'!I39</f>
        <v>776.12840233566635</v>
      </c>
      <c r="G34" s="29">
        <v>70</v>
      </c>
      <c r="H34" s="20">
        <f t="shared" si="2"/>
        <v>-706.12840233566635</v>
      </c>
      <c r="I34" s="20">
        <f t="shared" si="0"/>
        <v>52.833333333333336</v>
      </c>
      <c r="J34" s="20">
        <f>'32'!D41</f>
        <v>0.81687514345828893</v>
      </c>
      <c r="K34" s="20">
        <f t="shared" si="1"/>
        <v>9.0571428571428569</v>
      </c>
      <c r="L34" s="41">
        <f>'32'!$I$45</f>
        <v>299872.91674982611</v>
      </c>
      <c r="M34" s="41">
        <f>_xlfn.XLOOKUP(A34,COSTOS!$A$2:$A$62,COSTOS!$B$2:$B$62)</f>
        <v>285347.60000000003</v>
      </c>
    </row>
    <row r="35" spans="1:13" x14ac:dyDescent="0.3">
      <c r="A35" s="35">
        <v>70637</v>
      </c>
      <c r="B35" s="33" t="s">
        <v>94</v>
      </c>
      <c r="C35" s="20">
        <f>'33'!D37</f>
        <v>7.0444444444444443</v>
      </c>
      <c r="D35" s="20">
        <f>'33'!I37</f>
        <v>1.7396521795864786</v>
      </c>
      <c r="E35" s="20">
        <f>'33'!D39</f>
        <v>8.7840966240309228</v>
      </c>
      <c r="F35" s="20">
        <f>'33'!I39</f>
        <v>63.7595109740693</v>
      </c>
      <c r="G35" s="29">
        <v>20</v>
      </c>
      <c r="H35" s="20">
        <f t="shared" si="2"/>
        <v>-43.7595109740693</v>
      </c>
      <c r="I35" s="20">
        <f t="shared" si="0"/>
        <v>26.416666666666668</v>
      </c>
      <c r="J35" s="20">
        <f>'33'!D41</f>
        <v>4.9718072669804894</v>
      </c>
      <c r="K35" s="20">
        <f t="shared" si="1"/>
        <v>15.85</v>
      </c>
      <c r="L35" s="41">
        <f>'33'!$I$45</f>
        <v>10091845.439792568</v>
      </c>
      <c r="M35" s="41">
        <f>_xlfn.XLOOKUP(A35,COSTOS!$A$2:$A$62,COSTOS!$B$2:$B$62)</f>
        <v>10647435.18</v>
      </c>
    </row>
    <row r="36" spans="1:13" x14ac:dyDescent="0.3">
      <c r="A36" s="29">
        <v>74796</v>
      </c>
      <c r="B36" s="32" t="s">
        <v>95</v>
      </c>
      <c r="C36" s="20">
        <f>'34'!D37</f>
        <v>10</v>
      </c>
      <c r="D36" s="20">
        <f>'34'!I37</f>
        <v>4.6877500657635256</v>
      </c>
      <c r="E36" s="20">
        <f>'34'!D39</f>
        <v>14.687750065763526</v>
      </c>
      <c r="F36" s="20">
        <f>'34'!I39</f>
        <v>208.84256478158497</v>
      </c>
      <c r="G36" s="29">
        <v>25</v>
      </c>
      <c r="H36" s="20">
        <f t="shared" si="2"/>
        <v>-183.84256478158497</v>
      </c>
      <c r="I36" s="20">
        <f t="shared" si="0"/>
        <v>37.5</v>
      </c>
      <c r="J36" s="20">
        <f>'34'!D41</f>
        <v>2.1547331621340033</v>
      </c>
      <c r="K36" s="20">
        <f t="shared" si="1"/>
        <v>18</v>
      </c>
      <c r="L36" s="41">
        <f>'34'!$I$45</f>
        <v>1945273.9609375007</v>
      </c>
      <c r="M36" s="41">
        <f>_xlfn.XLOOKUP(A36,COSTOS!$A$2:$A$62,COSTOS!$B$2:$B$62)</f>
        <v>1986963.25</v>
      </c>
    </row>
    <row r="37" spans="1:13" x14ac:dyDescent="0.3">
      <c r="A37" s="35">
        <v>75761</v>
      </c>
      <c r="B37" s="33" t="s">
        <v>96</v>
      </c>
      <c r="C37" s="20">
        <f>'35'!D37</f>
        <v>2.5555555555555558</v>
      </c>
      <c r="D37" s="20">
        <f>'35'!I37</f>
        <v>1.3067574068850938</v>
      </c>
      <c r="E37" s="20">
        <f>'35'!D39</f>
        <v>3.8623129624406496</v>
      </c>
      <c r="F37" s="20">
        <f>'35'!I39</f>
        <v>107.50715764414767</v>
      </c>
      <c r="G37" s="29">
        <v>10</v>
      </c>
      <c r="H37" s="20">
        <f t="shared" si="2"/>
        <v>-97.507157644147668</v>
      </c>
      <c r="I37" s="20">
        <f t="shared" si="0"/>
        <v>9.5833333333333339</v>
      </c>
      <c r="J37" s="20">
        <f>'35'!D41</f>
        <v>1.0696962185592693</v>
      </c>
      <c r="K37" s="20">
        <f t="shared" si="1"/>
        <v>11.5</v>
      </c>
      <c r="L37" s="41">
        <f>'35'!$I$45</f>
        <v>501007.93819031102</v>
      </c>
      <c r="M37" s="41">
        <f>_xlfn.XLOOKUP(A37,COSTOS!$A$2:$A$62,COSTOS!$B$2:$B$62)</f>
        <v>489732.58</v>
      </c>
    </row>
    <row r="38" spans="1:13" x14ac:dyDescent="0.3">
      <c r="A38" s="29">
        <v>78094</v>
      </c>
      <c r="B38" s="31" t="s">
        <v>97</v>
      </c>
      <c r="C38" s="20">
        <f>'36'!D37</f>
        <v>0.13333333333333333</v>
      </c>
      <c r="D38" s="20">
        <f>'36'!I37</f>
        <v>0.27900599451785157</v>
      </c>
      <c r="E38" s="20">
        <f>'36'!D39</f>
        <v>0.41233932785118488</v>
      </c>
      <c r="F38" s="20">
        <f>'36'!I39</f>
        <v>4.1024022752913902</v>
      </c>
      <c r="G38" s="29">
        <v>8</v>
      </c>
      <c r="H38" s="20">
        <f t="shared" si="2"/>
        <v>3.8975977247086098</v>
      </c>
      <c r="I38" s="20">
        <f t="shared" si="0"/>
        <v>0.5</v>
      </c>
      <c r="J38" s="20">
        <f>'36'!D41</f>
        <v>1.4625576911698219</v>
      </c>
      <c r="K38" s="20">
        <f t="shared" si="1"/>
        <v>0.75</v>
      </c>
      <c r="L38" s="41">
        <f>'36'!$I$45</f>
        <v>918111.07263161475</v>
      </c>
      <c r="M38" s="41">
        <f>_xlfn.XLOOKUP(A38,COSTOS!$A$2:$A$62,COSTOS!$B$2:$B$62)</f>
        <v>915523.03</v>
      </c>
    </row>
    <row r="39" spans="1:13" x14ac:dyDescent="0.3">
      <c r="A39" s="35">
        <v>78099</v>
      </c>
      <c r="B39" s="30" t="s">
        <v>98</v>
      </c>
      <c r="C39" s="20">
        <f>'37'!D37</f>
        <v>0.31111111111111112</v>
      </c>
      <c r="D39" s="20">
        <f>'37'!I37</f>
        <v>0.61896388106476763</v>
      </c>
      <c r="E39" s="20">
        <f>'37'!D39</f>
        <v>0.93007499217587875</v>
      </c>
      <c r="F39" s="20">
        <f>'37'!I39</f>
        <v>21.446653171023982</v>
      </c>
      <c r="G39" s="29">
        <v>16</v>
      </c>
      <c r="H39" s="20">
        <f t="shared" si="2"/>
        <v>-5.4466531710239821</v>
      </c>
      <c r="I39" s="20">
        <f t="shared" si="0"/>
        <v>1.1666666666666667</v>
      </c>
      <c r="J39" s="20">
        <f>'37'!D41</f>
        <v>0.65278250589304243</v>
      </c>
      <c r="K39" s="20">
        <f t="shared" si="1"/>
        <v>0.875</v>
      </c>
      <c r="L39" s="41">
        <f>'37'!$I$45</f>
        <v>197314.88876091805</v>
      </c>
      <c r="M39" s="41">
        <f>_xlfn.XLOOKUP(A39,COSTOS!$A$2:$A$62,COSTOS!$B$2:$B$62)</f>
        <v>182380.43000000002</v>
      </c>
    </row>
    <row r="40" spans="1:13" ht="15" thickBot="1" x14ac:dyDescent="0.35">
      <c r="A40" s="29">
        <v>86642</v>
      </c>
      <c r="B40" s="38" t="s">
        <v>99</v>
      </c>
      <c r="C40" s="20">
        <f>'38'!D37</f>
        <v>8.5333333333333332</v>
      </c>
      <c r="D40" s="20">
        <f>'38'!I37</f>
        <v>10.786345172793453</v>
      </c>
      <c r="E40" s="20">
        <f>'38'!D39</f>
        <v>19.319678506126785</v>
      </c>
      <c r="F40" s="20">
        <f>'38'!I39</f>
        <v>501.80003854974404</v>
      </c>
      <c r="G40" s="29">
        <v>500</v>
      </c>
      <c r="H40" s="20">
        <f t="shared" si="2"/>
        <v>-1.8000385497440448</v>
      </c>
      <c r="I40" s="20">
        <f t="shared" si="0"/>
        <v>32</v>
      </c>
      <c r="J40" s="42">
        <f>'38'!D41</f>
        <v>0.76524505878835958</v>
      </c>
      <c r="K40" s="42">
        <f t="shared" si="1"/>
        <v>0.76800000000000002</v>
      </c>
      <c r="L40" s="43">
        <f>'38'!$I$45</f>
        <v>265507.76940707478</v>
      </c>
      <c r="M40" s="43">
        <f>_xlfn.XLOOKUP(A40,COSTOS!$A$2:$A$62,COSTOS!$B$2:$B$62)</f>
        <v>250569.39</v>
      </c>
    </row>
    <row r="41" spans="1:13" ht="18.600000000000001" customHeight="1" thickBot="1" x14ac:dyDescent="0.35">
      <c r="A41" s="3"/>
      <c r="B41" s="48"/>
      <c r="C41" s="49"/>
      <c r="D41" s="49"/>
      <c r="E41" s="49"/>
      <c r="F41" s="49"/>
      <c r="G41" s="3"/>
      <c r="H41" s="49"/>
      <c r="I41" s="49"/>
      <c r="J41" s="57" t="s">
        <v>108</v>
      </c>
      <c r="K41" s="58"/>
      <c r="L41" s="50" t="s">
        <v>60</v>
      </c>
      <c r="M41" s="51" t="s">
        <v>106</v>
      </c>
    </row>
    <row r="42" spans="1:13" ht="40.200000000000003" customHeight="1" thickBot="1" x14ac:dyDescent="0.35">
      <c r="J42" s="59"/>
      <c r="K42" s="60"/>
      <c r="L42" s="46">
        <f>SUM(L3:L40)</f>
        <v>244261054.66454256</v>
      </c>
      <c r="M42" s="47">
        <f>SUM(M3:M40)</f>
        <v>256919419.4900001</v>
      </c>
    </row>
    <row r="43" spans="1:13" ht="15" thickBot="1" x14ac:dyDescent="0.35">
      <c r="J43" s="55" t="s">
        <v>110</v>
      </c>
      <c r="K43" s="56"/>
      <c r="L43" s="53">
        <f>(M42-L42)/M42</f>
        <v>4.9269786030908556E-2</v>
      </c>
      <c r="M43" s="54"/>
    </row>
  </sheetData>
  <mergeCells count="9">
    <mergeCell ref="L1:M1"/>
    <mergeCell ref="L43:M43"/>
    <mergeCell ref="J43:K43"/>
    <mergeCell ref="J41:K42"/>
    <mergeCell ref="A1:A2"/>
    <mergeCell ref="B1:B2"/>
    <mergeCell ref="F1:I1"/>
    <mergeCell ref="J1:K1"/>
    <mergeCell ref="C1:E1"/>
  </mergeCells>
  <conditionalFormatting sqref="H3:H41">
    <cfRule type="cellIs" dxfId="27" priority="13" operator="lessThan">
      <formula>0</formula>
    </cfRule>
    <cfRule type="cellIs" dxfId="26" priority="14" operator="greaterThan">
      <formula>0</formula>
    </cfRule>
  </conditionalFormatting>
  <conditionalFormatting sqref="I3:I41">
    <cfRule type="cellIs" dxfId="25" priority="12" operator="lessThan">
      <formula>G3</formula>
    </cfRule>
  </conditionalFormatting>
  <conditionalFormatting sqref="I7">
    <cfRule type="cellIs" dxfId="24" priority="11" operator="greaterThan">
      <formula>$G$7</formula>
    </cfRule>
  </conditionalFormatting>
  <conditionalFormatting sqref="I8">
    <cfRule type="cellIs" dxfId="23" priority="10" operator="greaterThan">
      <formula>$G$8</formula>
    </cfRule>
  </conditionalFormatting>
  <conditionalFormatting sqref="I16">
    <cfRule type="cellIs" dxfId="22" priority="9" operator="greaterThan">
      <formula>$G$16</formula>
    </cfRule>
  </conditionalFormatting>
  <conditionalFormatting sqref="I22">
    <cfRule type="cellIs" dxfId="21" priority="8" operator="greaterThan">
      <formula>$G$22</formula>
    </cfRule>
  </conditionalFormatting>
  <conditionalFormatting sqref="I24">
    <cfRule type="cellIs" dxfId="20" priority="7" operator="greaterThan">
      <formula>$G$24</formula>
    </cfRule>
  </conditionalFormatting>
  <conditionalFormatting sqref="I26">
    <cfRule type="cellIs" dxfId="19" priority="6" operator="greaterThan">
      <formula>$G$26</formula>
    </cfRule>
  </conditionalFormatting>
  <conditionalFormatting sqref="I28">
    <cfRule type="cellIs" dxfId="18" priority="5" operator="greaterThan">
      <formula>$G$28</formula>
    </cfRule>
  </conditionalFormatting>
  <conditionalFormatting sqref="I29">
    <cfRule type="cellIs" dxfId="17" priority="4" operator="greaterThan">
      <formula>$G$29</formula>
    </cfRule>
  </conditionalFormatting>
  <conditionalFormatting sqref="I31">
    <cfRule type="cellIs" dxfId="16" priority="3" operator="greaterThan">
      <formula>$G$31</formula>
    </cfRule>
  </conditionalFormatting>
  <conditionalFormatting sqref="I35">
    <cfRule type="cellIs" dxfId="15" priority="2" operator="greaterThan">
      <formula>$G$35</formula>
    </cfRule>
  </conditionalFormatting>
  <conditionalFormatting sqref="I36">
    <cfRule type="cellIs" dxfId="14" priority="1" operator="greaterThan">
      <formula>$G$36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5DCD-3067-4ABD-A8AE-466C0F446F96}">
  <sheetPr>
    <pageSetUpPr fitToPage="1"/>
  </sheetPr>
  <dimension ref="B1:N45"/>
  <sheetViews>
    <sheetView topLeftCell="A24" zoomScale="90" zoomScaleNormal="90" workbookViewId="0">
      <selection activeCell="F31" sqref="F31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63138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69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0</v>
      </c>
      <c r="D9" s="6" t="s">
        <v>26</v>
      </c>
      <c r="E9" s="9">
        <v>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6</v>
      </c>
      <c r="D11" s="6" t="s">
        <v>27</v>
      </c>
      <c r="E11" s="9">
        <v>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6</v>
      </c>
      <c r="D13" s="6" t="s">
        <v>28</v>
      </c>
      <c r="E13" s="9">
        <v>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3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0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0</v>
      </c>
      <c r="D19" s="6" t="s">
        <v>31</v>
      </c>
      <c r="E19" s="9">
        <v>1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16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1.3333333333333333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99.719781014780878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10216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1021.6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2.3484359721209169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0.35555555555555551</v>
      </c>
      <c r="E37" s="84"/>
      <c r="F37" s="68" t="s">
        <v>40</v>
      </c>
      <c r="G37" s="69"/>
      <c r="H37" s="70"/>
      <c r="I37" s="27">
        <f>D37*(D35*I35/(D23))</f>
        <v>0.52706495461957692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0.88262051017513243</v>
      </c>
      <c r="E39" s="78"/>
      <c r="F39" s="79" t="s">
        <v>43</v>
      </c>
      <c r="G39" s="80"/>
      <c r="H39" s="81"/>
      <c r="I39" s="28">
        <f>SQRT(2*G30*D21/G32)</f>
        <v>25.029348474202635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0.6392495600311352</v>
      </c>
      <c r="E41" s="84"/>
      <c r="F41" s="85" t="s">
        <v>44</v>
      </c>
      <c r="G41" s="86"/>
      <c r="H41" s="87"/>
      <c r="I41" s="24">
        <f>G30*D41</f>
        <v>12784.991200622704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13323.440758262066</v>
      </c>
      <c r="E43" s="90"/>
      <c r="F43" s="91" t="s">
        <v>46</v>
      </c>
      <c r="G43" s="92"/>
      <c r="H43" s="93"/>
      <c r="I43" s="25">
        <f>D43+I41</f>
        <v>26108.431958884772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570.98201206774763</v>
      </c>
      <c r="E45" s="84"/>
      <c r="F45" s="75" t="s">
        <v>48</v>
      </c>
      <c r="G45" s="76"/>
      <c r="H45" s="77"/>
      <c r="I45" s="26">
        <f>I43+(G28*D21)</f>
        <v>189564.43195888476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2C9D3CF9-4476-49EE-96D7-7E8E8577C5F4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E0AE-7EDA-4856-B387-72C1D90E7F49}">
  <sheetPr>
    <pageSetUpPr fitToPage="1"/>
  </sheetPr>
  <dimension ref="B1:N45"/>
  <sheetViews>
    <sheetView topLeftCell="A28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63140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70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3</v>
      </c>
      <c r="D9" s="6" t="s">
        <v>26</v>
      </c>
      <c r="E9" s="9">
        <v>15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13</v>
      </c>
      <c r="D11" s="6" t="s">
        <v>27</v>
      </c>
      <c r="E11" s="9">
        <v>9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48</v>
      </c>
      <c r="D13" s="6" t="s">
        <v>28</v>
      </c>
      <c r="E13" s="9">
        <v>30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15</v>
      </c>
      <c r="D15" s="6" t="s">
        <v>29</v>
      </c>
      <c r="E15" s="9">
        <v>27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18</v>
      </c>
      <c r="D17" s="6" t="s">
        <v>30</v>
      </c>
      <c r="E17" s="9">
        <v>21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23</v>
      </c>
      <c r="D19" s="6" t="s">
        <v>31</v>
      </c>
      <c r="E19" s="9">
        <v>21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243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20.25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99.471799011283451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2390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239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11.505927326224672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5.4</v>
      </c>
      <c r="E37" s="84"/>
      <c r="F37" s="68" t="s">
        <v>40</v>
      </c>
      <c r="G37" s="69"/>
      <c r="H37" s="70"/>
      <c r="I37" s="27">
        <f>D37*(D35*I35/(D23))</f>
        <v>2.582302066586005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7.9823020665860049</v>
      </c>
      <c r="E39" s="78"/>
      <c r="F39" s="79" t="s">
        <v>43</v>
      </c>
      <c r="G39" s="80"/>
      <c r="H39" s="81"/>
      <c r="I39" s="28">
        <f>SQRT(2*G30*D21/G32)</f>
        <v>201.66669548278318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1.2049585055096297</v>
      </c>
      <c r="E41" s="84"/>
      <c r="F41" s="85" t="s">
        <v>44</v>
      </c>
      <c r="G41" s="86"/>
      <c r="H41" s="87"/>
      <c r="I41" s="24">
        <f>G30*D41</f>
        <v>24099.170110192594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24716.340304106649</v>
      </c>
      <c r="E43" s="90"/>
      <c r="F43" s="91" t="s">
        <v>46</v>
      </c>
      <c r="G43" s="92"/>
      <c r="H43" s="93"/>
      <c r="I43" s="25">
        <f>D43+I41</f>
        <v>48815.510414299242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302.91499527249323</v>
      </c>
      <c r="E45" s="84"/>
      <c r="F45" s="75" t="s">
        <v>48</v>
      </c>
      <c r="G45" s="76"/>
      <c r="H45" s="77"/>
      <c r="I45" s="26">
        <f>I43+(G28*D21)</f>
        <v>629585.51041429921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84709162-A619-4DBC-93D2-71265954CB57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FDAA-675F-4298-86F2-839E5A264422}">
  <sheetPr>
    <pageSetUpPr fitToPage="1"/>
  </sheetPr>
  <dimension ref="B1:N45"/>
  <sheetViews>
    <sheetView topLeftCell="A24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63158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71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0</v>
      </c>
      <c r="D9" s="6" t="s">
        <v>26</v>
      </c>
      <c r="E9" s="9">
        <v>1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0</v>
      </c>
      <c r="D11" s="6" t="s">
        <v>27</v>
      </c>
      <c r="E11" s="9">
        <v>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0</v>
      </c>
      <c r="D13" s="6" t="s">
        <v>28</v>
      </c>
      <c r="E13" s="9">
        <v>2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1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</v>
      </c>
      <c r="D19" s="6" t="s">
        <v>31</v>
      </c>
      <c r="E19" s="9">
        <v>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6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0.5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99.770471253871534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18278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1827.8000000000002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0.67419986246324204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0.13333333333333333</v>
      </c>
      <c r="E37" s="84"/>
      <c r="F37" s="68" t="s">
        <v>40</v>
      </c>
      <c r="G37" s="69"/>
      <c r="H37" s="70"/>
      <c r="I37" s="27">
        <f>D37*(D35*I35/(D23))</f>
        <v>0.1513122453122675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0.28464557864560081</v>
      </c>
      <c r="E39" s="78"/>
      <c r="F39" s="79" t="s">
        <v>43</v>
      </c>
      <c r="G39" s="80"/>
      <c r="H39" s="81"/>
      <c r="I39" s="28">
        <f>SQRT(2*G30*D21/G32)</f>
        <v>11.458856594935169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0.52361245210556251</v>
      </c>
      <c r="E41" s="84"/>
      <c r="F41" s="85" t="s">
        <v>44</v>
      </c>
      <c r="G41" s="86"/>
      <c r="H41" s="87"/>
      <c r="I41" s="24">
        <f>G30*D41</f>
        <v>10472.249042111251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10748.817564093013</v>
      </c>
      <c r="E43" s="90"/>
      <c r="F43" s="91" t="s">
        <v>46</v>
      </c>
      <c r="G43" s="92"/>
      <c r="H43" s="93"/>
      <c r="I43" s="25">
        <f>D43+I41</f>
        <v>21221.066606204266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697.08044285855613</v>
      </c>
      <c r="E45" s="84"/>
      <c r="F45" s="75" t="s">
        <v>48</v>
      </c>
      <c r="G45" s="76"/>
      <c r="H45" s="77"/>
      <c r="I45" s="26">
        <f>I43+(G28*D21)</f>
        <v>130889.06660620426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8A08942C-C776-431C-A197-5710D4938ADD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77EC-928E-4D9D-86D4-9D46FDAD9C20}">
  <sheetPr>
    <pageSetUpPr fitToPage="1"/>
  </sheetPr>
  <dimension ref="B1:N45"/>
  <sheetViews>
    <sheetView topLeftCell="A24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63162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72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0</v>
      </c>
      <c r="D9" s="6" t="s">
        <v>26</v>
      </c>
      <c r="E9" s="9">
        <v>1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0</v>
      </c>
      <c r="D11" s="6" t="s">
        <v>27</v>
      </c>
      <c r="E11" s="9">
        <v>3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0</v>
      </c>
      <c r="D13" s="6" t="s">
        <v>28</v>
      </c>
      <c r="E13" s="9">
        <v>4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</v>
      </c>
      <c r="D19" s="6" t="s">
        <v>31</v>
      </c>
      <c r="E19" s="9">
        <v>5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15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1.25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99.740669626832897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9333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933.30000000000007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1.764549903980152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0.33333333333333331</v>
      </c>
      <c r="E37" s="84"/>
      <c r="F37" s="68" t="s">
        <v>40</v>
      </c>
      <c r="G37" s="69"/>
      <c r="H37" s="70"/>
      <c r="I37" s="27">
        <f>D37*(D35*I35/(D23))</f>
        <v>0.39602204450366496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0.72935537783699833</v>
      </c>
      <c r="E39" s="78"/>
      <c r="F39" s="79" t="s">
        <v>43</v>
      </c>
      <c r="G39" s="80"/>
      <c r="H39" s="81"/>
      <c r="I39" s="28">
        <f>SQRT(2*G30*D21/G32)</f>
        <v>25.355080415191281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0.59159741378745057</v>
      </c>
      <c r="E41" s="84"/>
      <c r="F41" s="85" t="s">
        <v>44</v>
      </c>
      <c r="G41" s="86"/>
      <c r="H41" s="87"/>
      <c r="I41" s="24">
        <f>G30*D41</f>
        <v>11831.948275749011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12201.555649884283</v>
      </c>
      <c r="E43" s="90"/>
      <c r="F43" s="91" t="s">
        <v>46</v>
      </c>
      <c r="G43" s="92"/>
      <c r="H43" s="93"/>
      <c r="I43" s="25">
        <f>D43+I41</f>
        <v>24033.503925633297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616.97362343632119</v>
      </c>
      <c r="E45" s="84"/>
      <c r="F45" s="75" t="s">
        <v>48</v>
      </c>
      <c r="G45" s="76"/>
      <c r="H45" s="77"/>
      <c r="I45" s="26">
        <f>I43+(G28*D21)</f>
        <v>164028.5039256333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56A5A9AA-395D-4AA1-A79D-D294FFE20DCD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EA4C-780B-42FD-AA51-877E7C999A92}">
  <sheetPr>
    <pageSetUpPr fitToPage="1"/>
  </sheetPr>
  <dimension ref="B1:N45"/>
  <sheetViews>
    <sheetView topLeftCell="A2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63166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73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0</v>
      </c>
      <c r="D9" s="6" t="s">
        <v>26</v>
      </c>
      <c r="E9" s="9">
        <v>1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0</v>
      </c>
      <c r="D11" s="6" t="s">
        <v>27</v>
      </c>
      <c r="E11" s="9">
        <v>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0</v>
      </c>
      <c r="D13" s="6" t="s">
        <v>28</v>
      </c>
      <c r="E13" s="9">
        <v>4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</v>
      </c>
      <c r="D17" s="6" t="s">
        <v>30</v>
      </c>
      <c r="E17" s="9">
        <v>1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</v>
      </c>
      <c r="D19" s="6" t="s">
        <v>31</v>
      </c>
      <c r="E19" s="9">
        <v>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8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0.66666666666666663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99.915430200180737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1861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186.10000000000002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1.1547005383792517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0.17777777777777776</v>
      </c>
      <c r="E37" s="84"/>
      <c r="F37" s="68" t="s">
        <v>40</v>
      </c>
      <c r="G37" s="69"/>
      <c r="H37" s="70"/>
      <c r="I37" s="27">
        <f>D37*(D35*I35/(D23))</f>
        <v>0.25915213107148122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0.43692990884925897</v>
      </c>
      <c r="E39" s="78"/>
      <c r="F39" s="79" t="s">
        <v>43</v>
      </c>
      <c r="G39" s="80"/>
      <c r="H39" s="81"/>
      <c r="I39" s="28">
        <f>SQRT(2*G30*D21/G32)</f>
        <v>41.466922264955812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0.19292485583770694</v>
      </c>
      <c r="E41" s="84"/>
      <c r="F41" s="85" t="s">
        <v>44</v>
      </c>
      <c r="G41" s="86"/>
      <c r="H41" s="87"/>
      <c r="I41" s="24">
        <f>G30*D41</f>
        <v>3858.4971167541389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3906.7253283465416</v>
      </c>
      <c r="E43" s="90"/>
      <c r="F43" s="91" t="s">
        <v>46</v>
      </c>
      <c r="G43" s="92"/>
      <c r="H43" s="93"/>
      <c r="I43" s="25">
        <f>D43+I41</f>
        <v>7765.2224451006805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1891.9283283386089</v>
      </c>
      <c r="E45" s="84"/>
      <c r="F45" s="75" t="s">
        <v>48</v>
      </c>
      <c r="G45" s="76"/>
      <c r="H45" s="77"/>
      <c r="I45" s="26">
        <f>I43+(G28*D21)</f>
        <v>22653.22244510068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F7AD4041-EC94-46FC-A0B8-69B6D731E849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F1AA-61EE-4838-829E-A80AEBD790EC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63727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74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22</v>
      </c>
      <c r="D9" s="6" t="s">
        <v>26</v>
      </c>
      <c r="E9" s="9">
        <v>25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11</v>
      </c>
      <c r="D11" s="6" t="s">
        <v>27</v>
      </c>
      <c r="E11" s="9">
        <v>15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29</v>
      </c>
      <c r="D13" s="6" t="s">
        <v>28</v>
      </c>
      <c r="E13" s="9">
        <v>28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6</v>
      </c>
      <c r="D15" s="6" t="s">
        <v>29</v>
      </c>
      <c r="E15" s="9">
        <v>20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15</v>
      </c>
      <c r="D17" s="6" t="s">
        <v>30</v>
      </c>
      <c r="E17" s="9">
        <v>6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30</v>
      </c>
      <c r="D19" s="6" t="s">
        <v>31</v>
      </c>
      <c r="E19" s="9">
        <v>21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228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19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98.993667518727747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9246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924.6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8.4530790517151466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5.0666666666666664</v>
      </c>
      <c r="E37" s="84"/>
      <c r="F37" s="68" t="s">
        <v>40</v>
      </c>
      <c r="G37" s="69"/>
      <c r="H37" s="70"/>
      <c r="I37" s="27">
        <f>D37*(D35*I35/(D23))</f>
        <v>1.8971442183983642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6.9638108850650307</v>
      </c>
      <c r="E39" s="78"/>
      <c r="F39" s="79" t="s">
        <v>43</v>
      </c>
      <c r="G39" s="80"/>
      <c r="H39" s="81"/>
      <c r="I39" s="28">
        <f>SQRT(2*G30*D21/G32)</f>
        <v>99.316286952296565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2.2956959729023354</v>
      </c>
      <c r="E41" s="84"/>
      <c r="F41" s="85" t="s">
        <v>44</v>
      </c>
      <c r="G41" s="86"/>
      <c r="H41" s="87"/>
      <c r="I41" s="24">
        <f>G30*D41</f>
        <v>45913.919458046708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47668.019002377834</v>
      </c>
      <c r="E43" s="90"/>
      <c r="F43" s="91" t="s">
        <v>46</v>
      </c>
      <c r="G43" s="92"/>
      <c r="H43" s="93"/>
      <c r="I43" s="25">
        <f>D43+I41</f>
        <v>93581.938460424542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158.99317867363268</v>
      </c>
      <c r="E45" s="84"/>
      <c r="F45" s="75" t="s">
        <v>48</v>
      </c>
      <c r="G45" s="76"/>
      <c r="H45" s="77"/>
      <c r="I45" s="26">
        <f>I43+(G28*D21)</f>
        <v>2201669.9384604245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9E46B97D-0E04-426D-8CD8-664945AA7265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BB70-8737-407A-84D8-57203531F308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63732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75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30</v>
      </c>
      <c r="D9" s="6" t="s">
        <v>26</v>
      </c>
      <c r="E9" s="9">
        <v>91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34</v>
      </c>
      <c r="D11" s="6" t="s">
        <v>27</v>
      </c>
      <c r="E11" s="9">
        <v>110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34</v>
      </c>
      <c r="D13" s="6" t="s">
        <v>28</v>
      </c>
      <c r="E13" s="9">
        <v>32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61</v>
      </c>
      <c r="D15" s="6" t="s">
        <v>29</v>
      </c>
      <c r="E15" s="9">
        <v>76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50</v>
      </c>
      <c r="D17" s="6" t="s">
        <v>30</v>
      </c>
      <c r="E17" s="9">
        <v>71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30</v>
      </c>
      <c r="D19" s="6" t="s">
        <v>31</v>
      </c>
      <c r="E19" s="9">
        <v>140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759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63.25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99.623389164356979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389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38.900000000000006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35.863693973913861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16.866666666666667</v>
      </c>
      <c r="E37" s="84"/>
      <c r="F37" s="68" t="s">
        <v>40</v>
      </c>
      <c r="G37" s="69"/>
      <c r="H37" s="70"/>
      <c r="I37" s="27">
        <f>D37*(D35*I35/(D23))</f>
        <v>8.0489723634151726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24.915639030081842</v>
      </c>
      <c r="E39" s="78"/>
      <c r="F39" s="79" t="s">
        <v>43</v>
      </c>
      <c r="G39" s="80"/>
      <c r="H39" s="81"/>
      <c r="I39" s="28">
        <f>SQRT(2*G30*D21/G32)</f>
        <v>883.43801420118461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0.85914346881065229</v>
      </c>
      <c r="E41" s="84"/>
      <c r="F41" s="85" t="s">
        <v>44</v>
      </c>
      <c r="G41" s="86"/>
      <c r="H41" s="87"/>
      <c r="I41" s="24">
        <f>G30*D41</f>
        <v>17182.869376213046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17495.974401149891</v>
      </c>
      <c r="E43" s="90"/>
      <c r="F43" s="91" t="s">
        <v>46</v>
      </c>
      <c r="G43" s="92"/>
      <c r="H43" s="93"/>
      <c r="I43" s="25">
        <f>D43+I41</f>
        <v>34678.843777362941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424.84173278449589</v>
      </c>
      <c r="E45" s="84"/>
      <c r="F45" s="75" t="s">
        <v>48</v>
      </c>
      <c r="G45" s="76"/>
      <c r="H45" s="77"/>
      <c r="I45" s="26">
        <f>I43+(G28*D21)</f>
        <v>329929.84377736296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1C723A17-3D62-4C89-9ABD-E0C6FC38BD68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44E4-D4F2-4B8C-94DA-D6E596589640}">
  <sheetPr>
    <pageSetUpPr fitToPage="1"/>
  </sheetPr>
  <dimension ref="B1:N45"/>
  <sheetViews>
    <sheetView topLeftCell="A24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64272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76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5000</v>
      </c>
      <c r="D9" s="6" t="s">
        <v>26</v>
      </c>
      <c r="E9" s="9">
        <v>6800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6200</v>
      </c>
      <c r="D11" s="6" t="s">
        <v>27</v>
      </c>
      <c r="E11" s="9">
        <v>14000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6600</v>
      </c>
      <c r="D13" s="6" t="s">
        <v>28</v>
      </c>
      <c r="E13" s="9">
        <v>7200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5200</v>
      </c>
      <c r="D15" s="6" t="s">
        <v>29</v>
      </c>
      <c r="E15" s="9">
        <v>6500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7600</v>
      </c>
      <c r="D17" s="6" t="s">
        <v>30</v>
      </c>
      <c r="E17" s="9">
        <v>7300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5500</v>
      </c>
      <c r="D19" s="6" t="s">
        <v>31</v>
      </c>
      <c r="E19" s="9">
        <v>6000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83900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6991.666666666667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93.296285090915219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1115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111.5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2356.213577807076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1864.4444444444446</v>
      </c>
      <c r="E37" s="84"/>
      <c r="F37" s="68" t="s">
        <v>40</v>
      </c>
      <c r="G37" s="69"/>
      <c r="H37" s="70"/>
      <c r="I37" s="27">
        <f>D37*(D35*I35/(D23))</f>
        <v>528.81050077739792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2393.2549452218427</v>
      </c>
      <c r="E39" s="78"/>
      <c r="F39" s="79" t="s">
        <v>43</v>
      </c>
      <c r="G39" s="80"/>
      <c r="H39" s="81"/>
      <c r="I39" s="28">
        <f>SQRT(2*G30*D21/G32)</f>
        <v>5486.2240847891162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15.292849636349663</v>
      </c>
      <c r="E41" s="84"/>
      <c r="F41" s="85" t="s">
        <v>44</v>
      </c>
      <c r="G41" s="86"/>
      <c r="H41" s="87"/>
      <c r="I41" s="24">
        <f>G30*D41</f>
        <v>305856.99272699328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364819.36356367311</v>
      </c>
      <c r="E43" s="90"/>
      <c r="F43" s="91" t="s">
        <v>46</v>
      </c>
      <c r="G43" s="92"/>
      <c r="H43" s="93"/>
      <c r="I43" s="25">
        <f>D43+I41</f>
        <v>670676.35629066639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23.867363420119517</v>
      </c>
      <c r="E45" s="84"/>
      <c r="F45" s="75" t="s">
        <v>48</v>
      </c>
      <c r="G45" s="76"/>
      <c r="H45" s="77"/>
      <c r="I45" s="26">
        <f>I43+(G28*D21)</f>
        <v>94219176.356290668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5955EB5E-F293-4F8E-8A31-79554E94CB2A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77D6-BBE7-4EDD-BAE7-8E2DDBA1478A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64439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77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50</v>
      </c>
      <c r="D9" s="6" t="s">
        <v>26</v>
      </c>
      <c r="E9" s="9">
        <v>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100</v>
      </c>
      <c r="D11" s="6" t="s">
        <v>27</v>
      </c>
      <c r="E11" s="9">
        <v>100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100</v>
      </c>
      <c r="D13" s="6" t="s">
        <v>28</v>
      </c>
      <c r="E13" s="9">
        <v>25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50</v>
      </c>
      <c r="D15" s="6" t="s">
        <v>29</v>
      </c>
      <c r="E15" s="9">
        <v>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50</v>
      </c>
      <c r="D17" s="6" t="s">
        <v>30</v>
      </c>
      <c r="E17" s="9">
        <v>100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50</v>
      </c>
      <c r="D19" s="6" t="s">
        <v>31</v>
      </c>
      <c r="E19" s="9">
        <v>75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700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58.333333333333336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98.593600664191683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5882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588.20000000000005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37.436815456381318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15.555555555555555</v>
      </c>
      <c r="E37" s="84"/>
      <c r="F37" s="68" t="s">
        <v>40</v>
      </c>
      <c r="G37" s="69"/>
      <c r="H37" s="70"/>
      <c r="I37" s="27">
        <f>D37*(D35*I35/(D23))</f>
        <v>8.4020316814509872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23.957587237006543</v>
      </c>
      <c r="E39" s="78"/>
      <c r="F39" s="79" t="s">
        <v>43</v>
      </c>
      <c r="G39" s="80"/>
      <c r="H39" s="81"/>
      <c r="I39" s="28">
        <f>SQRT(2*G30*D21/G32)</f>
        <v>218.18078781453303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3.2083484848127082</v>
      </c>
      <c r="E41" s="84"/>
      <c r="F41" s="85" t="s">
        <v>44</v>
      </c>
      <c r="G41" s="86"/>
      <c r="H41" s="87"/>
      <c r="I41" s="24">
        <f>G30*D41</f>
        <v>64166.969696254164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69109.044731283648</v>
      </c>
      <c r="E43" s="90"/>
      <c r="F43" s="91" t="s">
        <v>46</v>
      </c>
      <c r="G43" s="92"/>
      <c r="H43" s="93"/>
      <c r="I43" s="25">
        <f>D43+I41</f>
        <v>133276.0144275378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113.76569650329222</v>
      </c>
      <c r="E45" s="84"/>
      <c r="F45" s="75" t="s">
        <v>48</v>
      </c>
      <c r="G45" s="76"/>
      <c r="H45" s="77"/>
      <c r="I45" s="26">
        <f>I43+(G28*D21)</f>
        <v>4250676.014427538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8F860B33-8F4D-4A92-9CA8-A43EAB509E4C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291A-8D0F-4F71-8C05-F0857F89951E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64440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78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250</v>
      </c>
      <c r="D9" s="6" t="s">
        <v>26</v>
      </c>
      <c r="E9" s="9">
        <v>50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225</v>
      </c>
      <c r="D11" s="6" t="s">
        <v>27</v>
      </c>
      <c r="E11" s="9">
        <v>225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200</v>
      </c>
      <c r="D13" s="6" t="s">
        <v>28</v>
      </c>
      <c r="E13" s="9">
        <v>25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25</v>
      </c>
      <c r="D15" s="6" t="s">
        <v>29</v>
      </c>
      <c r="E15" s="9">
        <v>300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175</v>
      </c>
      <c r="D17" s="6" t="s">
        <v>30</v>
      </c>
      <c r="E17" s="9">
        <v>100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150</v>
      </c>
      <c r="D19" s="6" t="s">
        <v>31</v>
      </c>
      <c r="E19" s="9">
        <v>250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1975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164.58333333333334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97.624838609546728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5946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594.6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94.423088791723487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43.888888888888893</v>
      </c>
      <c r="E37" s="84"/>
      <c r="F37" s="68" t="s">
        <v>40</v>
      </c>
      <c r="G37" s="69"/>
      <c r="H37" s="70"/>
      <c r="I37" s="27">
        <f>D37*(D35*I35/(D23))</f>
        <v>21.191593724441383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65.080482613330275</v>
      </c>
      <c r="E39" s="78"/>
      <c r="F39" s="79" t="s">
        <v>43</v>
      </c>
      <c r="G39" s="80"/>
      <c r="H39" s="81"/>
      <c r="I39" s="28">
        <f>SQRT(2*G30*D21/G32)</f>
        <v>364.50298836000928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5.4183369219715383</v>
      </c>
      <c r="E41" s="84"/>
      <c r="F41" s="85" t="s">
        <v>44</v>
      </c>
      <c r="G41" s="86"/>
      <c r="H41" s="87"/>
      <c r="I41" s="24">
        <f>G30*D41</f>
        <v>108366.73843943076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120967.26006798362</v>
      </c>
      <c r="E43" s="90"/>
      <c r="F43" s="91" t="s">
        <v>46</v>
      </c>
      <c r="G43" s="92"/>
      <c r="H43" s="93"/>
      <c r="I43" s="25">
        <f>D43+I41</f>
        <v>229333.99850741436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67.363843418432097</v>
      </c>
      <c r="E45" s="84"/>
      <c r="F45" s="75" t="s">
        <v>48</v>
      </c>
      <c r="G45" s="76"/>
      <c r="H45" s="77"/>
      <c r="I45" s="26">
        <f>I43+(G28*D21)</f>
        <v>11972683.998507414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0FA5EA90-8EB8-4FE0-AE1D-6AF7F1834A6C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95B6-8EF3-4322-B1FE-B6C08E0CFB36}">
  <dimension ref="A1:L40"/>
  <sheetViews>
    <sheetView workbookViewId="0">
      <pane ySplit="2" topLeftCell="A3" activePane="bottomLeft" state="frozen"/>
      <selection pane="bottomLeft" activeCell="C1" sqref="C1"/>
    </sheetView>
  </sheetViews>
  <sheetFormatPr baseColWidth="10" defaultRowHeight="14.4" x14ac:dyDescent="0.3"/>
  <cols>
    <col min="2" max="2" width="42.33203125" customWidth="1"/>
    <col min="3" max="4" width="21.88671875" customWidth="1"/>
    <col min="5" max="5" width="19.88671875" customWidth="1"/>
    <col min="8" max="8" width="13.44140625" customWidth="1"/>
    <col min="12" max="12" width="26.44140625" customWidth="1"/>
  </cols>
  <sheetData>
    <row r="1" spans="1:12" x14ac:dyDescent="0.3">
      <c r="A1" s="63" t="s">
        <v>52</v>
      </c>
      <c r="B1" s="63" t="s">
        <v>53</v>
      </c>
      <c r="C1" s="39" t="s">
        <v>54</v>
      </c>
      <c r="D1" s="39" t="s">
        <v>55</v>
      </c>
      <c r="E1" s="39" t="s">
        <v>56</v>
      </c>
      <c r="F1" s="65" t="s">
        <v>57</v>
      </c>
      <c r="G1" s="66"/>
      <c r="H1" s="66"/>
      <c r="I1" s="67"/>
      <c r="J1" s="65" t="s">
        <v>58</v>
      </c>
      <c r="K1" s="67"/>
      <c r="L1" s="34" t="s">
        <v>59</v>
      </c>
    </row>
    <row r="2" spans="1:12" x14ac:dyDescent="0.3">
      <c r="A2" s="64"/>
      <c r="B2" s="64"/>
      <c r="C2" s="34" t="s">
        <v>60</v>
      </c>
      <c r="D2" s="34" t="s">
        <v>60</v>
      </c>
      <c r="E2" s="34" t="s">
        <v>60</v>
      </c>
      <c r="F2" s="34" t="s">
        <v>60</v>
      </c>
      <c r="G2" s="34" t="s">
        <v>100</v>
      </c>
      <c r="H2" s="34" t="s">
        <v>102</v>
      </c>
      <c r="I2" s="34" t="s">
        <v>101</v>
      </c>
      <c r="J2" s="34" t="s">
        <v>60</v>
      </c>
      <c r="K2" s="34" t="s">
        <v>100</v>
      </c>
      <c r="L2" s="34" t="s">
        <v>60</v>
      </c>
    </row>
    <row r="3" spans="1:12" x14ac:dyDescent="0.3">
      <c r="A3" s="35">
        <v>25795</v>
      </c>
      <c r="B3" s="33" t="s">
        <v>62</v>
      </c>
      <c r="C3" s="20">
        <f>'1'!D37</f>
        <v>8.8444444444444432</v>
      </c>
      <c r="D3" s="20">
        <f>'1'!I37</f>
        <v>2.7216582537946414</v>
      </c>
      <c r="E3" s="20">
        <f>'1'!D39</f>
        <v>11.566102698239085</v>
      </c>
      <c r="F3" s="20">
        <f>'1'!I39</f>
        <v>196.52487919263248</v>
      </c>
      <c r="G3" s="29">
        <v>60</v>
      </c>
      <c r="H3" s="20">
        <f>G3-F3</f>
        <v>-136.52487919263248</v>
      </c>
      <c r="I3" s="20">
        <f>(F3*J3)/12</f>
        <v>33.166666666666664</v>
      </c>
      <c r="J3" s="20">
        <f>'1'!D41</f>
        <v>2.0251888800800781</v>
      </c>
      <c r="K3" s="20">
        <f>(F3*J3)/G3</f>
        <v>6.6333333333333337</v>
      </c>
      <c r="L3" s="20">
        <f>'1'!D45</f>
        <v>180.23010277716295</v>
      </c>
    </row>
    <row r="4" spans="1:12" x14ac:dyDescent="0.3">
      <c r="A4" s="29">
        <v>28123</v>
      </c>
      <c r="B4" s="32" t="s">
        <v>63</v>
      </c>
      <c r="C4" s="20">
        <f>'2'!D37</f>
        <v>3.6666666666666665</v>
      </c>
      <c r="D4" s="20">
        <f>'2'!I37</f>
        <v>2.6609023062788806</v>
      </c>
      <c r="E4" s="20">
        <f>'2'!D39</f>
        <v>6.3275689729455475</v>
      </c>
      <c r="F4" s="20">
        <f>'2'!I39</f>
        <v>242.96911175404045</v>
      </c>
      <c r="G4" s="29">
        <v>30</v>
      </c>
      <c r="H4" s="20">
        <f t="shared" ref="H4:H40" si="0">G4-F4</f>
        <v>-212.96911175404045</v>
      </c>
      <c r="I4" s="20">
        <f t="shared" ref="I4:I40" si="1">(F4*J4)/12</f>
        <v>13.75</v>
      </c>
      <c r="J4" s="20">
        <f>'2'!D41</f>
        <v>0.67909866735254309</v>
      </c>
      <c r="K4" s="20">
        <f t="shared" ref="K4:K40" si="2">(F4*J4)/G4</f>
        <v>5.5</v>
      </c>
      <c r="L4" s="20">
        <f>'2'!D45</f>
        <v>537.47712600136231</v>
      </c>
    </row>
    <row r="5" spans="1:12" x14ac:dyDescent="0.3">
      <c r="A5" s="35">
        <v>28143</v>
      </c>
      <c r="B5" s="33" t="s">
        <v>64</v>
      </c>
      <c r="C5" s="20">
        <f>'3'!D37</f>
        <v>4.6444444444444448</v>
      </c>
      <c r="D5" s="20">
        <f>'3'!I37</f>
        <v>3.4190652807392867</v>
      </c>
      <c r="E5" s="20">
        <f>'3'!D39</f>
        <v>8.0635097251837315</v>
      </c>
      <c r="F5" s="20">
        <f>'3'!I39</f>
        <v>352.44845133289203</v>
      </c>
      <c r="G5" s="29">
        <v>40</v>
      </c>
      <c r="H5" s="20">
        <f t="shared" si="0"/>
        <v>-312.44845133289203</v>
      </c>
      <c r="I5" s="20">
        <f t="shared" si="1"/>
        <v>17.416666666666668</v>
      </c>
      <c r="J5" s="20">
        <f>'3'!D41</f>
        <v>0.59299451936759073</v>
      </c>
      <c r="K5" s="20">
        <f t="shared" si="2"/>
        <v>5.2249999999999996</v>
      </c>
      <c r="L5" s="20">
        <f>'3'!D45</f>
        <v>615.5200226627062</v>
      </c>
    </row>
    <row r="6" spans="1:12" x14ac:dyDescent="0.3">
      <c r="A6" s="29">
        <v>28307</v>
      </c>
      <c r="B6" s="32" t="s">
        <v>65</v>
      </c>
      <c r="C6" s="20">
        <f>'4'!D37</f>
        <v>23.422222222222221</v>
      </c>
      <c r="D6" s="20">
        <f>'4'!I37</f>
        <v>14.905241836493433</v>
      </c>
      <c r="E6" s="20">
        <f>'4'!D39</f>
        <v>38.327464058715655</v>
      </c>
      <c r="F6" s="20">
        <f>'4'!I39</f>
        <v>1670.9437393678011</v>
      </c>
      <c r="G6" s="29">
        <v>100</v>
      </c>
      <c r="H6" s="20">
        <f t="shared" si="0"/>
        <v>-1570.9437393678011</v>
      </c>
      <c r="I6" s="20">
        <f t="shared" si="1"/>
        <v>87.833333333333329</v>
      </c>
      <c r="J6" s="20">
        <f>'4'!D41</f>
        <v>0.63078126161134496</v>
      </c>
      <c r="K6" s="20">
        <f t="shared" si="2"/>
        <v>10.54</v>
      </c>
      <c r="L6" s="20">
        <f>'4'!D45</f>
        <v>578.64749987594632</v>
      </c>
    </row>
    <row r="7" spans="1:12" x14ac:dyDescent="0.3">
      <c r="A7" s="35">
        <v>62654</v>
      </c>
      <c r="B7" s="33" t="s">
        <v>66</v>
      </c>
      <c r="C7" s="20">
        <f>'5'!D37</f>
        <v>15.799999999999999</v>
      </c>
      <c r="D7" s="20">
        <f>'5'!I37</f>
        <v>6.6571369564711516</v>
      </c>
      <c r="E7" s="20">
        <f>'5'!D39</f>
        <v>22.45713695647115</v>
      </c>
      <c r="F7" s="20">
        <f>'5'!I39</f>
        <v>255.22483418972695</v>
      </c>
      <c r="G7" s="29">
        <v>20</v>
      </c>
      <c r="H7" s="20">
        <f t="shared" si="0"/>
        <v>-235.22483418972695</v>
      </c>
      <c r="I7" s="20">
        <f t="shared" si="1"/>
        <v>59.25</v>
      </c>
      <c r="J7" s="20">
        <f>'5'!D41</f>
        <v>2.7857790651808698</v>
      </c>
      <c r="K7" s="20">
        <f t="shared" si="2"/>
        <v>35.549999999999997</v>
      </c>
      <c r="L7" s="20">
        <f>'5'!D45</f>
        <v>131.02259420429019</v>
      </c>
    </row>
    <row r="8" spans="1:12" x14ac:dyDescent="0.3">
      <c r="A8" s="29">
        <v>62863</v>
      </c>
      <c r="B8" s="32" t="s">
        <v>67</v>
      </c>
      <c r="C8" s="20">
        <f>'6'!D37</f>
        <v>55.866666666666667</v>
      </c>
      <c r="D8" s="20">
        <f>'6'!I37</f>
        <v>45.831527461573486</v>
      </c>
      <c r="E8" s="20">
        <f>'6'!D39</f>
        <v>101.69819412824015</v>
      </c>
      <c r="F8" s="20">
        <f>'6'!I39</f>
        <v>601.43712780725127</v>
      </c>
      <c r="G8" s="29">
        <v>200</v>
      </c>
      <c r="H8" s="20">
        <f t="shared" si="0"/>
        <v>-401.43712780725127</v>
      </c>
      <c r="I8" s="20">
        <f t="shared" si="1"/>
        <v>209.5</v>
      </c>
      <c r="J8" s="20">
        <f>'6'!D41</f>
        <v>4.1799880382603973</v>
      </c>
      <c r="K8" s="20">
        <f t="shared" si="2"/>
        <v>12.57</v>
      </c>
      <c r="L8" s="20">
        <f>'6'!D45</f>
        <v>87.320824045205526</v>
      </c>
    </row>
    <row r="9" spans="1:12" x14ac:dyDescent="0.3">
      <c r="A9" s="35">
        <v>63137</v>
      </c>
      <c r="B9" s="33" t="s">
        <v>68</v>
      </c>
      <c r="C9" s="20">
        <f>'7'!D37</f>
        <v>5.155555555555555</v>
      </c>
      <c r="D9" s="20">
        <f>'7'!I37</f>
        <v>1.5470397597066399</v>
      </c>
      <c r="E9" s="20">
        <f>'7'!D39</f>
        <v>6.7025953152621947</v>
      </c>
      <c r="F9" s="20">
        <f>'7'!I39</f>
        <v>208.09560242354183</v>
      </c>
      <c r="G9" s="29">
        <v>24</v>
      </c>
      <c r="H9" s="20">
        <f t="shared" si="0"/>
        <v>-184.09560242354183</v>
      </c>
      <c r="I9" s="20">
        <f t="shared" si="1"/>
        <v>19.333333333333332</v>
      </c>
      <c r="J9" s="20">
        <f>'7'!D41</f>
        <v>1.1148721899841256</v>
      </c>
      <c r="K9" s="20">
        <f t="shared" si="2"/>
        <v>9.6666666666666661</v>
      </c>
      <c r="L9" s="20">
        <f>'7'!D45</f>
        <v>327.3917882956585</v>
      </c>
    </row>
    <row r="10" spans="1:12" x14ac:dyDescent="0.3">
      <c r="A10" s="29">
        <v>63138</v>
      </c>
      <c r="B10" s="32" t="s">
        <v>69</v>
      </c>
      <c r="C10" s="20">
        <f>'8'!D37</f>
        <v>0.35555555555555551</v>
      </c>
      <c r="D10" s="20">
        <f>'8'!I37</f>
        <v>0.52706495461957692</v>
      </c>
      <c r="E10" s="20">
        <f>'8'!D39</f>
        <v>0.88262051017513243</v>
      </c>
      <c r="F10" s="20">
        <f>'8'!I39</f>
        <v>25.029348474202635</v>
      </c>
      <c r="G10" s="29">
        <v>12</v>
      </c>
      <c r="H10" s="20">
        <f t="shared" si="0"/>
        <v>-13.029348474202635</v>
      </c>
      <c r="I10" s="20">
        <f t="shared" si="1"/>
        <v>1.3333333333333333</v>
      </c>
      <c r="J10" s="20">
        <f>'8'!D41</f>
        <v>0.6392495600311352</v>
      </c>
      <c r="K10" s="20">
        <f t="shared" si="2"/>
        <v>1.3333333333333333</v>
      </c>
      <c r="L10" s="20">
        <f>'8'!D45</f>
        <v>570.98201206774763</v>
      </c>
    </row>
    <row r="11" spans="1:12" x14ac:dyDescent="0.3">
      <c r="A11" s="35">
        <v>63140</v>
      </c>
      <c r="B11" s="33" t="s">
        <v>70</v>
      </c>
      <c r="C11" s="20">
        <f>'9'!D37</f>
        <v>5.4</v>
      </c>
      <c r="D11" s="20">
        <f>'9'!I37</f>
        <v>2.582302066586005</v>
      </c>
      <c r="E11" s="20">
        <f>'9'!D39</f>
        <v>7.9823020665860049</v>
      </c>
      <c r="F11" s="20">
        <f>'9'!I39</f>
        <v>201.66669548278318</v>
      </c>
      <c r="G11" s="29">
        <v>24</v>
      </c>
      <c r="H11" s="20">
        <f t="shared" si="0"/>
        <v>-177.66669548278318</v>
      </c>
      <c r="I11" s="20">
        <f t="shared" si="1"/>
        <v>20.25</v>
      </c>
      <c r="J11" s="20">
        <f>'9'!D41</f>
        <v>1.2049585055096297</v>
      </c>
      <c r="K11" s="20">
        <f t="shared" si="2"/>
        <v>10.125</v>
      </c>
      <c r="L11" s="20">
        <f>'9'!D45</f>
        <v>302.91499527249323</v>
      </c>
    </row>
    <row r="12" spans="1:12" x14ac:dyDescent="0.3">
      <c r="A12" s="29">
        <v>63158</v>
      </c>
      <c r="B12" s="32" t="s">
        <v>71</v>
      </c>
      <c r="C12" s="20">
        <f>'10'!D37</f>
        <v>0.13333333333333333</v>
      </c>
      <c r="D12" s="20">
        <f>'10'!I37</f>
        <v>0.1513122453122675</v>
      </c>
      <c r="E12" s="20">
        <f>'10'!D39</f>
        <v>0.28464557864560081</v>
      </c>
      <c r="F12" s="20">
        <f>'10'!I39</f>
        <v>11.458856594935169</v>
      </c>
      <c r="G12" s="29">
        <v>3</v>
      </c>
      <c r="H12" s="20">
        <f t="shared" si="0"/>
        <v>-8.4588565949351686</v>
      </c>
      <c r="I12" s="20">
        <f t="shared" si="1"/>
        <v>0.5</v>
      </c>
      <c r="J12" s="20">
        <f>'10'!D41</f>
        <v>0.52361245210556251</v>
      </c>
      <c r="K12" s="20">
        <f t="shared" si="2"/>
        <v>2</v>
      </c>
      <c r="L12" s="20">
        <f>'10'!D45</f>
        <v>697.08044285855613</v>
      </c>
    </row>
    <row r="13" spans="1:12" x14ac:dyDescent="0.3">
      <c r="A13" s="35">
        <v>63162</v>
      </c>
      <c r="B13" s="33" t="s">
        <v>72</v>
      </c>
      <c r="C13" s="20">
        <f>'11'!D37</f>
        <v>0.33333333333333331</v>
      </c>
      <c r="D13" s="20">
        <f>'11'!I37</f>
        <v>0.39602204450366496</v>
      </c>
      <c r="E13" s="20">
        <f>'11'!D39</f>
        <v>0.72935537783699833</v>
      </c>
      <c r="F13" s="20">
        <f>'11'!I39</f>
        <v>25.355080415191281</v>
      </c>
      <c r="G13" s="29">
        <v>10</v>
      </c>
      <c r="H13" s="20">
        <f t="shared" si="0"/>
        <v>-15.355080415191281</v>
      </c>
      <c r="I13" s="20">
        <f t="shared" si="1"/>
        <v>1.25</v>
      </c>
      <c r="J13" s="20">
        <f>'11'!D41</f>
        <v>0.59159741378745057</v>
      </c>
      <c r="K13" s="20">
        <f t="shared" si="2"/>
        <v>1.5</v>
      </c>
      <c r="L13" s="20">
        <f>'11'!D45</f>
        <v>616.97362343632119</v>
      </c>
    </row>
    <row r="14" spans="1:12" x14ac:dyDescent="0.3">
      <c r="A14" s="29">
        <v>63166</v>
      </c>
      <c r="B14" s="32" t="s">
        <v>73</v>
      </c>
      <c r="C14" s="20">
        <f>'12'!D37</f>
        <v>0.17777777777777776</v>
      </c>
      <c r="D14" s="20">
        <f>'12'!I37</f>
        <v>0.25915213107148122</v>
      </c>
      <c r="E14" s="20">
        <f>'12'!D39</f>
        <v>0.43692990884925897</v>
      </c>
      <c r="F14" s="20">
        <f>'12'!I39</f>
        <v>41.466922264955812</v>
      </c>
      <c r="G14" s="29">
        <v>10</v>
      </c>
      <c r="H14" s="20">
        <f t="shared" si="0"/>
        <v>-31.466922264955812</v>
      </c>
      <c r="I14" s="20">
        <f t="shared" si="1"/>
        <v>0.66666666666666663</v>
      </c>
      <c r="J14" s="20">
        <f>'12'!D41</f>
        <v>0.19292485583770694</v>
      </c>
      <c r="K14" s="20">
        <f t="shared" si="2"/>
        <v>0.8</v>
      </c>
      <c r="L14" s="20">
        <f>'12'!D45</f>
        <v>1891.9283283386089</v>
      </c>
    </row>
    <row r="15" spans="1:12" x14ac:dyDescent="0.3">
      <c r="A15" s="35">
        <v>63727</v>
      </c>
      <c r="B15" s="33" t="s">
        <v>74</v>
      </c>
      <c r="C15" s="20">
        <f>'13'!D37</f>
        <v>5.0666666666666664</v>
      </c>
      <c r="D15" s="20">
        <f>'13'!I37</f>
        <v>1.8971442183983642</v>
      </c>
      <c r="E15" s="20">
        <f>'13'!D39</f>
        <v>6.9638108850650307</v>
      </c>
      <c r="F15" s="20">
        <f>'13'!I39</f>
        <v>99.316286952296565</v>
      </c>
      <c r="G15" s="29">
        <v>20</v>
      </c>
      <c r="H15" s="20">
        <f t="shared" si="0"/>
        <v>-79.316286952296565</v>
      </c>
      <c r="I15" s="20">
        <f t="shared" si="1"/>
        <v>18.999999999999996</v>
      </c>
      <c r="J15" s="20">
        <f>'13'!D41</f>
        <v>2.2956959729023354</v>
      </c>
      <c r="K15" s="20">
        <f t="shared" si="2"/>
        <v>11.399999999999999</v>
      </c>
      <c r="L15" s="20">
        <f>'13'!D45</f>
        <v>158.99317867363268</v>
      </c>
    </row>
    <row r="16" spans="1:12" x14ac:dyDescent="0.3">
      <c r="A16" s="29">
        <v>63732</v>
      </c>
      <c r="B16" s="32" t="s">
        <v>75</v>
      </c>
      <c r="C16" s="20">
        <f>'14'!D37</f>
        <v>16.866666666666667</v>
      </c>
      <c r="D16" s="20">
        <f>'14'!I37</f>
        <v>8.0489723634151726</v>
      </c>
      <c r="E16" s="20">
        <f>'14'!D39</f>
        <v>24.915639030081842</v>
      </c>
      <c r="F16" s="20">
        <f>'14'!I39</f>
        <v>883.43801420118461</v>
      </c>
      <c r="G16" s="29">
        <v>50</v>
      </c>
      <c r="H16" s="20">
        <f t="shared" si="0"/>
        <v>-833.43801420118461</v>
      </c>
      <c r="I16" s="20">
        <f t="shared" si="1"/>
        <v>63.25</v>
      </c>
      <c r="J16" s="20">
        <f>'14'!D41</f>
        <v>0.85914346881065229</v>
      </c>
      <c r="K16" s="20">
        <f t="shared" si="2"/>
        <v>15.18</v>
      </c>
      <c r="L16" s="20">
        <f>'14'!D45</f>
        <v>424.84173278449589</v>
      </c>
    </row>
    <row r="17" spans="1:12" x14ac:dyDescent="0.3">
      <c r="A17" s="35">
        <v>64272</v>
      </c>
      <c r="B17" s="36" t="s">
        <v>76</v>
      </c>
      <c r="C17" s="20">
        <f>'15'!D37</f>
        <v>1864.4444444444446</v>
      </c>
      <c r="D17" s="20">
        <f>'15'!I37</f>
        <v>528.81050077739792</v>
      </c>
      <c r="E17" s="20">
        <f>'15'!D39</f>
        <v>2393.2549452218427</v>
      </c>
      <c r="F17" s="20">
        <f>'15'!I39</f>
        <v>5486.2240847891162</v>
      </c>
      <c r="G17" s="29">
        <v>8000</v>
      </c>
      <c r="H17" s="20">
        <f t="shared" si="0"/>
        <v>2513.7759152108838</v>
      </c>
      <c r="I17" s="20">
        <f t="shared" si="1"/>
        <v>6991.666666666667</v>
      </c>
      <c r="J17" s="20">
        <f>'15'!D41</f>
        <v>15.292849636349663</v>
      </c>
      <c r="K17" s="20">
        <f t="shared" si="2"/>
        <v>10.487500000000001</v>
      </c>
      <c r="L17" s="20">
        <f>'15'!D45</f>
        <v>23.867363420119517</v>
      </c>
    </row>
    <row r="18" spans="1:12" x14ac:dyDescent="0.3">
      <c r="A18" s="29">
        <v>64439</v>
      </c>
      <c r="B18" s="32" t="s">
        <v>77</v>
      </c>
      <c r="C18" s="20">
        <f>'16'!D37</f>
        <v>15.555555555555555</v>
      </c>
      <c r="D18" s="20">
        <f>'16'!I37</f>
        <v>8.4020316814509872</v>
      </c>
      <c r="E18" s="20">
        <f>'16'!D39</f>
        <v>23.957587237006543</v>
      </c>
      <c r="F18" s="20">
        <f>'16'!I39</f>
        <v>218.18078781453303</v>
      </c>
      <c r="G18" s="29">
        <v>100</v>
      </c>
      <c r="H18" s="20">
        <f t="shared" si="0"/>
        <v>-118.18078781453303</v>
      </c>
      <c r="I18" s="20">
        <f t="shared" si="1"/>
        <v>58.333333333333336</v>
      </c>
      <c r="J18" s="20">
        <f>'16'!D41</f>
        <v>3.2083484848127082</v>
      </c>
      <c r="K18" s="20">
        <f t="shared" si="2"/>
        <v>7</v>
      </c>
      <c r="L18" s="20">
        <f>'16'!D45</f>
        <v>113.76569650329222</v>
      </c>
    </row>
    <row r="19" spans="1:12" x14ac:dyDescent="0.3">
      <c r="A19" s="35">
        <v>64440</v>
      </c>
      <c r="B19" s="33" t="s">
        <v>78</v>
      </c>
      <c r="C19" s="20">
        <f>'17'!D37</f>
        <v>43.888888888888893</v>
      </c>
      <c r="D19" s="20">
        <f>'17'!I37</f>
        <v>21.191593724441383</v>
      </c>
      <c r="E19" s="20">
        <f>'17'!D39</f>
        <v>65.080482613330275</v>
      </c>
      <c r="F19" s="20">
        <f>'17'!I39</f>
        <v>364.50298836000928</v>
      </c>
      <c r="G19" s="29">
        <v>200</v>
      </c>
      <c r="H19" s="20">
        <f t="shared" si="0"/>
        <v>-164.50298836000928</v>
      </c>
      <c r="I19" s="20">
        <f t="shared" si="1"/>
        <v>164.58333333333334</v>
      </c>
      <c r="J19" s="20">
        <f>'17'!D41</f>
        <v>5.4183369219715383</v>
      </c>
      <c r="K19" s="20">
        <f t="shared" si="2"/>
        <v>9.8750000000000018</v>
      </c>
      <c r="L19" s="20">
        <f>'17'!D45</f>
        <v>67.363843418432097</v>
      </c>
    </row>
    <row r="20" spans="1:12" x14ac:dyDescent="0.3">
      <c r="A20" s="29">
        <v>65453</v>
      </c>
      <c r="B20" s="32" t="s">
        <v>79</v>
      </c>
      <c r="C20" s="20">
        <f>'18'!D37</f>
        <v>15.266666666666666</v>
      </c>
      <c r="D20" s="20">
        <f>'18'!I37</f>
        <v>5.89389845059614</v>
      </c>
      <c r="E20" s="20">
        <f>'18'!D39</f>
        <v>21.160565117262806</v>
      </c>
      <c r="F20" s="20">
        <f>'18'!I39</f>
        <v>148.28781954895143</v>
      </c>
      <c r="G20" s="29">
        <v>70</v>
      </c>
      <c r="H20" s="20">
        <f t="shared" si="0"/>
        <v>-78.287819548951433</v>
      </c>
      <c r="I20" s="20">
        <f t="shared" si="1"/>
        <v>57.25</v>
      </c>
      <c r="J20" s="20">
        <f>'18'!D41</f>
        <v>4.6328822022581146</v>
      </c>
      <c r="K20" s="20">
        <f t="shared" si="2"/>
        <v>9.8142857142857149</v>
      </c>
      <c r="L20" s="20">
        <f>'18'!D45</f>
        <v>78.784649396458917</v>
      </c>
    </row>
    <row r="21" spans="1:12" x14ac:dyDescent="0.3">
      <c r="A21" s="35">
        <v>65571</v>
      </c>
      <c r="B21" s="33" t="s">
        <v>80</v>
      </c>
      <c r="C21" s="20">
        <f>'19'!D37</f>
        <v>2.6</v>
      </c>
      <c r="D21" s="20">
        <f>'19'!I37</f>
        <v>1.0532245325289189</v>
      </c>
      <c r="E21" s="20">
        <f>'19'!D39</f>
        <v>3.653224532528919</v>
      </c>
      <c r="F21" s="20">
        <f>'19'!I39</f>
        <v>24.219036326432292</v>
      </c>
      <c r="G21" s="29">
        <v>10</v>
      </c>
      <c r="H21" s="20">
        <f t="shared" si="0"/>
        <v>-14.219036326432292</v>
      </c>
      <c r="I21" s="20">
        <f t="shared" si="1"/>
        <v>9.7500000000000018</v>
      </c>
      <c r="J21" s="20">
        <f>'19'!D41</f>
        <v>4.8309106284426342</v>
      </c>
      <c r="K21" s="20">
        <f t="shared" si="2"/>
        <v>11.700000000000001</v>
      </c>
      <c r="L21" s="20">
        <f>'19'!D45</f>
        <v>75.555113326049451</v>
      </c>
    </row>
    <row r="22" spans="1:12" x14ac:dyDescent="0.3">
      <c r="A22" s="29">
        <v>65576</v>
      </c>
      <c r="B22" s="32" t="s">
        <v>81</v>
      </c>
      <c r="C22" s="20">
        <f>'20'!D37</f>
        <v>7.488888888888888</v>
      </c>
      <c r="D22" s="20">
        <f>'20'!I37</f>
        <v>3.6821558458873396</v>
      </c>
      <c r="E22" s="20">
        <f>'20'!D39</f>
        <v>11.171044734776228</v>
      </c>
      <c r="F22" s="20">
        <f>'20'!I39</f>
        <v>44.012675386106153</v>
      </c>
      <c r="G22" s="29">
        <v>20</v>
      </c>
      <c r="H22" s="20">
        <f t="shared" si="0"/>
        <v>-24.012675386106153</v>
      </c>
      <c r="I22" s="20">
        <f t="shared" si="1"/>
        <v>28.083333333333332</v>
      </c>
      <c r="J22" s="20">
        <f>'20'!D41</f>
        <v>7.6568851369208879</v>
      </c>
      <c r="K22" s="20">
        <f t="shared" si="2"/>
        <v>16.850000000000001</v>
      </c>
      <c r="L22" s="20">
        <f>'20'!D45</f>
        <v>47.669514884061563</v>
      </c>
    </row>
    <row r="23" spans="1:12" x14ac:dyDescent="0.3">
      <c r="A23" s="35">
        <v>67353</v>
      </c>
      <c r="B23" s="33" t="s">
        <v>82</v>
      </c>
      <c r="C23" s="20">
        <f>'21'!D37</f>
        <v>3.8222222222222224</v>
      </c>
      <c r="D23" s="20">
        <f>'21'!I37</f>
        <v>2.0172444013243838</v>
      </c>
      <c r="E23" s="20">
        <f>'21'!D39</f>
        <v>5.8394666235466062</v>
      </c>
      <c r="F23" s="20">
        <f>'21'!I39</f>
        <v>168.61124537264917</v>
      </c>
      <c r="G23" s="29">
        <v>50</v>
      </c>
      <c r="H23" s="20">
        <f t="shared" si="0"/>
        <v>-118.61124537264917</v>
      </c>
      <c r="I23" s="20">
        <f t="shared" si="1"/>
        <v>14.333333333333334</v>
      </c>
      <c r="J23" s="20">
        <f>'21'!D41</f>
        <v>1.0200980345045274</v>
      </c>
      <c r="K23" s="20">
        <f t="shared" si="2"/>
        <v>3.44</v>
      </c>
      <c r="L23" s="20">
        <f>'21'!D45</f>
        <v>357.80874744777293</v>
      </c>
    </row>
    <row r="24" spans="1:12" x14ac:dyDescent="0.3">
      <c r="A24" s="29">
        <v>67380</v>
      </c>
      <c r="B24" s="32" t="s">
        <v>83</v>
      </c>
      <c r="C24" s="20">
        <f>'22'!D37</f>
        <v>27.466666666666665</v>
      </c>
      <c r="D24" s="20">
        <f>'22'!I37</f>
        <v>18.011115482232203</v>
      </c>
      <c r="E24" s="20">
        <f>'22'!D39</f>
        <v>45.477782148898868</v>
      </c>
      <c r="F24" s="20">
        <f>'22'!I39</f>
        <v>514.18384527128808</v>
      </c>
      <c r="G24" s="29">
        <v>100</v>
      </c>
      <c r="H24" s="20">
        <f t="shared" si="0"/>
        <v>-414.18384527128808</v>
      </c>
      <c r="I24" s="20">
        <f t="shared" si="1"/>
        <v>103</v>
      </c>
      <c r="J24" s="20">
        <f>'22'!D41</f>
        <v>2.4038094766432718</v>
      </c>
      <c r="K24" s="20">
        <f t="shared" si="2"/>
        <v>12.36</v>
      </c>
      <c r="L24" s="20">
        <f>'22'!D45</f>
        <v>151.84231676700659</v>
      </c>
    </row>
    <row r="25" spans="1:12" x14ac:dyDescent="0.3">
      <c r="A25" s="35">
        <v>67596</v>
      </c>
      <c r="B25" s="33" t="s">
        <v>84</v>
      </c>
      <c r="C25" s="20">
        <f>'23'!D37</f>
        <v>382.22222222222217</v>
      </c>
      <c r="D25" s="20">
        <f>'23'!I37</f>
        <v>184.03188056328463</v>
      </c>
      <c r="E25" s="20">
        <f>'23'!D39</f>
        <v>566.2541027855068</v>
      </c>
      <c r="F25" s="20">
        <f>'23'!I39</f>
        <v>11614.730336271854</v>
      </c>
      <c r="G25" s="29">
        <v>1500</v>
      </c>
      <c r="H25" s="20">
        <f t="shared" si="0"/>
        <v>-10114.730336271854</v>
      </c>
      <c r="I25" s="20">
        <f t="shared" si="1"/>
        <v>1433.3333333333333</v>
      </c>
      <c r="J25" s="20">
        <f>'23'!D41</f>
        <v>1.4808781178746617</v>
      </c>
      <c r="K25" s="20">
        <f t="shared" si="2"/>
        <v>11.466666666666667</v>
      </c>
      <c r="L25" s="20">
        <f>'23'!D45</f>
        <v>246.47538213600154</v>
      </c>
    </row>
    <row r="26" spans="1:12" x14ac:dyDescent="0.3">
      <c r="A26" s="29">
        <v>67717</v>
      </c>
      <c r="B26" s="32" t="s">
        <v>85</v>
      </c>
      <c r="C26" s="20">
        <f>'24'!D37</f>
        <v>3.3111111111111109</v>
      </c>
      <c r="D26" s="20">
        <f>'24'!I37</f>
        <v>2.0243256208306444</v>
      </c>
      <c r="E26" s="20">
        <f>'24'!D39</f>
        <v>5.3354367319417548</v>
      </c>
      <c r="F26" s="20">
        <f>'24'!I39</f>
        <v>28.487273309526117</v>
      </c>
      <c r="G26" s="29">
        <v>10</v>
      </c>
      <c r="H26" s="20">
        <f t="shared" si="0"/>
        <v>-18.487273309526117</v>
      </c>
      <c r="I26" s="20">
        <f t="shared" si="1"/>
        <v>12.416666666666666</v>
      </c>
      <c r="J26" s="20">
        <f>'24'!D41</f>
        <v>5.2304058159955433</v>
      </c>
      <c r="K26" s="20">
        <f t="shared" si="2"/>
        <v>14.9</v>
      </c>
      <c r="L26" s="20">
        <f>'24'!D45</f>
        <v>69.784260120651226</v>
      </c>
    </row>
    <row r="27" spans="1:12" x14ac:dyDescent="0.3">
      <c r="A27" s="35">
        <v>68979</v>
      </c>
      <c r="B27" s="33" t="s">
        <v>86</v>
      </c>
      <c r="C27" s="20">
        <f>'25'!D37</f>
        <v>6.0888888888888886</v>
      </c>
      <c r="D27" s="20">
        <f>'25'!I37</f>
        <v>2.875463532078026</v>
      </c>
      <c r="E27" s="20">
        <f>'25'!D39</f>
        <v>8.9643524209669145</v>
      </c>
      <c r="F27" s="20">
        <f>'25'!I39</f>
        <v>229.38269033861363</v>
      </c>
      <c r="G27" s="29">
        <v>24</v>
      </c>
      <c r="H27" s="20">
        <f t="shared" si="0"/>
        <v>-205.38269033861363</v>
      </c>
      <c r="I27" s="20">
        <f t="shared" si="1"/>
        <v>22.833333333333332</v>
      </c>
      <c r="J27" s="20">
        <f>'25'!D41</f>
        <v>1.1945103599383307</v>
      </c>
      <c r="K27" s="20">
        <f t="shared" si="2"/>
        <v>11.416666666666666</v>
      </c>
      <c r="L27" s="20">
        <f>'25'!D45</f>
        <v>305.56453275034295</v>
      </c>
    </row>
    <row r="28" spans="1:12" x14ac:dyDescent="0.3">
      <c r="A28" s="29">
        <v>69176</v>
      </c>
      <c r="B28" s="37" t="s">
        <v>87</v>
      </c>
      <c r="C28" s="20">
        <f>'26'!D37</f>
        <v>797.77777777777771</v>
      </c>
      <c r="D28" s="20">
        <f>'26'!I37</f>
        <v>342.97627701952553</v>
      </c>
      <c r="E28" s="20">
        <f>'26'!D39</f>
        <v>1140.7540547973033</v>
      </c>
      <c r="F28" s="20">
        <f>'26'!I39</f>
        <v>3587.1135349393112</v>
      </c>
      <c r="G28" s="29">
        <v>2000</v>
      </c>
      <c r="H28" s="20">
        <f t="shared" si="0"/>
        <v>-1587.1135349393112</v>
      </c>
      <c r="I28" s="20">
        <f t="shared" si="1"/>
        <v>2991.6666666666665</v>
      </c>
      <c r="J28" s="20">
        <f>'26'!D41</f>
        <v>10.00804676248068</v>
      </c>
      <c r="K28" s="20">
        <f t="shared" si="2"/>
        <v>17.95</v>
      </c>
      <c r="L28" s="20">
        <f>'26'!D45</f>
        <v>36.470652931834223</v>
      </c>
    </row>
    <row r="29" spans="1:12" x14ac:dyDescent="0.3">
      <c r="A29" s="35">
        <v>69302</v>
      </c>
      <c r="B29" s="30" t="s">
        <v>88</v>
      </c>
      <c r="C29" s="20">
        <f>'27'!D37</f>
        <v>15.822222222222223</v>
      </c>
      <c r="D29" s="20">
        <f>'27'!I37</f>
        <v>12.949829655872263</v>
      </c>
      <c r="E29" s="20">
        <f>'27'!D39</f>
        <v>28.772051878094487</v>
      </c>
      <c r="F29" s="20">
        <f>'27'!I39</f>
        <v>244.27233019087174</v>
      </c>
      <c r="G29" s="29">
        <v>40</v>
      </c>
      <c r="H29" s="20">
        <f t="shared" si="0"/>
        <v>-204.27233019087174</v>
      </c>
      <c r="I29" s="20">
        <f t="shared" si="1"/>
        <v>59.333333333333336</v>
      </c>
      <c r="J29" s="20">
        <f>'27'!D41</f>
        <v>2.9147795800025773</v>
      </c>
      <c r="K29" s="20">
        <f t="shared" si="2"/>
        <v>17.8</v>
      </c>
      <c r="L29" s="20">
        <f>'27'!D45</f>
        <v>125.22387713436542</v>
      </c>
    </row>
    <row r="30" spans="1:12" x14ac:dyDescent="0.3">
      <c r="A30" s="29">
        <v>70273</v>
      </c>
      <c r="B30" s="32" t="s">
        <v>89</v>
      </c>
      <c r="C30" s="20">
        <f>'28'!D37</f>
        <v>8.9777777777777779</v>
      </c>
      <c r="D30" s="20">
        <f>'28'!I37</f>
        <v>14.703730618990233</v>
      </c>
      <c r="E30" s="20">
        <f>'28'!D39</f>
        <v>23.68150839676801</v>
      </c>
      <c r="F30" s="20">
        <f>'28'!I39</f>
        <v>550.11064600354894</v>
      </c>
      <c r="G30" s="29">
        <v>100</v>
      </c>
      <c r="H30" s="20">
        <f t="shared" si="0"/>
        <v>-450.11064600354894</v>
      </c>
      <c r="I30" s="20">
        <f t="shared" si="1"/>
        <v>33.666666666666664</v>
      </c>
      <c r="J30" s="20">
        <f>'28'!D41</f>
        <v>0.73439771241473784</v>
      </c>
      <c r="K30" s="20">
        <f t="shared" si="2"/>
        <v>4.04</v>
      </c>
      <c r="L30" s="20">
        <f>'28'!D45</f>
        <v>497.00590542399846</v>
      </c>
    </row>
    <row r="31" spans="1:12" x14ac:dyDescent="0.3">
      <c r="A31" s="35">
        <v>70274</v>
      </c>
      <c r="B31" s="33" t="s">
        <v>90</v>
      </c>
      <c r="C31" s="20">
        <f>'29'!D37</f>
        <v>17.600000000000001</v>
      </c>
      <c r="D31" s="20">
        <f>'29'!I37</f>
        <v>15.132434980773207</v>
      </c>
      <c r="E31" s="20">
        <f>'29'!D39</f>
        <v>32.732434980773206</v>
      </c>
      <c r="F31" s="20">
        <f>'29'!I39</f>
        <v>877.95382549882947</v>
      </c>
      <c r="G31" s="29">
        <v>50</v>
      </c>
      <c r="H31" s="20">
        <f t="shared" si="0"/>
        <v>-827.95382549882947</v>
      </c>
      <c r="I31" s="20">
        <f t="shared" si="1"/>
        <v>66</v>
      </c>
      <c r="J31" s="20">
        <f>'29'!D41</f>
        <v>0.90209755570004735</v>
      </c>
      <c r="K31" s="20">
        <f t="shared" si="2"/>
        <v>15.84</v>
      </c>
      <c r="L31" s="20">
        <f>'29'!D45</f>
        <v>404.61255846852623</v>
      </c>
    </row>
    <row r="32" spans="1:12" x14ac:dyDescent="0.3">
      <c r="A32" s="29">
        <v>70561</v>
      </c>
      <c r="B32" s="32" t="s">
        <v>91</v>
      </c>
      <c r="C32" s="20">
        <f>'30'!D37</f>
        <v>35.93333333333333</v>
      </c>
      <c r="D32" s="20">
        <f>'30'!I37</f>
        <v>20.506494003972694</v>
      </c>
      <c r="E32" s="20">
        <f>'30'!D39</f>
        <v>56.439827337306028</v>
      </c>
      <c r="F32" s="20">
        <f>'30'!I39</f>
        <v>2695.8144836648307</v>
      </c>
      <c r="G32" s="29">
        <v>200</v>
      </c>
      <c r="H32" s="20">
        <f t="shared" si="0"/>
        <v>-2495.8144836648307</v>
      </c>
      <c r="I32" s="20">
        <f t="shared" si="1"/>
        <v>134.75</v>
      </c>
      <c r="J32" s="20">
        <f>'30'!D41</f>
        <v>0.5998187226154249</v>
      </c>
      <c r="K32" s="20">
        <f t="shared" si="2"/>
        <v>8.0850000000000009</v>
      </c>
      <c r="L32" s="20">
        <f>'30'!D45</f>
        <v>608.51718400597599</v>
      </c>
    </row>
    <row r="33" spans="1:12" x14ac:dyDescent="0.3">
      <c r="A33" s="35">
        <v>70571</v>
      </c>
      <c r="B33" s="33" t="s">
        <v>92</v>
      </c>
      <c r="C33" s="20">
        <f>'31'!D37</f>
        <v>25.6</v>
      </c>
      <c r="D33" s="20">
        <f>'31'!I37</f>
        <v>18.542758497155454</v>
      </c>
      <c r="E33" s="20">
        <f>'31'!D39</f>
        <v>44.142758497155455</v>
      </c>
      <c r="F33" s="20">
        <f>'31'!I39</f>
        <v>1632.0489622033101</v>
      </c>
      <c r="G33" s="29">
        <v>200</v>
      </c>
      <c r="H33" s="20">
        <f t="shared" si="0"/>
        <v>-1432.0489622033101</v>
      </c>
      <c r="I33" s="20">
        <f t="shared" si="1"/>
        <v>96</v>
      </c>
      <c r="J33" s="20">
        <f>'31'!D41</f>
        <v>0.70586117615293165</v>
      </c>
      <c r="K33" s="20">
        <f t="shared" si="2"/>
        <v>5.76</v>
      </c>
      <c r="L33" s="20">
        <f>'31'!D45</f>
        <v>517.09884653143069</v>
      </c>
    </row>
    <row r="34" spans="1:12" x14ac:dyDescent="0.3">
      <c r="A34" s="29">
        <v>70588</v>
      </c>
      <c r="B34" s="32" t="s">
        <v>93</v>
      </c>
      <c r="C34" s="20">
        <f>'32'!D37</f>
        <v>14.088888888888889</v>
      </c>
      <c r="D34" s="20">
        <f>'32'!I37</f>
        <v>6.7437294891822752</v>
      </c>
      <c r="E34" s="20">
        <f>'32'!D39</f>
        <v>20.832618378071164</v>
      </c>
      <c r="F34" s="20">
        <f>'32'!I39</f>
        <v>776.12840233566635</v>
      </c>
      <c r="G34" s="29">
        <v>70</v>
      </c>
      <c r="H34" s="20">
        <f t="shared" si="0"/>
        <v>-706.12840233566635</v>
      </c>
      <c r="I34" s="20">
        <f t="shared" si="1"/>
        <v>52.833333333333336</v>
      </c>
      <c r="J34" s="20">
        <f>'32'!D41</f>
        <v>0.81687514345828893</v>
      </c>
      <c r="K34" s="20">
        <f t="shared" si="2"/>
        <v>9.0571428571428569</v>
      </c>
      <c r="L34" s="20">
        <f>'32'!D45</f>
        <v>446.82471112384576</v>
      </c>
    </row>
    <row r="35" spans="1:12" x14ac:dyDescent="0.3">
      <c r="A35" s="35">
        <v>70637</v>
      </c>
      <c r="B35" s="33" t="s">
        <v>94</v>
      </c>
      <c r="C35" s="20">
        <f>'33'!D37</f>
        <v>7.0444444444444443</v>
      </c>
      <c r="D35" s="20">
        <f>'33'!I37</f>
        <v>1.7396521795864786</v>
      </c>
      <c r="E35" s="20">
        <f>'33'!D39</f>
        <v>8.7840966240309228</v>
      </c>
      <c r="F35" s="20">
        <f>'33'!I39</f>
        <v>63.7595109740693</v>
      </c>
      <c r="G35" s="29">
        <v>20</v>
      </c>
      <c r="H35" s="20">
        <f t="shared" si="0"/>
        <v>-43.7595109740693</v>
      </c>
      <c r="I35" s="20">
        <f t="shared" si="1"/>
        <v>26.416666666666668</v>
      </c>
      <c r="J35" s="20">
        <f>'33'!D41</f>
        <v>4.9718072669804894</v>
      </c>
      <c r="K35" s="20">
        <f t="shared" si="2"/>
        <v>15.85</v>
      </c>
      <c r="L35" s="20">
        <f>'33'!D45</f>
        <v>73.413947966988303</v>
      </c>
    </row>
    <row r="36" spans="1:12" x14ac:dyDescent="0.3">
      <c r="A36" s="29">
        <v>74796</v>
      </c>
      <c r="B36" s="32" t="s">
        <v>95</v>
      </c>
      <c r="C36" s="20">
        <f>'34'!D37</f>
        <v>10</v>
      </c>
      <c r="D36" s="20">
        <f>'34'!I37</f>
        <v>4.6877500657635256</v>
      </c>
      <c r="E36" s="20">
        <f>'34'!D39</f>
        <v>14.687750065763526</v>
      </c>
      <c r="F36" s="20">
        <f>'34'!I39</f>
        <v>208.84256478158497</v>
      </c>
      <c r="G36" s="29">
        <v>25</v>
      </c>
      <c r="H36" s="20">
        <f t="shared" si="0"/>
        <v>-183.84256478158497</v>
      </c>
      <c r="I36" s="20">
        <f t="shared" si="1"/>
        <v>37.5</v>
      </c>
      <c r="J36" s="20">
        <f>'34'!D41</f>
        <v>2.1547331621340033</v>
      </c>
      <c r="K36" s="20">
        <f t="shared" si="2"/>
        <v>18</v>
      </c>
      <c r="L36" s="20">
        <f>'34'!D45</f>
        <v>169.39452476728559</v>
      </c>
    </row>
    <row r="37" spans="1:12" x14ac:dyDescent="0.3">
      <c r="A37" s="35">
        <v>75761</v>
      </c>
      <c r="B37" s="33" t="s">
        <v>96</v>
      </c>
      <c r="C37" s="20">
        <f>'35'!D37</f>
        <v>2.5555555555555558</v>
      </c>
      <c r="D37" s="20">
        <f>'35'!I37</f>
        <v>1.3067574068850938</v>
      </c>
      <c r="E37" s="20">
        <f>'35'!D39</f>
        <v>3.8623129624406496</v>
      </c>
      <c r="F37" s="20">
        <f>'35'!I39</f>
        <v>107.50715764414767</v>
      </c>
      <c r="G37" s="29">
        <v>10</v>
      </c>
      <c r="H37" s="20">
        <f t="shared" si="0"/>
        <v>-97.507157644147668</v>
      </c>
      <c r="I37" s="20">
        <f t="shared" si="1"/>
        <v>9.5833333333333339</v>
      </c>
      <c r="J37" s="20">
        <f>'35'!D41</f>
        <v>1.0696962185592693</v>
      </c>
      <c r="K37" s="20">
        <f t="shared" si="2"/>
        <v>11.5</v>
      </c>
      <c r="L37" s="20">
        <f>'35'!D45</f>
        <v>341.21836991403387</v>
      </c>
    </row>
    <row r="38" spans="1:12" x14ac:dyDescent="0.3">
      <c r="A38" s="29">
        <v>78094</v>
      </c>
      <c r="B38" s="31" t="s">
        <v>97</v>
      </c>
      <c r="C38" s="20">
        <f>'36'!D37</f>
        <v>0.13333333333333333</v>
      </c>
      <c r="D38" s="20">
        <f>'36'!I37</f>
        <v>0.27900599451785157</v>
      </c>
      <c r="E38" s="20">
        <f>'36'!D39</f>
        <v>0.41233932785118488</v>
      </c>
      <c r="F38" s="20">
        <f>'36'!I39</f>
        <v>4.1024022752913902</v>
      </c>
      <c r="G38" s="29">
        <v>8</v>
      </c>
      <c r="H38" s="20">
        <f t="shared" si="0"/>
        <v>3.8975977247086098</v>
      </c>
      <c r="I38" s="20">
        <f t="shared" si="1"/>
        <v>0.5</v>
      </c>
      <c r="J38" s="20">
        <f>'36'!D41</f>
        <v>1.4625576911698219</v>
      </c>
      <c r="K38" s="20">
        <f t="shared" si="2"/>
        <v>0.75</v>
      </c>
      <c r="L38" s="20">
        <f>'36'!D45</f>
        <v>249.56280508022624</v>
      </c>
    </row>
    <row r="39" spans="1:12" x14ac:dyDescent="0.3">
      <c r="A39" s="35">
        <v>78099</v>
      </c>
      <c r="B39" s="30" t="s">
        <v>98</v>
      </c>
      <c r="C39" s="20">
        <f>'37'!D37</f>
        <v>0.31111111111111112</v>
      </c>
      <c r="D39" s="20">
        <f>'37'!I37</f>
        <v>0.61896388106476763</v>
      </c>
      <c r="E39" s="20">
        <f>'37'!D39</f>
        <v>0.93007499217587875</v>
      </c>
      <c r="F39" s="20">
        <f>'37'!I39</f>
        <v>21.446653171023982</v>
      </c>
      <c r="G39" s="29">
        <v>16</v>
      </c>
      <c r="H39" s="20">
        <f t="shared" si="0"/>
        <v>-5.4466531710239821</v>
      </c>
      <c r="I39" s="20">
        <f t="shared" si="1"/>
        <v>1.1666666666666667</v>
      </c>
      <c r="J39" s="20">
        <f>'37'!D41</f>
        <v>0.65278250589304243</v>
      </c>
      <c r="K39" s="20">
        <f t="shared" si="2"/>
        <v>0.875</v>
      </c>
      <c r="L39" s="20">
        <f>'37'!D45</f>
        <v>559.14488624455385</v>
      </c>
    </row>
    <row r="40" spans="1:12" x14ac:dyDescent="0.3">
      <c r="A40" s="29">
        <v>86642</v>
      </c>
      <c r="B40" s="38" t="s">
        <v>99</v>
      </c>
      <c r="C40" s="20">
        <f>'38'!D37</f>
        <v>8.5333333333333332</v>
      </c>
      <c r="D40" s="20">
        <f>'38'!I37</f>
        <v>10.786345172793453</v>
      </c>
      <c r="E40" s="20">
        <f>'38'!D39</f>
        <v>19.319678506126785</v>
      </c>
      <c r="F40" s="20">
        <f>'38'!I39</f>
        <v>501.80003854974404</v>
      </c>
      <c r="G40" s="29">
        <v>500</v>
      </c>
      <c r="H40" s="20">
        <f t="shared" si="0"/>
        <v>-1.8000385497440448</v>
      </c>
      <c r="I40" s="20">
        <f t="shared" si="1"/>
        <v>32</v>
      </c>
      <c r="J40" s="20">
        <f>'38'!D41</f>
        <v>0.76524505878835958</v>
      </c>
      <c r="K40" s="20">
        <f t="shared" si="2"/>
        <v>0.76800000000000002</v>
      </c>
      <c r="L40" s="20">
        <f>'38'!D45</f>
        <v>476.97139080900155</v>
      </c>
    </row>
  </sheetData>
  <mergeCells count="4">
    <mergeCell ref="A1:A2"/>
    <mergeCell ref="B1:B2"/>
    <mergeCell ref="F1:I1"/>
    <mergeCell ref="J1:K1"/>
  </mergeCells>
  <conditionalFormatting sqref="H3:H40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3:I40">
    <cfRule type="cellIs" dxfId="11" priority="12" operator="lessThan">
      <formula>G3</formula>
    </cfRule>
  </conditionalFormatting>
  <conditionalFormatting sqref="I7">
    <cfRule type="cellIs" dxfId="10" priority="11" operator="greaterThan">
      <formula>$G$7</formula>
    </cfRule>
  </conditionalFormatting>
  <conditionalFormatting sqref="I8">
    <cfRule type="cellIs" dxfId="9" priority="10" operator="greaterThan">
      <formula>$G$8</formula>
    </cfRule>
  </conditionalFormatting>
  <conditionalFormatting sqref="I16">
    <cfRule type="cellIs" dxfId="8" priority="9" operator="greaterThan">
      <formula>$G$16</formula>
    </cfRule>
  </conditionalFormatting>
  <conditionalFormatting sqref="I22">
    <cfRule type="cellIs" dxfId="7" priority="8" operator="greaterThan">
      <formula>$G$22</formula>
    </cfRule>
  </conditionalFormatting>
  <conditionalFormatting sqref="I24">
    <cfRule type="cellIs" dxfId="6" priority="7" operator="greaterThan">
      <formula>$G$24</formula>
    </cfRule>
  </conditionalFormatting>
  <conditionalFormatting sqref="I26">
    <cfRule type="cellIs" dxfId="5" priority="6" operator="greaterThan">
      <formula>$G$26</formula>
    </cfRule>
  </conditionalFormatting>
  <conditionalFormatting sqref="I28">
    <cfRule type="cellIs" dxfId="4" priority="5" operator="greaterThan">
      <formula>$G$28</formula>
    </cfRule>
  </conditionalFormatting>
  <conditionalFormatting sqref="I29">
    <cfRule type="cellIs" dxfId="3" priority="4" operator="greaterThan">
      <formula>$G$29</formula>
    </cfRule>
  </conditionalFormatting>
  <conditionalFormatting sqref="I31">
    <cfRule type="cellIs" dxfId="2" priority="3" operator="greaterThan">
      <formula>$G$31</formula>
    </cfRule>
  </conditionalFormatting>
  <conditionalFormatting sqref="I35">
    <cfRule type="cellIs" dxfId="1" priority="2" operator="greaterThan">
      <formula>$G$35</formula>
    </cfRule>
  </conditionalFormatting>
  <conditionalFormatting sqref="I36">
    <cfRule type="cellIs" dxfId="0" priority="1" operator="greaterThan">
      <formula>$G$36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58AC-9FD5-4181-A128-7E1E1384E55F}">
  <sheetPr>
    <pageSetUpPr fitToPage="1"/>
  </sheetPr>
  <dimension ref="B1:N45"/>
  <sheetViews>
    <sheetView topLeftCell="A24" zoomScale="90" zoomScaleNormal="90" workbookViewId="0">
      <selection activeCell="F32" sqref="F32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65453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79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48</v>
      </c>
      <c r="D9" s="6" t="s">
        <v>26</v>
      </c>
      <c r="E9" s="9">
        <v>68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34</v>
      </c>
      <c r="D11" s="6" t="s">
        <v>27</v>
      </c>
      <c r="E11" s="9">
        <v>63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28</v>
      </c>
      <c r="D13" s="6" t="s">
        <v>28</v>
      </c>
      <c r="E13" s="9">
        <v>81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80</v>
      </c>
      <c r="D15" s="6" t="s">
        <v>29</v>
      </c>
      <c r="E15" s="9">
        <v>63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99</v>
      </c>
      <c r="D17" s="6" t="s">
        <v>30</v>
      </c>
      <c r="E17" s="9">
        <v>64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</v>
      </c>
      <c r="D19" s="6" t="s">
        <v>31</v>
      </c>
      <c r="E19" s="9">
        <v>57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687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57.25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97.969147527777267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12497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1249.7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26.261361177766297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15.266666666666666</v>
      </c>
      <c r="E37" s="84"/>
      <c r="F37" s="68" t="s">
        <v>40</v>
      </c>
      <c r="G37" s="69"/>
      <c r="H37" s="70"/>
      <c r="I37" s="27">
        <f>D37*(D35*I35/(D23))</f>
        <v>5.89389845059614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21.160565117262806</v>
      </c>
      <c r="E39" s="78"/>
      <c r="F39" s="79" t="s">
        <v>43</v>
      </c>
      <c r="G39" s="80"/>
      <c r="H39" s="81"/>
      <c r="I39" s="28">
        <f>SQRT(2*G30*D21/G32)</f>
        <v>148.28781954895143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4.6328822022581146</v>
      </c>
      <c r="E41" s="84"/>
      <c r="F41" s="85" t="s">
        <v>44</v>
      </c>
      <c r="G41" s="86"/>
      <c r="H41" s="87"/>
      <c r="I41" s="24">
        <f>G30*D41</f>
        <v>92657.644045162291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100023.2489388723</v>
      </c>
      <c r="E43" s="90"/>
      <c r="F43" s="91" t="s">
        <v>46</v>
      </c>
      <c r="G43" s="92"/>
      <c r="H43" s="93"/>
      <c r="I43" s="25">
        <f>D43+I41</f>
        <v>192680.89298403461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78.784649396458917</v>
      </c>
      <c r="E45" s="84"/>
      <c r="F45" s="75" t="s">
        <v>48</v>
      </c>
      <c r="G45" s="76"/>
      <c r="H45" s="77"/>
      <c r="I45" s="26">
        <f>I43+(G28*D21)</f>
        <v>8778119.8929840345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2F8774E8-3F77-4BFD-B4DA-835F2B6D8523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D41A-86A5-4B38-A743-8F225F8B8AD0}">
  <sheetPr>
    <pageSetUpPr fitToPage="1"/>
  </sheetPr>
  <dimension ref="B1:N45"/>
  <sheetViews>
    <sheetView topLeftCell="A2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65571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80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10</v>
      </c>
      <c r="D9" s="6" t="s">
        <v>26</v>
      </c>
      <c r="E9" s="9">
        <v>15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12</v>
      </c>
      <c r="D11" s="6" t="s">
        <v>27</v>
      </c>
      <c r="E11" s="9">
        <v>19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8</v>
      </c>
      <c r="D13" s="6" t="s">
        <v>28</v>
      </c>
      <c r="E13" s="9">
        <v>10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5</v>
      </c>
      <c r="D15" s="6" t="s">
        <v>29</v>
      </c>
      <c r="E15" s="9">
        <v>4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4</v>
      </c>
      <c r="D17" s="6" t="s">
        <v>30</v>
      </c>
      <c r="E17" s="9">
        <v>6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14</v>
      </c>
      <c r="D19" s="6" t="s">
        <v>31</v>
      </c>
      <c r="E19" s="9">
        <v>10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117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9.75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97.882340546436112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79787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7978.7000000000007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4.6928378698530882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2.6</v>
      </c>
      <c r="E37" s="84"/>
      <c r="F37" s="68" t="s">
        <v>40</v>
      </c>
      <c r="G37" s="69"/>
      <c r="H37" s="70"/>
      <c r="I37" s="27">
        <f>D37*(D35*I35/(D23))</f>
        <v>1.0532245325289189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3.653224532528919</v>
      </c>
      <c r="E39" s="78"/>
      <c r="F39" s="79" t="s">
        <v>43</v>
      </c>
      <c r="G39" s="80"/>
      <c r="H39" s="81"/>
      <c r="I39" s="28">
        <f>SQRT(2*G30*D21/G32)</f>
        <v>24.219036326432292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4.8309106284426342</v>
      </c>
      <c r="E41" s="84"/>
      <c r="F41" s="85" t="s">
        <v>44</v>
      </c>
      <c r="G41" s="86"/>
      <c r="H41" s="87"/>
      <c r="I41" s="24">
        <f>G30*D41</f>
        <v>96618.212568852687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105021.57514654116</v>
      </c>
      <c r="E43" s="90"/>
      <c r="F43" s="91" t="s">
        <v>46</v>
      </c>
      <c r="G43" s="92"/>
      <c r="H43" s="93"/>
      <c r="I43" s="25">
        <f>D43+I41</f>
        <v>201639.78771539385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75.555113326049451</v>
      </c>
      <c r="E45" s="84"/>
      <c r="F45" s="75" t="s">
        <v>48</v>
      </c>
      <c r="G45" s="76"/>
      <c r="H45" s="77"/>
      <c r="I45" s="26">
        <f>I43+(G28*D21)</f>
        <v>9536718.787715394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804FF503-FCD1-4205-9D19-CDA119E4D792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0FCFC-8FD3-42C9-91AE-44EF0E3D05FF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65576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81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40</v>
      </c>
      <c r="D9" s="6" t="s">
        <v>26</v>
      </c>
      <c r="E9" s="9">
        <v>65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24</v>
      </c>
      <c r="D11" s="6" t="s">
        <v>27</v>
      </c>
      <c r="E11" s="9">
        <v>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24</v>
      </c>
      <c r="D13" s="6" t="s">
        <v>28</v>
      </c>
      <c r="E13" s="9">
        <v>40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18</v>
      </c>
      <c r="D15" s="6" t="s">
        <v>29</v>
      </c>
      <c r="E15" s="9">
        <v>12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32</v>
      </c>
      <c r="D17" s="6" t="s">
        <v>30</v>
      </c>
      <c r="E17" s="9">
        <v>22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24</v>
      </c>
      <c r="D19" s="6" t="s">
        <v>31</v>
      </c>
      <c r="E19" s="9">
        <v>36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337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28.083333333333332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96.643557200253852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69588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6958.8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16.406530481007934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7.488888888888888</v>
      </c>
      <c r="E37" s="84"/>
      <c r="F37" s="68" t="s">
        <v>40</v>
      </c>
      <c r="G37" s="69"/>
      <c r="H37" s="70"/>
      <c r="I37" s="27">
        <f>D37*(D35*I35/(D23))</f>
        <v>3.6821558458873396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11.171044734776228</v>
      </c>
      <c r="E39" s="78"/>
      <c r="F39" s="79" t="s">
        <v>43</v>
      </c>
      <c r="G39" s="80"/>
      <c r="H39" s="81"/>
      <c r="I39" s="28">
        <f>SQRT(2*G30*D21/G32)</f>
        <v>44.012675386106153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7.6568851369208879</v>
      </c>
      <c r="E41" s="84"/>
      <c r="F41" s="85" t="s">
        <v>44</v>
      </c>
      <c r="G41" s="86"/>
      <c r="H41" s="87"/>
      <c r="I41" s="24">
        <f>G30*D41</f>
        <v>153137.70273841775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178761.08883877858</v>
      </c>
      <c r="E43" s="90"/>
      <c r="F43" s="91" t="s">
        <v>46</v>
      </c>
      <c r="G43" s="92"/>
      <c r="H43" s="93"/>
      <c r="I43" s="25">
        <f>D43+I41</f>
        <v>331898.79157719633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47.669514884061563</v>
      </c>
      <c r="E45" s="84"/>
      <c r="F45" s="75" t="s">
        <v>48</v>
      </c>
      <c r="G45" s="76"/>
      <c r="H45" s="77"/>
      <c r="I45" s="26">
        <f>I43+(G28*D21)</f>
        <v>23783054.791577198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089D6F31-EC64-4275-A3A8-06B8BC30D9F4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87E7-BA21-49F6-AA6D-E6D14D74D893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67353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82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17</v>
      </c>
      <c r="D9" s="6" t="s">
        <v>26</v>
      </c>
      <c r="E9" s="9">
        <v>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8</v>
      </c>
      <c r="D11" s="6" t="s">
        <v>27</v>
      </c>
      <c r="E11" s="9">
        <v>37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12</v>
      </c>
      <c r="D13" s="6" t="s">
        <v>28</v>
      </c>
      <c r="E13" s="9">
        <v>10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26</v>
      </c>
      <c r="D15" s="6" t="s">
        <v>29</v>
      </c>
      <c r="E15" s="9">
        <v>14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15</v>
      </c>
      <c r="D17" s="6" t="s">
        <v>30</v>
      </c>
      <c r="E17" s="9">
        <v>8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9</v>
      </c>
      <c r="D19" s="6" t="s">
        <v>31</v>
      </c>
      <c r="E19" s="9">
        <v>11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172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14.333333333333334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99.552833738299384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2420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242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8.9882077628345218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3.8222222222222224</v>
      </c>
      <c r="E37" s="84"/>
      <c r="F37" s="68" t="s">
        <v>40</v>
      </c>
      <c r="G37" s="69"/>
      <c r="H37" s="70"/>
      <c r="I37" s="27">
        <f>D37*(D35*I35/(D23))</f>
        <v>2.0172444013243838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5.8394666235466062</v>
      </c>
      <c r="E39" s="78"/>
      <c r="F39" s="79" t="s">
        <v>43</v>
      </c>
      <c r="G39" s="80"/>
      <c r="H39" s="81"/>
      <c r="I39" s="28">
        <f>SQRT(2*G30*D21/G32)</f>
        <v>168.61124537264917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1.0200980345045274</v>
      </c>
      <c r="E41" s="84"/>
      <c r="F41" s="85" t="s">
        <v>44</v>
      </c>
      <c r="G41" s="86"/>
      <c r="H41" s="87"/>
      <c r="I41" s="24">
        <f>G30*D41</f>
        <v>20401.960690090549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20890.133835211051</v>
      </c>
      <c r="E43" s="90"/>
      <c r="F43" s="91" t="s">
        <v>46</v>
      </c>
      <c r="G43" s="92"/>
      <c r="H43" s="93"/>
      <c r="I43" s="25">
        <f>D43+I41</f>
        <v>41292.094525301596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357.80874744777293</v>
      </c>
      <c r="E45" s="84"/>
      <c r="F45" s="75" t="s">
        <v>48</v>
      </c>
      <c r="G45" s="76"/>
      <c r="H45" s="77"/>
      <c r="I45" s="26">
        <f>I43+(G28*D21)</f>
        <v>457532.0945253016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048876D6-EC70-4C19-969C-6C67DB064D67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81BA-768D-41CE-92B6-ECC4183EAF87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67380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83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86</v>
      </c>
      <c r="D9" s="6" t="s">
        <v>26</v>
      </c>
      <c r="E9" s="9">
        <v>55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44</v>
      </c>
      <c r="D11" s="6" t="s">
        <v>27</v>
      </c>
      <c r="E11" s="9">
        <v>27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18</v>
      </c>
      <c r="D13" s="6" t="s">
        <v>28</v>
      </c>
      <c r="E13" s="9">
        <v>244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80</v>
      </c>
      <c r="D15" s="6" t="s">
        <v>29</v>
      </c>
      <c r="E15" s="9">
        <v>96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67</v>
      </c>
      <c r="D17" s="6" t="s">
        <v>30</v>
      </c>
      <c r="E17" s="9">
        <v>205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240</v>
      </c>
      <c r="D19" s="6" t="s">
        <v>31</v>
      </c>
      <c r="E19" s="9">
        <v>74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1236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103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98.946275297909793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1870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187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80.251876217093113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27.466666666666665</v>
      </c>
      <c r="E37" s="84"/>
      <c r="F37" s="68" t="s">
        <v>40</v>
      </c>
      <c r="G37" s="69"/>
      <c r="H37" s="70"/>
      <c r="I37" s="27">
        <f>D37*(D35*I35/(D23))</f>
        <v>18.011115482232203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45.477782148898868</v>
      </c>
      <c r="E39" s="78"/>
      <c r="F39" s="79" t="s">
        <v>43</v>
      </c>
      <c r="G39" s="80"/>
      <c r="H39" s="81"/>
      <c r="I39" s="28">
        <f>SQRT(2*G30*D21/G32)</f>
        <v>514.18384527128808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2.4038094766432718</v>
      </c>
      <c r="E41" s="84"/>
      <c r="F41" s="85" t="s">
        <v>44</v>
      </c>
      <c r="G41" s="86"/>
      <c r="H41" s="87"/>
      <c r="I41" s="24">
        <f>G30*D41</f>
        <v>48076.189532865435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51444.268128042851</v>
      </c>
      <c r="E43" s="90"/>
      <c r="F43" s="91" t="s">
        <v>46</v>
      </c>
      <c r="G43" s="92"/>
      <c r="H43" s="93"/>
      <c r="I43" s="25">
        <f>D43+I41</f>
        <v>99520.457660908287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151.84231676700659</v>
      </c>
      <c r="E45" s="84"/>
      <c r="F45" s="75" t="s">
        <v>48</v>
      </c>
      <c r="G45" s="76"/>
      <c r="H45" s="77"/>
      <c r="I45" s="26">
        <f>I43+(G28*D21)</f>
        <v>2410840.4576609083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F4D363AC-AB41-4D5A-ADA5-3538C50AD22C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BCC0-BC1D-45EE-81AD-345F83284004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67596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84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1900</v>
      </c>
      <c r="D9" s="6" t="s">
        <v>26</v>
      </c>
      <c r="E9" s="9">
        <v>631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1300</v>
      </c>
      <c r="D11" s="6" t="s">
        <v>27</v>
      </c>
      <c r="E11" s="9">
        <v>769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600</v>
      </c>
      <c r="D13" s="6" t="s">
        <v>28</v>
      </c>
      <c r="E13" s="9">
        <v>1800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2900</v>
      </c>
      <c r="D15" s="6" t="s">
        <v>29</v>
      </c>
      <c r="E15" s="9">
        <v>1300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700</v>
      </c>
      <c r="D17" s="6" t="s">
        <v>30</v>
      </c>
      <c r="E17" s="9">
        <v>700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1800</v>
      </c>
      <c r="D19" s="6" t="s">
        <v>31</v>
      </c>
      <c r="E19" s="9">
        <v>2800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17200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1433.3333333333333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99.350847948328919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51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5.1000000000000005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819.98828520826316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382.22222222222217</v>
      </c>
      <c r="E37" s="84"/>
      <c r="F37" s="68" t="s">
        <v>40</v>
      </c>
      <c r="G37" s="69"/>
      <c r="H37" s="70"/>
      <c r="I37" s="27">
        <f>D37*(D35*I35/(D23))</f>
        <v>184.03188056328463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566.2541027855068</v>
      </c>
      <c r="E39" s="78"/>
      <c r="F39" s="79" t="s">
        <v>43</v>
      </c>
      <c r="G39" s="80"/>
      <c r="H39" s="81"/>
      <c r="I39" s="28">
        <f>SQRT(2*G30*D21/G32)</f>
        <v>11614.730336271854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1.4808781178746617</v>
      </c>
      <c r="E41" s="84"/>
      <c r="F41" s="85" t="s">
        <v>44</v>
      </c>
      <c r="G41" s="86"/>
      <c r="H41" s="87"/>
      <c r="I41" s="24">
        <f>G30*D41</f>
        <v>29617.562357493236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30556.124948365981</v>
      </c>
      <c r="E43" s="90"/>
      <c r="F43" s="91" t="s">
        <v>46</v>
      </c>
      <c r="G43" s="92"/>
      <c r="H43" s="93"/>
      <c r="I43" s="25">
        <f>D43+I41</f>
        <v>60173.687305859217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246.47538213600154</v>
      </c>
      <c r="E45" s="84"/>
      <c r="F45" s="75" t="s">
        <v>48</v>
      </c>
      <c r="G45" s="76"/>
      <c r="H45" s="77"/>
      <c r="I45" s="26">
        <f>I43+(G28*D21)</f>
        <v>937373.68730585917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21A12435-7531-44B5-8D95-BF3D07B722FC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044F-97EB-4C90-9E30-B6E37842753F}">
  <sheetPr>
    <pageSetUpPr fitToPage="1"/>
  </sheetPr>
  <dimension ref="B1:N45"/>
  <sheetViews>
    <sheetView topLeftCell="A2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67717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85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11</v>
      </c>
      <c r="D9" s="6" t="s">
        <v>26</v>
      </c>
      <c r="E9" s="9">
        <v>8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5</v>
      </c>
      <c r="D11" s="6" t="s">
        <v>27</v>
      </c>
      <c r="E11" s="9">
        <v>33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4</v>
      </c>
      <c r="D13" s="6" t="s">
        <v>28</v>
      </c>
      <c r="E13" s="9">
        <v>27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7</v>
      </c>
      <c r="D15" s="6" t="s">
        <v>29</v>
      </c>
      <c r="E15" s="9">
        <v>13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5</v>
      </c>
      <c r="D17" s="6" t="s">
        <v>30</v>
      </c>
      <c r="E17" s="9">
        <v>15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13</v>
      </c>
      <c r="D19" s="6" t="s">
        <v>31</v>
      </c>
      <c r="E19" s="9">
        <v>8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149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12.416666666666666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97.707219368330726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73442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7344.2000000000007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9.0197594538912522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3.3111111111111109</v>
      </c>
      <c r="E37" s="84"/>
      <c r="F37" s="68" t="s">
        <v>40</v>
      </c>
      <c r="G37" s="69"/>
      <c r="H37" s="70"/>
      <c r="I37" s="27">
        <f>D37*(D35*I35/(D23))</f>
        <v>2.0243256208306444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5.3354367319417548</v>
      </c>
      <c r="E39" s="78"/>
      <c r="F39" s="79" t="s">
        <v>43</v>
      </c>
      <c r="G39" s="80"/>
      <c r="H39" s="81"/>
      <c r="I39" s="28">
        <f>SQRT(2*G30*D21/G32)</f>
        <v>28.487273309526117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5.2304058159955433</v>
      </c>
      <c r="E41" s="84"/>
      <c r="F41" s="85" t="s">
        <v>44</v>
      </c>
      <c r="G41" s="86"/>
      <c r="H41" s="87"/>
      <c r="I41" s="24">
        <f>G30*D41</f>
        <v>104608.11631991087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119475.16854441528</v>
      </c>
      <c r="E43" s="90"/>
      <c r="F43" s="91" t="s">
        <v>46</v>
      </c>
      <c r="G43" s="92"/>
      <c r="H43" s="93"/>
      <c r="I43" s="25">
        <f>D43+I41</f>
        <v>224083.28486432615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69.784260120651226</v>
      </c>
      <c r="E45" s="84"/>
      <c r="F45" s="75" t="s">
        <v>48</v>
      </c>
      <c r="G45" s="76"/>
      <c r="H45" s="77"/>
      <c r="I45" s="26">
        <f>I43+(G28*D21)</f>
        <v>11166941.284864327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FA0F32F0-DB59-4896-923C-61180B5EFF79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5A52-8CD7-42F2-A9EC-93D137F023B9}">
  <sheetPr>
    <pageSetUpPr fitToPage="1"/>
  </sheetPr>
  <dimension ref="B1:N45"/>
  <sheetViews>
    <sheetView zoomScale="90" zoomScaleNormal="90" workbookViewId="0">
      <selection activeCell="F23" sqref="F23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68979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86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3</v>
      </c>
      <c r="D9" s="6" t="s">
        <v>26</v>
      </c>
      <c r="E9" s="9">
        <v>15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13</v>
      </c>
      <c r="D11" s="6" t="s">
        <v>27</v>
      </c>
      <c r="E11" s="9">
        <v>15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51</v>
      </c>
      <c r="D13" s="6" t="s">
        <v>28</v>
      </c>
      <c r="E13" s="9">
        <v>36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24</v>
      </c>
      <c r="D15" s="6" t="s">
        <v>29</v>
      </c>
      <c r="E15" s="9">
        <v>36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18</v>
      </c>
      <c r="D17" s="6" t="s">
        <v>30</v>
      </c>
      <c r="E17" s="9">
        <v>18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24</v>
      </c>
      <c r="D19" s="6" t="s">
        <v>31</v>
      </c>
      <c r="E19" s="9">
        <v>21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274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22.833333333333332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99.47637902030101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2083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208.3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12.812162781962895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6.0888888888888886</v>
      </c>
      <c r="E37" s="84"/>
      <c r="F37" s="68" t="s">
        <v>40</v>
      </c>
      <c r="G37" s="69"/>
      <c r="H37" s="70"/>
      <c r="I37" s="27">
        <f>D37*(D35*I35/(D23))</f>
        <v>2.875463532078026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8.9643524209669145</v>
      </c>
      <c r="E39" s="78"/>
      <c r="F39" s="79" t="s">
        <v>43</v>
      </c>
      <c r="G39" s="80"/>
      <c r="H39" s="81"/>
      <c r="I39" s="28">
        <f>SQRT(2*G30*D21/G32)</f>
        <v>229.38269033861363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1.1945103599383307</v>
      </c>
      <c r="E41" s="84"/>
      <c r="F41" s="85" t="s">
        <v>44</v>
      </c>
      <c r="G41" s="86"/>
      <c r="H41" s="87"/>
      <c r="I41" s="24">
        <f>G30*D41</f>
        <v>23890.207198766613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24489.166252498464</v>
      </c>
      <c r="E43" s="90"/>
      <c r="F43" s="91" t="s">
        <v>46</v>
      </c>
      <c r="G43" s="92"/>
      <c r="H43" s="93"/>
      <c r="I43" s="25">
        <f>D43+I41</f>
        <v>48379.373451265077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305.56453275034295</v>
      </c>
      <c r="E45" s="84"/>
      <c r="F45" s="75" t="s">
        <v>48</v>
      </c>
      <c r="G45" s="76"/>
      <c r="H45" s="77"/>
      <c r="I45" s="26">
        <f>I43+(G28*D21)</f>
        <v>619121.37345126504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4E9C95BE-D49E-4CE1-80DF-7E274697BF93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D518-D600-426A-8358-05231210948C}">
  <sheetPr>
    <pageSetUpPr fitToPage="1"/>
  </sheetPr>
  <dimension ref="B1:N45"/>
  <sheetViews>
    <sheetView topLeftCell="A2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69176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87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2200</v>
      </c>
      <c r="D9" s="6" t="s">
        <v>26</v>
      </c>
      <c r="E9" s="9">
        <v>1500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2600</v>
      </c>
      <c r="D11" s="6" t="s">
        <v>27</v>
      </c>
      <c r="E11" s="9">
        <v>6700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3400</v>
      </c>
      <c r="D13" s="6" t="s">
        <v>28</v>
      </c>
      <c r="E13" s="9">
        <v>2500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1000</v>
      </c>
      <c r="D15" s="6" t="s">
        <v>29</v>
      </c>
      <c r="E15" s="9">
        <v>5000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2600</v>
      </c>
      <c r="D17" s="6" t="s">
        <v>30</v>
      </c>
      <c r="E17" s="9">
        <v>3200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2700</v>
      </c>
      <c r="D19" s="6" t="s">
        <v>31</v>
      </c>
      <c r="E19" s="9">
        <v>2500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35900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2991.6666666666665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95.612911008227641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1116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111.60000000000001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1528.1946171475636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797.77777777777771</v>
      </c>
      <c r="E37" s="84"/>
      <c r="F37" s="68" t="s">
        <v>40</v>
      </c>
      <c r="G37" s="69"/>
      <c r="H37" s="70"/>
      <c r="I37" s="27">
        <f>D37*(D35*I35/(D23))</f>
        <v>342.97627701952553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1140.7540547973033</v>
      </c>
      <c r="E39" s="78"/>
      <c r="F39" s="79" t="s">
        <v>43</v>
      </c>
      <c r="G39" s="80"/>
      <c r="H39" s="81"/>
      <c r="I39" s="28">
        <f>SQRT(2*G30*D21/G32)</f>
        <v>3587.1135349393112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10.00804676248068</v>
      </c>
      <c r="E41" s="84"/>
      <c r="F41" s="85" t="s">
        <v>44</v>
      </c>
      <c r="G41" s="86"/>
      <c r="H41" s="87"/>
      <c r="I41" s="24">
        <f>G30*D41</f>
        <v>200160.9352496136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238437.08776499261</v>
      </c>
      <c r="E43" s="90"/>
      <c r="F43" s="91" t="s">
        <v>46</v>
      </c>
      <c r="G43" s="92"/>
      <c r="H43" s="93"/>
      <c r="I43" s="25">
        <f>D43+I41</f>
        <v>438598.02301460621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36.470652931834223</v>
      </c>
      <c r="E45" s="84"/>
      <c r="F45" s="75" t="s">
        <v>48</v>
      </c>
      <c r="G45" s="76"/>
      <c r="H45" s="77"/>
      <c r="I45" s="26">
        <f>I43+(G28*D21)</f>
        <v>40502998.023014605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FA082911-F6C8-490C-A579-A03681053C1B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F4B6-ACD8-4A91-9CBF-C2D7EC23ED56}">
  <sheetPr>
    <pageSetUpPr fitToPage="1"/>
  </sheetPr>
  <dimension ref="B1:N45"/>
  <sheetViews>
    <sheetView topLeftCell="A23" zoomScale="90" zoomScaleNormal="90" workbookViewId="0">
      <selection activeCell="F28" sqref="F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69302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88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7</v>
      </c>
      <c r="D9" s="6" t="s">
        <v>26</v>
      </c>
      <c r="E9" s="9">
        <v>67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29</v>
      </c>
      <c r="D11" s="6" t="s">
        <v>27</v>
      </c>
      <c r="E11" s="9">
        <v>100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31</v>
      </c>
      <c r="D13" s="6" t="s">
        <v>28</v>
      </c>
      <c r="E13" s="9">
        <v>48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39</v>
      </c>
      <c r="D15" s="6" t="s">
        <v>29</v>
      </c>
      <c r="E15" s="9">
        <v>111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5</v>
      </c>
      <c r="D17" s="6" t="s">
        <v>30</v>
      </c>
      <c r="E17" s="9">
        <v>41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24</v>
      </c>
      <c r="D19" s="6" t="s">
        <v>31</v>
      </c>
      <c r="E19" s="9">
        <v>210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712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59.333333333333336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98.722288403286541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4773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477.3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57.70037550426629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15.822222222222223</v>
      </c>
      <c r="E37" s="84"/>
      <c r="F37" s="68" t="s">
        <v>40</v>
      </c>
      <c r="G37" s="69"/>
      <c r="H37" s="70"/>
      <c r="I37" s="27">
        <f>D37*(D35*I35/(D23))</f>
        <v>12.949829655872263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28.772051878094487</v>
      </c>
      <c r="E39" s="78"/>
      <c r="F39" s="79" t="s">
        <v>43</v>
      </c>
      <c r="G39" s="80"/>
      <c r="H39" s="81"/>
      <c r="I39" s="28">
        <f>SQRT(2*G30*D21/G32)</f>
        <v>244.27233019087174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2.9147795800025773</v>
      </c>
      <c r="E41" s="84"/>
      <c r="F41" s="85" t="s">
        <v>44</v>
      </c>
      <c r="G41" s="86"/>
      <c r="H41" s="87"/>
      <c r="I41" s="24">
        <f>G30*D41</f>
        <v>58295.591600051543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64476.545294799376</v>
      </c>
      <c r="E43" s="90"/>
      <c r="F43" s="91" t="s">
        <v>46</v>
      </c>
      <c r="G43" s="92"/>
      <c r="H43" s="93"/>
      <c r="I43" s="25">
        <f>D43+I41</f>
        <v>122772.13689485092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125.22387713436542</v>
      </c>
      <c r="E45" s="84"/>
      <c r="F45" s="75" t="s">
        <v>48</v>
      </c>
      <c r="G45" s="76"/>
      <c r="H45" s="77"/>
      <c r="I45" s="26">
        <f>I43+(G28*D21)</f>
        <v>3521148.136894851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2F9D1760-9916-4D6F-936B-60315053D9B6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0B83-07E1-46E6-83EA-3841D5AC9791}">
  <sheetPr>
    <pageSetUpPr fitToPage="1"/>
  </sheetPr>
  <dimension ref="B1:N45"/>
  <sheetViews>
    <sheetView topLeftCell="A14" zoomScale="90" zoomScaleNormal="90" workbookViewId="0">
      <selection activeCell="D41" sqref="D41:E41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00" t="s">
        <v>61</v>
      </c>
      <c r="C1" s="101"/>
      <c r="D1" s="101"/>
      <c r="E1" s="101"/>
      <c r="F1" s="101"/>
      <c r="G1" s="102"/>
      <c r="H1" s="96"/>
      <c r="I1" s="97"/>
    </row>
    <row r="2" spans="2:11" ht="76.5" customHeight="1" x14ac:dyDescent="0.3">
      <c r="B2" s="103"/>
      <c r="C2" s="104"/>
      <c r="D2" s="104"/>
      <c r="E2" s="104"/>
      <c r="F2" s="104"/>
      <c r="G2" s="105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25795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62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25</v>
      </c>
      <c r="D9" s="6" t="s">
        <v>26</v>
      </c>
      <c r="E9" s="9">
        <v>39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32</v>
      </c>
      <c r="D11" s="6" t="s">
        <v>27</v>
      </c>
      <c r="E11" s="9">
        <v>45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37</v>
      </c>
      <c r="D13" s="6" t="s">
        <v>28</v>
      </c>
      <c r="E13" s="9">
        <v>48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51</v>
      </c>
      <c r="D15" s="6" t="s">
        <v>29</v>
      </c>
      <c r="E15" s="9">
        <v>35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8</v>
      </c>
      <c r="D17" s="6" t="s">
        <v>30</v>
      </c>
      <c r="E17" s="9">
        <v>22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26</v>
      </c>
      <c r="D19" s="6" t="s">
        <v>31</v>
      </c>
      <c r="E19" s="9">
        <v>30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398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33.166666666666664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99.112245970375852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4122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412.20000000000005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12.126854747237884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8.8444444444444432</v>
      </c>
      <c r="E37" s="84"/>
      <c r="F37" s="68" t="s">
        <v>40</v>
      </c>
      <c r="G37" s="69"/>
      <c r="H37" s="70"/>
      <c r="I37" s="27">
        <f>D37*(D35*I35/(D23))</f>
        <v>2.7216582537946414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11.566102698239085</v>
      </c>
      <c r="E39" s="78"/>
      <c r="F39" s="79" t="s">
        <v>43</v>
      </c>
      <c r="G39" s="80"/>
      <c r="H39" s="81"/>
      <c r="I39" s="28">
        <f>SQRT(2*G30*D21/G32)</f>
        <v>196.52487919263248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2.0251888800800781</v>
      </c>
      <c r="E41" s="84"/>
      <c r="F41" s="85" t="s">
        <v>44</v>
      </c>
      <c r="G41" s="86"/>
      <c r="H41" s="87"/>
      <c r="I41" s="24">
        <f>G30*D41</f>
        <v>40503.777601601563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41625.645133815713</v>
      </c>
      <c r="E43" s="90"/>
      <c r="F43" s="91" t="s">
        <v>46</v>
      </c>
      <c r="G43" s="92"/>
      <c r="H43" s="93"/>
      <c r="I43" s="25">
        <f>D43+I41</f>
        <v>82129.422735417276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180.23010277716295</v>
      </c>
      <c r="E45" s="84"/>
      <c r="F45" s="75" t="s">
        <v>48</v>
      </c>
      <c r="G45" s="76"/>
      <c r="H45" s="77"/>
      <c r="I45" s="26">
        <f>I43+(G28*D21)</f>
        <v>1722685.4227354173</v>
      </c>
    </row>
  </sheetData>
  <mergeCells count="56">
    <mergeCell ref="B7:C7"/>
    <mergeCell ref="D7:E7"/>
    <mergeCell ref="F7:G7"/>
    <mergeCell ref="H7:I7"/>
    <mergeCell ref="B23:C23"/>
    <mergeCell ref="B21:C21"/>
    <mergeCell ref="G8:I8"/>
    <mergeCell ref="G10:H11"/>
    <mergeCell ref="G13:H14"/>
    <mergeCell ref="G16:H17"/>
    <mergeCell ref="I10:I11"/>
    <mergeCell ref="I13:I14"/>
    <mergeCell ref="I16:I17"/>
    <mergeCell ref="F26:H26"/>
    <mergeCell ref="B30:E30"/>
    <mergeCell ref="B32:E32"/>
    <mergeCell ref="G28:I28"/>
    <mergeCell ref="G30:I30"/>
    <mergeCell ref="G32:I32"/>
    <mergeCell ref="B28:E28"/>
    <mergeCell ref="B34:I34"/>
    <mergeCell ref="D37:E37"/>
    <mergeCell ref="B4:C4"/>
    <mergeCell ref="B5:C5"/>
    <mergeCell ref="B6:C6"/>
    <mergeCell ref="D4:I4"/>
    <mergeCell ref="D5:I5"/>
    <mergeCell ref="D6:I6"/>
    <mergeCell ref="D35:E35"/>
    <mergeCell ref="B8:F8"/>
    <mergeCell ref="B37:C37"/>
    <mergeCell ref="G19:I19"/>
    <mergeCell ref="G20:I20"/>
    <mergeCell ref="G22:I22"/>
    <mergeCell ref="G23:I23"/>
    <mergeCell ref="B25:I25"/>
    <mergeCell ref="B3:C3"/>
    <mergeCell ref="D3:F3"/>
    <mergeCell ref="H1:I2"/>
    <mergeCell ref="G3:H3"/>
    <mergeCell ref="B1:G2"/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F37:H37"/>
    <mergeCell ref="B35:C35"/>
    <mergeCell ref="B39:C39"/>
    <mergeCell ref="F35:H35"/>
    <mergeCell ref="D39:E39"/>
    <mergeCell ref="F39:H39"/>
  </mergeCells>
  <dataValidations count="1">
    <dataValidation type="list" allowBlank="1" showInputMessage="1" showErrorMessage="1" sqref="G20:I20" xr:uid="{F2E374D2-405C-44B2-A221-0D90BBC529B1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8464-1F7E-46CF-800E-968BE47FC4E6}">
  <sheetPr>
    <pageSetUpPr fitToPage="1"/>
  </sheetPr>
  <dimension ref="B1:N45"/>
  <sheetViews>
    <sheetView topLeftCell="A2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70273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89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100</v>
      </c>
      <c r="D9" s="6" t="s">
        <v>26</v>
      </c>
      <c r="E9" s="9">
        <v>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200</v>
      </c>
      <c r="D11" s="6" t="s">
        <v>27</v>
      </c>
      <c r="E11" s="9">
        <v>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0</v>
      </c>
      <c r="D13" s="6" t="s">
        <v>28</v>
      </c>
      <c r="E13" s="9">
        <v>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0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0</v>
      </c>
      <c r="D19" s="6" t="s">
        <v>31</v>
      </c>
      <c r="E19" s="9">
        <v>104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404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33.666666666666664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99.678072235653815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534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53.400000000000006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65.515207579938448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8.9777777777777779</v>
      </c>
      <c r="E37" s="84"/>
      <c r="F37" s="68" t="s">
        <v>40</v>
      </c>
      <c r="G37" s="69"/>
      <c r="H37" s="70"/>
      <c r="I37" s="27">
        <f>D37*(D35*I35/(D23))</f>
        <v>14.703730618990233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23.68150839676801</v>
      </c>
      <c r="E39" s="78"/>
      <c r="F39" s="79" t="s">
        <v>43</v>
      </c>
      <c r="G39" s="80"/>
      <c r="H39" s="81"/>
      <c r="I39" s="28">
        <f>SQRT(2*G30*D21/G32)</f>
        <v>550.11064600354894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0.73439771241473784</v>
      </c>
      <c r="E41" s="84"/>
      <c r="F41" s="85" t="s">
        <v>44</v>
      </c>
      <c r="G41" s="86"/>
      <c r="H41" s="87"/>
      <c r="I41" s="24">
        <f>G30*D41</f>
        <v>14687.954248294756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15473.133463348837</v>
      </c>
      <c r="E43" s="90"/>
      <c r="F43" s="91" t="s">
        <v>46</v>
      </c>
      <c r="G43" s="92"/>
      <c r="H43" s="93"/>
      <c r="I43" s="25">
        <f>D43+I41</f>
        <v>30161.087711643595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497.00590542399846</v>
      </c>
      <c r="E45" s="84"/>
      <c r="F45" s="75" t="s">
        <v>48</v>
      </c>
      <c r="G45" s="76"/>
      <c r="H45" s="77"/>
      <c r="I45" s="26">
        <f>I43+(G28*D21)</f>
        <v>245897.0877116436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00569815-963E-4CFA-96F2-D19BF293C764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CAF7-E10C-4656-80F6-5F3CF67772A2}">
  <sheetPr>
    <pageSetUpPr fitToPage="1"/>
  </sheetPr>
  <dimension ref="B1:N45"/>
  <sheetViews>
    <sheetView topLeftCell="A27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70274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90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100</v>
      </c>
      <c r="D9" s="6" t="s">
        <v>26</v>
      </c>
      <c r="E9" s="9">
        <v>4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205</v>
      </c>
      <c r="D11" s="6" t="s">
        <v>27</v>
      </c>
      <c r="E11" s="9">
        <v>13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16</v>
      </c>
      <c r="D13" s="6" t="s">
        <v>28</v>
      </c>
      <c r="E13" s="9">
        <v>110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20</v>
      </c>
      <c r="D15" s="6" t="s">
        <v>29</v>
      </c>
      <c r="E15" s="9">
        <v>94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40</v>
      </c>
      <c r="D17" s="6" t="s">
        <v>30</v>
      </c>
      <c r="E17" s="9">
        <v>25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3</v>
      </c>
      <c r="D19" s="6" t="s">
        <v>31</v>
      </c>
      <c r="E19" s="9">
        <v>162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792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66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99.604559975583541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411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41.1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67.425379629497215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17.600000000000001</v>
      </c>
      <c r="E37" s="84"/>
      <c r="F37" s="68" t="s">
        <v>40</v>
      </c>
      <c r="G37" s="69"/>
      <c r="H37" s="70"/>
      <c r="I37" s="27">
        <f>D37*(D35*I35/(D23))</f>
        <v>15.132434980773207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32.732434980773206</v>
      </c>
      <c r="E39" s="78"/>
      <c r="F39" s="79" t="s">
        <v>43</v>
      </c>
      <c r="G39" s="80"/>
      <c r="H39" s="81"/>
      <c r="I39" s="28">
        <f>SQRT(2*G30*D21/G32)</f>
        <v>877.95382549882947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0.90209755570004735</v>
      </c>
      <c r="E41" s="84"/>
      <c r="F41" s="85" t="s">
        <v>44</v>
      </c>
      <c r="G41" s="86"/>
      <c r="H41" s="87"/>
      <c r="I41" s="24">
        <f>G30*D41</f>
        <v>18041.951114000945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18663.894191710726</v>
      </c>
      <c r="E43" s="90"/>
      <c r="F43" s="91" t="s">
        <v>46</v>
      </c>
      <c r="G43" s="92"/>
      <c r="H43" s="93"/>
      <c r="I43" s="25">
        <f>D43+I41</f>
        <v>36705.845305711671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404.61255846852623</v>
      </c>
      <c r="E45" s="84"/>
      <c r="F45" s="75" t="s">
        <v>48</v>
      </c>
      <c r="G45" s="76"/>
      <c r="H45" s="77"/>
      <c r="I45" s="26">
        <f>I43+(G28*D21)</f>
        <v>362217.84530571167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1778162E-0645-43CB-9F7F-43388152959E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C39B-3233-487D-AB9A-597189A1C640}">
  <sheetPr>
    <pageSetUpPr fitToPage="1"/>
  </sheetPr>
  <dimension ref="B1:N45"/>
  <sheetViews>
    <sheetView topLeftCell="A2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70561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91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186</v>
      </c>
      <c r="D9" s="6" t="s">
        <v>26</v>
      </c>
      <c r="E9" s="9">
        <v>50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235</v>
      </c>
      <c r="D11" s="6" t="s">
        <v>27</v>
      </c>
      <c r="E11" s="9">
        <v>200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20</v>
      </c>
      <c r="D13" s="6" t="s">
        <v>28</v>
      </c>
      <c r="E13" s="9">
        <v>34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126</v>
      </c>
      <c r="D15" s="6" t="s">
        <v>29</v>
      </c>
      <c r="E15" s="9">
        <v>315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107</v>
      </c>
      <c r="D17" s="6" t="s">
        <v>30</v>
      </c>
      <c r="E17" s="9">
        <v>192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97</v>
      </c>
      <c r="D19" s="6" t="s">
        <v>31</v>
      </c>
      <c r="E19" s="9">
        <v>55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1617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134.75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99.737065765428852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89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8.9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91.370499516081125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35.93333333333333</v>
      </c>
      <c r="E37" s="84"/>
      <c r="F37" s="68" t="s">
        <v>40</v>
      </c>
      <c r="G37" s="69"/>
      <c r="H37" s="70"/>
      <c r="I37" s="27">
        <f>D37*(D35*I35/(D23))</f>
        <v>20.506494003972694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56.439827337306028</v>
      </c>
      <c r="E39" s="78"/>
      <c r="F39" s="79" t="s">
        <v>43</v>
      </c>
      <c r="G39" s="80"/>
      <c r="H39" s="81"/>
      <c r="I39" s="28">
        <f>SQRT(2*G30*D21/G32)</f>
        <v>2695.8144836648307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0.5998187226154249</v>
      </c>
      <c r="E41" s="84"/>
      <c r="F41" s="85" t="s">
        <v>44</v>
      </c>
      <c r="G41" s="86"/>
      <c r="H41" s="87"/>
      <c r="I41" s="24">
        <f>G30*D41</f>
        <v>11996.374452308499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12178.882248943853</v>
      </c>
      <c r="E43" s="90"/>
      <c r="F43" s="91" t="s">
        <v>46</v>
      </c>
      <c r="G43" s="92"/>
      <c r="H43" s="93"/>
      <c r="I43" s="25">
        <f>D43+I41</f>
        <v>24175.25670125235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608.51718400597599</v>
      </c>
      <c r="E45" s="84"/>
      <c r="F45" s="75" t="s">
        <v>48</v>
      </c>
      <c r="G45" s="76"/>
      <c r="H45" s="77"/>
      <c r="I45" s="26">
        <f>I43+(G28*D21)</f>
        <v>168088.25670125237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9CD69E45-44E9-49B8-947B-2DAD52D5F499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02E7-784A-433D-AB0A-EE1B29BE5596}">
  <sheetPr>
    <pageSetUpPr fitToPage="1"/>
  </sheetPr>
  <dimension ref="B1:N45"/>
  <sheetViews>
    <sheetView topLeftCell="A2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70571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92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20</v>
      </c>
      <c r="D9" s="6" t="s">
        <v>26</v>
      </c>
      <c r="E9" s="9">
        <v>105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36</v>
      </c>
      <c r="D11" s="6" t="s">
        <v>27</v>
      </c>
      <c r="E11" s="9">
        <v>172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26</v>
      </c>
      <c r="D13" s="6" t="s">
        <v>28</v>
      </c>
      <c r="E13" s="9">
        <v>73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26</v>
      </c>
      <c r="D15" s="6" t="s">
        <v>29</v>
      </c>
      <c r="E15" s="9">
        <v>197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24</v>
      </c>
      <c r="D17" s="6" t="s">
        <v>30</v>
      </c>
      <c r="E17" s="9">
        <v>278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75</v>
      </c>
      <c r="D19" s="6" t="s">
        <v>31</v>
      </c>
      <c r="E19" s="9">
        <v>120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1152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96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99.690581402234329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173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17.3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82.620710588700561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25.6</v>
      </c>
      <c r="E37" s="84"/>
      <c r="F37" s="68" t="s">
        <v>40</v>
      </c>
      <c r="G37" s="69"/>
      <c r="H37" s="70"/>
      <c r="I37" s="27">
        <f>D37*(D35*I35/(D23))</f>
        <v>18.542758497155454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44.142758497155455</v>
      </c>
      <c r="E39" s="78"/>
      <c r="F39" s="79" t="s">
        <v>43</v>
      </c>
      <c r="G39" s="80"/>
      <c r="H39" s="81"/>
      <c r="I39" s="28">
        <f>SQRT(2*G30*D21/G32)</f>
        <v>1632.0489622033101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0.70586117615293165</v>
      </c>
      <c r="E41" s="84"/>
      <c r="F41" s="85" t="s">
        <v>44</v>
      </c>
      <c r="G41" s="86"/>
      <c r="H41" s="87"/>
      <c r="I41" s="24">
        <f>G30*D41</f>
        <v>14117.223523058632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14438.013245059423</v>
      </c>
      <c r="E43" s="90"/>
      <c r="F43" s="91" t="s">
        <v>46</v>
      </c>
      <c r="G43" s="92"/>
      <c r="H43" s="93"/>
      <c r="I43" s="25">
        <f>D43+I41</f>
        <v>28555.236768118055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517.09884653143069</v>
      </c>
      <c r="E45" s="84"/>
      <c r="F45" s="75" t="s">
        <v>48</v>
      </c>
      <c r="G45" s="76"/>
      <c r="H45" s="77"/>
      <c r="I45" s="26">
        <f>I43+(G28*D21)</f>
        <v>227851.23676811805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7CD592BB-7517-4875-BE8A-27C30B058553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C4CA-F654-4692-9582-66B9D7DB7703}">
  <sheetPr>
    <pageSetUpPr fitToPage="1"/>
  </sheetPr>
  <dimension ref="B1:N45"/>
  <sheetViews>
    <sheetView topLeftCell="A1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70588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93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14</v>
      </c>
      <c r="D9" s="6" t="s">
        <v>26</v>
      </c>
      <c r="E9" s="9">
        <v>45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47</v>
      </c>
      <c r="D11" s="6" t="s">
        <v>27</v>
      </c>
      <c r="E11" s="9">
        <v>59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14</v>
      </c>
      <c r="D13" s="6" t="s">
        <v>28</v>
      </c>
      <c r="E13" s="9">
        <v>90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64</v>
      </c>
      <c r="D15" s="6" t="s">
        <v>29</v>
      </c>
      <c r="E15" s="9">
        <v>31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40</v>
      </c>
      <c r="D17" s="6" t="s">
        <v>30</v>
      </c>
      <c r="E17" s="9">
        <v>82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112</v>
      </c>
      <c r="D19" s="6" t="s">
        <v>31</v>
      </c>
      <c r="E19" s="9">
        <v>36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634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52.833333333333336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99.641917745333359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421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42.1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30.047941491536282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14.088888888888889</v>
      </c>
      <c r="E37" s="84"/>
      <c r="F37" s="68" t="s">
        <v>40</v>
      </c>
      <c r="G37" s="69"/>
      <c r="H37" s="70"/>
      <c r="I37" s="27">
        <f>D37*(D35*I35/(D23))</f>
        <v>6.7437294891822752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20.832618378071164</v>
      </c>
      <c r="E39" s="78"/>
      <c r="F39" s="79" t="s">
        <v>43</v>
      </c>
      <c r="G39" s="80"/>
      <c r="H39" s="81"/>
      <c r="I39" s="28">
        <f>SQRT(2*G30*D21/G32)</f>
        <v>776.12840233566635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0.81687514345828893</v>
      </c>
      <c r="E41" s="84"/>
      <c r="F41" s="85" t="s">
        <v>44</v>
      </c>
      <c r="G41" s="86"/>
      <c r="H41" s="87"/>
      <c r="I41" s="24">
        <f>G30*D41</f>
        <v>16337.502869165779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16621.413880660351</v>
      </c>
      <c r="E43" s="90"/>
      <c r="F43" s="91" t="s">
        <v>46</v>
      </c>
      <c r="G43" s="92"/>
      <c r="H43" s="93"/>
      <c r="I43" s="25">
        <f>D43+I41</f>
        <v>32958.91674982613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446.82471112384576</v>
      </c>
      <c r="E45" s="84"/>
      <c r="F45" s="75" t="s">
        <v>48</v>
      </c>
      <c r="G45" s="76"/>
      <c r="H45" s="77"/>
      <c r="I45" s="26">
        <f>I43+(G28*D21)</f>
        <v>299872.91674982611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403BE3DA-8591-464C-8E59-7D0B3FF5E746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4B450-F5EA-41EE-B0B5-9FBB2C6769A9}">
  <sheetPr>
    <pageSetUpPr fitToPage="1"/>
  </sheetPr>
  <dimension ref="B1:N45"/>
  <sheetViews>
    <sheetView topLeftCell="A2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70637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94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38</v>
      </c>
      <c r="D9" s="6" t="s">
        <v>26</v>
      </c>
      <c r="E9" s="9">
        <v>36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13</v>
      </c>
      <c r="D11" s="6" t="s">
        <v>27</v>
      </c>
      <c r="E11" s="9">
        <v>21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34</v>
      </c>
      <c r="D13" s="6" t="s">
        <v>28</v>
      </c>
      <c r="E13" s="9">
        <v>21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23</v>
      </c>
      <c r="D15" s="6" t="s">
        <v>29</v>
      </c>
      <c r="E15" s="9">
        <v>20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25</v>
      </c>
      <c r="D17" s="6" t="s">
        <v>30</v>
      </c>
      <c r="E17" s="9">
        <v>22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31</v>
      </c>
      <c r="D19" s="6" t="s">
        <v>31</v>
      </c>
      <c r="E19" s="9">
        <v>33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317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26.416666666666668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97.820577636392116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31191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3119.1000000000004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7.7513439694889863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7.0444444444444443</v>
      </c>
      <c r="E37" s="84"/>
      <c r="F37" s="68" t="s">
        <v>40</v>
      </c>
      <c r="G37" s="69"/>
      <c r="H37" s="70"/>
      <c r="I37" s="27">
        <f>D37*(D35*I35/(D23))</f>
        <v>1.7396521795864786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8.7840966240309228</v>
      </c>
      <c r="E39" s="78"/>
      <c r="F39" s="79" t="s">
        <v>43</v>
      </c>
      <c r="G39" s="80"/>
      <c r="H39" s="81"/>
      <c r="I39" s="28">
        <f>SQRT(2*G30*D21/G32)</f>
        <v>63.7595109740693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4.9718072669804894</v>
      </c>
      <c r="E41" s="84"/>
      <c r="F41" s="85" t="s">
        <v>44</v>
      </c>
      <c r="G41" s="86"/>
      <c r="H41" s="87"/>
      <c r="I41" s="24">
        <f>G30*D41</f>
        <v>99436.145339609793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104862.29445295797</v>
      </c>
      <c r="E43" s="90"/>
      <c r="F43" s="91" t="s">
        <v>46</v>
      </c>
      <c r="G43" s="92"/>
      <c r="H43" s="93"/>
      <c r="I43" s="25">
        <f>D43+I41</f>
        <v>204298.43979256775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73.413947966988303</v>
      </c>
      <c r="E45" s="84"/>
      <c r="F45" s="75" t="s">
        <v>48</v>
      </c>
      <c r="G45" s="76"/>
      <c r="H45" s="77"/>
      <c r="I45" s="26">
        <f>I43+(G28*D21)</f>
        <v>10091845.439792568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0FA855E4-1B3D-44CF-890C-50E0ECFF16CD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C4F3-B1CE-4110-9CBE-BBEBAC77AEE5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74796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95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17</v>
      </c>
      <c r="D9" s="6" t="s">
        <v>26</v>
      </c>
      <c r="E9" s="9">
        <v>35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28</v>
      </c>
      <c r="D11" s="6" t="s">
        <v>27</v>
      </c>
      <c r="E11" s="9">
        <v>78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24</v>
      </c>
      <c r="D13" s="6" t="s">
        <v>28</v>
      </c>
      <c r="E13" s="9">
        <v>55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22</v>
      </c>
      <c r="D15" s="6" t="s">
        <v>29</v>
      </c>
      <c r="E15" s="9">
        <v>72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46</v>
      </c>
      <c r="D17" s="6" t="s">
        <v>30</v>
      </c>
      <c r="E17" s="9">
        <v>17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23</v>
      </c>
      <c r="D19" s="6" t="s">
        <v>31</v>
      </c>
      <c r="E19" s="9">
        <v>33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450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37.5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99.055459435776882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4127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412.70000000000005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20.887142630640678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10</v>
      </c>
      <c r="E37" s="84"/>
      <c r="F37" s="68" t="s">
        <v>40</v>
      </c>
      <c r="G37" s="69"/>
      <c r="H37" s="70"/>
      <c r="I37" s="27">
        <f>D37*(D35*I35/(D23))</f>
        <v>4.6877500657635256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14.687750065763526</v>
      </c>
      <c r="E39" s="78"/>
      <c r="F39" s="79" t="s">
        <v>43</v>
      </c>
      <c r="G39" s="80"/>
      <c r="H39" s="81"/>
      <c r="I39" s="28">
        <f>SQRT(2*G30*D21/G32)</f>
        <v>208.84256478158497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2.1547331621340033</v>
      </c>
      <c r="E41" s="84"/>
      <c r="F41" s="85" t="s">
        <v>44</v>
      </c>
      <c r="G41" s="86"/>
      <c r="H41" s="87"/>
      <c r="I41" s="24">
        <f>G30*D41</f>
        <v>43094.663242680064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45029.297694820671</v>
      </c>
      <c r="E43" s="90"/>
      <c r="F43" s="91" t="s">
        <v>46</v>
      </c>
      <c r="G43" s="92"/>
      <c r="H43" s="93"/>
      <c r="I43" s="25">
        <f>D43+I41</f>
        <v>88123.960937500728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169.39452476728559</v>
      </c>
      <c r="E45" s="84"/>
      <c r="F45" s="75" t="s">
        <v>48</v>
      </c>
      <c r="G45" s="76"/>
      <c r="H45" s="77"/>
      <c r="I45" s="26">
        <f>I43+(G28*D21)</f>
        <v>1945273.9609375007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A8E64DE6-33A7-4202-BDDC-9B11E2F18D25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9A14-DB66-45F6-8C9D-E6995EF75483}">
  <sheetPr>
    <pageSetUpPr fitToPage="1"/>
  </sheetPr>
  <dimension ref="B1:N45"/>
  <sheetViews>
    <sheetView topLeftCell="A23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75761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96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9</v>
      </c>
      <c r="D9" s="6" t="s">
        <v>26</v>
      </c>
      <c r="E9" s="9">
        <v>20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6</v>
      </c>
      <c r="D11" s="6" t="s">
        <v>27</v>
      </c>
      <c r="E11" s="9">
        <v>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8</v>
      </c>
      <c r="D13" s="6" t="s">
        <v>28</v>
      </c>
      <c r="E13" s="9">
        <v>16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11</v>
      </c>
      <c r="D15" s="6" t="s">
        <v>29</v>
      </c>
      <c r="E15" s="9">
        <v>11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14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10</v>
      </c>
      <c r="D19" s="6" t="s">
        <v>31</v>
      </c>
      <c r="E19" s="9">
        <v>10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115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9.5833333333333339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99.531092068576754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3980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398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5.8225007644065752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2.5555555555555558</v>
      </c>
      <c r="E37" s="84"/>
      <c r="F37" s="68" t="s">
        <v>40</v>
      </c>
      <c r="G37" s="69"/>
      <c r="H37" s="70"/>
      <c r="I37" s="27">
        <f>D37*(D35*I35/(D23))</f>
        <v>1.3067574068850938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3.8623129624406496</v>
      </c>
      <c r="E39" s="78"/>
      <c r="F39" s="79" t="s">
        <v>43</v>
      </c>
      <c r="G39" s="80"/>
      <c r="H39" s="81"/>
      <c r="I39" s="28">
        <f>SQRT(2*G30*D21/G32)</f>
        <v>107.50715764414767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1.0696962185592693</v>
      </c>
      <c r="E41" s="84"/>
      <c r="F41" s="85" t="s">
        <v>44</v>
      </c>
      <c r="G41" s="86"/>
      <c r="H41" s="87"/>
      <c r="I41" s="24">
        <f>G30*D41</f>
        <v>21393.924371185385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21914.013819125656</v>
      </c>
      <c r="E43" s="90"/>
      <c r="F43" s="91" t="s">
        <v>46</v>
      </c>
      <c r="G43" s="92"/>
      <c r="H43" s="93"/>
      <c r="I43" s="25">
        <f>D43+I41</f>
        <v>43307.938190311041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341.21836991403387</v>
      </c>
      <c r="E45" s="84"/>
      <c r="F45" s="75" t="s">
        <v>48</v>
      </c>
      <c r="G45" s="76"/>
      <c r="H45" s="77"/>
      <c r="I45" s="26">
        <f>I43+(G28*D21)</f>
        <v>501007.93819031102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529CFE34-4282-407E-8BD8-3E880959F744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077A-A2BE-46A7-84D7-7107C3B95937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78094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97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0</v>
      </c>
      <c r="D9" s="6" t="s">
        <v>26</v>
      </c>
      <c r="E9" s="9">
        <v>4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0</v>
      </c>
      <c r="D11" s="6" t="s">
        <v>27</v>
      </c>
      <c r="E11" s="9">
        <v>2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0</v>
      </c>
      <c r="D13" s="6" t="s">
        <v>28</v>
      </c>
      <c r="E13" s="9">
        <v>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0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0</v>
      </c>
      <c r="D19" s="6" t="s">
        <v>31</v>
      </c>
      <c r="E19" s="9">
        <v>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6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0.5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99.358878820309116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142605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14260.5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1.243163121016122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0.13333333333333333</v>
      </c>
      <c r="E37" s="84"/>
      <c r="F37" s="68" t="s">
        <v>40</v>
      </c>
      <c r="G37" s="69"/>
      <c r="H37" s="70"/>
      <c r="I37" s="27">
        <f>D37*(D35*I35/(D23))</f>
        <v>0.27900599451785157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0.41233932785118488</v>
      </c>
      <c r="E39" s="78"/>
      <c r="F39" s="79" t="s">
        <v>43</v>
      </c>
      <c r="G39" s="80"/>
      <c r="H39" s="81"/>
      <c r="I39" s="28">
        <f>SQRT(2*G30*D21/G32)</f>
        <v>4.1024022752913902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1.4625576911698219</v>
      </c>
      <c r="E41" s="84"/>
      <c r="F41" s="85" t="s">
        <v>44</v>
      </c>
      <c r="G41" s="86"/>
      <c r="H41" s="87"/>
      <c r="I41" s="24">
        <f>G30*D41</f>
        <v>29251.153823396438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33229.918808218252</v>
      </c>
      <c r="E43" s="90"/>
      <c r="F43" s="91" t="s">
        <v>46</v>
      </c>
      <c r="G43" s="92"/>
      <c r="H43" s="93"/>
      <c r="I43" s="25">
        <f>D43+I41</f>
        <v>62481.07263161469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249.56280508022624</v>
      </c>
      <c r="E45" s="84"/>
      <c r="F45" s="75" t="s">
        <v>48</v>
      </c>
      <c r="G45" s="76"/>
      <c r="H45" s="77"/>
      <c r="I45" s="26">
        <f>I43+(G28*D21)</f>
        <v>918111.07263161475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84750552-02CA-4B5A-845A-FA95F829D921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844C-2B01-4D4B-B55C-251A2F622A6C}">
  <sheetPr>
    <pageSetUpPr fitToPage="1"/>
  </sheetPr>
  <dimension ref="B1:N45"/>
  <sheetViews>
    <sheetView topLeftCell="A26"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78099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98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0</v>
      </c>
      <c r="D9" s="6" t="s">
        <v>26</v>
      </c>
      <c r="E9" s="9">
        <v>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0</v>
      </c>
      <c r="D11" s="6" t="s">
        <v>27</v>
      </c>
      <c r="E11" s="9">
        <v>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0</v>
      </c>
      <c r="D13" s="6" t="s">
        <v>28</v>
      </c>
      <c r="E13" s="9">
        <v>8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6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0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0</v>
      </c>
      <c r="D19" s="6" t="s">
        <v>31</v>
      </c>
      <c r="E19" s="9">
        <v>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14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1.1666666666666667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99.713848764540032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12175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1217.5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2.7579087378048981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0.31111111111111112</v>
      </c>
      <c r="E37" s="84"/>
      <c r="F37" s="68" t="s">
        <v>40</v>
      </c>
      <c r="G37" s="69"/>
      <c r="H37" s="70"/>
      <c r="I37" s="27">
        <f>D37*(D35*I35/(D23))</f>
        <v>0.61896388106476763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0.93007499217587875</v>
      </c>
      <c r="E39" s="78"/>
      <c r="F39" s="79" t="s">
        <v>43</v>
      </c>
      <c r="G39" s="80"/>
      <c r="H39" s="81"/>
      <c r="I39" s="28">
        <f>SQRT(2*G30*D21/G32)</f>
        <v>21.446653171023982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0.65278250589304243</v>
      </c>
      <c r="E41" s="84"/>
      <c r="F41" s="85" t="s">
        <v>44</v>
      </c>
      <c r="G41" s="86"/>
      <c r="H41" s="87"/>
      <c r="I41" s="24">
        <f>G30*D41</f>
        <v>13055.650117860849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13809.238643057202</v>
      </c>
      <c r="E43" s="90"/>
      <c r="F43" s="91" t="s">
        <v>46</v>
      </c>
      <c r="G43" s="92"/>
      <c r="H43" s="93"/>
      <c r="I43" s="25">
        <f>D43+I41</f>
        <v>26864.888760918053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559.14488624455385</v>
      </c>
      <c r="E45" s="84"/>
      <c r="F45" s="75" t="s">
        <v>48</v>
      </c>
      <c r="G45" s="76"/>
      <c r="H45" s="77"/>
      <c r="I45" s="26">
        <f>I43+(G28*D21)</f>
        <v>197314.88876091805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E913D585-5B15-46DB-B99E-B71CB5030A19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9286-09ED-4DA7-8252-A0CCD79E74AE}">
  <sheetPr>
    <pageSetUpPr fitToPage="1"/>
  </sheetPr>
  <dimension ref="B1:N45"/>
  <sheetViews>
    <sheetView topLeftCell="A20" zoomScale="90" zoomScaleNormal="90" workbookViewId="0">
      <selection activeCell="D41" sqref="D41:E41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28123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63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3</v>
      </c>
      <c r="D9" s="6" t="s">
        <v>26</v>
      </c>
      <c r="E9" s="9">
        <v>12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0</v>
      </c>
      <c r="D11" s="6" t="s">
        <v>27</v>
      </c>
      <c r="E11" s="9">
        <v>32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2</v>
      </c>
      <c r="D13" s="6" t="s">
        <v>28</v>
      </c>
      <c r="E13" s="9">
        <v>12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16</v>
      </c>
      <c r="D15" s="6" t="s">
        <v>29</v>
      </c>
      <c r="E15" s="9">
        <v>32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6</v>
      </c>
      <c r="D17" s="6" t="s">
        <v>30</v>
      </c>
      <c r="E17" s="9">
        <v>3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18</v>
      </c>
      <c r="D19" s="6" t="s">
        <v>31</v>
      </c>
      <c r="E19" s="9">
        <v>29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165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13.75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99.702312912941352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1118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111.80000000000001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11.856145318702104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3.6666666666666665</v>
      </c>
      <c r="E37" s="84"/>
      <c r="F37" s="68" t="s">
        <v>40</v>
      </c>
      <c r="G37" s="69"/>
      <c r="H37" s="70"/>
      <c r="I37" s="27">
        <f>D37*(D35*I35/(D23))</f>
        <v>2.6609023062788806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6.3275689729455475</v>
      </c>
      <c r="E39" s="78"/>
      <c r="F39" s="79" t="s">
        <v>43</v>
      </c>
      <c r="G39" s="80"/>
      <c r="H39" s="81"/>
      <c r="I39" s="28">
        <f>SQRT(2*G30*D21/G32)</f>
        <v>242.96911175404045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0.67909866735254309</v>
      </c>
      <c r="E41" s="84"/>
      <c r="F41" s="85" t="s">
        <v>44</v>
      </c>
      <c r="G41" s="86"/>
      <c r="H41" s="87"/>
      <c r="I41" s="24">
        <f>G30*D41</f>
        <v>13581.973347050862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13879.462224892843</v>
      </c>
      <c r="E43" s="90"/>
      <c r="F43" s="91" t="s">
        <v>46</v>
      </c>
      <c r="G43" s="92"/>
      <c r="H43" s="93"/>
      <c r="I43" s="25">
        <f>D43+I41</f>
        <v>27461.435571943704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537.47712600136231</v>
      </c>
      <c r="E45" s="84"/>
      <c r="F45" s="75" t="s">
        <v>48</v>
      </c>
      <c r="G45" s="76"/>
      <c r="H45" s="77"/>
      <c r="I45" s="26">
        <f>I43+(G28*D21)</f>
        <v>211931.4355719437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7BEECA03-C890-4466-8CF6-67CEEB5FA26C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AD87-9518-44FB-91EE-1599A7FD9BD9}">
  <sheetPr>
    <pageSetUpPr fitToPage="1"/>
  </sheetPr>
  <dimension ref="B1:N45"/>
  <sheetViews>
    <sheetView topLeftCell="A23" zoomScale="90" zoomScaleNormal="90" workbookViewId="0">
      <selection activeCell="L28" sqref="L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86642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99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100</v>
      </c>
      <c r="D9" s="6" t="s">
        <v>26</v>
      </c>
      <c r="E9" s="9">
        <v>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0</v>
      </c>
      <c r="D11" s="6" t="s">
        <v>27</v>
      </c>
      <c r="E11" s="9">
        <v>50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114</v>
      </c>
      <c r="D13" s="6" t="s">
        <v>28</v>
      </c>
      <c r="E13" s="9">
        <v>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0</v>
      </c>
      <c r="D17" s="6" t="s">
        <v>30</v>
      </c>
      <c r="E17" s="9">
        <v>0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10</v>
      </c>
      <c r="D19" s="6" t="s">
        <v>31</v>
      </c>
      <c r="E19" s="9">
        <v>110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384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32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99.664550111216059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610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61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48.060567847437902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8.5333333333333332</v>
      </c>
      <c r="E37" s="84"/>
      <c r="F37" s="68" t="s">
        <v>40</v>
      </c>
      <c r="G37" s="69"/>
      <c r="H37" s="70"/>
      <c r="I37" s="27">
        <f>D37*(D35*I35/(D23))</f>
        <v>10.786345172793453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19.319678506126785</v>
      </c>
      <c r="E39" s="78"/>
      <c r="F39" s="79" t="s">
        <v>43</v>
      </c>
      <c r="G39" s="80"/>
      <c r="H39" s="81"/>
      <c r="I39" s="28">
        <f>SQRT(2*G30*D21/G32)</f>
        <v>501.80003854974404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0.76524505878835958</v>
      </c>
      <c r="E41" s="84"/>
      <c r="F41" s="85" t="s">
        <v>44</v>
      </c>
      <c r="G41" s="86"/>
      <c r="H41" s="87"/>
      <c r="I41" s="24">
        <f>G30*D41</f>
        <v>15304.901175767192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15962.868231307595</v>
      </c>
      <c r="E43" s="90"/>
      <c r="F43" s="91" t="s">
        <v>46</v>
      </c>
      <c r="G43" s="92"/>
      <c r="H43" s="93"/>
      <c r="I43" s="25">
        <f>D43+I41</f>
        <v>31267.769407074789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476.97139080900155</v>
      </c>
      <c r="E45" s="84"/>
      <c r="F45" s="75" t="s">
        <v>48</v>
      </c>
      <c r="G45" s="76"/>
      <c r="H45" s="77"/>
      <c r="I45" s="26">
        <f>I43+(G28*D21)</f>
        <v>265507.76940707478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84BBAA99-969A-43E9-899D-BDD697132DF7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D4A7-E33F-4A88-8282-25A868101A42}">
  <dimension ref="A1:B62"/>
  <sheetViews>
    <sheetView zoomScale="90" zoomScaleNormal="90" workbookViewId="0">
      <pane ySplit="1" topLeftCell="A35" activePane="bottomLeft" state="frozen"/>
      <selection pane="bottomLeft" activeCell="D43" sqref="D43"/>
    </sheetView>
  </sheetViews>
  <sheetFormatPr baseColWidth="10" defaultRowHeight="14.4" x14ac:dyDescent="0.3"/>
  <cols>
    <col min="2" max="2" width="16.6640625" style="45" customWidth="1"/>
  </cols>
  <sheetData>
    <row r="1" spans="1:2" x14ac:dyDescent="0.3">
      <c r="A1" s="6" t="s">
        <v>52</v>
      </c>
      <c r="B1" s="44" t="s">
        <v>109</v>
      </c>
    </row>
    <row r="2" spans="1:2" x14ac:dyDescent="0.3">
      <c r="A2" s="6">
        <v>25795</v>
      </c>
      <c r="B2" s="44">
        <v>1755356.4000000001</v>
      </c>
    </row>
    <row r="3" spans="1:2" x14ac:dyDescent="0.3">
      <c r="A3" s="6">
        <v>28123</v>
      </c>
      <c r="B3" s="44">
        <v>197379.69</v>
      </c>
    </row>
    <row r="4" spans="1:2" x14ac:dyDescent="0.3">
      <c r="A4" s="6">
        <v>28143</v>
      </c>
      <c r="B4" s="44">
        <v>150599.29</v>
      </c>
    </row>
    <row r="5" spans="1:2" x14ac:dyDescent="0.3">
      <c r="A5" s="6">
        <v>28307</v>
      </c>
      <c r="B5" s="44">
        <v>170279.80000000002</v>
      </c>
    </row>
    <row r="6" spans="1:2" x14ac:dyDescent="0.3">
      <c r="A6" s="6">
        <v>29152</v>
      </c>
      <c r="B6" s="44">
        <v>15255090.58</v>
      </c>
    </row>
    <row r="7" spans="1:2" x14ac:dyDescent="0.3">
      <c r="A7" s="6">
        <v>29153</v>
      </c>
      <c r="B7" s="44">
        <v>15742340.760000002</v>
      </c>
    </row>
    <row r="8" spans="1:2" x14ac:dyDescent="0.3">
      <c r="A8" s="6">
        <v>60050</v>
      </c>
      <c r="B8" s="44">
        <v>406749.80000000005</v>
      </c>
    </row>
    <row r="9" spans="1:2" x14ac:dyDescent="0.3">
      <c r="A9" s="6">
        <v>62654</v>
      </c>
      <c r="B9" s="44">
        <v>3321441.5700000003</v>
      </c>
    </row>
    <row r="10" spans="1:2" x14ac:dyDescent="0.3">
      <c r="A10" s="6">
        <v>62863</v>
      </c>
      <c r="B10" s="44">
        <v>7479380.25</v>
      </c>
    </row>
    <row r="11" spans="1:2" x14ac:dyDescent="0.3">
      <c r="A11" s="6">
        <v>63137</v>
      </c>
      <c r="B11" s="44">
        <v>531900.21000000008</v>
      </c>
    </row>
    <row r="12" spans="1:2" x14ac:dyDescent="0.3">
      <c r="A12" s="6">
        <v>63138</v>
      </c>
      <c r="B12" s="44">
        <v>174893.64</v>
      </c>
    </row>
    <row r="13" spans="1:2" x14ac:dyDescent="0.3">
      <c r="A13" s="6">
        <v>63139</v>
      </c>
      <c r="B13" s="44">
        <v>1696586.6500000001</v>
      </c>
    </row>
    <row r="14" spans="1:2" x14ac:dyDescent="0.3">
      <c r="A14" s="6">
        <v>63140</v>
      </c>
      <c r="B14" s="44">
        <v>621361.84000000008</v>
      </c>
    </row>
    <row r="15" spans="1:2" x14ac:dyDescent="0.3">
      <c r="A15" s="6">
        <v>63158</v>
      </c>
      <c r="B15" s="44">
        <v>117343.69</v>
      </c>
    </row>
    <row r="16" spans="1:2" x14ac:dyDescent="0.3">
      <c r="A16" s="6">
        <v>63162</v>
      </c>
      <c r="B16" s="44">
        <v>59916.79</v>
      </c>
    </row>
    <row r="17" spans="1:2" x14ac:dyDescent="0.3">
      <c r="A17" s="6">
        <v>63166</v>
      </c>
      <c r="B17" s="44">
        <v>15926.95</v>
      </c>
    </row>
    <row r="18" spans="1:2" x14ac:dyDescent="0.3">
      <c r="A18" s="6">
        <v>63170</v>
      </c>
      <c r="B18" s="44">
        <v>65241.11</v>
      </c>
    </row>
    <row r="19" spans="1:2" x14ac:dyDescent="0.3">
      <c r="A19" s="6">
        <v>63473</v>
      </c>
      <c r="B19" s="44">
        <v>170246.63</v>
      </c>
    </row>
    <row r="20" spans="1:2" x14ac:dyDescent="0.3">
      <c r="A20" s="6">
        <v>63474</v>
      </c>
      <c r="B20" s="44">
        <v>189229.5</v>
      </c>
    </row>
    <row r="21" spans="1:2" x14ac:dyDescent="0.3">
      <c r="A21" s="6">
        <v>63475</v>
      </c>
      <c r="B21" s="44">
        <v>30495</v>
      </c>
    </row>
    <row r="22" spans="1:2" x14ac:dyDescent="0.3">
      <c r="A22" s="6">
        <v>63628</v>
      </c>
      <c r="B22" s="44">
        <v>4026653.9600000004</v>
      </c>
    </row>
    <row r="23" spans="1:2" x14ac:dyDescent="0.3">
      <c r="A23" s="6">
        <v>63727</v>
      </c>
      <c r="B23" s="44">
        <v>2255741.9</v>
      </c>
    </row>
    <row r="24" spans="1:2" x14ac:dyDescent="0.3">
      <c r="A24" s="6">
        <v>63732</v>
      </c>
      <c r="B24" s="44">
        <v>315652.14</v>
      </c>
    </row>
    <row r="25" spans="1:2" x14ac:dyDescent="0.3">
      <c r="A25" s="6">
        <v>64272</v>
      </c>
      <c r="B25" s="44">
        <v>100134101.04000001</v>
      </c>
    </row>
    <row r="26" spans="1:2" x14ac:dyDescent="0.3">
      <c r="A26" s="6">
        <v>64439</v>
      </c>
      <c r="B26" s="44">
        <v>4405939</v>
      </c>
    </row>
    <row r="27" spans="1:2" x14ac:dyDescent="0.3">
      <c r="A27" s="6">
        <v>64440</v>
      </c>
      <c r="B27" s="44">
        <v>12566030.780000001</v>
      </c>
    </row>
    <row r="28" spans="1:2" x14ac:dyDescent="0.3">
      <c r="A28" s="6">
        <v>65453</v>
      </c>
      <c r="B28" s="44">
        <v>9186168.2800000012</v>
      </c>
    </row>
    <row r="29" spans="1:2" x14ac:dyDescent="0.3">
      <c r="A29" s="6">
        <v>65571</v>
      </c>
      <c r="B29" s="44">
        <v>9988557</v>
      </c>
    </row>
    <row r="30" spans="1:2" x14ac:dyDescent="0.3">
      <c r="A30" s="6">
        <v>65576</v>
      </c>
      <c r="B30" s="44">
        <v>25092798.98</v>
      </c>
    </row>
    <row r="31" spans="1:2" x14ac:dyDescent="0.3">
      <c r="A31" s="6">
        <v>66828</v>
      </c>
      <c r="B31" s="44">
        <v>2054396.79</v>
      </c>
    </row>
    <row r="32" spans="1:2" x14ac:dyDescent="0.3">
      <c r="A32" s="6">
        <v>67353</v>
      </c>
      <c r="B32" s="44">
        <v>445300.83</v>
      </c>
    </row>
    <row r="33" spans="1:2" x14ac:dyDescent="0.3">
      <c r="A33" s="6">
        <v>67380</v>
      </c>
      <c r="B33" s="44">
        <v>2473281.46</v>
      </c>
    </row>
    <row r="34" spans="1:2" x14ac:dyDescent="0.3">
      <c r="A34" s="6">
        <v>67596</v>
      </c>
      <c r="B34" s="44">
        <v>930626.08000000007</v>
      </c>
    </row>
    <row r="35" spans="1:2" x14ac:dyDescent="0.3">
      <c r="A35" s="6">
        <v>67717</v>
      </c>
      <c r="B35" s="44">
        <v>11708810.98</v>
      </c>
    </row>
    <row r="36" spans="1:2" x14ac:dyDescent="0.3">
      <c r="A36" s="6">
        <v>68335</v>
      </c>
      <c r="B36" s="44">
        <v>8279660.0000000009</v>
      </c>
    </row>
    <row r="37" spans="1:2" x14ac:dyDescent="0.3">
      <c r="A37" s="6">
        <v>68979</v>
      </c>
      <c r="B37" s="44">
        <v>610559.12</v>
      </c>
    </row>
    <row r="38" spans="1:2" x14ac:dyDescent="0.3">
      <c r="A38" s="6">
        <v>69176</v>
      </c>
      <c r="B38" s="44">
        <v>42858096.719999999</v>
      </c>
    </row>
    <row r="39" spans="1:2" x14ac:dyDescent="0.3">
      <c r="A39" s="6">
        <v>69302</v>
      </c>
      <c r="B39" s="44">
        <v>3636188.49</v>
      </c>
    </row>
    <row r="40" spans="1:2" x14ac:dyDescent="0.3">
      <c r="A40" s="6">
        <v>70040</v>
      </c>
      <c r="B40" s="44">
        <v>8760660.3100000005</v>
      </c>
    </row>
    <row r="41" spans="1:2" x14ac:dyDescent="0.3">
      <c r="A41" s="6">
        <v>70273</v>
      </c>
      <c r="B41" s="44">
        <v>242486.61000000002</v>
      </c>
    </row>
    <row r="42" spans="1:2" x14ac:dyDescent="0.3">
      <c r="A42" s="6">
        <v>70274</v>
      </c>
      <c r="B42" s="44">
        <v>348421.96</v>
      </c>
    </row>
    <row r="43" spans="1:2" x14ac:dyDescent="0.3">
      <c r="A43" s="6">
        <v>70561</v>
      </c>
      <c r="B43" s="44">
        <v>153530.02000000002</v>
      </c>
    </row>
    <row r="44" spans="1:2" x14ac:dyDescent="0.3">
      <c r="A44" s="6">
        <v>70571</v>
      </c>
      <c r="B44" s="44">
        <v>213396.52000000002</v>
      </c>
    </row>
    <row r="45" spans="1:2" x14ac:dyDescent="0.3">
      <c r="A45" s="6">
        <v>70588</v>
      </c>
      <c r="B45" s="44">
        <v>285347.60000000003</v>
      </c>
    </row>
    <row r="46" spans="1:2" x14ac:dyDescent="0.3">
      <c r="A46" s="6">
        <v>70637</v>
      </c>
      <c r="B46" s="44">
        <v>10647435.18</v>
      </c>
    </row>
    <row r="47" spans="1:2" x14ac:dyDescent="0.3">
      <c r="A47" s="6">
        <v>71170</v>
      </c>
      <c r="B47" s="44">
        <v>7370556.9700000007</v>
      </c>
    </row>
    <row r="48" spans="1:2" x14ac:dyDescent="0.3">
      <c r="A48" s="6">
        <v>71946</v>
      </c>
      <c r="B48" s="44">
        <v>4937199.3500000006</v>
      </c>
    </row>
    <row r="49" spans="1:2" x14ac:dyDescent="0.3">
      <c r="A49" s="6">
        <v>73116</v>
      </c>
      <c r="B49" s="44">
        <v>635908.49</v>
      </c>
    </row>
    <row r="50" spans="1:2" x14ac:dyDescent="0.3">
      <c r="A50" s="6">
        <v>74796</v>
      </c>
      <c r="B50" s="44">
        <v>1986963.25</v>
      </c>
    </row>
    <row r="51" spans="1:2" x14ac:dyDescent="0.3">
      <c r="A51" s="6">
        <v>75761</v>
      </c>
      <c r="B51" s="44">
        <v>489732.58</v>
      </c>
    </row>
    <row r="52" spans="1:2" x14ac:dyDescent="0.3">
      <c r="A52" s="6">
        <v>76738</v>
      </c>
      <c r="B52" s="44">
        <v>6317129.1300000008</v>
      </c>
    </row>
    <row r="53" spans="1:2" x14ac:dyDescent="0.3">
      <c r="A53" s="6">
        <v>77202</v>
      </c>
      <c r="B53" s="44">
        <v>540928.87</v>
      </c>
    </row>
    <row r="54" spans="1:2" x14ac:dyDescent="0.3">
      <c r="A54" s="6">
        <v>77238</v>
      </c>
      <c r="B54" s="44">
        <v>2900104.46</v>
      </c>
    </row>
    <row r="55" spans="1:2" x14ac:dyDescent="0.3">
      <c r="A55" s="6">
        <v>77239</v>
      </c>
      <c r="B55" s="44">
        <v>5831493.5800000001</v>
      </c>
    </row>
    <row r="56" spans="1:2" x14ac:dyDescent="0.3">
      <c r="A56" s="6">
        <v>77240</v>
      </c>
      <c r="B56" s="44">
        <v>3461308.7600000002</v>
      </c>
    </row>
    <row r="57" spans="1:2" x14ac:dyDescent="0.3">
      <c r="A57" s="6">
        <v>77304</v>
      </c>
      <c r="B57" s="44">
        <v>495633.63</v>
      </c>
    </row>
    <row r="58" spans="1:2" x14ac:dyDescent="0.3">
      <c r="A58" s="6">
        <v>78094</v>
      </c>
      <c r="B58" s="44">
        <v>915523.03</v>
      </c>
    </row>
    <row r="59" spans="1:2" x14ac:dyDescent="0.3">
      <c r="A59" s="6">
        <v>78099</v>
      </c>
      <c r="B59" s="44">
        <v>182380.43000000002</v>
      </c>
    </row>
    <row r="60" spans="1:2" x14ac:dyDescent="0.3">
      <c r="A60" s="6">
        <v>85777</v>
      </c>
      <c r="B60" s="44">
        <v>34240000</v>
      </c>
    </row>
    <row r="61" spans="1:2" x14ac:dyDescent="0.3">
      <c r="A61" s="6">
        <v>86642</v>
      </c>
      <c r="B61" s="44">
        <v>250569.39</v>
      </c>
    </row>
    <row r="62" spans="1:2" x14ac:dyDescent="0.3">
      <c r="A62" s="6">
        <v>111218</v>
      </c>
      <c r="B62" s="44">
        <v>975250.43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480C-71F3-4451-A9E7-59471470A912}">
  <sheetPr>
    <pageSetUpPr fitToPage="1"/>
  </sheetPr>
  <dimension ref="B1:N45"/>
  <sheetViews>
    <sheetView zoomScale="90" zoomScaleNormal="90" workbookViewId="0">
      <selection activeCell="G28" sqref="G28:I28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28143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64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11</v>
      </c>
      <c r="D9" s="6" t="s">
        <v>26</v>
      </c>
      <c r="E9" s="9">
        <v>2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</v>
      </c>
      <c r="D11" s="6" t="s">
        <v>27</v>
      </c>
      <c r="E11" s="9">
        <v>30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16</v>
      </c>
      <c r="D13" s="6" t="s">
        <v>28</v>
      </c>
      <c r="E13" s="9">
        <v>36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5</v>
      </c>
      <c r="D15" s="6" t="s">
        <v>29</v>
      </c>
      <c r="E15" s="9">
        <v>22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13</v>
      </c>
      <c r="D17" s="6" t="s">
        <v>30</v>
      </c>
      <c r="E17" s="9">
        <v>13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8</v>
      </c>
      <c r="D19" s="6" t="s">
        <v>31</v>
      </c>
      <c r="E19" s="9">
        <v>52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209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17.416666666666668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99.740057196989554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673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67.3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15.234281516807194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4.6444444444444448</v>
      </c>
      <c r="E37" s="84"/>
      <c r="F37" s="68" t="s">
        <v>40</v>
      </c>
      <c r="G37" s="69"/>
      <c r="H37" s="70"/>
      <c r="I37" s="27">
        <f>D37*(D35*I35/(D23))</f>
        <v>3.4190652807392867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8.0635097251837315</v>
      </c>
      <c r="E39" s="78"/>
      <c r="F39" s="79" t="s">
        <v>43</v>
      </c>
      <c r="G39" s="80"/>
      <c r="H39" s="81"/>
      <c r="I39" s="28">
        <f>SQRT(2*G30*D21/G32)</f>
        <v>352.44845133289203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0.59299451936759073</v>
      </c>
      <c r="E41" s="84"/>
      <c r="F41" s="85" t="s">
        <v>44</v>
      </c>
      <c r="G41" s="86"/>
      <c r="H41" s="87"/>
      <c r="I41" s="24">
        <f>G30*D41</f>
        <v>11859.890387351814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12089.99348074557</v>
      </c>
      <c r="E43" s="90"/>
      <c r="F43" s="91" t="s">
        <v>46</v>
      </c>
      <c r="G43" s="92"/>
      <c r="H43" s="93"/>
      <c r="I43" s="25">
        <f>D43+I41</f>
        <v>23949.883868097386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615.5200226627062</v>
      </c>
      <c r="E45" s="84"/>
      <c r="F45" s="75" t="s">
        <v>48</v>
      </c>
      <c r="G45" s="76"/>
      <c r="H45" s="77"/>
      <c r="I45" s="26">
        <f>I43+(G28*D21)</f>
        <v>164606.88386809739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5A279FA5-A349-4012-9A3E-223B7CB14FC4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BAB4-6451-4C1E-A9D5-B4D411731282}">
  <sheetPr>
    <pageSetUpPr fitToPage="1"/>
  </sheetPr>
  <dimension ref="B1:N45"/>
  <sheetViews>
    <sheetView topLeftCell="A26" zoomScale="90" zoomScaleNormal="90" workbookViewId="0">
      <selection activeCell="F32" sqref="F32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28307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65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6</v>
      </c>
      <c r="D9" s="6" t="s">
        <v>26</v>
      </c>
      <c r="E9" s="9">
        <v>60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29</v>
      </c>
      <c r="D11" s="6" t="s">
        <v>27</v>
      </c>
      <c r="E11" s="9">
        <v>210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48</v>
      </c>
      <c r="D13" s="6" t="s">
        <v>28</v>
      </c>
      <c r="E13" s="9">
        <v>57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45</v>
      </c>
      <c r="D15" s="6" t="s">
        <v>29</v>
      </c>
      <c r="E15" s="9">
        <v>120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65</v>
      </c>
      <c r="D17" s="6" t="s">
        <v>30</v>
      </c>
      <c r="E17" s="9">
        <v>123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79</v>
      </c>
      <c r="D19" s="6" t="s">
        <v>31</v>
      </c>
      <c r="E19" s="9">
        <v>212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1054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87.833333333333329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99.723493145595029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151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15.100000000000001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66.413078303124678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23.422222222222221</v>
      </c>
      <c r="E37" s="84"/>
      <c r="F37" s="68" t="s">
        <v>40</v>
      </c>
      <c r="G37" s="69"/>
      <c r="H37" s="70"/>
      <c r="I37" s="27">
        <f>D37*(D35*I35/(D23))</f>
        <v>14.905241836493433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38.327464058715655</v>
      </c>
      <c r="E39" s="78"/>
      <c r="F39" s="79" t="s">
        <v>43</v>
      </c>
      <c r="G39" s="80"/>
      <c r="H39" s="81"/>
      <c r="I39" s="28">
        <f>SQRT(2*G30*D21/G32)</f>
        <v>1670.9437393678011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0.63078126161134496</v>
      </c>
      <c r="E41" s="84"/>
      <c r="F41" s="85" t="s">
        <v>44</v>
      </c>
      <c r="G41" s="86"/>
      <c r="H41" s="87"/>
      <c r="I41" s="24">
        <f>G30*D41</f>
        <v>12615.625232226899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12840.694383957951</v>
      </c>
      <c r="E43" s="90"/>
      <c r="F43" s="91" t="s">
        <v>46</v>
      </c>
      <c r="G43" s="92"/>
      <c r="H43" s="93"/>
      <c r="I43" s="25">
        <f>D43+I41</f>
        <v>25456.31961618485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578.64749987594632</v>
      </c>
      <c r="E45" s="84"/>
      <c r="F45" s="75" t="s">
        <v>48</v>
      </c>
      <c r="G45" s="76"/>
      <c r="H45" s="77"/>
      <c r="I45" s="26">
        <f>I43+(G28*D21)</f>
        <v>184610.31961618486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701D7B65-2648-4C92-B73F-2DB38AACF816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56C4-372E-420F-B407-A7D0931C3E3E}">
  <sheetPr>
    <pageSetUpPr fitToPage="1"/>
  </sheetPr>
  <dimension ref="B1:N45"/>
  <sheetViews>
    <sheetView topLeftCell="A25" zoomScale="90" zoomScaleNormal="90" workbookViewId="0">
      <selection activeCell="F31" sqref="F31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62654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66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36</v>
      </c>
      <c r="D9" s="6" t="s">
        <v>26</v>
      </c>
      <c r="E9" s="9">
        <v>57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54</v>
      </c>
      <c r="D11" s="6" t="s">
        <v>27</v>
      </c>
      <c r="E11" s="9">
        <v>108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38</v>
      </c>
      <c r="D13" s="6" t="s">
        <v>28</v>
      </c>
      <c r="E13" s="9">
        <v>44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61</v>
      </c>
      <c r="D15" s="6" t="s">
        <v>29</v>
      </c>
      <c r="E15" s="9">
        <v>127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51</v>
      </c>
      <c r="D17" s="6" t="s">
        <v>30</v>
      </c>
      <c r="E17" s="9">
        <v>42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27</v>
      </c>
      <c r="D19" s="6" t="s">
        <v>31</v>
      </c>
      <c r="E19" s="9">
        <v>66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711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59.25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98.778836574167286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4366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436.6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29.662112350453214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15.799999999999999</v>
      </c>
      <c r="E37" s="84"/>
      <c r="F37" s="68" t="s">
        <v>40</v>
      </c>
      <c r="G37" s="69"/>
      <c r="H37" s="70"/>
      <c r="I37" s="27">
        <f>D37*(D35*I35/(D23))</f>
        <v>6.6571369564711516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22.45713695647115</v>
      </c>
      <c r="E39" s="78"/>
      <c r="F39" s="79" t="s">
        <v>43</v>
      </c>
      <c r="G39" s="80"/>
      <c r="H39" s="81"/>
      <c r="I39" s="28">
        <f>SQRT(2*G30*D21/G32)</f>
        <v>255.22483418972695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2.7857790651808698</v>
      </c>
      <c r="E41" s="84"/>
      <c r="F41" s="85" t="s">
        <v>44</v>
      </c>
      <c r="G41" s="86"/>
      <c r="H41" s="87"/>
      <c r="I41" s="24">
        <f>G30*D41</f>
        <v>55715.581303617393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58622.087298812708</v>
      </c>
      <c r="E43" s="90"/>
      <c r="F43" s="91" t="s">
        <v>46</v>
      </c>
      <c r="G43" s="92"/>
      <c r="H43" s="93"/>
      <c r="I43" s="25">
        <f>D43+I41</f>
        <v>114337.6686024301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131.02259420429019</v>
      </c>
      <c r="E45" s="84"/>
      <c r="F45" s="75" t="s">
        <v>48</v>
      </c>
      <c r="G45" s="76"/>
      <c r="H45" s="77"/>
      <c r="I45" s="26">
        <f>I43+(G28*D21)</f>
        <v>3218563.6686024303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EF594B8C-4FD2-42A7-890F-C6CB8D55EFA0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C0C6-836C-4A52-A395-43673F3F80F1}">
  <sheetPr>
    <pageSetUpPr fitToPage="1"/>
  </sheetPr>
  <dimension ref="B1:N45"/>
  <sheetViews>
    <sheetView topLeftCell="A28" zoomScale="90" zoomScaleNormal="90" workbookViewId="0">
      <selection activeCell="D41" sqref="D41:E41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62863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67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0</v>
      </c>
      <c r="D9" s="6" t="s">
        <v>26</v>
      </c>
      <c r="E9" s="9">
        <v>0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125</v>
      </c>
      <c r="D11" s="6" t="s">
        <v>27</v>
      </c>
      <c r="E11" s="9">
        <v>295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159</v>
      </c>
      <c r="D13" s="6" t="s">
        <v>28</v>
      </c>
      <c r="E13" s="9">
        <v>240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0</v>
      </c>
      <c r="D15" s="6" t="s">
        <v>29</v>
      </c>
      <c r="E15" s="9">
        <v>630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85</v>
      </c>
      <c r="D17" s="6" t="s">
        <v>30</v>
      </c>
      <c r="E17" s="9">
        <v>195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235</v>
      </c>
      <c r="D19" s="6" t="s">
        <v>31</v>
      </c>
      <c r="E19" s="9">
        <v>550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2514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209.5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98.167676476379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2780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278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204.21089811538195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55.866666666666667</v>
      </c>
      <c r="E37" s="84"/>
      <c r="F37" s="68" t="s">
        <v>40</v>
      </c>
      <c r="G37" s="69"/>
      <c r="H37" s="70"/>
      <c r="I37" s="27">
        <f>D37*(D35*I35/(D23))</f>
        <v>45.831527461573486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101.69819412824015</v>
      </c>
      <c r="E39" s="78"/>
      <c r="F39" s="79" t="s">
        <v>43</v>
      </c>
      <c r="G39" s="80"/>
      <c r="H39" s="81"/>
      <c r="I39" s="28">
        <f>SQRT(2*G30*D21/G32)</f>
        <v>601.43712780725127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4.1799880382603973</v>
      </c>
      <c r="E41" s="84"/>
      <c r="F41" s="85" t="s">
        <v>44</v>
      </c>
      <c r="G41" s="86"/>
      <c r="H41" s="87"/>
      <c r="I41" s="24">
        <f>G30*D41</f>
        <v>83599.760765207946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96340.925399525353</v>
      </c>
      <c r="E43" s="90"/>
      <c r="F43" s="91" t="s">
        <v>46</v>
      </c>
      <c r="G43" s="92"/>
      <c r="H43" s="93"/>
      <c r="I43" s="25">
        <f>D43+I41</f>
        <v>179940.68616473331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87.320824045205526</v>
      </c>
      <c r="E45" s="84"/>
      <c r="F45" s="75" t="s">
        <v>48</v>
      </c>
      <c r="G45" s="76"/>
      <c r="H45" s="77"/>
      <c r="I45" s="26">
        <f>I43+(G28*D21)</f>
        <v>7168860.686164733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B3705EBA-14BA-46BC-8AF6-D3CE1CC87FBC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9A33-2548-4C8A-A3A6-7ABF827280A7}">
  <sheetPr>
    <pageSetUpPr fitToPage="1"/>
  </sheetPr>
  <dimension ref="B1:N45"/>
  <sheetViews>
    <sheetView topLeftCell="A24" zoomScale="90" zoomScaleNormal="90" workbookViewId="0">
      <selection activeCell="G31" sqref="G31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35" t="s">
        <v>2</v>
      </c>
      <c r="C1" s="136"/>
      <c r="D1" s="136" t="s">
        <v>61</v>
      </c>
      <c r="E1" s="136"/>
      <c r="F1" s="136"/>
      <c r="G1" s="136"/>
      <c r="H1" s="96"/>
      <c r="I1" s="97"/>
    </row>
    <row r="2" spans="2:11" ht="76.5" customHeight="1" x14ac:dyDescent="0.3">
      <c r="B2" s="137"/>
      <c r="C2" s="138"/>
      <c r="D2" s="138"/>
      <c r="E2" s="138"/>
      <c r="F2" s="138"/>
      <c r="G2" s="138"/>
      <c r="H2" s="98"/>
      <c r="I2" s="99"/>
    </row>
    <row r="3" spans="2:11" x14ac:dyDescent="0.3">
      <c r="B3" s="94" t="s">
        <v>3</v>
      </c>
      <c r="C3" s="52"/>
      <c r="D3" s="95"/>
      <c r="E3" s="95"/>
      <c r="F3" s="95"/>
      <c r="G3" s="52" t="s">
        <v>4</v>
      </c>
      <c r="H3" s="52"/>
      <c r="I3" s="11"/>
    </row>
    <row r="4" spans="2:11" x14ac:dyDescent="0.3">
      <c r="B4" s="94" t="s">
        <v>5</v>
      </c>
      <c r="C4" s="52"/>
      <c r="D4" s="95"/>
      <c r="E4" s="95"/>
      <c r="F4" s="95"/>
      <c r="G4" s="95"/>
      <c r="H4" s="95"/>
      <c r="I4" s="111"/>
    </row>
    <row r="5" spans="2:11" x14ac:dyDescent="0.3">
      <c r="B5" s="94" t="s">
        <v>6</v>
      </c>
      <c r="C5" s="52"/>
      <c r="D5" s="95">
        <v>63137</v>
      </c>
      <c r="E5" s="95"/>
      <c r="F5" s="95"/>
      <c r="G5" s="95"/>
      <c r="H5" s="95"/>
      <c r="I5" s="111"/>
    </row>
    <row r="6" spans="2:11" x14ac:dyDescent="0.3">
      <c r="B6" s="109" t="s">
        <v>7</v>
      </c>
      <c r="C6" s="110"/>
      <c r="D6" s="112" t="s">
        <v>68</v>
      </c>
      <c r="E6" s="112"/>
      <c r="F6" s="112"/>
      <c r="G6" s="95"/>
      <c r="H6" s="95"/>
      <c r="I6" s="111"/>
    </row>
    <row r="7" spans="2:11" x14ac:dyDescent="0.3">
      <c r="B7" s="127" t="s">
        <v>19</v>
      </c>
      <c r="C7" s="128"/>
      <c r="D7" s="75"/>
      <c r="E7" s="77"/>
      <c r="F7" s="129" t="s">
        <v>18</v>
      </c>
      <c r="G7" s="128"/>
      <c r="H7" s="75"/>
      <c r="I7" s="130"/>
    </row>
    <row r="8" spans="2:11" ht="21" x14ac:dyDescent="0.4">
      <c r="B8" s="114" t="s">
        <v>10</v>
      </c>
      <c r="C8" s="115"/>
      <c r="D8" s="115"/>
      <c r="E8" s="115"/>
      <c r="F8" s="115"/>
      <c r="G8" s="115" t="s">
        <v>13</v>
      </c>
      <c r="H8" s="115"/>
      <c r="I8" s="132"/>
      <c r="K8" t="s">
        <v>0</v>
      </c>
    </row>
    <row r="9" spans="2:11" x14ac:dyDescent="0.3">
      <c r="B9" s="12" t="s">
        <v>20</v>
      </c>
      <c r="C9" s="8">
        <v>6</v>
      </c>
      <c r="D9" s="6" t="s">
        <v>26</v>
      </c>
      <c r="E9" s="9">
        <v>15</v>
      </c>
      <c r="F9" s="2"/>
      <c r="G9" s="2"/>
      <c r="H9" s="2"/>
      <c r="I9" s="13"/>
      <c r="K9" t="s">
        <v>1</v>
      </c>
    </row>
    <row r="10" spans="2:11" x14ac:dyDescent="0.3">
      <c r="B10" s="14"/>
      <c r="C10" s="2"/>
      <c r="D10" s="3"/>
      <c r="E10" s="2"/>
      <c r="F10" s="2"/>
      <c r="G10" s="122" t="s">
        <v>34</v>
      </c>
      <c r="H10" s="122"/>
      <c r="I10" s="133">
        <v>5</v>
      </c>
      <c r="K10" t="s">
        <v>14</v>
      </c>
    </row>
    <row r="11" spans="2:11" x14ac:dyDescent="0.3">
      <c r="B11" s="15" t="s">
        <v>21</v>
      </c>
      <c r="C11" s="9">
        <v>16</v>
      </c>
      <c r="D11" s="6" t="s">
        <v>27</v>
      </c>
      <c r="E11" s="9">
        <v>18</v>
      </c>
      <c r="F11" s="2"/>
      <c r="G11" s="122"/>
      <c r="H11" s="122"/>
      <c r="I11" s="133"/>
    </row>
    <row r="12" spans="2:11" x14ac:dyDescent="0.3">
      <c r="B12" s="14"/>
      <c r="C12" s="2"/>
      <c r="D12" s="3"/>
      <c r="E12" s="2"/>
      <c r="F12" s="2"/>
      <c r="G12" s="2"/>
      <c r="H12" s="2"/>
      <c r="I12" s="13"/>
      <c r="K12">
        <v>3</v>
      </c>
    </row>
    <row r="13" spans="2:11" x14ac:dyDescent="0.3">
      <c r="B13" s="12" t="s">
        <v>22</v>
      </c>
      <c r="C13" s="9">
        <v>30</v>
      </c>
      <c r="D13" s="6" t="s">
        <v>28</v>
      </c>
      <c r="E13" s="9">
        <v>30</v>
      </c>
      <c r="F13" s="2"/>
      <c r="G13" s="122" t="s">
        <v>35</v>
      </c>
      <c r="H13" s="122"/>
      <c r="I13" s="133">
        <v>3</v>
      </c>
      <c r="K13">
        <v>2</v>
      </c>
    </row>
    <row r="14" spans="2:11" x14ac:dyDescent="0.3">
      <c r="B14" s="14"/>
      <c r="C14" s="2"/>
      <c r="D14" s="3"/>
      <c r="E14" s="2"/>
      <c r="F14" s="2"/>
      <c r="G14" s="122"/>
      <c r="H14" s="122"/>
      <c r="I14" s="133"/>
      <c r="K14">
        <v>1</v>
      </c>
    </row>
    <row r="15" spans="2:11" x14ac:dyDescent="0.3">
      <c r="B15" s="12" t="s">
        <v>23</v>
      </c>
      <c r="C15" s="9">
        <v>15</v>
      </c>
      <c r="D15" s="6" t="s">
        <v>29</v>
      </c>
      <c r="E15" s="9">
        <v>24</v>
      </c>
      <c r="F15" s="2"/>
      <c r="G15" s="2"/>
      <c r="H15" s="2"/>
      <c r="I15" s="13"/>
    </row>
    <row r="16" spans="2:11" x14ac:dyDescent="0.3">
      <c r="B16" s="14"/>
      <c r="C16" s="2"/>
      <c r="D16" s="3"/>
      <c r="E16" s="2"/>
      <c r="F16" s="2"/>
      <c r="G16" s="122" t="s">
        <v>36</v>
      </c>
      <c r="H16" s="122"/>
      <c r="I16" s="134">
        <f>I10+I13</f>
        <v>8</v>
      </c>
    </row>
    <row r="17" spans="2:14" x14ac:dyDescent="0.3">
      <c r="B17" s="12" t="s">
        <v>24</v>
      </c>
      <c r="C17" s="9">
        <v>15</v>
      </c>
      <c r="D17" s="6" t="s">
        <v>30</v>
      </c>
      <c r="E17" s="9">
        <v>18</v>
      </c>
      <c r="F17" s="2"/>
      <c r="G17" s="122"/>
      <c r="H17" s="122"/>
      <c r="I17" s="134"/>
    </row>
    <row r="18" spans="2:14" x14ac:dyDescent="0.3">
      <c r="B18" s="14"/>
      <c r="C18" s="2"/>
      <c r="D18" s="3"/>
      <c r="E18" s="2"/>
      <c r="F18" s="2"/>
      <c r="G18" s="2"/>
      <c r="H18" s="2"/>
      <c r="I18" s="13"/>
    </row>
    <row r="19" spans="2:14" x14ac:dyDescent="0.3">
      <c r="B19" s="12" t="s">
        <v>25</v>
      </c>
      <c r="C19" s="9">
        <v>21</v>
      </c>
      <c r="D19" s="6" t="s">
        <v>31</v>
      </c>
      <c r="E19" s="9">
        <v>24</v>
      </c>
      <c r="F19" s="2"/>
      <c r="G19" s="95" t="s">
        <v>8</v>
      </c>
      <c r="H19" s="95"/>
      <c r="I19" s="111"/>
    </row>
    <row r="20" spans="2:14" x14ac:dyDescent="0.3">
      <c r="B20" s="16"/>
      <c r="C20" s="2"/>
      <c r="D20" s="2"/>
      <c r="E20" s="2"/>
      <c r="F20" s="2"/>
      <c r="G20" s="116">
        <v>1</v>
      </c>
      <c r="H20" s="116"/>
      <c r="I20" s="117"/>
    </row>
    <row r="21" spans="2:14" x14ac:dyDescent="0.3">
      <c r="B21" s="131" t="s">
        <v>32</v>
      </c>
      <c r="C21" s="95"/>
      <c r="D21" s="19">
        <f>SUM(C9+C11+C13+C15+C17+C19+E9+E11+E13+E15+E17+E19)</f>
        <v>232</v>
      </c>
      <c r="E21" s="2"/>
      <c r="F21" s="2"/>
      <c r="G21" s="2"/>
      <c r="H21" s="2"/>
      <c r="I21" s="13"/>
      <c r="N21" s="1"/>
    </row>
    <row r="22" spans="2:14" x14ac:dyDescent="0.3">
      <c r="B22" s="16"/>
      <c r="C22" s="2"/>
      <c r="D22" s="2"/>
      <c r="E22" s="2"/>
      <c r="F22" s="2"/>
      <c r="G22" s="95" t="s">
        <v>17</v>
      </c>
      <c r="H22" s="95"/>
      <c r="I22" s="111"/>
    </row>
    <row r="23" spans="2:14" ht="30.75" customHeight="1" x14ac:dyDescent="0.3">
      <c r="B23" s="121" t="s">
        <v>33</v>
      </c>
      <c r="C23" s="122"/>
      <c r="D23" s="20">
        <f>D21/12</f>
        <v>19.333333333333332</v>
      </c>
      <c r="E23" s="2"/>
      <c r="F23" s="2"/>
      <c r="G23" s="72" t="str">
        <f>IF(G20=3,"PARALIZA LA PRODUCCIÓN",IF(G20=2,"AFECTA PARCIALMNETE LA PRODUCCIÓN","NO AFECTA LA PRODUCCIÓN"))</f>
        <v>NO AFECTA LA PRODUCCIÓN</v>
      </c>
      <c r="H23" s="72"/>
      <c r="I23" s="118"/>
    </row>
    <row r="24" spans="2:14" x14ac:dyDescent="0.3">
      <c r="B24" s="16"/>
      <c r="C24" s="2"/>
      <c r="D24" s="2"/>
      <c r="E24" s="2"/>
      <c r="F24" s="2"/>
      <c r="G24" s="2"/>
      <c r="H24" s="2"/>
      <c r="I24" s="13"/>
    </row>
    <row r="25" spans="2:14" ht="21" x14ac:dyDescent="0.4">
      <c r="B25" s="106" t="s">
        <v>9</v>
      </c>
      <c r="C25" s="107"/>
      <c r="D25" s="107"/>
      <c r="E25" s="107"/>
      <c r="F25" s="107"/>
      <c r="G25" s="107"/>
      <c r="H25" s="107"/>
      <c r="I25" s="108"/>
    </row>
    <row r="26" spans="2:14" ht="47.25" customHeight="1" x14ac:dyDescent="0.3">
      <c r="B26" s="10" t="s">
        <v>16</v>
      </c>
      <c r="C26" s="21">
        <f>IF(G20=1,80,IF(G20=2,95,99.9))</f>
        <v>80</v>
      </c>
      <c r="D26" s="5" t="s">
        <v>15</v>
      </c>
      <c r="E26" s="22">
        <f>(100-((100-C26)*I16*D41)/365)</f>
        <v>99.511288903020656</v>
      </c>
      <c r="F26" s="85" t="s">
        <v>11</v>
      </c>
      <c r="G26" s="86"/>
      <c r="H26" s="87"/>
      <c r="I26" s="17">
        <v>0.1</v>
      </c>
    </row>
    <row r="27" spans="2:14" x14ac:dyDescent="0.3">
      <c r="B27" s="14"/>
      <c r="C27" s="7"/>
      <c r="D27" s="7"/>
      <c r="E27" s="7"/>
      <c r="F27" s="7"/>
      <c r="G27" s="7"/>
      <c r="H27" s="7"/>
      <c r="I27" s="18"/>
    </row>
    <row r="28" spans="2:14" x14ac:dyDescent="0.3">
      <c r="B28" s="119" t="s">
        <v>49</v>
      </c>
      <c r="C28" s="120"/>
      <c r="D28" s="120"/>
      <c r="E28" s="120"/>
      <c r="F28" s="2"/>
      <c r="G28" s="123">
        <v>2143</v>
      </c>
      <c r="H28" s="123"/>
      <c r="I28" s="124"/>
    </row>
    <row r="29" spans="2:14" x14ac:dyDescent="0.3">
      <c r="B29" s="16"/>
      <c r="C29" s="2"/>
      <c r="D29" s="2"/>
      <c r="E29" s="2"/>
      <c r="F29" s="2"/>
      <c r="G29" s="2"/>
      <c r="H29" s="2"/>
      <c r="I29" s="13"/>
    </row>
    <row r="30" spans="2:14" x14ac:dyDescent="0.3">
      <c r="B30" s="119" t="s">
        <v>50</v>
      </c>
      <c r="C30" s="120"/>
      <c r="D30" s="120"/>
      <c r="E30" s="120"/>
      <c r="F30" s="2"/>
      <c r="G30" s="123">
        <v>20000</v>
      </c>
      <c r="H30" s="123"/>
      <c r="I30" s="124"/>
    </row>
    <row r="31" spans="2:14" x14ac:dyDescent="0.3">
      <c r="B31" s="16"/>
      <c r="C31" s="2"/>
      <c r="D31" s="2"/>
      <c r="E31" s="2"/>
      <c r="F31" s="2"/>
      <c r="G31" s="2"/>
      <c r="H31" s="2"/>
      <c r="I31" s="13"/>
    </row>
    <row r="32" spans="2:14" ht="30" customHeight="1" x14ac:dyDescent="0.3">
      <c r="B32" s="121" t="s">
        <v>51</v>
      </c>
      <c r="C32" s="122"/>
      <c r="D32" s="122"/>
      <c r="E32" s="122"/>
      <c r="F32" s="2"/>
      <c r="G32" s="125">
        <f>G28*I26</f>
        <v>214.3</v>
      </c>
      <c r="H32" s="125"/>
      <c r="I32" s="126"/>
    </row>
    <row r="33" spans="2:9" x14ac:dyDescent="0.3">
      <c r="B33" s="16"/>
      <c r="C33" s="2"/>
      <c r="D33" s="2"/>
      <c r="E33" s="2"/>
      <c r="F33" s="2"/>
      <c r="G33" s="2"/>
      <c r="H33" s="2"/>
      <c r="I33" s="13"/>
    </row>
    <row r="34" spans="2:9" ht="21" x14ac:dyDescent="0.4">
      <c r="B34" s="106" t="s">
        <v>12</v>
      </c>
      <c r="C34" s="107"/>
      <c r="D34" s="107"/>
      <c r="E34" s="107"/>
      <c r="F34" s="107"/>
      <c r="G34" s="107"/>
      <c r="H34" s="107"/>
      <c r="I34" s="108"/>
    </row>
    <row r="35" spans="2:9" x14ac:dyDescent="0.3">
      <c r="B35" s="71" t="s">
        <v>37</v>
      </c>
      <c r="C35" s="72"/>
      <c r="D35" s="113">
        <f>_xlfn.NORM.S.INV(C26/100)</f>
        <v>0.84162123357291474</v>
      </c>
      <c r="E35" s="113"/>
      <c r="F35" s="75" t="s">
        <v>38</v>
      </c>
      <c r="G35" s="76"/>
      <c r="H35" s="77"/>
      <c r="I35" s="23">
        <f>_xlfn.STDEV.S(C9,C11,C13,C15,C17,C19,E9,E11,E13,E15,E17,E19)</f>
        <v>6.8931234948426354</v>
      </c>
    </row>
    <row r="36" spans="2:9" x14ac:dyDescent="0.3">
      <c r="B36" s="14"/>
      <c r="C36" s="7"/>
      <c r="D36" s="7"/>
      <c r="E36" s="7"/>
      <c r="F36" s="7"/>
      <c r="G36" s="7"/>
      <c r="H36" s="7"/>
      <c r="I36" s="18"/>
    </row>
    <row r="37" spans="2:9" x14ac:dyDescent="0.3">
      <c r="B37" s="82" t="s">
        <v>39</v>
      </c>
      <c r="C37" s="83"/>
      <c r="D37" s="84">
        <f>D23*(I16/30)</f>
        <v>5.155555555555555</v>
      </c>
      <c r="E37" s="84"/>
      <c r="F37" s="68" t="s">
        <v>40</v>
      </c>
      <c r="G37" s="69"/>
      <c r="H37" s="70"/>
      <c r="I37" s="27">
        <f>D37*(D35*I35/(D23))</f>
        <v>1.5470397597066399</v>
      </c>
    </row>
    <row r="38" spans="2:9" x14ac:dyDescent="0.3">
      <c r="B38" s="16"/>
      <c r="C38" s="2"/>
      <c r="D38" s="2"/>
      <c r="E38" s="2"/>
      <c r="F38" s="2"/>
      <c r="G38" s="2"/>
      <c r="H38" s="2"/>
      <c r="I38" s="13"/>
    </row>
    <row r="39" spans="2:9" s="4" customFormat="1" ht="33" customHeight="1" x14ac:dyDescent="0.3">
      <c r="B39" s="73" t="s">
        <v>41</v>
      </c>
      <c r="C39" s="74"/>
      <c r="D39" s="78">
        <f>D37+I37</f>
        <v>6.7025953152621947</v>
      </c>
      <c r="E39" s="78"/>
      <c r="F39" s="79" t="s">
        <v>43</v>
      </c>
      <c r="G39" s="80"/>
      <c r="H39" s="81"/>
      <c r="I39" s="28">
        <f>SQRT(2*G30*D21/G32)</f>
        <v>208.09560242354183</v>
      </c>
    </row>
    <row r="40" spans="2:9" x14ac:dyDescent="0.3">
      <c r="B40" s="16"/>
      <c r="C40" s="2"/>
      <c r="D40" s="2"/>
      <c r="E40" s="2"/>
      <c r="F40" s="2"/>
      <c r="G40" s="2"/>
      <c r="H40" s="2"/>
      <c r="I40" s="13"/>
    </row>
    <row r="41" spans="2:9" ht="18" customHeight="1" x14ac:dyDescent="0.3">
      <c r="B41" s="73" t="s">
        <v>42</v>
      </c>
      <c r="C41" s="74"/>
      <c r="D41" s="84">
        <f>D21/I39</f>
        <v>1.1148721899841256</v>
      </c>
      <c r="E41" s="84"/>
      <c r="F41" s="85" t="s">
        <v>44</v>
      </c>
      <c r="G41" s="86"/>
      <c r="H41" s="87"/>
      <c r="I41" s="24">
        <f>G30*D41</f>
        <v>22297.443799682511</v>
      </c>
    </row>
    <row r="42" spans="2:9" x14ac:dyDescent="0.3">
      <c r="B42" s="16"/>
      <c r="C42" s="2"/>
      <c r="D42" s="2"/>
      <c r="E42" s="2"/>
      <c r="F42" s="2"/>
      <c r="G42" s="2"/>
      <c r="H42" s="2"/>
      <c r="I42" s="13"/>
    </row>
    <row r="43" spans="2:9" ht="30" customHeight="1" x14ac:dyDescent="0.3">
      <c r="B43" s="88" t="s">
        <v>45</v>
      </c>
      <c r="C43" s="89"/>
      <c r="D43" s="90">
        <f>G32*(I37+I39/2)</f>
        <v>22628.974420187642</v>
      </c>
      <c r="E43" s="90"/>
      <c r="F43" s="91" t="s">
        <v>46</v>
      </c>
      <c r="G43" s="92"/>
      <c r="H43" s="93"/>
      <c r="I43" s="25">
        <f>D43+I41</f>
        <v>44926.418219870153</v>
      </c>
    </row>
    <row r="44" spans="2:9" x14ac:dyDescent="0.3">
      <c r="B44" s="16"/>
      <c r="C44" s="2"/>
      <c r="D44" s="2"/>
      <c r="E44" s="2"/>
      <c r="F44" s="2"/>
      <c r="G44" s="2"/>
      <c r="H44" s="2"/>
      <c r="I44" s="13"/>
    </row>
    <row r="45" spans="2:9" x14ac:dyDescent="0.3">
      <c r="B45" s="82" t="s">
        <v>47</v>
      </c>
      <c r="C45" s="83"/>
      <c r="D45" s="84">
        <f>365/D41</f>
        <v>327.3917882956585</v>
      </c>
      <c r="E45" s="84"/>
      <c r="F45" s="75" t="s">
        <v>48</v>
      </c>
      <c r="G45" s="76"/>
      <c r="H45" s="77"/>
      <c r="I45" s="26">
        <f>I43+(G28*D21)</f>
        <v>542102.41821987019</v>
      </c>
    </row>
  </sheetData>
  <mergeCells count="57">
    <mergeCell ref="B45:C45"/>
    <mergeCell ref="D45:E45"/>
    <mergeCell ref="F45:H45"/>
    <mergeCell ref="B41:C41"/>
    <mergeCell ref="D41:E41"/>
    <mergeCell ref="F41:H41"/>
    <mergeCell ref="B43:C43"/>
    <mergeCell ref="D43:E43"/>
    <mergeCell ref="F43:H43"/>
    <mergeCell ref="B37:C37"/>
    <mergeCell ref="D37:E37"/>
    <mergeCell ref="F37:H37"/>
    <mergeCell ref="B39:C39"/>
    <mergeCell ref="D39:E39"/>
    <mergeCell ref="F39:H39"/>
    <mergeCell ref="B32:E32"/>
    <mergeCell ref="G32:I32"/>
    <mergeCell ref="B34:I34"/>
    <mergeCell ref="B35:C35"/>
    <mergeCell ref="D35:E35"/>
    <mergeCell ref="F35:H35"/>
    <mergeCell ref="B25:I25"/>
    <mergeCell ref="F26:H26"/>
    <mergeCell ref="B28:E28"/>
    <mergeCell ref="G28:I28"/>
    <mergeCell ref="B30:E30"/>
    <mergeCell ref="G30:I30"/>
    <mergeCell ref="G19:I19"/>
    <mergeCell ref="G20:I20"/>
    <mergeCell ref="B21:C21"/>
    <mergeCell ref="G22:I22"/>
    <mergeCell ref="B23:C23"/>
    <mergeCell ref="G23:I23"/>
    <mergeCell ref="G10:H11"/>
    <mergeCell ref="I10:I11"/>
    <mergeCell ref="G13:H14"/>
    <mergeCell ref="I13:I14"/>
    <mergeCell ref="G16:H17"/>
    <mergeCell ref="I16:I17"/>
    <mergeCell ref="B7:C7"/>
    <mergeCell ref="D7:E7"/>
    <mergeCell ref="F7:G7"/>
    <mergeCell ref="H7:I7"/>
    <mergeCell ref="B8:F8"/>
    <mergeCell ref="G8:I8"/>
    <mergeCell ref="B4:C4"/>
    <mergeCell ref="D4:I4"/>
    <mergeCell ref="B5:C5"/>
    <mergeCell ref="D5:I5"/>
    <mergeCell ref="B6:C6"/>
    <mergeCell ref="D6:I6"/>
    <mergeCell ref="B1:C2"/>
    <mergeCell ref="D1:G2"/>
    <mergeCell ref="H1:I2"/>
    <mergeCell ref="B3:C3"/>
    <mergeCell ref="D3:F3"/>
    <mergeCell ref="G3:H3"/>
  </mergeCells>
  <dataValidations count="1">
    <dataValidation type="list" allowBlank="1" showInputMessage="1" showErrorMessage="1" sqref="G20:I20" xr:uid="{97BAEBAB-A800-4724-ABBD-42308F0E4009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41</vt:i4>
      </vt:variant>
    </vt:vector>
  </HeadingPairs>
  <TitlesOfParts>
    <vt:vector size="41" baseType="lpstr">
      <vt:lpstr>RESULTADOS</vt:lpstr>
      <vt:lpstr>GENERAL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COSTOS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Julian Fernando Garcia Jauregui</cp:lastModifiedBy>
  <cp:lastPrinted>2022-06-30T21:29:28Z</cp:lastPrinted>
  <dcterms:created xsi:type="dcterms:W3CDTF">2022-06-29T13:14:00Z</dcterms:created>
  <dcterms:modified xsi:type="dcterms:W3CDTF">2025-08-13T23:34:35Z</dcterms:modified>
</cp:coreProperties>
</file>