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\Downloads\"/>
    </mc:Choice>
  </mc:AlternateContent>
  <xr:revisionPtr revIDLastSave="0" documentId="8_{EDE38ACC-3BA0-4065-AB38-FC92546DAE8D}" xr6:coauthVersionLast="47" xr6:coauthVersionMax="47" xr10:uidLastSave="{00000000-0000-0000-0000-000000000000}"/>
  <bookViews>
    <workbookView xWindow="-120" yWindow="-120" windowWidth="20730" windowHeight="11160" xr2:uid="{A09026EA-BB09-4B5B-B474-4D1DE1BC37B7}"/>
  </bookViews>
  <sheets>
    <sheet name="Costos y productos" sheetId="1" r:id="rId1"/>
    <sheet name="Estructura Salarial" sheetId="10" r:id="rId2"/>
    <sheet name="Inversiones " sheetId="3" r:id="rId3"/>
    <sheet name="Financiación" sheetId="4" r:id="rId4"/>
    <sheet name="Ingresos" sheetId="6" r:id="rId5"/>
    <sheet name="Evaluación financiera" sheetId="7" r:id="rId6"/>
    <sheet name="Análisis de escenarios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9" l="1"/>
  <c r="F37" i="9" s="1"/>
  <c r="F35" i="9"/>
  <c r="F33" i="9"/>
  <c r="D39" i="9"/>
  <c r="D26" i="9"/>
  <c r="D34" i="9"/>
  <c r="D35" i="9"/>
  <c r="D36" i="9"/>
  <c r="D37" i="9"/>
  <c r="D33" i="9"/>
  <c r="D20" i="9"/>
  <c r="B13" i="9"/>
  <c r="C13" i="9"/>
  <c r="F22" i="9"/>
  <c r="D21" i="9"/>
  <c r="G26" i="9" s="1"/>
  <c r="F24" i="9" s="1"/>
  <c r="D22" i="9"/>
  <c r="D23" i="9"/>
  <c r="F20" i="9" s="1"/>
  <c r="D24" i="9"/>
  <c r="D20" i="7"/>
  <c r="G8" i="9" s="1"/>
  <c r="D10" i="7"/>
  <c r="G7" i="9" s="1"/>
  <c r="D11" i="9"/>
  <c r="D9" i="7"/>
  <c r="F3" i="7"/>
  <c r="D8" i="7"/>
  <c r="D7" i="7"/>
  <c r="D6" i="7"/>
  <c r="D5" i="7"/>
  <c r="D4" i="7"/>
  <c r="D3" i="7"/>
  <c r="P22" i="6"/>
  <c r="P26" i="6" s="1"/>
  <c r="P27" i="6" s="1"/>
  <c r="O28" i="6"/>
  <c r="O22" i="6"/>
  <c r="O26" i="6" s="1"/>
  <c r="N22" i="6"/>
  <c r="N26" i="6" s="1"/>
  <c r="M22" i="6"/>
  <c r="M26" i="6" s="1"/>
  <c r="L28" i="6"/>
  <c r="L22" i="6"/>
  <c r="I43" i="1"/>
  <c r="L25" i="6"/>
  <c r="P24" i="6"/>
  <c r="O24" i="6"/>
  <c r="N24" i="6"/>
  <c r="M24" i="6"/>
  <c r="L24" i="6"/>
  <c r="O23" i="6"/>
  <c r="P23" i="6"/>
  <c r="M23" i="6"/>
  <c r="N23" i="6"/>
  <c r="L23" i="6"/>
  <c r="K26" i="6"/>
  <c r="K27" i="6" s="1"/>
  <c r="C8" i="4"/>
  <c r="P25" i="6"/>
  <c r="C28" i="6"/>
  <c r="C30" i="6"/>
  <c r="K21" i="6"/>
  <c r="P20" i="6"/>
  <c r="L15" i="6"/>
  <c r="P15" i="6" s="1"/>
  <c r="M15" i="6"/>
  <c r="L12" i="6"/>
  <c r="N12" i="6" s="1"/>
  <c r="C61" i="6"/>
  <c r="C28" i="3"/>
  <c r="J28" i="1"/>
  <c r="C40" i="1"/>
  <c r="C41" i="1"/>
  <c r="I28" i="1"/>
  <c r="K10" i="6"/>
  <c r="N15" i="6"/>
  <c r="K14" i="6"/>
  <c r="K16" i="6" s="1"/>
  <c r="K19" i="6"/>
  <c r="O15" i="6"/>
  <c r="O16" i="6" s="1"/>
  <c r="K9" i="6"/>
  <c r="C23" i="3"/>
  <c r="L14" i="6"/>
  <c r="L16" i="6" s="1"/>
  <c r="M14" i="6"/>
  <c r="N14" i="6"/>
  <c r="O14" i="6"/>
  <c r="P14" i="6"/>
  <c r="D65" i="6"/>
  <c r="C62" i="6"/>
  <c r="J76" i="1" a="1"/>
  <c r="J76" i="1" s="1"/>
  <c r="I76" i="1" s="1"/>
  <c r="P9" i="6"/>
  <c r="P11" i="6"/>
  <c r="P10" i="6"/>
  <c r="L11" i="6"/>
  <c r="M11" i="6"/>
  <c r="N11" i="6"/>
  <c r="O11" i="6"/>
  <c r="K11" i="6"/>
  <c r="L10" i="6"/>
  <c r="M10" i="6"/>
  <c r="N10" i="6"/>
  <c r="O10" i="6"/>
  <c r="L9" i="6"/>
  <c r="M9" i="6"/>
  <c r="N9" i="6"/>
  <c r="O9" i="6"/>
  <c r="G9" i="9" l="1"/>
  <c r="C14" i="9"/>
  <c r="L26" i="6"/>
  <c r="L13" i="6"/>
  <c r="K13" i="6"/>
  <c r="M16" i="6"/>
  <c r="N16" i="6"/>
  <c r="P16" i="6"/>
  <c r="N13" i="6"/>
  <c r="K22" i="6"/>
  <c r="C63" i="6"/>
  <c r="C68" i="6" s="1"/>
  <c r="C70" i="6" s="1"/>
  <c r="C72" i="6" s="1"/>
  <c r="O12" i="6"/>
  <c r="O13" i="6" s="1"/>
  <c r="P12" i="6"/>
  <c r="P13" i="6" s="1"/>
  <c r="M12" i="6"/>
  <c r="M13" i="6" s="1"/>
  <c r="C20" i="3"/>
  <c r="C57" i="6" a="1"/>
  <c r="C57" i="6" s="1"/>
  <c r="C56" i="6" a="1"/>
  <c r="C56" i="6" s="1"/>
  <c r="F44" i="6"/>
  <c r="G44" i="6"/>
  <c r="H44" i="6"/>
  <c r="E44" i="6"/>
  <c r="D44" i="6"/>
  <c r="B3" i="6" l="1"/>
  <c r="C9" i="6" s="1"/>
  <c r="C27" i="6" s="1"/>
  <c r="C26" i="6"/>
  <c r="D12" i="4"/>
  <c r="C6" i="4"/>
  <c r="D22" i="6"/>
  <c r="E51" i="6" s="1"/>
  <c r="E22" i="6"/>
  <c r="F51" i="6" s="1"/>
  <c r="F22" i="6"/>
  <c r="G51" i="6" s="1"/>
  <c r="G22" i="6"/>
  <c r="H51" i="6" s="1"/>
  <c r="C22" i="6"/>
  <c r="D51" i="6" s="1"/>
  <c r="D20" i="6"/>
  <c r="E20" i="6"/>
  <c r="F20" i="6"/>
  <c r="G20" i="6"/>
  <c r="C20" i="6"/>
  <c r="C15" i="6"/>
  <c r="D14" i="6"/>
  <c r="E43" i="6" s="1"/>
  <c r="E14" i="6"/>
  <c r="F43" i="6" s="1"/>
  <c r="F14" i="6"/>
  <c r="G43" i="6" s="1"/>
  <c r="G14" i="6"/>
  <c r="H43" i="6" s="1"/>
  <c r="C14" i="6"/>
  <c r="D43" i="6" s="1"/>
  <c r="C13" i="6"/>
  <c r="D12" i="6"/>
  <c r="E42" i="6" s="1"/>
  <c r="E12" i="6"/>
  <c r="F42" i="6" s="1"/>
  <c r="F12" i="6"/>
  <c r="G42" i="6" s="1"/>
  <c r="G12" i="6"/>
  <c r="H42" i="6" s="1"/>
  <c r="C12" i="6"/>
  <c r="D42" i="6" s="1"/>
  <c r="E40" i="1"/>
  <c r="E41" i="1" s="1"/>
  <c r="E39" i="1"/>
  <c r="I36" i="1"/>
  <c r="I38" i="1"/>
  <c r="C39" i="1" s="1"/>
  <c r="E38" i="1"/>
  <c r="C38" i="1"/>
  <c r="H13" i="1"/>
  <c r="J96" i="1"/>
  <c r="I96" i="1"/>
  <c r="J95" i="1"/>
  <c r="I95" i="1"/>
  <c r="K90" i="1"/>
  <c r="L90" i="1" s="1"/>
  <c r="L91" i="1" s="1"/>
  <c r="J90" i="1"/>
  <c r="L89" i="1"/>
  <c r="K89" i="1"/>
  <c r="J89" i="1"/>
  <c r="L88" i="1"/>
  <c r="K88" i="1"/>
  <c r="J88" i="1"/>
  <c r="I91" i="1"/>
  <c r="J85" i="1"/>
  <c r="K85" i="1"/>
  <c r="L85" i="1"/>
  <c r="I85" i="1"/>
  <c r="L84" i="1"/>
  <c r="K84" i="1"/>
  <c r="J84" i="1"/>
  <c r="L83" i="1"/>
  <c r="K83" i="1"/>
  <c r="J83" i="1"/>
  <c r="L82" i="1"/>
  <c r="K82" i="1"/>
  <c r="J82" i="1"/>
  <c r="L81" i="1"/>
  <c r="K81" i="1"/>
  <c r="J81" i="1"/>
  <c r="C16" i="3"/>
  <c r="I75" i="1"/>
  <c r="J75" i="1" s="1"/>
  <c r="I74" i="1"/>
  <c r="J74" i="1" s="1"/>
  <c r="I73" i="1"/>
  <c r="J73" i="1" s="1"/>
  <c r="I72" i="1"/>
  <c r="J72" i="1" s="1"/>
  <c r="I69" i="1"/>
  <c r="J69" i="1" s="1"/>
  <c r="J55" i="1"/>
  <c r="K55" i="1" s="1"/>
  <c r="J54" i="1"/>
  <c r="K54" i="1" s="1"/>
  <c r="I56" i="1"/>
  <c r="I48" i="1"/>
  <c r="J48" i="1" s="1"/>
  <c r="J43" i="1"/>
  <c r="I18" i="1"/>
  <c r="I19" i="1" s="1"/>
  <c r="H24" i="1" s="1"/>
  <c r="I24" i="1" s="1"/>
  <c r="J24" i="1" s="1"/>
  <c r="J31" i="1"/>
  <c r="L34" i="1"/>
  <c r="J30" i="1" s="1"/>
  <c r="I30" i="1" s="1"/>
  <c r="I70" i="1" s="1"/>
  <c r="J70" i="1" s="1"/>
  <c r="E9" i="1"/>
  <c r="H7" i="1"/>
  <c r="I7" i="1"/>
  <c r="J7" i="1"/>
  <c r="K7" i="1"/>
  <c r="E11" i="10"/>
  <c r="D11" i="10"/>
  <c r="F10" i="10"/>
  <c r="G10" i="10" s="1"/>
  <c r="H10" i="10" s="1"/>
  <c r="F9" i="10"/>
  <c r="G9" i="10" s="1"/>
  <c r="H9" i="10" s="1"/>
  <c r="F8" i="10"/>
  <c r="G8" i="10" s="1"/>
  <c r="H8" i="10" s="1"/>
  <c r="G7" i="10"/>
  <c r="H7" i="10" s="1"/>
  <c r="F7" i="10"/>
  <c r="F6" i="10"/>
  <c r="G6" i="10" s="1"/>
  <c r="H6" i="10" s="1"/>
  <c r="F5" i="10"/>
  <c r="G5" i="10" s="1"/>
  <c r="H5" i="10" s="1"/>
  <c r="F4" i="10"/>
  <c r="G4" i="10" s="1"/>
  <c r="H4" i="10" s="1"/>
  <c r="G3" i="10"/>
  <c r="H3" i="10" s="1"/>
  <c r="F3" i="10"/>
  <c r="F2" i="10"/>
  <c r="F11" i="10" s="1"/>
  <c r="C15" i="3"/>
  <c r="D15" i="6" l="1"/>
  <c r="E45" i="6" s="1"/>
  <c r="D45" i="6"/>
  <c r="D13" i="6"/>
  <c r="E41" i="6" s="1"/>
  <c r="D41" i="6"/>
  <c r="C10" i="6"/>
  <c r="D39" i="6" s="1"/>
  <c r="D38" i="6"/>
  <c r="D66" i="6" s="1"/>
  <c r="C13" i="4"/>
  <c r="C12" i="4"/>
  <c r="C16" i="4"/>
  <c r="C14" i="4"/>
  <c r="C15" i="4"/>
  <c r="C3" i="6"/>
  <c r="D3" i="6" s="1"/>
  <c r="E3" i="6" s="1"/>
  <c r="F3" i="6" s="1"/>
  <c r="G9" i="6" s="1"/>
  <c r="G27" i="6" s="1"/>
  <c r="C16" i="6"/>
  <c r="J77" i="1"/>
  <c r="J97" i="1" s="1"/>
  <c r="I77" i="1"/>
  <c r="K91" i="1"/>
  <c r="J91" i="1"/>
  <c r="J56" i="1"/>
  <c r="K56" i="1"/>
  <c r="J61" i="1" s="1"/>
  <c r="H10" i="1"/>
  <c r="I37" i="1"/>
  <c r="J37" i="1" s="1"/>
  <c r="I10" i="1"/>
  <c r="K10" i="1"/>
  <c r="J10" i="1"/>
  <c r="G2" i="10"/>
  <c r="C7" i="3"/>
  <c r="E22" i="1"/>
  <c r="E12" i="4" l="1"/>
  <c r="C17" i="4"/>
  <c r="C22" i="3"/>
  <c r="I97" i="1"/>
  <c r="I98" i="1" s="1"/>
  <c r="C21" i="3"/>
  <c r="J98" i="1"/>
  <c r="G21" i="6"/>
  <c r="D21" i="6"/>
  <c r="E21" i="6"/>
  <c r="C21" i="6"/>
  <c r="F21" i="6"/>
  <c r="E46" i="6"/>
  <c r="E15" i="6"/>
  <c r="F45" i="6" s="1"/>
  <c r="D16" i="6"/>
  <c r="D46" i="6"/>
  <c r="D47" i="6" s="1"/>
  <c r="G10" i="6"/>
  <c r="H39" i="6" s="1"/>
  <c r="H38" i="6"/>
  <c r="H66" i="6" s="1"/>
  <c r="E13" i="6"/>
  <c r="C18" i="6"/>
  <c r="F9" i="6"/>
  <c r="F27" i="6" s="1"/>
  <c r="D9" i="6"/>
  <c r="D27" i="6" s="1"/>
  <c r="E9" i="6"/>
  <c r="E27" i="6" s="1"/>
  <c r="I61" i="1"/>
  <c r="J36" i="1"/>
  <c r="J38" i="1" s="1"/>
  <c r="L28" i="1"/>
  <c r="G11" i="10"/>
  <c r="H2" i="10"/>
  <c r="H11" i="10" s="1"/>
  <c r="D64" i="6" l="1"/>
  <c r="D67" i="6" s="1"/>
  <c r="D68" i="6" s="1"/>
  <c r="D50" i="6"/>
  <c r="F12" i="4"/>
  <c r="C23" i="6"/>
  <c r="D49" i="6"/>
  <c r="F23" i="6"/>
  <c r="G49" i="6"/>
  <c r="F49" i="6"/>
  <c r="E23" i="6"/>
  <c r="H49" i="6"/>
  <c r="G23" i="6"/>
  <c r="C25" i="6"/>
  <c r="E49" i="6"/>
  <c r="D23" i="6"/>
  <c r="F15" i="6"/>
  <c r="G45" i="6" s="1"/>
  <c r="E16" i="6"/>
  <c r="C24" i="3"/>
  <c r="C30" i="3" s="1"/>
  <c r="C58" i="6" s="1" a="1"/>
  <c r="C58" i="6" s="1"/>
  <c r="D71" i="6" s="1"/>
  <c r="E10" i="6"/>
  <c r="F38" i="6"/>
  <c r="F66" i="6" s="1"/>
  <c r="F13" i="6"/>
  <c r="F41" i="6"/>
  <c r="F46" i="6" s="1"/>
  <c r="D10" i="6"/>
  <c r="E38" i="6"/>
  <c r="E66" i="6" s="1"/>
  <c r="F10" i="6"/>
  <c r="G39" i="6" s="1"/>
  <c r="G38" i="6"/>
  <c r="G66" i="6" s="1"/>
  <c r="G15" i="6"/>
  <c r="H45" i="6" s="1"/>
  <c r="I42" i="1"/>
  <c r="I44" i="1" s="1"/>
  <c r="I62" i="1"/>
  <c r="J42" i="1"/>
  <c r="J44" i="1" s="1"/>
  <c r="J62" i="1"/>
  <c r="E33" i="1"/>
  <c r="C33" i="1"/>
  <c r="C22" i="1"/>
  <c r="D53" i="6" l="1"/>
  <c r="L20" i="6"/>
  <c r="L21" i="6" s="1"/>
  <c r="D13" i="4"/>
  <c r="K6" i="6"/>
  <c r="D54" i="6"/>
  <c r="D60" i="6" s="1"/>
  <c r="D69" i="6" s="1"/>
  <c r="C59" i="6"/>
  <c r="C60" i="6" s="1"/>
  <c r="F16" i="6"/>
  <c r="C31" i="3"/>
  <c r="G13" i="6"/>
  <c r="H41" i="6" s="1"/>
  <c r="H46" i="6" s="1"/>
  <c r="H47" i="6" s="1"/>
  <c r="G41" i="6"/>
  <c r="G46" i="6" s="1"/>
  <c r="G47" i="6" s="1"/>
  <c r="D18" i="6"/>
  <c r="D25" i="6" s="1"/>
  <c r="E39" i="6"/>
  <c r="E47" i="6" s="1"/>
  <c r="E18" i="6"/>
  <c r="E25" i="6" s="1"/>
  <c r="F39" i="6"/>
  <c r="F47" i="6" s="1"/>
  <c r="L31" i="1"/>
  <c r="J29" i="1"/>
  <c r="E65" i="6" l="1"/>
  <c r="D26" i="6"/>
  <c r="D28" i="6" s="1"/>
  <c r="D30" i="6" s="1"/>
  <c r="E13" i="4"/>
  <c r="D70" i="6"/>
  <c r="E71" i="6" s="1"/>
  <c r="C32" i="6"/>
  <c r="C33" i="6" s="1"/>
  <c r="F18" i="6"/>
  <c r="F25" i="6" s="1"/>
  <c r="K7" i="6"/>
  <c r="K17" i="6" s="1"/>
  <c r="K28" i="6" s="1"/>
  <c r="G16" i="6"/>
  <c r="I29" i="1"/>
  <c r="I71" i="1" s="1"/>
  <c r="J71" i="1" s="1"/>
  <c r="J32" i="1"/>
  <c r="E64" i="6" l="1"/>
  <c r="E67" i="6" s="1"/>
  <c r="E68" i="6" s="1"/>
  <c r="E50" i="6"/>
  <c r="F13" i="4"/>
  <c r="D72" i="6"/>
  <c r="C34" i="6"/>
  <c r="L6" i="6"/>
  <c r="L7" i="6" s="1"/>
  <c r="L17" i="6" s="1"/>
  <c r="D32" i="6"/>
  <c r="D33" i="6" s="1"/>
  <c r="L27" i="6" s="1"/>
  <c r="E52" i="6"/>
  <c r="M18" i="6" s="1"/>
  <c r="M19" i="6" s="1"/>
  <c r="G18" i="6"/>
  <c r="G25" i="6" s="1"/>
  <c r="J63" i="1"/>
  <c r="J64" i="1" s="1"/>
  <c r="I32" i="1"/>
  <c r="I49" i="1"/>
  <c r="M20" i="6" l="1"/>
  <c r="D14" i="4"/>
  <c r="M21" i="6"/>
  <c r="D34" i="6"/>
  <c r="E53" i="6"/>
  <c r="E54" i="6" s="1"/>
  <c r="E60" i="6" s="1"/>
  <c r="E69" i="6" s="1"/>
  <c r="I63" i="1"/>
  <c r="I64" i="1" s="1"/>
  <c r="I50" i="1"/>
  <c r="J49" i="1"/>
  <c r="J50" i="1" s="1"/>
  <c r="F65" i="6" l="1"/>
  <c r="E26" i="6"/>
  <c r="E28" i="6" s="1"/>
  <c r="E14" i="4"/>
  <c r="E70" i="6"/>
  <c r="F71" i="6" s="1"/>
  <c r="E30" i="6" l="1"/>
  <c r="F52" i="6" s="1"/>
  <c r="N18" i="6" s="1"/>
  <c r="N19" i="6" s="1"/>
  <c r="E32" i="6"/>
  <c r="F64" i="6"/>
  <c r="F67" i="6" s="1"/>
  <c r="F68" i="6" s="1"/>
  <c r="F50" i="6"/>
  <c r="F53" i="6" s="1"/>
  <c r="F54" i="6" s="1"/>
  <c r="F60" i="6" s="1"/>
  <c r="F69" i="6" s="1"/>
  <c r="F70" i="6" s="1"/>
  <c r="F72" i="6" s="1"/>
  <c r="F14" i="4"/>
  <c r="E72" i="6"/>
  <c r="M6" i="6"/>
  <c r="G71" i="6" l="1"/>
  <c r="E33" i="6"/>
  <c r="M25" i="6" s="1"/>
  <c r="M27" i="6" s="1"/>
  <c r="E34" i="6"/>
  <c r="N20" i="6"/>
  <c r="N21" i="6" s="1"/>
  <c r="D15" i="4"/>
  <c r="M7" i="6"/>
  <c r="M17" i="6" s="1"/>
  <c r="N6" i="6"/>
  <c r="N7" i="6" s="1"/>
  <c r="M28" i="6" l="1"/>
  <c r="E15" i="4"/>
  <c r="G65" i="6"/>
  <c r="F26" i="6"/>
  <c r="F28" i="6" s="1"/>
  <c r="N17" i="6"/>
  <c r="F15" i="4" l="1"/>
  <c r="G64" i="6"/>
  <c r="G67" i="6" s="1"/>
  <c r="G68" i="6" s="1"/>
  <c r="G50" i="6"/>
  <c r="G53" i="6" s="1"/>
  <c r="G54" i="6" s="1"/>
  <c r="G60" i="6" s="1"/>
  <c r="G69" i="6" s="1"/>
  <c r="G70" i="6" s="1"/>
  <c r="F30" i="6"/>
  <c r="G52" i="6" s="1"/>
  <c r="O18" i="6" s="1"/>
  <c r="O19" i="6" s="1"/>
  <c r="F32" i="6"/>
  <c r="G72" i="6" l="1"/>
  <c r="H71" i="6"/>
  <c r="F33" i="6"/>
  <c r="N25" i="6" s="1"/>
  <c r="N27" i="6" s="1"/>
  <c r="N28" i="6" s="1"/>
  <c r="O20" i="6"/>
  <c r="O21" i="6" s="1"/>
  <c r="D16" i="4"/>
  <c r="H65" i="6" l="1"/>
  <c r="G26" i="6"/>
  <c r="G28" i="6" s="1"/>
  <c r="E16" i="4"/>
  <c r="D17" i="4"/>
  <c r="O6" i="6"/>
  <c r="O7" i="6" s="1"/>
  <c r="O17" i="6" s="1"/>
  <c r="F34" i="6"/>
  <c r="H64" i="6" l="1"/>
  <c r="H67" i="6" s="1"/>
  <c r="H68" i="6" s="1"/>
  <c r="H50" i="6"/>
  <c r="E17" i="4"/>
  <c r="G30" i="6"/>
  <c r="H52" i="6" s="1"/>
  <c r="P18" i="6" s="1"/>
  <c r="P19" i="6" s="1"/>
  <c r="P21" i="6" s="1"/>
  <c r="F16" i="4"/>
  <c r="H53" i="6" l="1"/>
  <c r="H54" i="6" s="1"/>
  <c r="H60" i="6" s="1"/>
  <c r="H69" i="6" s="1"/>
  <c r="G32" i="6"/>
  <c r="H70" i="6" l="1"/>
  <c r="I71" i="6" s="1"/>
  <c r="P6" i="6" s="1"/>
  <c r="P7" i="6" s="1"/>
  <c r="P17" i="6" s="1"/>
  <c r="H72" i="6"/>
  <c r="G33" i="6"/>
  <c r="O25" i="6" s="1"/>
  <c r="O27" i="6" s="1"/>
  <c r="G34" i="6"/>
  <c r="P28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<sst xmlns="http://schemas.openxmlformats.org/spreadsheetml/2006/main" count="378" uniqueCount="258">
  <si>
    <t>Materia prima</t>
  </si>
  <si>
    <t>Total</t>
  </si>
  <si>
    <t>Maquinaria</t>
  </si>
  <si>
    <t>Producto</t>
  </si>
  <si>
    <t>Cantidad</t>
  </si>
  <si>
    <t>Precio</t>
  </si>
  <si>
    <t>Tanque de mezcla</t>
  </si>
  <si>
    <t>Tanque de fermentación</t>
  </si>
  <si>
    <t>Equipo de filtración</t>
  </si>
  <si>
    <t xml:space="preserve">Destilería </t>
  </si>
  <si>
    <t>Envasadora automatica</t>
  </si>
  <si>
    <t xml:space="preserve">Etiquetadora </t>
  </si>
  <si>
    <t>Alcoholímetro</t>
  </si>
  <si>
    <t>Espectrofotómetro</t>
  </si>
  <si>
    <t>Phmetro</t>
  </si>
  <si>
    <t>Muebles y enseres</t>
  </si>
  <si>
    <t>Despensa</t>
  </si>
  <si>
    <t>Valor total</t>
  </si>
  <si>
    <t>Computador</t>
  </si>
  <si>
    <t>Impresora</t>
  </si>
  <si>
    <t>Telefono fijo</t>
  </si>
  <si>
    <t>Celular smartphone</t>
  </si>
  <si>
    <t>Escritorio</t>
  </si>
  <si>
    <t>Silla</t>
  </si>
  <si>
    <t>Tota</t>
  </si>
  <si>
    <t>Inversiones fijas</t>
  </si>
  <si>
    <t>Concepto</t>
  </si>
  <si>
    <t xml:space="preserve"> Valor</t>
  </si>
  <si>
    <t>Adecuaciones</t>
  </si>
  <si>
    <t>Valor</t>
  </si>
  <si>
    <t>Matricula mercantil</t>
  </si>
  <si>
    <t>Registro de marca</t>
  </si>
  <si>
    <t>Requisitos sanitarios</t>
  </si>
  <si>
    <t>Publicidad de lanzamiento</t>
  </si>
  <si>
    <t>Inversiones diferidas</t>
  </si>
  <si>
    <t>Capital de trabajo</t>
  </si>
  <si>
    <t>Inversión total</t>
  </si>
  <si>
    <t>Costos de producción</t>
  </si>
  <si>
    <t>Gastos de administración</t>
  </si>
  <si>
    <t>4x1000</t>
  </si>
  <si>
    <t>Depreciaciones y amortizaciones</t>
  </si>
  <si>
    <t>Inversión fija</t>
  </si>
  <si>
    <t>Inversión en capital de trabajo</t>
  </si>
  <si>
    <t>Maquinaria y equipo</t>
  </si>
  <si>
    <t>Cargo</t>
  </si>
  <si>
    <t xml:space="preserve">Cantidad </t>
  </si>
  <si>
    <t>Salario base</t>
  </si>
  <si>
    <t>Auxilio de transporte</t>
  </si>
  <si>
    <t>Prestaciones sociales</t>
  </si>
  <si>
    <t>Salario total por persona</t>
  </si>
  <si>
    <t>Salario total mensual</t>
  </si>
  <si>
    <t>Gerente general</t>
  </si>
  <si>
    <t>Director administrativo</t>
  </si>
  <si>
    <t>Recursos humanos</t>
  </si>
  <si>
    <t>Aux. financiero</t>
  </si>
  <si>
    <t>Director de mercadeo</t>
  </si>
  <si>
    <t>Área comercial</t>
  </si>
  <si>
    <t>Marketing</t>
  </si>
  <si>
    <t>Director operativo</t>
  </si>
  <si>
    <t>Operador</t>
  </si>
  <si>
    <t>TOTAL</t>
  </si>
  <si>
    <t xml:space="preserve">Aportes Sociales </t>
  </si>
  <si>
    <t xml:space="preserve">Cesantias </t>
  </si>
  <si>
    <t xml:space="preserve">Salud </t>
  </si>
  <si>
    <t xml:space="preserve">Empleador </t>
  </si>
  <si>
    <t xml:space="preserve">Intereses a censantias </t>
  </si>
  <si>
    <t xml:space="preserve">Trabajador </t>
  </si>
  <si>
    <t xml:space="preserve">Prima de servicios </t>
  </si>
  <si>
    <t xml:space="preserve">Pension </t>
  </si>
  <si>
    <t xml:space="preserve">Vacaciones </t>
  </si>
  <si>
    <t xml:space="preserve">Dotacion </t>
  </si>
  <si>
    <t xml:space="preserve">Riesgos Laborales </t>
  </si>
  <si>
    <t>Riesgo I</t>
  </si>
  <si>
    <t>Riesgo II</t>
  </si>
  <si>
    <t>Riesgo III</t>
  </si>
  <si>
    <t xml:space="preserve">Riesgo IV </t>
  </si>
  <si>
    <t xml:space="preserve">Riesgo V </t>
  </si>
  <si>
    <t xml:space="preserve">Parafiscales </t>
  </si>
  <si>
    <t xml:space="preserve">SENA </t>
  </si>
  <si>
    <t>ICBF</t>
  </si>
  <si>
    <t>Caja de comp</t>
  </si>
  <si>
    <t>MOD</t>
  </si>
  <si>
    <t>MP</t>
  </si>
  <si>
    <t>CIF</t>
  </si>
  <si>
    <t>Valor Anual</t>
  </si>
  <si>
    <t>Valor Mensual</t>
  </si>
  <si>
    <t>Demanda Anual</t>
  </si>
  <si>
    <t>Demanda Mensual</t>
  </si>
  <si>
    <t>Materia prima 10L</t>
  </si>
  <si>
    <t>L</t>
  </si>
  <si>
    <t>Botellas de 750ml</t>
  </si>
  <si>
    <t xml:space="preserve">Litros necesarios para cubrir la demanda </t>
  </si>
  <si>
    <t>Demanda Semanal</t>
  </si>
  <si>
    <t>Demanda Diaria</t>
  </si>
  <si>
    <t>$ MP necesaria para cubrir la demanda</t>
  </si>
  <si>
    <t>Costo de MP por producto</t>
  </si>
  <si>
    <t>Botella y etiqueta</t>
  </si>
  <si>
    <t>Capacidad de producción</t>
  </si>
  <si>
    <t>Litros de fermentación</t>
  </si>
  <si>
    <t>Litros de producto</t>
  </si>
  <si>
    <t>Cantidad de botellas 750 ml</t>
  </si>
  <si>
    <t>Dias del mes</t>
  </si>
  <si>
    <t>Duración de fermentación</t>
  </si>
  <si>
    <t>Capacidad de lotes</t>
  </si>
  <si>
    <t>Capacidad total</t>
  </si>
  <si>
    <t>Capacidad de MP mensual</t>
  </si>
  <si>
    <t>Costos indirectos de fabricación</t>
  </si>
  <si>
    <t>Depreciación maquinaria y equipos</t>
  </si>
  <si>
    <t>Depreciación muebles y enseres</t>
  </si>
  <si>
    <t>Depreciación construcciones</t>
  </si>
  <si>
    <t>Servicios</t>
  </si>
  <si>
    <t>Valor mensual</t>
  </si>
  <si>
    <t>Valor anual</t>
  </si>
  <si>
    <t>Valor residual Maquinaria</t>
  </si>
  <si>
    <t>10 años</t>
  </si>
  <si>
    <t>Valor residual muebles y enseres</t>
  </si>
  <si>
    <t>20 años</t>
  </si>
  <si>
    <t>Valor residual Edificación</t>
  </si>
  <si>
    <t>Costos de Mp</t>
  </si>
  <si>
    <t>Materiales</t>
  </si>
  <si>
    <t>Mensual</t>
  </si>
  <si>
    <t>Anual</t>
  </si>
  <si>
    <t>Insumos</t>
  </si>
  <si>
    <t>Costos Variables</t>
  </si>
  <si>
    <t>30 m3</t>
  </si>
  <si>
    <t>Costos indirectos fijos</t>
  </si>
  <si>
    <t>Costos</t>
  </si>
  <si>
    <t xml:space="preserve">Costos </t>
  </si>
  <si>
    <t>Depreciación</t>
  </si>
  <si>
    <t>Mano de obra directa</t>
  </si>
  <si>
    <t>Operario</t>
  </si>
  <si>
    <t>Salario mes</t>
  </si>
  <si>
    <t>Total anual</t>
  </si>
  <si>
    <t>Mano de obra directa (MOD)</t>
  </si>
  <si>
    <t>Materia prima e insumos</t>
  </si>
  <si>
    <t>Costos indirectos</t>
  </si>
  <si>
    <t>Gastos de administración y ventas</t>
  </si>
  <si>
    <t>Depreciación construcción</t>
  </si>
  <si>
    <t>Imprevisto</t>
  </si>
  <si>
    <t>Publicidad de operación</t>
  </si>
  <si>
    <t xml:space="preserve">Papelería </t>
  </si>
  <si>
    <t>Salario total mes</t>
  </si>
  <si>
    <t>Mantenimiento                             0,2%</t>
  </si>
  <si>
    <t xml:space="preserve"> Amortización Anual (5 años)</t>
  </si>
  <si>
    <t>Amortización de diferidos</t>
  </si>
  <si>
    <t>Aux financiero</t>
  </si>
  <si>
    <t>Area comercial</t>
  </si>
  <si>
    <t>Salario total anual</t>
  </si>
  <si>
    <t>Gasto de personal administrativo</t>
  </si>
  <si>
    <t>Gasto de personal comercial</t>
  </si>
  <si>
    <t xml:space="preserve">Valor del agua </t>
  </si>
  <si>
    <t>Inversión diferida</t>
  </si>
  <si>
    <t>Año 1</t>
  </si>
  <si>
    <t>Año 2</t>
  </si>
  <si>
    <t>Año 3</t>
  </si>
  <si>
    <t>Año 4</t>
  </si>
  <si>
    <t>Año 5</t>
  </si>
  <si>
    <t>Utilidad Bruta</t>
  </si>
  <si>
    <t>Ingresos Operacionales por ventas</t>
  </si>
  <si>
    <t>Total Ingresos</t>
  </si>
  <si>
    <t>Mano de Obra Directa MOD</t>
  </si>
  <si>
    <t>Materia Prima</t>
  </si>
  <si>
    <t>Costos de prestación de servicio</t>
  </si>
  <si>
    <t>Costos Indirectos Fijos</t>
  </si>
  <si>
    <t>Utilidad operacional</t>
  </si>
  <si>
    <t>Gastos financieros</t>
  </si>
  <si>
    <t>Gravamen 4 x 1000</t>
  </si>
  <si>
    <t>Utilidad antes de Impuesto</t>
  </si>
  <si>
    <t>Utilidad neta</t>
  </si>
  <si>
    <t>Utilidad del ejercicio</t>
  </si>
  <si>
    <t>Costos Indirectos Variables</t>
  </si>
  <si>
    <t>Gastos de personal administrativo</t>
  </si>
  <si>
    <t>Gastos de personal comercial</t>
  </si>
  <si>
    <t>Año</t>
  </si>
  <si>
    <t>Pagos</t>
  </si>
  <si>
    <t>Intereses</t>
  </si>
  <si>
    <t>Abono</t>
  </si>
  <si>
    <t>Saldo</t>
  </si>
  <si>
    <t xml:space="preserve">Prestamo </t>
  </si>
  <si>
    <t>Interes E. A</t>
  </si>
  <si>
    <t>Años</t>
  </si>
  <si>
    <t>Frecuencia de pago</t>
  </si>
  <si>
    <t>Total de cuotas</t>
  </si>
  <si>
    <t>Cuota Anual</t>
  </si>
  <si>
    <t>Provisión para Impuestos   35%</t>
  </si>
  <si>
    <t>Reserva legal                     10%</t>
  </si>
  <si>
    <t>Ingresos operacionales</t>
  </si>
  <si>
    <t xml:space="preserve">Total de Ingresos operacionales </t>
  </si>
  <si>
    <t>Pagos de Costos</t>
  </si>
  <si>
    <t>Pago de MP</t>
  </si>
  <si>
    <t>Pago de MOD</t>
  </si>
  <si>
    <t>Depreciaciones</t>
  </si>
  <si>
    <t>Pago Costos Indirectos Variables</t>
  </si>
  <si>
    <t>Total pagos de Costos Operacionales</t>
  </si>
  <si>
    <t>Flujo de caja operacional bruto</t>
  </si>
  <si>
    <t>Pagos de Gastos</t>
  </si>
  <si>
    <t>Pago de Gastos de Administración</t>
  </si>
  <si>
    <t>Amortizaciones</t>
  </si>
  <si>
    <t>Pago de Gastos de Ventas</t>
  </si>
  <si>
    <t>Pago de impuestos</t>
  </si>
  <si>
    <t>Total pago de Gastos operacionales</t>
  </si>
  <si>
    <t>Flujo de caja operacional neto</t>
  </si>
  <si>
    <t>Inversiones</t>
  </si>
  <si>
    <t>Inversion Fija</t>
  </si>
  <si>
    <t>Inversión Diferida</t>
  </si>
  <si>
    <t>Inversión en Capital de Trabajo</t>
  </si>
  <si>
    <t>Total de Inversiones</t>
  </si>
  <si>
    <t>Flujo Caja Libre</t>
  </si>
  <si>
    <t>Pago Costos Indirectos Fijos</t>
  </si>
  <si>
    <t>ESTADO DE RESULTADOS</t>
  </si>
  <si>
    <t>FLUJO DE CAJA</t>
  </si>
  <si>
    <t>BALANCE GENERAL</t>
  </si>
  <si>
    <t>Caja</t>
  </si>
  <si>
    <t>Año 0</t>
  </si>
  <si>
    <t>Activo Corriente</t>
  </si>
  <si>
    <t>Activos Fijos</t>
  </si>
  <si>
    <t>Activos fijos netos</t>
  </si>
  <si>
    <t>Activo</t>
  </si>
  <si>
    <t>Pasivo</t>
  </si>
  <si>
    <t>Patrimonio</t>
  </si>
  <si>
    <t>Pasivo + Patrimonio</t>
  </si>
  <si>
    <t>Crédito</t>
  </si>
  <si>
    <t>Aportes de los socios</t>
  </si>
  <si>
    <t>Credito financiero</t>
  </si>
  <si>
    <t>Total ingresos de financiación</t>
  </si>
  <si>
    <t>Abonos a capital</t>
  </si>
  <si>
    <t>Pago de intereses</t>
  </si>
  <si>
    <t>4 x 1000</t>
  </si>
  <si>
    <t>Total egresos de financiación</t>
  </si>
  <si>
    <t>Flujo neto de caja</t>
  </si>
  <si>
    <t>Flujo de caja del periodo</t>
  </si>
  <si>
    <t>Saldo anterior de caja y Bancos</t>
  </si>
  <si>
    <t>Saldo final de caja y bancos</t>
  </si>
  <si>
    <t>Flujo de caja de financiación</t>
  </si>
  <si>
    <t>Amortización Diferida</t>
  </si>
  <si>
    <t>Activo Diferido Neto</t>
  </si>
  <si>
    <t>Impuesto por pagar</t>
  </si>
  <si>
    <t>Total pasivo corriente</t>
  </si>
  <si>
    <t>Aportes Social</t>
  </si>
  <si>
    <t>Utilidades Ejercicios anteriores</t>
  </si>
  <si>
    <t>Utilidades presente ejercicio</t>
  </si>
  <si>
    <t>Reservas 10%</t>
  </si>
  <si>
    <t>Años 0</t>
  </si>
  <si>
    <t>Años 1</t>
  </si>
  <si>
    <t>Años 2</t>
  </si>
  <si>
    <t>Años 3</t>
  </si>
  <si>
    <t>Años 4</t>
  </si>
  <si>
    <t>Años 5</t>
  </si>
  <si>
    <t>TASA</t>
  </si>
  <si>
    <t>VPN</t>
  </si>
  <si>
    <t>CDT</t>
  </si>
  <si>
    <t>Riesgo</t>
  </si>
  <si>
    <t>TIR</t>
  </si>
  <si>
    <t>PRI</t>
  </si>
  <si>
    <t>años</t>
  </si>
  <si>
    <t>meses</t>
  </si>
  <si>
    <t>ESCENARIO POSITIVO</t>
  </si>
  <si>
    <t>ESCENARIO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</si>
</sst>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[$$-409]* #,##0_ ;_-[$$-409]* \-#,##0\ ;_-[$$-409]* &quot;-&quot;??_ ;_-@_ "/>
    <numFmt numFmtId="17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7" xfId="0" applyNumberFormat="1" applyBorder="1" applyAlignment="1">
      <alignment horizontal="center" vertical="center"/>
    </xf>
    <xf numFmtId="165" fontId="0" fillId="0" borderId="5" xfId="0" applyNumberFormat="1" applyBorder="1"/>
    <xf numFmtId="165" fontId="0" fillId="0" borderId="8" xfId="0" applyNumberFormat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5" fontId="0" fillId="2" borderId="5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center" vertical="center"/>
    </xf>
    <xf numFmtId="2" fontId="0" fillId="0" borderId="1" xfId="0" applyNumberFormat="1" applyBorder="1"/>
    <xf numFmtId="0" fontId="0" fillId="0" borderId="1" xfId="2" applyNumberFormat="1" applyFont="1" applyBorder="1"/>
    <xf numFmtId="1" fontId="0" fillId="0" borderId="1" xfId="0" applyNumberFormat="1" applyBorder="1"/>
    <xf numFmtId="6" fontId="0" fillId="0" borderId="0" xfId="0" applyNumberFormat="1"/>
    <xf numFmtId="44" fontId="0" fillId="0" borderId="1" xfId="1" applyFont="1" applyBorder="1"/>
    <xf numFmtId="1" fontId="0" fillId="0" borderId="1" xfId="1" applyNumberFormat="1" applyFont="1" applyBorder="1"/>
    <xf numFmtId="0" fontId="0" fillId="0" borderId="1" xfId="0" applyBorder="1" applyAlignment="1">
      <alignment horizontal="left"/>
    </xf>
    <xf numFmtId="1" fontId="0" fillId="0" borderId="1" xfId="1" applyNumberFormat="1" applyFont="1" applyBorder="1" applyAlignment="1">
      <alignment horizontal="left"/>
    </xf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left"/>
    </xf>
    <xf numFmtId="6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0" fontId="0" fillId="0" borderId="4" xfId="0" applyBorder="1"/>
    <xf numFmtId="6" fontId="0" fillId="0" borderId="4" xfId="0" applyNumberFormat="1" applyBorder="1"/>
    <xf numFmtId="164" fontId="0" fillId="0" borderId="1" xfId="1" applyNumberFormat="1" applyFont="1" applyBorder="1"/>
    <xf numFmtId="44" fontId="0" fillId="0" borderId="1" xfId="0" applyNumberFormat="1" applyBorder="1"/>
    <xf numFmtId="9" fontId="0" fillId="0" borderId="0" xfId="0" applyNumberFormat="1"/>
    <xf numFmtId="0" fontId="0" fillId="0" borderId="1" xfId="0" applyBorder="1" applyAlignment="1">
      <alignment horizontal="right"/>
    </xf>
    <xf numFmtId="164" fontId="0" fillId="0" borderId="1" xfId="1" applyNumberFormat="1" applyFont="1" applyBorder="1" applyAlignment="1">
      <alignment horizontal="center" vertical="center"/>
    </xf>
    <xf numFmtId="1" fontId="0" fillId="0" borderId="0" xfId="0" applyNumberForma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1" applyNumberFormat="1" applyFont="1" applyBorder="1" applyAlignment="1">
      <alignment vertical="center"/>
    </xf>
    <xf numFmtId="164" fontId="2" fillId="0" borderId="1" xfId="0" applyNumberFormat="1" applyFont="1" applyBorder="1"/>
    <xf numFmtId="164" fontId="5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/>
    <xf numFmtId="164" fontId="4" fillId="0" borderId="1" xfId="0" applyNumberFormat="1" applyFont="1" applyBorder="1"/>
    <xf numFmtId="9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44" fontId="4" fillId="0" borderId="1" xfId="1" applyFont="1" applyBorder="1"/>
    <xf numFmtId="44" fontId="4" fillId="0" borderId="0" xfId="1" applyFont="1"/>
    <xf numFmtId="164" fontId="5" fillId="0" borderId="1" xfId="1" applyNumberFormat="1" applyFont="1" applyBorder="1"/>
    <xf numFmtId="0" fontId="5" fillId="0" borderId="1" xfId="0" applyFont="1" applyBorder="1"/>
    <xf numFmtId="164" fontId="0" fillId="0" borderId="0" xfId="1" applyNumberFormat="1" applyFont="1"/>
    <xf numFmtId="10" fontId="0" fillId="0" borderId="0" xfId="0" applyNumberFormat="1"/>
    <xf numFmtId="6" fontId="0" fillId="0" borderId="1" xfId="1" applyNumberFormat="1" applyFont="1" applyBorder="1" applyAlignment="1">
      <alignment horizontal="center" vertical="center"/>
    </xf>
    <xf numFmtId="44" fontId="2" fillId="0" borderId="1" xfId="1" applyFont="1" applyBorder="1"/>
    <xf numFmtId="164" fontId="2" fillId="0" borderId="1" xfId="1" applyNumberFormat="1" applyFont="1" applyBorder="1"/>
    <xf numFmtId="44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44" fontId="5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5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2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0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0" fillId="0" borderId="2" xfId="1" applyNumberFormat="1" applyFont="1" applyBorder="1" applyAlignment="1">
      <alignment horizontal="left" vertical="center"/>
    </xf>
    <xf numFmtId="164" fontId="0" fillId="0" borderId="3" xfId="1" applyNumberFormat="1" applyFont="1" applyBorder="1" applyAlignment="1">
      <alignment horizontal="left" vertical="center"/>
    </xf>
    <xf numFmtId="44" fontId="0" fillId="0" borderId="1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1" xfId="0" applyNumberFormat="1" applyBorder="1"/>
    <xf numFmtId="0" fontId="4" fillId="0" borderId="0" xfId="0" applyFont="1" applyFill="1" applyBorder="1" applyAlignment="1">
      <alignment horizontal="center"/>
    </xf>
    <xf numFmtId="9" fontId="0" fillId="0" borderId="1" xfId="0" applyNumberFormat="1" applyBorder="1"/>
    <xf numFmtId="9" fontId="0" fillId="0" borderId="1" xfId="2" applyFont="1" applyBorder="1" applyAlignment="1">
      <alignment horizontal="right"/>
    </xf>
    <xf numFmtId="44" fontId="0" fillId="0" borderId="0" xfId="0" applyNumberFormat="1"/>
    <xf numFmtId="178" fontId="0" fillId="0" borderId="1" xfId="0" applyNumberFormat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5</xdr:col>
      <xdr:colOff>649890</xdr:colOff>
      <xdr:row>6</xdr:row>
      <xdr:rowOff>123825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A2DABC-57AA-E398-A252-6EA1F020A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0"/>
          <a:ext cx="459324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E0E7-0E8C-4C00-B82C-C0E2FC9DAF8E}">
  <dimension ref="A2:N98"/>
  <sheetViews>
    <sheetView tabSelected="1" workbookViewId="0">
      <selection activeCell="G47" sqref="G47"/>
    </sheetView>
  </sheetViews>
  <sheetFormatPr baseColWidth="10" defaultRowHeight="15" x14ac:dyDescent="0.25"/>
  <cols>
    <col min="3" max="3" width="13.42578125" customWidth="1"/>
    <col min="6" max="6" width="11.140625" customWidth="1"/>
    <col min="8" max="8" width="32.5703125" bestFit="1" customWidth="1"/>
    <col min="9" max="9" width="20.28515625" bestFit="1" customWidth="1"/>
    <col min="10" max="10" width="25.5703125" bestFit="1" customWidth="1"/>
    <col min="11" max="11" width="16.140625" bestFit="1" customWidth="1"/>
    <col min="12" max="12" width="29.85546875" customWidth="1"/>
    <col min="14" max="14" width="16.7109375" bestFit="1" customWidth="1"/>
  </cols>
  <sheetData>
    <row r="2" spans="1:14" x14ac:dyDescent="0.25">
      <c r="A2" s="91" t="s">
        <v>88</v>
      </c>
      <c r="B2" s="91"/>
      <c r="C2" s="91"/>
      <c r="D2" s="91"/>
      <c r="E2" s="91"/>
      <c r="F2" s="91"/>
      <c r="G2" s="2"/>
      <c r="H2" s="2"/>
    </row>
    <row r="3" spans="1:14" x14ac:dyDescent="0.25">
      <c r="A3" s="2"/>
      <c r="B3" s="2"/>
      <c r="C3" s="2"/>
      <c r="D3" s="2"/>
      <c r="E3" s="2"/>
      <c r="F3" s="2"/>
      <c r="H3" s="26" t="s">
        <v>86</v>
      </c>
      <c r="I3" s="26" t="s">
        <v>87</v>
      </c>
      <c r="J3" s="26" t="s">
        <v>92</v>
      </c>
      <c r="K3" s="26" t="s">
        <v>93</v>
      </c>
    </row>
    <row r="4" spans="1:14" x14ac:dyDescent="0.25">
      <c r="B4" s="2"/>
      <c r="C4" s="2"/>
      <c r="H4" s="27">
        <v>66194</v>
      </c>
      <c r="I4" s="26">
        <v>5516</v>
      </c>
      <c r="J4" s="26">
        <v>1379</v>
      </c>
      <c r="K4" s="26">
        <v>230</v>
      </c>
    </row>
    <row r="5" spans="1:14" x14ac:dyDescent="0.25">
      <c r="H5" s="28"/>
      <c r="I5" s="28"/>
      <c r="J5" s="28"/>
      <c r="K5" s="28"/>
    </row>
    <row r="6" spans="1:14" x14ac:dyDescent="0.25">
      <c r="H6" s="83" t="s">
        <v>91</v>
      </c>
      <c r="I6" s="83"/>
      <c r="J6" s="83"/>
      <c r="K6" s="83"/>
      <c r="M6" s="6" t="s">
        <v>89</v>
      </c>
      <c r="N6" s="6" t="s">
        <v>90</v>
      </c>
    </row>
    <row r="7" spans="1:14" x14ac:dyDescent="0.25">
      <c r="H7" s="29">
        <f t="shared" ref="H7:J7" si="0">H4*$M$7/$N$7</f>
        <v>49769.924812030069</v>
      </c>
      <c r="I7" s="29">
        <f t="shared" si="0"/>
        <v>4147.3684210526317</v>
      </c>
      <c r="J7" s="29">
        <f t="shared" si="0"/>
        <v>1036.8421052631579</v>
      </c>
      <c r="K7" s="29">
        <f>K4*$M$7/$N$7</f>
        <v>172.93233082706766</v>
      </c>
      <c r="M7" s="6">
        <v>10</v>
      </c>
      <c r="N7" s="6">
        <v>13.3</v>
      </c>
    </row>
    <row r="8" spans="1:14" x14ac:dyDescent="0.25">
      <c r="A8" s="83" t="s">
        <v>96</v>
      </c>
      <c r="B8" s="94"/>
      <c r="C8" s="83"/>
      <c r="D8" s="83"/>
      <c r="E8" s="87">
        <v>430</v>
      </c>
      <c r="F8" s="83"/>
      <c r="H8" s="23"/>
    </row>
    <row r="9" spans="1:14" x14ac:dyDescent="0.25">
      <c r="A9" s="94" t="s">
        <v>1</v>
      </c>
      <c r="B9" s="94"/>
      <c r="C9" s="83"/>
      <c r="D9" s="83"/>
      <c r="E9" s="87">
        <f>76278+E8</f>
        <v>76708</v>
      </c>
      <c r="F9" s="83"/>
      <c r="H9" s="83" t="s">
        <v>94</v>
      </c>
      <c r="I9" s="83"/>
      <c r="J9" s="83"/>
      <c r="K9" s="83"/>
    </row>
    <row r="10" spans="1:14" x14ac:dyDescent="0.25">
      <c r="H10" s="30">
        <f>$E$9/$M$7*H7</f>
        <v>381775139.24812025</v>
      </c>
      <c r="I10" s="30">
        <f t="shared" ref="I10:K10" si="1">$E$9/$M$7*I7</f>
        <v>31813633.684210528</v>
      </c>
      <c r="J10" s="30">
        <f t="shared" si="1"/>
        <v>7953408.4210526319</v>
      </c>
      <c r="K10" s="30">
        <f t="shared" si="1"/>
        <v>1326529.3233082707</v>
      </c>
    </row>
    <row r="11" spans="1:14" ht="15.75" x14ac:dyDescent="0.25">
      <c r="A11" s="89" t="s">
        <v>2</v>
      </c>
      <c r="B11" s="90"/>
      <c r="C11" s="90"/>
      <c r="D11" s="90"/>
      <c r="E11" s="90"/>
      <c r="F11" s="90"/>
    </row>
    <row r="12" spans="1:14" ht="15.75" x14ac:dyDescent="0.25">
      <c r="A12" s="92" t="s">
        <v>3</v>
      </c>
      <c r="B12" s="92"/>
      <c r="C12" s="92" t="s">
        <v>4</v>
      </c>
      <c r="D12" s="92"/>
      <c r="E12" s="92" t="s">
        <v>5</v>
      </c>
      <c r="F12" s="92"/>
      <c r="H12" s="1" t="s">
        <v>95</v>
      </c>
    </row>
    <row r="13" spans="1:14" ht="15.75" x14ac:dyDescent="0.25">
      <c r="A13" s="93" t="s">
        <v>6</v>
      </c>
      <c r="B13" s="93"/>
      <c r="C13" s="96">
        <v>1</v>
      </c>
      <c r="D13" s="96"/>
      <c r="E13" s="95">
        <v>7300000</v>
      </c>
      <c r="F13" s="95"/>
      <c r="H13" s="4">
        <f>E9/N7</f>
        <v>5767.5187969924809</v>
      </c>
    </row>
    <row r="14" spans="1:14" ht="15.75" x14ac:dyDescent="0.25">
      <c r="A14" s="93" t="s">
        <v>7</v>
      </c>
      <c r="B14" s="93"/>
      <c r="C14" s="96">
        <v>1</v>
      </c>
      <c r="D14" s="96"/>
      <c r="E14" s="95">
        <v>17500000</v>
      </c>
      <c r="F14" s="95"/>
    </row>
    <row r="15" spans="1:14" ht="15.75" x14ac:dyDescent="0.25">
      <c r="A15" s="93" t="s">
        <v>8</v>
      </c>
      <c r="B15" s="93"/>
      <c r="C15" s="96">
        <v>1</v>
      </c>
      <c r="D15" s="96"/>
      <c r="E15" s="95">
        <v>3250000</v>
      </c>
      <c r="F15" s="95"/>
      <c r="H15" s="84" t="s">
        <v>97</v>
      </c>
      <c r="I15" s="86"/>
    </row>
    <row r="16" spans="1:14" ht="15.75" x14ac:dyDescent="0.25">
      <c r="A16" s="93" t="s">
        <v>9</v>
      </c>
      <c r="B16" s="93"/>
      <c r="C16" s="96">
        <v>1</v>
      </c>
      <c r="D16" s="96"/>
      <c r="E16" s="95">
        <v>5000000</v>
      </c>
      <c r="F16" s="95"/>
      <c r="H16" s="1" t="s">
        <v>101</v>
      </c>
      <c r="I16" s="1">
        <v>30</v>
      </c>
    </row>
    <row r="17" spans="1:13" ht="15.75" x14ac:dyDescent="0.25">
      <c r="A17" s="93" t="s">
        <v>10</v>
      </c>
      <c r="B17" s="93"/>
      <c r="C17" s="96">
        <v>1</v>
      </c>
      <c r="D17" s="96"/>
      <c r="E17" s="95">
        <v>13000000</v>
      </c>
      <c r="F17" s="95"/>
      <c r="H17" s="1" t="s">
        <v>102</v>
      </c>
      <c r="I17" s="1">
        <v>4</v>
      </c>
    </row>
    <row r="18" spans="1:13" ht="15.75" x14ac:dyDescent="0.25">
      <c r="A18" s="93" t="s">
        <v>11</v>
      </c>
      <c r="B18" s="93"/>
      <c r="C18" s="96">
        <v>1</v>
      </c>
      <c r="D18" s="96"/>
      <c r="E18" s="95">
        <v>14500000</v>
      </c>
      <c r="F18" s="95"/>
      <c r="H18" s="1" t="s">
        <v>103</v>
      </c>
      <c r="I18" s="22">
        <f>I16/I17</f>
        <v>7.5</v>
      </c>
    </row>
    <row r="19" spans="1:13" ht="15.75" x14ac:dyDescent="0.25">
      <c r="A19" s="93" t="s">
        <v>12</v>
      </c>
      <c r="B19" s="93"/>
      <c r="C19" s="96">
        <v>1</v>
      </c>
      <c r="D19" s="96"/>
      <c r="E19" s="95">
        <v>60000</v>
      </c>
      <c r="F19" s="95"/>
      <c r="H19" s="1" t="s">
        <v>104</v>
      </c>
      <c r="I19" s="1">
        <f>25000*I18</f>
        <v>187500</v>
      </c>
    </row>
    <row r="20" spans="1:13" ht="15.75" x14ac:dyDescent="0.25">
      <c r="A20" s="93" t="s">
        <v>13</v>
      </c>
      <c r="B20" s="93"/>
      <c r="C20" s="96">
        <v>1</v>
      </c>
      <c r="D20" s="96"/>
      <c r="E20" s="95">
        <v>2704000</v>
      </c>
      <c r="F20" s="95"/>
    </row>
    <row r="21" spans="1:13" ht="15.75" x14ac:dyDescent="0.25">
      <c r="A21" s="93" t="s">
        <v>14</v>
      </c>
      <c r="B21" s="93"/>
      <c r="C21" s="96">
        <v>1</v>
      </c>
      <c r="D21" s="96"/>
      <c r="E21" s="95">
        <v>2000000</v>
      </c>
      <c r="F21" s="95"/>
    </row>
    <row r="22" spans="1:13" ht="15.75" x14ac:dyDescent="0.25">
      <c r="A22" s="96" t="s">
        <v>1</v>
      </c>
      <c r="B22" s="96"/>
      <c r="C22" s="96">
        <f>SUM(C13:D21)</f>
        <v>9</v>
      </c>
      <c r="D22" s="96"/>
      <c r="E22" s="95">
        <f>SUM(E13:F21)</f>
        <v>65314000</v>
      </c>
      <c r="F22" s="95"/>
      <c r="H22" s="83" t="s">
        <v>105</v>
      </c>
      <c r="I22" s="83"/>
      <c r="J22" s="83"/>
    </row>
    <row r="23" spans="1:13" ht="15.75" x14ac:dyDescent="0.25">
      <c r="A23" s="5"/>
      <c r="B23" s="5"/>
      <c r="C23" s="5"/>
      <c r="D23" s="5"/>
      <c r="E23" s="5"/>
      <c r="F23" s="5"/>
      <c r="H23" s="1" t="s">
        <v>98</v>
      </c>
      <c r="I23" s="1" t="s">
        <v>99</v>
      </c>
      <c r="J23" s="1" t="s">
        <v>100</v>
      </c>
    </row>
    <row r="24" spans="1:13" ht="15.75" x14ac:dyDescent="0.25">
      <c r="A24" s="100" t="s">
        <v>15</v>
      </c>
      <c r="B24" s="100"/>
      <c r="C24" s="99"/>
      <c r="D24" s="99"/>
      <c r="E24" s="99"/>
      <c r="F24" s="99"/>
      <c r="H24" s="1">
        <f>I19</f>
        <v>187500</v>
      </c>
      <c r="I24" s="22">
        <f>($H$24*$M$7)/225</f>
        <v>8333.3333333333339</v>
      </c>
      <c r="J24" s="22">
        <f>I24*0.75</f>
        <v>6250</v>
      </c>
    </row>
    <row r="25" spans="1:13" ht="15.75" x14ac:dyDescent="0.25">
      <c r="A25" s="97" t="s">
        <v>3</v>
      </c>
      <c r="B25" s="97"/>
      <c r="C25" s="98" t="s">
        <v>4</v>
      </c>
      <c r="D25" s="99"/>
      <c r="E25" s="99" t="s">
        <v>17</v>
      </c>
      <c r="F25" s="99"/>
    </row>
    <row r="26" spans="1:13" ht="15.75" x14ac:dyDescent="0.25">
      <c r="A26" s="101" t="s">
        <v>16</v>
      </c>
      <c r="B26" s="101"/>
      <c r="C26" s="101">
        <v>1</v>
      </c>
      <c r="D26" s="101"/>
      <c r="E26" s="88">
        <v>357900</v>
      </c>
      <c r="F26" s="88"/>
      <c r="H26" s="83" t="s">
        <v>106</v>
      </c>
      <c r="I26" s="83"/>
      <c r="J26" s="83"/>
    </row>
    <row r="27" spans="1:13" ht="15.75" x14ac:dyDescent="0.25">
      <c r="A27" s="101" t="s">
        <v>18</v>
      </c>
      <c r="B27" s="101"/>
      <c r="C27" s="102">
        <v>8</v>
      </c>
      <c r="D27" s="103"/>
      <c r="E27" s="88">
        <v>12000000</v>
      </c>
      <c r="F27" s="88"/>
      <c r="H27" s="1"/>
      <c r="I27" s="3" t="s">
        <v>111</v>
      </c>
      <c r="J27" s="3" t="s">
        <v>112</v>
      </c>
      <c r="L27" s="1" t="s">
        <v>113</v>
      </c>
    </row>
    <row r="28" spans="1:13" ht="15.75" x14ac:dyDescent="0.25">
      <c r="A28" s="101" t="s">
        <v>19</v>
      </c>
      <c r="B28" s="101"/>
      <c r="C28" s="101">
        <v>1</v>
      </c>
      <c r="D28" s="101"/>
      <c r="E28" s="88">
        <v>500000</v>
      </c>
      <c r="F28" s="88"/>
      <c r="H28" s="1" t="s">
        <v>107</v>
      </c>
      <c r="I28" s="32">
        <f>J28/12</f>
        <v>489855</v>
      </c>
      <c r="J28" s="32">
        <f>($E$22-$L$28)/10</f>
        <v>5878260</v>
      </c>
      <c r="L28" s="32">
        <f>E22/10</f>
        <v>6531400</v>
      </c>
      <c r="M28" t="s">
        <v>114</v>
      </c>
    </row>
    <row r="29" spans="1:13" ht="15.75" x14ac:dyDescent="0.25">
      <c r="A29" s="101" t="s">
        <v>20</v>
      </c>
      <c r="B29" s="101"/>
      <c r="C29" s="101">
        <v>4</v>
      </c>
      <c r="D29" s="101"/>
      <c r="E29" s="88">
        <v>300000</v>
      </c>
      <c r="F29" s="88"/>
      <c r="H29" s="1" t="s">
        <v>108</v>
      </c>
      <c r="I29" s="32">
        <f>J29/12</f>
        <v>126426.75</v>
      </c>
      <c r="J29" s="32">
        <f>(E33-L31)/10</f>
        <v>1517121</v>
      </c>
      <c r="L29" s="31"/>
    </row>
    <row r="30" spans="1:13" ht="15.75" x14ac:dyDescent="0.25">
      <c r="A30" s="101" t="s">
        <v>21</v>
      </c>
      <c r="B30" s="101"/>
      <c r="C30" s="101">
        <v>1</v>
      </c>
      <c r="D30" s="101"/>
      <c r="E30" s="88">
        <v>600000</v>
      </c>
      <c r="F30" s="88"/>
      <c r="H30" s="1" t="s">
        <v>109</v>
      </c>
      <c r="I30" s="32">
        <f>J30/12</f>
        <v>6246.875</v>
      </c>
      <c r="J30" s="32">
        <f>(1500000-L34)/20</f>
        <v>74962.5</v>
      </c>
      <c r="L30" s="1" t="s">
        <v>115</v>
      </c>
      <c r="M30" t="s">
        <v>114</v>
      </c>
    </row>
    <row r="31" spans="1:13" ht="15.75" x14ac:dyDescent="0.25">
      <c r="A31" s="101" t="s">
        <v>22</v>
      </c>
      <c r="B31" s="101"/>
      <c r="C31" s="101">
        <v>8</v>
      </c>
      <c r="D31" s="101"/>
      <c r="E31" s="88">
        <v>1600000</v>
      </c>
      <c r="F31" s="88"/>
      <c r="H31" s="1" t="s">
        <v>110</v>
      </c>
      <c r="I31" s="35">
        <v>861680</v>
      </c>
      <c r="J31" s="24">
        <f>I31*12</f>
        <v>10340160</v>
      </c>
      <c r="L31" s="32">
        <f>E33/10</f>
        <v>1685690</v>
      </c>
    </row>
    <row r="32" spans="1:13" ht="15.75" x14ac:dyDescent="0.25">
      <c r="A32" s="101" t="s">
        <v>23</v>
      </c>
      <c r="B32" s="101"/>
      <c r="C32" s="101">
        <v>10</v>
      </c>
      <c r="D32" s="101"/>
      <c r="E32" s="88">
        <v>1499000</v>
      </c>
      <c r="F32" s="88"/>
      <c r="H32" s="1" t="s">
        <v>1</v>
      </c>
      <c r="I32" s="32">
        <f>SUM(I28:I31)</f>
        <v>1484208.625</v>
      </c>
      <c r="J32" s="32">
        <f>SUM(J28:J31)</f>
        <v>17810503.5</v>
      </c>
    </row>
    <row r="33" spans="1:13" ht="15.75" x14ac:dyDescent="0.25">
      <c r="A33" s="101" t="s">
        <v>24</v>
      </c>
      <c r="B33" s="101"/>
      <c r="C33" s="101">
        <f>SUM(C26:D32)</f>
        <v>33</v>
      </c>
      <c r="D33" s="101"/>
      <c r="E33" s="88">
        <f>SUM(E26:F32)</f>
        <v>16856900</v>
      </c>
      <c r="F33" s="88"/>
      <c r="L33" s="1" t="s">
        <v>117</v>
      </c>
      <c r="M33" t="s">
        <v>116</v>
      </c>
    </row>
    <row r="34" spans="1:13" x14ac:dyDescent="0.25">
      <c r="H34" s="83" t="s">
        <v>118</v>
      </c>
      <c r="I34" s="83"/>
      <c r="J34" s="83"/>
      <c r="L34" s="32">
        <f>15000/20</f>
        <v>750</v>
      </c>
    </row>
    <row r="35" spans="1:13" x14ac:dyDescent="0.25">
      <c r="H35" s="33" t="s">
        <v>119</v>
      </c>
      <c r="I35" s="34" t="s">
        <v>120</v>
      </c>
      <c r="J35" s="1" t="s">
        <v>121</v>
      </c>
    </row>
    <row r="36" spans="1:13" ht="15.75" x14ac:dyDescent="0.25">
      <c r="A36" s="81" t="s">
        <v>37</v>
      </c>
      <c r="B36" s="81"/>
      <c r="C36" s="81"/>
      <c r="D36" s="81"/>
      <c r="E36" s="81"/>
      <c r="F36" s="81"/>
      <c r="H36" s="1" t="s">
        <v>0</v>
      </c>
      <c r="I36" s="35">
        <f>(76278/$N$7)*$J$24</f>
        <v>35844924.812030077</v>
      </c>
      <c r="J36" s="35">
        <f>I36*12</f>
        <v>430139097.74436092</v>
      </c>
    </row>
    <row r="37" spans="1:13" ht="15.75" x14ac:dyDescent="0.25">
      <c r="A37" s="79" t="s">
        <v>26</v>
      </c>
      <c r="B37" s="79"/>
      <c r="C37" s="82" t="s">
        <v>85</v>
      </c>
      <c r="D37" s="82"/>
      <c r="E37" s="82" t="s">
        <v>84</v>
      </c>
      <c r="F37" s="82"/>
      <c r="H37" s="1" t="s">
        <v>122</v>
      </c>
      <c r="I37" s="35">
        <f>(E8/$N$7)*$J$24</f>
        <v>202067.66917293231</v>
      </c>
      <c r="J37" s="35">
        <f>I37*12</f>
        <v>2424812.0300751878</v>
      </c>
    </row>
    <row r="38" spans="1:13" ht="15.75" x14ac:dyDescent="0.25">
      <c r="A38" s="79" t="s">
        <v>81</v>
      </c>
      <c r="B38" s="79"/>
      <c r="C38" s="78">
        <f>J56</f>
        <v>6288228.4000000004</v>
      </c>
      <c r="D38" s="78"/>
      <c r="E38" s="78">
        <f>C38*12</f>
        <v>75458740.800000012</v>
      </c>
      <c r="F38" s="78"/>
      <c r="H38" s="1" t="s">
        <v>1</v>
      </c>
      <c r="I38" s="35">
        <f>SUM(I36:I37)</f>
        <v>36046992.481203012</v>
      </c>
      <c r="J38" s="35">
        <f>SUM(J36:J37)</f>
        <v>432563909.77443612</v>
      </c>
    </row>
    <row r="39" spans="1:13" ht="15.75" x14ac:dyDescent="0.25">
      <c r="A39" s="79" t="s">
        <v>82</v>
      </c>
      <c r="B39" s="79"/>
      <c r="C39" s="80">
        <f>I38</f>
        <v>36046992.481203012</v>
      </c>
      <c r="D39" s="80"/>
      <c r="E39" s="78">
        <f>C39*12</f>
        <v>432563909.77443612</v>
      </c>
      <c r="F39" s="78"/>
    </row>
    <row r="40" spans="1:13" ht="15.75" x14ac:dyDescent="0.25">
      <c r="A40" s="79" t="s">
        <v>83</v>
      </c>
      <c r="B40" s="79"/>
      <c r="C40" s="78">
        <f>I32</f>
        <v>1484208.625</v>
      </c>
      <c r="D40" s="78"/>
      <c r="E40" s="78">
        <f>C40*12</f>
        <v>17810503.5</v>
      </c>
      <c r="F40" s="78"/>
      <c r="H40" s="83" t="s">
        <v>123</v>
      </c>
      <c r="I40" s="83"/>
      <c r="J40" s="83"/>
    </row>
    <row r="41" spans="1:13" ht="15.75" x14ac:dyDescent="0.25">
      <c r="A41" s="77" t="s">
        <v>1</v>
      </c>
      <c r="B41" s="77"/>
      <c r="C41" s="78">
        <f>SUM(C38:D40)</f>
        <v>43819429.506203011</v>
      </c>
      <c r="D41" s="78"/>
      <c r="E41" s="78">
        <f>SUM(E38:F40)</f>
        <v>525833154.07443613</v>
      </c>
      <c r="F41" s="78"/>
      <c r="H41" s="1" t="s">
        <v>127</v>
      </c>
      <c r="I41" s="1" t="s">
        <v>111</v>
      </c>
      <c r="J41" s="1" t="s">
        <v>112</v>
      </c>
      <c r="K41" s="37">
        <v>0.8</v>
      </c>
      <c r="L41" s="3" t="s">
        <v>150</v>
      </c>
    </row>
    <row r="42" spans="1:13" x14ac:dyDescent="0.25">
      <c r="C42" s="44">
        <v>43819429.506203011</v>
      </c>
      <c r="H42" s="1" t="s">
        <v>0</v>
      </c>
      <c r="I42" s="32">
        <f>I38</f>
        <v>36046992.481203012</v>
      </c>
      <c r="J42" s="32">
        <f>J38</f>
        <v>432563909.77443612</v>
      </c>
      <c r="L42" s="38" t="s">
        <v>124</v>
      </c>
    </row>
    <row r="43" spans="1:13" x14ac:dyDescent="0.25">
      <c r="H43" s="1" t="s">
        <v>110</v>
      </c>
      <c r="I43" s="36">
        <f>861680*K41</f>
        <v>689344</v>
      </c>
      <c r="J43" s="36">
        <f>I43*12</f>
        <v>8272128</v>
      </c>
      <c r="L43" s="35">
        <v>1507</v>
      </c>
    </row>
    <row r="44" spans="1:13" x14ac:dyDescent="0.25">
      <c r="H44" s="1" t="s">
        <v>1</v>
      </c>
      <c r="I44" s="32">
        <f>SUM(I42:I43)</f>
        <v>36736336.481203012</v>
      </c>
      <c r="J44" s="32">
        <f>SUM(J42:J43)</f>
        <v>440836037.77443612</v>
      </c>
    </row>
    <row r="46" spans="1:13" x14ac:dyDescent="0.25">
      <c r="H46" s="83" t="s">
        <v>125</v>
      </c>
      <c r="I46" s="83"/>
      <c r="J46" s="83"/>
    </row>
    <row r="47" spans="1:13" x14ac:dyDescent="0.25">
      <c r="H47" s="1" t="s">
        <v>126</v>
      </c>
      <c r="I47" s="1" t="s">
        <v>111</v>
      </c>
      <c r="J47" s="1" t="s">
        <v>112</v>
      </c>
      <c r="K47" s="37">
        <v>0.2</v>
      </c>
    </row>
    <row r="48" spans="1:13" x14ac:dyDescent="0.25">
      <c r="H48" s="1" t="s">
        <v>110</v>
      </c>
      <c r="I48" s="32">
        <f>I31*K47</f>
        <v>172336</v>
      </c>
      <c r="J48" s="32">
        <f>I48*12</f>
        <v>2068032</v>
      </c>
    </row>
    <row r="49" spans="8:11" x14ac:dyDescent="0.25">
      <c r="H49" s="1" t="s">
        <v>128</v>
      </c>
      <c r="I49" s="32">
        <f>I29+I30+I28</f>
        <v>622528.625</v>
      </c>
      <c r="J49" s="32">
        <f>I49*12</f>
        <v>7470343.5</v>
      </c>
    </row>
    <row r="50" spans="8:11" x14ac:dyDescent="0.25">
      <c r="H50" s="1" t="s">
        <v>1</v>
      </c>
      <c r="I50" s="32">
        <f>SUM(I48:I49)</f>
        <v>794864.625</v>
      </c>
      <c r="J50" s="32">
        <f>SUM(J48:J49)</f>
        <v>9538375.5</v>
      </c>
    </row>
    <row r="52" spans="8:11" x14ac:dyDescent="0.25">
      <c r="H52" s="84" t="s">
        <v>129</v>
      </c>
      <c r="I52" s="85"/>
      <c r="J52" s="85"/>
      <c r="K52" s="86"/>
    </row>
    <row r="53" spans="8:11" x14ac:dyDescent="0.25">
      <c r="H53" s="3"/>
      <c r="I53" s="3" t="s">
        <v>4</v>
      </c>
      <c r="J53" s="3" t="s">
        <v>131</v>
      </c>
      <c r="K53" s="3" t="s">
        <v>132</v>
      </c>
    </row>
    <row r="54" spans="8:11" x14ac:dyDescent="0.25">
      <c r="H54" s="1" t="s">
        <v>58</v>
      </c>
      <c r="I54" s="25">
        <v>1</v>
      </c>
      <c r="J54" s="35">
        <f>'Estructura Salarial'!G9</f>
        <v>2990506</v>
      </c>
      <c r="K54" s="32">
        <f>J54*12</f>
        <v>35886072</v>
      </c>
    </row>
    <row r="55" spans="8:11" x14ac:dyDescent="0.25">
      <c r="H55" s="1" t="s">
        <v>130</v>
      </c>
      <c r="I55" s="25">
        <v>2</v>
      </c>
      <c r="J55" s="35">
        <f>'Estructura Salarial'!G10*I55</f>
        <v>3297722.4</v>
      </c>
      <c r="K55" s="32">
        <f>J55*12</f>
        <v>39572668.799999997</v>
      </c>
    </row>
    <row r="56" spans="8:11" x14ac:dyDescent="0.25">
      <c r="H56" s="1" t="s">
        <v>1</v>
      </c>
      <c r="I56" s="22">
        <f>SUM(I54:I55)</f>
        <v>3</v>
      </c>
      <c r="J56" s="32">
        <f>SUM(J54:J55)</f>
        <v>6288228.4000000004</v>
      </c>
      <c r="K56" s="32">
        <f>SUM(K54:K55)</f>
        <v>75458740.799999997</v>
      </c>
    </row>
    <row r="57" spans="8:11" x14ac:dyDescent="0.25">
      <c r="I57" s="40"/>
      <c r="J57" s="31"/>
      <c r="K57" s="31"/>
    </row>
    <row r="59" spans="8:11" x14ac:dyDescent="0.25">
      <c r="H59" s="83" t="s">
        <v>106</v>
      </c>
      <c r="I59" s="83"/>
      <c r="J59" s="83"/>
    </row>
    <row r="60" spans="8:11" x14ac:dyDescent="0.25">
      <c r="H60" s="1"/>
      <c r="I60" s="3" t="s">
        <v>111</v>
      </c>
      <c r="J60" s="3" t="s">
        <v>112</v>
      </c>
    </row>
    <row r="61" spans="8:11" x14ac:dyDescent="0.25">
      <c r="H61" s="1" t="s">
        <v>133</v>
      </c>
      <c r="I61" s="32">
        <f>J56</f>
        <v>6288228.4000000004</v>
      </c>
      <c r="J61" s="32">
        <f>K56</f>
        <v>75458740.799999997</v>
      </c>
    </row>
    <row r="62" spans="8:11" x14ac:dyDescent="0.25">
      <c r="H62" s="1" t="s">
        <v>134</v>
      </c>
      <c r="I62" s="32">
        <f>I38</f>
        <v>36046992.481203012</v>
      </c>
      <c r="J62" s="32">
        <f>J38</f>
        <v>432563909.77443612</v>
      </c>
    </row>
    <row r="63" spans="8:11" x14ac:dyDescent="0.25">
      <c r="H63" s="1" t="s">
        <v>135</v>
      </c>
      <c r="I63" s="32">
        <f>I32</f>
        <v>1484208.625</v>
      </c>
      <c r="J63" s="32">
        <f>J32</f>
        <v>17810503.5</v>
      </c>
    </row>
    <row r="64" spans="8:11" x14ac:dyDescent="0.25">
      <c r="H64" s="1" t="s">
        <v>1</v>
      </c>
      <c r="I64" s="32">
        <f>SUM(I61:I63)</f>
        <v>43819429.506203011</v>
      </c>
      <c r="J64" s="32">
        <f>SUM(J61:J63)</f>
        <v>525833154.07443613</v>
      </c>
    </row>
    <row r="65" spans="8:12" x14ac:dyDescent="0.25">
      <c r="I65" s="31"/>
      <c r="J65" s="31"/>
    </row>
    <row r="67" spans="8:12" x14ac:dyDescent="0.25">
      <c r="H67" s="83" t="s">
        <v>136</v>
      </c>
      <c r="I67" s="83"/>
      <c r="J67" s="83"/>
    </row>
    <row r="68" spans="8:12" x14ac:dyDescent="0.25">
      <c r="H68" s="1"/>
      <c r="I68" s="3" t="s">
        <v>111</v>
      </c>
      <c r="J68" s="3" t="s">
        <v>112</v>
      </c>
    </row>
    <row r="69" spans="8:12" x14ac:dyDescent="0.25">
      <c r="H69" s="1" t="s">
        <v>142</v>
      </c>
      <c r="I69" s="44">
        <f>82170900*0.2%</f>
        <v>164341.80000000002</v>
      </c>
      <c r="J69" s="44">
        <f>I69*12</f>
        <v>1972101.6</v>
      </c>
    </row>
    <row r="70" spans="8:12" x14ac:dyDescent="0.25">
      <c r="H70" s="1" t="s">
        <v>137</v>
      </c>
      <c r="I70" s="32">
        <f>I30</f>
        <v>6246.875</v>
      </c>
      <c r="J70" s="44">
        <f t="shared" ref="J70" si="2">I70*12</f>
        <v>74962.5</v>
      </c>
    </row>
    <row r="71" spans="8:12" x14ac:dyDescent="0.25">
      <c r="H71" s="1" t="s">
        <v>108</v>
      </c>
      <c r="I71" s="32">
        <f>I29</f>
        <v>126426.75</v>
      </c>
      <c r="J71" s="44">
        <f>I71*12</f>
        <v>1517121</v>
      </c>
    </row>
    <row r="72" spans="8:12" x14ac:dyDescent="0.25">
      <c r="H72" s="1" t="s">
        <v>110</v>
      </c>
      <c r="I72" s="32">
        <f>I31</f>
        <v>861680</v>
      </c>
      <c r="J72" s="44">
        <f>I72*12</f>
        <v>10340160</v>
      </c>
    </row>
    <row r="73" spans="8:12" x14ac:dyDescent="0.25">
      <c r="H73" s="1" t="s">
        <v>138</v>
      </c>
      <c r="I73" s="35">
        <f>100000</f>
        <v>100000</v>
      </c>
      <c r="J73" s="44">
        <f>I73*12</f>
        <v>1200000</v>
      </c>
    </row>
    <row r="74" spans="8:12" x14ac:dyDescent="0.25">
      <c r="H74" s="1" t="s">
        <v>139</v>
      </c>
      <c r="I74" s="35">
        <f>8000000*20%</f>
        <v>1600000</v>
      </c>
      <c r="J74" s="24">
        <f>I74*12</f>
        <v>19200000</v>
      </c>
    </row>
    <row r="75" spans="8:12" x14ac:dyDescent="0.25">
      <c r="H75" s="1" t="s">
        <v>140</v>
      </c>
      <c r="I75" s="35">
        <f>120000</f>
        <v>120000</v>
      </c>
      <c r="J75" s="24">
        <f>I75*12</f>
        <v>1440000</v>
      </c>
    </row>
    <row r="76" spans="8:12" x14ac:dyDescent="0.25">
      <c r="H76" s="1" t="s">
        <v>144</v>
      </c>
      <c r="I76" s="35">
        <f>J76/12</f>
        <v>203566.66666666666</v>
      </c>
      <c r="J76" s="24" cm="1">
        <f t="array" ref="J76:K76">'Inversiones '!C16:D16</f>
        <v>2442800</v>
      </c>
      <c r="K76">
        <v>0</v>
      </c>
    </row>
    <row r="77" spans="8:12" x14ac:dyDescent="0.25">
      <c r="H77" s="43" t="s">
        <v>1</v>
      </c>
      <c r="I77" s="24">
        <f>SUM(I69:I76)</f>
        <v>3182262.0916666663</v>
      </c>
      <c r="J77" s="24">
        <f>SUM(J69:J76)</f>
        <v>38187145.100000001</v>
      </c>
    </row>
    <row r="80" spans="8:12" x14ac:dyDescent="0.25">
      <c r="H80" s="1"/>
      <c r="I80" s="1" t="s">
        <v>4</v>
      </c>
      <c r="J80" s="1" t="s">
        <v>131</v>
      </c>
      <c r="K80" s="1" t="s">
        <v>141</v>
      </c>
      <c r="L80" s="1" t="s">
        <v>147</v>
      </c>
    </row>
    <row r="81" spans="8:12" x14ac:dyDescent="0.25">
      <c r="H81" s="1" t="s">
        <v>51</v>
      </c>
      <c r="I81" s="1">
        <v>1</v>
      </c>
      <c r="J81" s="35">
        <f>'Estructura Salarial'!D2</f>
        <v>3480000</v>
      </c>
      <c r="K81" s="35">
        <f>'Estructura Salarial'!G2</f>
        <v>5528049.5999999996</v>
      </c>
      <c r="L81" s="35">
        <f>K81*12</f>
        <v>66336595.199999996</v>
      </c>
    </row>
    <row r="82" spans="8:12" x14ac:dyDescent="0.25">
      <c r="H82" s="1" t="s">
        <v>52</v>
      </c>
      <c r="I82" s="1">
        <v>1</v>
      </c>
      <c r="J82" s="35">
        <f>'Estructura Salarial'!D3</f>
        <v>2400000</v>
      </c>
      <c r="K82" s="35">
        <f>'Estructura Salarial'!G3</f>
        <v>3120528</v>
      </c>
      <c r="L82" s="35">
        <f>K82*12</f>
        <v>37446336</v>
      </c>
    </row>
    <row r="83" spans="8:12" x14ac:dyDescent="0.25">
      <c r="H83" s="1" t="s">
        <v>53</v>
      </c>
      <c r="I83" s="1">
        <v>1</v>
      </c>
      <c r="J83" s="35">
        <f>'Estructura Salarial'!D4</f>
        <v>1200000</v>
      </c>
      <c r="K83" s="35">
        <f>'Estructura Salarial'!G4</f>
        <v>1700870</v>
      </c>
      <c r="L83" s="35">
        <f>K83*12</f>
        <v>20410440</v>
      </c>
    </row>
    <row r="84" spans="8:12" x14ac:dyDescent="0.25">
      <c r="H84" s="1" t="s">
        <v>145</v>
      </c>
      <c r="I84" s="1">
        <v>1</v>
      </c>
      <c r="J84" s="35">
        <f>'Estructura Salarial'!D5</f>
        <v>1300000</v>
      </c>
      <c r="K84" s="35">
        <f>'Estructura Salarial'!G5</f>
        <v>1830892</v>
      </c>
      <c r="L84" s="35">
        <f>K84*12</f>
        <v>21970704</v>
      </c>
    </row>
    <row r="85" spans="8:12" x14ac:dyDescent="0.25">
      <c r="H85" s="1" t="s">
        <v>1</v>
      </c>
      <c r="I85" s="1">
        <f>SUM(I81:I84)</f>
        <v>4</v>
      </c>
      <c r="J85" s="35">
        <f t="shared" ref="J85:L85" si="3">SUM(J81:J84)</f>
        <v>8380000</v>
      </c>
      <c r="K85" s="35">
        <f t="shared" si="3"/>
        <v>12180339.6</v>
      </c>
      <c r="L85" s="35">
        <f t="shared" si="3"/>
        <v>146164075.19999999</v>
      </c>
    </row>
    <row r="87" spans="8:12" x14ac:dyDescent="0.25">
      <c r="H87" s="1"/>
      <c r="I87" s="1" t="s">
        <v>4</v>
      </c>
      <c r="J87" s="1" t="s">
        <v>131</v>
      </c>
      <c r="K87" s="1" t="s">
        <v>141</v>
      </c>
      <c r="L87" s="1" t="s">
        <v>147</v>
      </c>
    </row>
    <row r="88" spans="8:12" x14ac:dyDescent="0.25">
      <c r="H88" s="1" t="s">
        <v>55</v>
      </c>
      <c r="I88" s="1">
        <v>1</v>
      </c>
      <c r="J88" s="35">
        <f>'Estructura Salarial'!D6</f>
        <v>2400000</v>
      </c>
      <c r="K88" s="35">
        <f>'Estructura Salarial'!G6</f>
        <v>3120528</v>
      </c>
      <c r="L88" s="35">
        <f>K88*12</f>
        <v>37446336</v>
      </c>
    </row>
    <row r="89" spans="8:12" x14ac:dyDescent="0.25">
      <c r="H89" s="1" t="s">
        <v>146</v>
      </c>
      <c r="I89" s="1">
        <v>1</v>
      </c>
      <c r="J89" s="35">
        <f>'Estructura Salarial'!D7</f>
        <v>1500000</v>
      </c>
      <c r="K89" s="35">
        <f>'Estructura Salarial'!G7</f>
        <v>2090936</v>
      </c>
      <c r="L89" s="35">
        <f t="shared" ref="L89:L90" si="4">K89*12</f>
        <v>25091232</v>
      </c>
    </row>
    <row r="90" spans="8:12" x14ac:dyDescent="0.25">
      <c r="H90" s="1" t="s">
        <v>57</v>
      </c>
      <c r="I90" s="1">
        <v>1</v>
      </c>
      <c r="J90" s="35">
        <f>'Estructura Salarial'!D8</f>
        <v>1300000</v>
      </c>
      <c r="K90" s="35">
        <f>'Estructura Salarial'!G8</f>
        <v>1830892</v>
      </c>
      <c r="L90" s="35">
        <f t="shared" si="4"/>
        <v>21970704</v>
      </c>
    </row>
    <row r="91" spans="8:12" x14ac:dyDescent="0.25">
      <c r="H91" s="1" t="s">
        <v>1</v>
      </c>
      <c r="I91" s="1">
        <f>SUM(I88:I90)</f>
        <v>3</v>
      </c>
      <c r="J91" s="35">
        <f t="shared" ref="J91:L91" si="5">SUM(J88:J90)</f>
        <v>5200000</v>
      </c>
      <c r="K91" s="35">
        <f t="shared" si="5"/>
        <v>7042356</v>
      </c>
      <c r="L91" s="35">
        <f t="shared" si="5"/>
        <v>84508272</v>
      </c>
    </row>
    <row r="94" spans="8:12" x14ac:dyDescent="0.25">
      <c r="H94" s="1"/>
      <c r="I94" s="1" t="s">
        <v>111</v>
      </c>
      <c r="J94" s="1" t="s">
        <v>112</v>
      </c>
    </row>
    <row r="95" spans="8:12" x14ac:dyDescent="0.25">
      <c r="H95" s="1" t="s">
        <v>148</v>
      </c>
      <c r="I95" s="32">
        <f>K85</f>
        <v>12180339.6</v>
      </c>
      <c r="J95" s="32">
        <f>L85</f>
        <v>146164075.19999999</v>
      </c>
    </row>
    <row r="96" spans="8:12" x14ac:dyDescent="0.25">
      <c r="H96" s="1" t="s">
        <v>149</v>
      </c>
      <c r="I96" s="32">
        <f>K91</f>
        <v>7042356</v>
      </c>
      <c r="J96" s="32">
        <f>L91</f>
        <v>84508272</v>
      </c>
    </row>
    <row r="97" spans="8:10" x14ac:dyDescent="0.25">
      <c r="H97" s="1" t="s">
        <v>38</v>
      </c>
      <c r="I97" s="36">
        <f>I77</f>
        <v>3182262.0916666663</v>
      </c>
      <c r="J97" s="36">
        <f>J77</f>
        <v>38187145.100000001</v>
      </c>
    </row>
    <row r="98" spans="8:10" x14ac:dyDescent="0.25">
      <c r="H98" s="1" t="s">
        <v>1</v>
      </c>
      <c r="I98" s="32">
        <f>SUM(I95:I97)</f>
        <v>22404957.691666666</v>
      </c>
      <c r="J98" s="32">
        <f>SUM(J95:J97)</f>
        <v>268859492.30000001</v>
      </c>
    </row>
  </sheetData>
  <mergeCells count="96">
    <mergeCell ref="A30:B30"/>
    <mergeCell ref="A31:B31"/>
    <mergeCell ref="A32:B32"/>
    <mergeCell ref="A33:B33"/>
    <mergeCell ref="C26:D26"/>
    <mergeCell ref="C28:D28"/>
    <mergeCell ref="C29:D29"/>
    <mergeCell ref="C30:D30"/>
    <mergeCell ref="C31:D31"/>
    <mergeCell ref="C32:D32"/>
    <mergeCell ref="A26:B26"/>
    <mergeCell ref="A27:B27"/>
    <mergeCell ref="A28:B28"/>
    <mergeCell ref="A29:B29"/>
    <mergeCell ref="C33:D33"/>
    <mergeCell ref="C27:D27"/>
    <mergeCell ref="A25:B25"/>
    <mergeCell ref="C25:D25"/>
    <mergeCell ref="E25:F25"/>
    <mergeCell ref="A24:F24"/>
    <mergeCell ref="C20:D20"/>
    <mergeCell ref="E20:F20"/>
    <mergeCell ref="C21:D21"/>
    <mergeCell ref="E21:F21"/>
    <mergeCell ref="A22:B22"/>
    <mergeCell ref="C22:D22"/>
    <mergeCell ref="E22:F22"/>
    <mergeCell ref="A21:B21"/>
    <mergeCell ref="A20:B20"/>
    <mergeCell ref="C15:D15"/>
    <mergeCell ref="E15:F15"/>
    <mergeCell ref="C16:D16"/>
    <mergeCell ref="A15:B15"/>
    <mergeCell ref="A16:B16"/>
    <mergeCell ref="A17:B17"/>
    <mergeCell ref="A18:B18"/>
    <mergeCell ref="E16:F16"/>
    <mergeCell ref="C17:D17"/>
    <mergeCell ref="A19:B19"/>
    <mergeCell ref="C19:D19"/>
    <mergeCell ref="E19:F19"/>
    <mergeCell ref="E17:F17"/>
    <mergeCell ref="C18:D18"/>
    <mergeCell ref="E18:F18"/>
    <mergeCell ref="A11:F11"/>
    <mergeCell ref="A2:F2"/>
    <mergeCell ref="A12:B12"/>
    <mergeCell ref="A13:B13"/>
    <mergeCell ref="A14:B14"/>
    <mergeCell ref="A9:B9"/>
    <mergeCell ref="A8:B8"/>
    <mergeCell ref="C8:D8"/>
    <mergeCell ref="E8:F8"/>
    <mergeCell ref="C12:D12"/>
    <mergeCell ref="E12:F12"/>
    <mergeCell ref="C13:D13"/>
    <mergeCell ref="E13:F13"/>
    <mergeCell ref="C14:D14"/>
    <mergeCell ref="E14:F14"/>
    <mergeCell ref="H34:J34"/>
    <mergeCell ref="H6:K6"/>
    <mergeCell ref="H9:K9"/>
    <mergeCell ref="C9:D9"/>
    <mergeCell ref="E9:F9"/>
    <mergeCell ref="H15:I15"/>
    <mergeCell ref="E27:F27"/>
    <mergeCell ref="E28:F28"/>
    <mergeCell ref="E29:F29"/>
    <mergeCell ref="E30:F30"/>
    <mergeCell ref="E31:F31"/>
    <mergeCell ref="E32:F32"/>
    <mergeCell ref="E33:F33"/>
    <mergeCell ref="E26:F26"/>
    <mergeCell ref="H22:J22"/>
    <mergeCell ref="H26:J26"/>
    <mergeCell ref="H59:J59"/>
    <mergeCell ref="H67:J67"/>
    <mergeCell ref="H40:J40"/>
    <mergeCell ref="H46:J46"/>
    <mergeCell ref="H52:K52"/>
    <mergeCell ref="A36:F36"/>
    <mergeCell ref="A37:B37"/>
    <mergeCell ref="C37:D37"/>
    <mergeCell ref="E37:F37"/>
    <mergeCell ref="A38:B38"/>
    <mergeCell ref="C38:D38"/>
    <mergeCell ref="E38:F38"/>
    <mergeCell ref="A41:B41"/>
    <mergeCell ref="C41:D41"/>
    <mergeCell ref="E41:F41"/>
    <mergeCell ref="A39:B39"/>
    <mergeCell ref="C39:D39"/>
    <mergeCell ref="E39:F39"/>
    <mergeCell ref="A40:B40"/>
    <mergeCell ref="C40:D40"/>
    <mergeCell ref="E40:F4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6F6C-5861-405F-8021-2CD8612B6198}">
  <dimension ref="B1:H26"/>
  <sheetViews>
    <sheetView workbookViewId="0">
      <selection activeCell="I19" sqref="I19"/>
    </sheetView>
  </sheetViews>
  <sheetFormatPr baseColWidth="10" defaultRowHeight="15" x14ac:dyDescent="0.25"/>
  <cols>
    <col min="2" max="2" width="21.7109375" bestFit="1" customWidth="1"/>
    <col min="4" max="4" width="12.28515625" bestFit="1" customWidth="1"/>
    <col min="6" max="6" width="21" bestFit="1" customWidth="1"/>
    <col min="7" max="7" width="22.85546875" bestFit="1" customWidth="1"/>
    <col min="8" max="8" width="19.7109375" bestFit="1" customWidth="1"/>
    <col min="9" max="9" width="18.140625" bestFit="1" customWidth="1"/>
  </cols>
  <sheetData>
    <row r="1" spans="2:8" x14ac:dyDescent="0.25">
      <c r="B1" s="8" t="s">
        <v>44</v>
      </c>
      <c r="C1" s="8" t="s">
        <v>45</v>
      </c>
      <c r="D1" s="8" t="s">
        <v>46</v>
      </c>
      <c r="E1" s="8" t="s">
        <v>47</v>
      </c>
      <c r="F1" s="9" t="s">
        <v>48</v>
      </c>
      <c r="G1" s="8" t="s">
        <v>49</v>
      </c>
      <c r="H1" s="8" t="s">
        <v>50</v>
      </c>
    </row>
    <row r="2" spans="2:8" x14ac:dyDescent="0.25">
      <c r="B2" s="10" t="s">
        <v>51</v>
      </c>
      <c r="C2" s="10">
        <v>1</v>
      </c>
      <c r="D2" s="11">
        <v>3480000</v>
      </c>
      <c r="E2" s="12">
        <v>0</v>
      </c>
      <c r="F2" s="13">
        <f>(D15+D17+D24+D25+D26+G14+D19+G15+G16+G17+G18)*D2/100</f>
        <v>2048049.6</v>
      </c>
      <c r="G2" s="14">
        <f>SUM(D2:F2)</f>
        <v>5528049.5999999996</v>
      </c>
      <c r="H2" s="11">
        <f>G2*C2</f>
        <v>5528049.5999999996</v>
      </c>
    </row>
    <row r="3" spans="2:8" x14ac:dyDescent="0.25">
      <c r="B3" s="10" t="s">
        <v>52</v>
      </c>
      <c r="C3" s="10">
        <v>1</v>
      </c>
      <c r="D3" s="11">
        <v>2400000</v>
      </c>
      <c r="E3" s="12">
        <v>0</v>
      </c>
      <c r="F3" s="13">
        <f>(8.5+12+0.522+2+3+4)*D3/100</f>
        <v>720528</v>
      </c>
      <c r="G3" s="14">
        <f t="shared" ref="G3:G6" si="0">SUM(D3:F3)</f>
        <v>3120528</v>
      </c>
      <c r="H3" s="11">
        <f t="shared" ref="H3:H9" si="1">G3*C3</f>
        <v>3120528</v>
      </c>
    </row>
    <row r="4" spans="2:8" x14ac:dyDescent="0.25">
      <c r="B4" s="10" t="s">
        <v>53</v>
      </c>
      <c r="C4" s="10">
        <v>1</v>
      </c>
      <c r="D4" s="11">
        <v>1200000</v>
      </c>
      <c r="E4" s="12">
        <v>140606</v>
      </c>
      <c r="F4" s="13">
        <f t="shared" ref="F4:F10" si="2">(8.5+12+0.522+2+3+4)*D4/100</f>
        <v>360264</v>
      </c>
      <c r="G4" s="14">
        <f>SUM(D4:F4)</f>
        <v>1700870</v>
      </c>
      <c r="H4" s="11">
        <f t="shared" si="1"/>
        <v>1700870</v>
      </c>
    </row>
    <row r="5" spans="2:8" x14ac:dyDescent="0.25">
      <c r="B5" s="10" t="s">
        <v>54</v>
      </c>
      <c r="C5" s="10">
        <v>1</v>
      </c>
      <c r="D5" s="11">
        <v>1300000</v>
      </c>
      <c r="E5" s="12">
        <v>140606</v>
      </c>
      <c r="F5" s="13">
        <f t="shared" si="2"/>
        <v>390286</v>
      </c>
      <c r="G5" s="14">
        <f>SUM(D5:F5)</f>
        <v>1830892</v>
      </c>
      <c r="H5" s="11">
        <f t="shared" si="1"/>
        <v>1830892</v>
      </c>
    </row>
    <row r="6" spans="2:8" x14ac:dyDescent="0.25">
      <c r="B6" s="10" t="s">
        <v>55</v>
      </c>
      <c r="C6" s="10">
        <v>1</v>
      </c>
      <c r="D6" s="11">
        <v>2400000</v>
      </c>
      <c r="E6" s="12">
        <v>0</v>
      </c>
      <c r="F6" s="13">
        <f t="shared" si="2"/>
        <v>720528</v>
      </c>
      <c r="G6" s="14">
        <f t="shared" si="0"/>
        <v>3120528</v>
      </c>
      <c r="H6" s="11">
        <f t="shared" si="1"/>
        <v>3120528</v>
      </c>
    </row>
    <row r="7" spans="2:8" x14ac:dyDescent="0.25">
      <c r="B7" s="10" t="s">
        <v>56</v>
      </c>
      <c r="C7" s="10">
        <v>1</v>
      </c>
      <c r="D7" s="11">
        <v>1500000</v>
      </c>
      <c r="E7" s="12">
        <v>140606</v>
      </c>
      <c r="F7" s="13">
        <f t="shared" si="2"/>
        <v>450330</v>
      </c>
      <c r="G7" s="14">
        <f>SUM(D7:F7)</f>
        <v>2090936</v>
      </c>
      <c r="H7" s="11">
        <f t="shared" si="1"/>
        <v>2090936</v>
      </c>
    </row>
    <row r="8" spans="2:8" x14ac:dyDescent="0.25">
      <c r="B8" s="10" t="s">
        <v>57</v>
      </c>
      <c r="C8" s="10">
        <v>1</v>
      </c>
      <c r="D8" s="11">
        <v>1300000</v>
      </c>
      <c r="E8" s="12">
        <v>140606</v>
      </c>
      <c r="F8" s="13">
        <f t="shared" si="2"/>
        <v>390286</v>
      </c>
      <c r="G8" s="14">
        <f>SUM(D8:F8)</f>
        <v>1830892</v>
      </c>
      <c r="H8" s="11">
        <f t="shared" si="1"/>
        <v>1830892</v>
      </c>
    </row>
    <row r="9" spans="2:8" x14ac:dyDescent="0.25">
      <c r="B9" s="10" t="s">
        <v>58</v>
      </c>
      <c r="C9" s="10">
        <v>1</v>
      </c>
      <c r="D9" s="11">
        <v>2300000</v>
      </c>
      <c r="E9" s="12">
        <v>0</v>
      </c>
      <c r="F9" s="13">
        <f>(8.5+12+0.522+2+3+4)*D9/100</f>
        <v>690506</v>
      </c>
      <c r="G9" s="14">
        <f>SUM(D9:F9)</f>
        <v>2990506</v>
      </c>
      <c r="H9" s="11">
        <f t="shared" si="1"/>
        <v>2990506</v>
      </c>
    </row>
    <row r="10" spans="2:8" x14ac:dyDescent="0.25">
      <c r="B10" s="10" t="s">
        <v>59</v>
      </c>
      <c r="C10" s="10">
        <v>2</v>
      </c>
      <c r="D10" s="11">
        <v>1160000</v>
      </c>
      <c r="E10" s="12">
        <v>140606</v>
      </c>
      <c r="F10" s="13">
        <f t="shared" si="2"/>
        <v>348255.2</v>
      </c>
      <c r="G10" s="14">
        <f>SUM(D10:F10)</f>
        <v>1648861.2</v>
      </c>
      <c r="H10" s="11">
        <f>G10*C10</f>
        <v>3297722.4</v>
      </c>
    </row>
    <row r="11" spans="2:8" x14ac:dyDescent="0.25">
      <c r="B11" s="15" t="s">
        <v>60</v>
      </c>
      <c r="C11" s="16"/>
      <c r="D11" s="17">
        <f>SUM(D2:D10)</f>
        <v>17040000</v>
      </c>
      <c r="E11" s="18">
        <f>SUM(E2:E10)</f>
        <v>703030</v>
      </c>
      <c r="F11" s="19">
        <f>SUM(F2:F10)</f>
        <v>6119032.7999999998</v>
      </c>
      <c r="G11" s="19">
        <f>SUM(G2:G10)</f>
        <v>23862062.800000001</v>
      </c>
      <c r="H11" s="19">
        <f>SUM(H2:H10)</f>
        <v>25510924</v>
      </c>
    </row>
    <row r="14" spans="2:8" x14ac:dyDescent="0.25">
      <c r="B14" s="83" t="s">
        <v>61</v>
      </c>
      <c r="C14" s="83"/>
      <c r="D14" s="83"/>
      <c r="F14" s="1" t="s">
        <v>62</v>
      </c>
      <c r="G14" s="20">
        <v>8.33</v>
      </c>
    </row>
    <row r="15" spans="2:8" x14ac:dyDescent="0.25">
      <c r="B15" s="104" t="s">
        <v>63</v>
      </c>
      <c r="C15" s="1" t="s">
        <v>64</v>
      </c>
      <c r="D15" s="21">
        <v>8.5</v>
      </c>
      <c r="F15" s="1" t="s">
        <v>65</v>
      </c>
      <c r="G15" s="20">
        <v>1</v>
      </c>
    </row>
    <row r="16" spans="2:8" x14ac:dyDescent="0.25">
      <c r="B16" s="104"/>
      <c r="C16" s="1" t="s">
        <v>66</v>
      </c>
      <c r="D16" s="22">
        <v>4</v>
      </c>
      <c r="F16" s="1" t="s">
        <v>67</v>
      </c>
      <c r="G16" s="20">
        <v>8.33</v>
      </c>
    </row>
    <row r="17" spans="2:7" x14ac:dyDescent="0.25">
      <c r="B17" s="105" t="s">
        <v>68</v>
      </c>
      <c r="C17" s="1" t="s">
        <v>64</v>
      </c>
      <c r="D17" s="22">
        <v>12</v>
      </c>
      <c r="F17" s="1" t="s">
        <v>69</v>
      </c>
      <c r="G17" s="20">
        <v>4.17</v>
      </c>
    </row>
    <row r="18" spans="2:7" x14ac:dyDescent="0.25">
      <c r="B18" s="105"/>
      <c r="C18" s="1" t="s">
        <v>66</v>
      </c>
      <c r="D18" s="20">
        <v>14</v>
      </c>
      <c r="F18" s="1" t="s">
        <v>70</v>
      </c>
      <c r="G18" s="20">
        <v>7</v>
      </c>
    </row>
    <row r="19" spans="2:7" x14ac:dyDescent="0.25">
      <c r="B19" s="105" t="s">
        <v>71</v>
      </c>
      <c r="C19" s="1" t="s">
        <v>72</v>
      </c>
      <c r="D19" s="20">
        <v>0.52200000000000002</v>
      </c>
    </row>
    <row r="20" spans="2:7" x14ac:dyDescent="0.25">
      <c r="B20" s="105"/>
      <c r="C20" s="1" t="s">
        <v>73</v>
      </c>
      <c r="D20" s="20">
        <v>1.044</v>
      </c>
    </row>
    <row r="21" spans="2:7" x14ac:dyDescent="0.25">
      <c r="B21" s="105"/>
      <c r="C21" s="1" t="s">
        <v>74</v>
      </c>
      <c r="D21" s="20">
        <v>2.4359999999999999</v>
      </c>
    </row>
    <row r="22" spans="2:7" x14ac:dyDescent="0.25">
      <c r="B22" s="105"/>
      <c r="C22" s="1" t="s">
        <v>75</v>
      </c>
      <c r="D22" s="20">
        <v>4.3499999999999996</v>
      </c>
    </row>
    <row r="23" spans="2:7" x14ac:dyDescent="0.25">
      <c r="B23" s="105"/>
      <c r="C23" s="1" t="s">
        <v>76</v>
      </c>
      <c r="D23" s="20">
        <v>6.96</v>
      </c>
    </row>
    <row r="24" spans="2:7" x14ac:dyDescent="0.25">
      <c r="B24" s="105" t="s">
        <v>77</v>
      </c>
      <c r="C24" s="1" t="s">
        <v>78</v>
      </c>
      <c r="D24" s="20">
        <v>2</v>
      </c>
    </row>
    <row r="25" spans="2:7" x14ac:dyDescent="0.25">
      <c r="B25" s="105"/>
      <c r="C25" s="1" t="s">
        <v>79</v>
      </c>
      <c r="D25" s="20">
        <v>3</v>
      </c>
    </row>
    <row r="26" spans="2:7" x14ac:dyDescent="0.25">
      <c r="B26" s="105"/>
      <c r="C26" s="1" t="s">
        <v>80</v>
      </c>
      <c r="D26" s="20">
        <v>4</v>
      </c>
    </row>
  </sheetData>
  <mergeCells count="5">
    <mergeCell ref="B14:D14"/>
    <mergeCell ref="B15:B16"/>
    <mergeCell ref="B17:B18"/>
    <mergeCell ref="B19:B23"/>
    <mergeCell ref="B24:B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04E1-3C28-4A3F-95EC-7A7DE00274A4}">
  <dimension ref="A2:F31"/>
  <sheetViews>
    <sheetView topLeftCell="A17" workbookViewId="0">
      <selection activeCell="G14" sqref="G14"/>
    </sheetView>
  </sheetViews>
  <sheetFormatPr baseColWidth="10" defaultRowHeight="15" x14ac:dyDescent="0.25"/>
  <cols>
    <col min="2" max="2" width="19.140625" customWidth="1"/>
    <col min="4" max="4" width="14.7109375" customWidth="1"/>
    <col min="5" max="5" width="14" bestFit="1" customWidth="1"/>
    <col min="6" max="6" width="22.140625" bestFit="1" customWidth="1"/>
    <col min="7" max="7" width="18.140625" bestFit="1" customWidth="1"/>
    <col min="8" max="8" width="18.5703125" bestFit="1" customWidth="1"/>
    <col min="9" max="9" width="16.140625" bestFit="1" customWidth="1"/>
  </cols>
  <sheetData>
    <row r="2" spans="1:6" ht="15.75" x14ac:dyDescent="0.25">
      <c r="A2" s="89" t="s">
        <v>25</v>
      </c>
      <c r="B2" s="90"/>
      <c r="C2" s="90"/>
      <c r="D2" s="90"/>
    </row>
    <row r="3" spans="1:6" ht="15.75" x14ac:dyDescent="0.25">
      <c r="A3" s="107" t="s">
        <v>26</v>
      </c>
      <c r="B3" s="107"/>
      <c r="C3" s="107" t="s">
        <v>27</v>
      </c>
      <c r="D3" s="107"/>
    </row>
    <row r="4" spans="1:6" ht="15" customHeight="1" x14ac:dyDescent="0.25">
      <c r="A4" s="82" t="s">
        <v>43</v>
      </c>
      <c r="B4" s="82"/>
      <c r="C4" s="108">
        <v>65314000</v>
      </c>
      <c r="D4" s="109"/>
      <c r="E4" s="44">
        <v>65314000</v>
      </c>
    </row>
    <row r="5" spans="1:6" ht="15" customHeight="1" x14ac:dyDescent="0.25">
      <c r="A5" s="82" t="s">
        <v>15</v>
      </c>
      <c r="B5" s="82"/>
      <c r="C5" s="108">
        <v>16856900</v>
      </c>
      <c r="D5" s="109"/>
      <c r="E5" s="44">
        <v>16856900</v>
      </c>
    </row>
    <row r="6" spans="1:6" x14ac:dyDescent="0.25">
      <c r="A6" s="82" t="s">
        <v>28</v>
      </c>
      <c r="B6" s="82"/>
      <c r="C6" s="78">
        <v>15000000</v>
      </c>
      <c r="D6" s="78"/>
      <c r="E6" s="35">
        <v>15000000</v>
      </c>
    </row>
    <row r="7" spans="1:6" x14ac:dyDescent="0.25">
      <c r="A7" s="82" t="s">
        <v>1</v>
      </c>
      <c r="B7" s="82"/>
      <c r="C7" s="78">
        <f>SUM(C4:D6)</f>
        <v>97170900</v>
      </c>
      <c r="D7" s="78"/>
    </row>
    <row r="8" spans="1:6" x14ac:dyDescent="0.25">
      <c r="A8" s="7"/>
      <c r="B8" s="7"/>
      <c r="C8" s="7"/>
      <c r="D8" s="7"/>
    </row>
    <row r="9" spans="1:6" ht="15.75" x14ac:dyDescent="0.25">
      <c r="A9" s="106" t="s">
        <v>34</v>
      </c>
      <c r="B9" s="106"/>
      <c r="C9" s="106"/>
      <c r="D9" s="106"/>
    </row>
    <row r="10" spans="1:6" ht="15.75" x14ac:dyDescent="0.25">
      <c r="A10" s="79" t="s">
        <v>26</v>
      </c>
      <c r="B10" s="79"/>
      <c r="C10" s="82" t="s">
        <v>29</v>
      </c>
      <c r="D10" s="82"/>
    </row>
    <row r="11" spans="1:6" ht="15.75" x14ac:dyDescent="0.25">
      <c r="A11" s="79" t="s">
        <v>30</v>
      </c>
      <c r="B11" s="79"/>
      <c r="C11" s="110">
        <v>608000</v>
      </c>
      <c r="D11" s="110"/>
    </row>
    <row r="12" spans="1:6" ht="15.75" x14ac:dyDescent="0.25">
      <c r="A12" s="79" t="s">
        <v>31</v>
      </c>
      <c r="B12" s="79"/>
      <c r="C12" s="110">
        <v>1809000</v>
      </c>
      <c r="D12" s="110"/>
    </row>
    <row r="13" spans="1:6" ht="15.75" x14ac:dyDescent="0.25">
      <c r="A13" s="79" t="s">
        <v>32</v>
      </c>
      <c r="B13" s="79"/>
      <c r="C13" s="110">
        <v>1797000</v>
      </c>
      <c r="D13" s="110"/>
    </row>
    <row r="14" spans="1:6" ht="15.75" x14ac:dyDescent="0.25">
      <c r="A14" s="79" t="s">
        <v>33</v>
      </c>
      <c r="B14" s="79"/>
      <c r="C14" s="110">
        <v>8000000</v>
      </c>
      <c r="D14" s="110"/>
    </row>
    <row r="15" spans="1:6" ht="15.75" x14ac:dyDescent="0.25">
      <c r="A15" s="77" t="s">
        <v>1</v>
      </c>
      <c r="B15" s="77"/>
      <c r="C15" s="110">
        <f>SUM(C11:D14)</f>
        <v>12214000</v>
      </c>
      <c r="D15" s="110"/>
      <c r="E15" s="61">
        <v>12214000</v>
      </c>
      <c r="F15" s="61"/>
    </row>
    <row r="16" spans="1:6" ht="15.75" x14ac:dyDescent="0.25">
      <c r="A16" s="111" t="s">
        <v>143</v>
      </c>
      <c r="B16" s="112"/>
      <c r="C16" s="113">
        <f>C15/5</f>
        <v>2442800</v>
      </c>
      <c r="D16" s="112"/>
      <c r="E16" s="61">
        <v>2442800</v>
      </c>
    </row>
    <row r="17" spans="1:6" x14ac:dyDescent="0.25">
      <c r="A17" s="7"/>
      <c r="B17" s="7"/>
      <c r="C17" s="7"/>
      <c r="D17" s="7"/>
    </row>
    <row r="18" spans="1:6" ht="15.75" x14ac:dyDescent="0.25">
      <c r="A18" s="106" t="s">
        <v>35</v>
      </c>
      <c r="B18" s="106"/>
      <c r="C18" s="106"/>
      <c r="D18" s="106"/>
    </row>
    <row r="19" spans="1:6" ht="15.75" x14ac:dyDescent="0.25">
      <c r="A19" s="79" t="s">
        <v>26</v>
      </c>
      <c r="B19" s="79"/>
      <c r="C19" s="82" t="s">
        <v>29</v>
      </c>
      <c r="D19" s="82"/>
    </row>
    <row r="20" spans="1:6" ht="15.75" x14ac:dyDescent="0.25">
      <c r="A20" s="79" t="s">
        <v>37</v>
      </c>
      <c r="B20" s="79"/>
      <c r="C20" s="78">
        <f>'Costos y productos'!C42</f>
        <v>43819429.506203011</v>
      </c>
      <c r="D20" s="78"/>
    </row>
    <row r="21" spans="1:6" ht="15.75" x14ac:dyDescent="0.25">
      <c r="A21" s="79" t="s">
        <v>38</v>
      </c>
      <c r="B21" s="79"/>
      <c r="C21" s="78">
        <f>'Costos y productos'!I77</f>
        <v>3182262.0916666663</v>
      </c>
      <c r="D21" s="78"/>
    </row>
    <row r="22" spans="1:6" ht="15.75" x14ac:dyDescent="0.25">
      <c r="A22" s="79" t="s">
        <v>39</v>
      </c>
      <c r="B22" s="79"/>
      <c r="C22" s="78">
        <f>Ingresos!D66/12</f>
        <v>275808.33333333331</v>
      </c>
      <c r="D22" s="78"/>
    </row>
    <row r="23" spans="1:6" ht="15.75" x14ac:dyDescent="0.25">
      <c r="A23" s="79" t="s">
        <v>40</v>
      </c>
      <c r="B23" s="79"/>
      <c r="C23" s="78">
        <f>'Costos y productos'!I28+'Costos y productos'!I29+'Costos y productos'!I30</f>
        <v>622528.625</v>
      </c>
      <c r="D23" s="78"/>
    </row>
    <row r="24" spans="1:6" ht="15.75" x14ac:dyDescent="0.25">
      <c r="A24" s="77" t="s">
        <v>1</v>
      </c>
      <c r="B24" s="77"/>
      <c r="C24" s="78">
        <f>SUM(C20:D23)</f>
        <v>47900028.556203015</v>
      </c>
      <c r="D24" s="78"/>
    </row>
    <row r="25" spans="1:6" x14ac:dyDescent="0.25">
      <c r="A25" s="7"/>
      <c r="B25" s="7"/>
      <c r="C25" s="7"/>
      <c r="D25" s="7"/>
    </row>
    <row r="26" spans="1:6" ht="15.75" x14ac:dyDescent="0.25">
      <c r="A26" s="106" t="s">
        <v>36</v>
      </c>
      <c r="B26" s="106"/>
      <c r="C26" s="106"/>
      <c r="D26" s="106"/>
    </row>
    <row r="27" spans="1:6" ht="15.75" x14ac:dyDescent="0.25">
      <c r="A27" s="79" t="s">
        <v>26</v>
      </c>
      <c r="B27" s="79"/>
      <c r="C27" s="82" t="s">
        <v>29</v>
      </c>
      <c r="D27" s="82"/>
    </row>
    <row r="28" spans="1:6" ht="15.75" x14ac:dyDescent="0.25">
      <c r="A28" s="79" t="s">
        <v>41</v>
      </c>
      <c r="B28" s="79"/>
      <c r="C28" s="78">
        <f>C7</f>
        <v>97170900</v>
      </c>
      <c r="D28" s="78"/>
    </row>
    <row r="29" spans="1:6" ht="15.75" x14ac:dyDescent="0.25">
      <c r="A29" s="79" t="s">
        <v>151</v>
      </c>
      <c r="B29" s="79"/>
      <c r="C29" s="78">
        <v>12214000</v>
      </c>
      <c r="D29" s="78"/>
      <c r="E29" s="44">
        <v>12214001</v>
      </c>
    </row>
    <row r="30" spans="1:6" ht="15.75" x14ac:dyDescent="0.25">
      <c r="A30" s="79" t="s">
        <v>42</v>
      </c>
      <c r="B30" s="79"/>
      <c r="C30" s="78">
        <f>C24</f>
        <v>47900028.556203015</v>
      </c>
      <c r="D30" s="78"/>
      <c r="E30" s="61">
        <v>47899036.147661157</v>
      </c>
    </row>
    <row r="31" spans="1:6" ht="15.75" x14ac:dyDescent="0.25">
      <c r="A31" s="77" t="s">
        <v>1</v>
      </c>
      <c r="B31" s="77"/>
      <c r="C31" s="78">
        <f>SUM(C28:D30)</f>
        <v>157284928.55620301</v>
      </c>
      <c r="D31" s="78"/>
      <c r="E31" s="61">
        <v>157284928.55620301</v>
      </c>
      <c r="F31" s="61"/>
    </row>
  </sheetData>
  <mergeCells count="50">
    <mergeCell ref="A16:B16"/>
    <mergeCell ref="C16:D16"/>
    <mergeCell ref="A31:B31"/>
    <mergeCell ref="C31:D31"/>
    <mergeCell ref="A26:D26"/>
    <mergeCell ref="A27:B27"/>
    <mergeCell ref="C27:D27"/>
    <mergeCell ref="A28:B28"/>
    <mergeCell ref="C28:D28"/>
    <mergeCell ref="A29:B29"/>
    <mergeCell ref="C29:D29"/>
    <mergeCell ref="A23:B23"/>
    <mergeCell ref="C23:D23"/>
    <mergeCell ref="A24:B24"/>
    <mergeCell ref="C24:D24"/>
    <mergeCell ref="A30:B30"/>
    <mergeCell ref="C30:D30"/>
    <mergeCell ref="C19:D19"/>
    <mergeCell ref="A20:B20"/>
    <mergeCell ref="C20:D20"/>
    <mergeCell ref="A22:B22"/>
    <mergeCell ref="C22:D22"/>
    <mergeCell ref="A21:B21"/>
    <mergeCell ref="C21:D21"/>
    <mergeCell ref="C10:D10"/>
    <mergeCell ref="C11:D11"/>
    <mergeCell ref="C12:D12"/>
    <mergeCell ref="C13:D13"/>
    <mergeCell ref="C14:D14"/>
    <mergeCell ref="A11:B11"/>
    <mergeCell ref="A12:B12"/>
    <mergeCell ref="A13:B13"/>
    <mergeCell ref="A14:B14"/>
    <mergeCell ref="A15:B15"/>
    <mergeCell ref="A18:D18"/>
    <mergeCell ref="A19:B19"/>
    <mergeCell ref="A9:D9"/>
    <mergeCell ref="A2:D2"/>
    <mergeCell ref="C3:D3"/>
    <mergeCell ref="A3:B3"/>
    <mergeCell ref="A4:B4"/>
    <mergeCell ref="C4:D4"/>
    <mergeCell ref="A5:B5"/>
    <mergeCell ref="A6:B6"/>
    <mergeCell ref="A7:B7"/>
    <mergeCell ref="C5:D5"/>
    <mergeCell ref="C6:D6"/>
    <mergeCell ref="C7:D7"/>
    <mergeCell ref="C15:D15"/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167C-2F98-4A52-A5E1-16E838081897}">
  <dimension ref="B2:F17"/>
  <sheetViews>
    <sheetView workbookViewId="0">
      <selection activeCell="E12" sqref="E12"/>
    </sheetView>
  </sheetViews>
  <sheetFormatPr baseColWidth="10" defaultRowHeight="15" x14ac:dyDescent="0.25"/>
  <cols>
    <col min="2" max="2" width="18.140625" bestFit="1" customWidth="1"/>
    <col min="3" max="3" width="13" bestFit="1" customWidth="1"/>
    <col min="4" max="5" width="11.5703125" bestFit="1" customWidth="1"/>
    <col min="6" max="6" width="13" bestFit="1" customWidth="1"/>
  </cols>
  <sheetData>
    <row r="2" spans="2:6" x14ac:dyDescent="0.25">
      <c r="B2" t="s">
        <v>178</v>
      </c>
      <c r="C2" s="61">
        <v>90000000</v>
      </c>
    </row>
    <row r="3" spans="2:6" x14ac:dyDescent="0.25">
      <c r="B3" t="s">
        <v>179</v>
      </c>
      <c r="C3" s="62">
        <v>0.2387</v>
      </c>
    </row>
    <row r="4" spans="2:6" x14ac:dyDescent="0.25">
      <c r="B4" t="s">
        <v>180</v>
      </c>
      <c r="C4">
        <v>5</v>
      </c>
    </row>
    <row r="5" spans="2:6" x14ac:dyDescent="0.25">
      <c r="B5" t="s">
        <v>181</v>
      </c>
      <c r="C5">
        <v>1</v>
      </c>
    </row>
    <row r="6" spans="2:6" x14ac:dyDescent="0.25">
      <c r="B6" t="s">
        <v>182</v>
      </c>
      <c r="C6">
        <f>C4*C5</f>
        <v>5</v>
      </c>
    </row>
    <row r="8" spans="2:6" x14ac:dyDescent="0.25">
      <c r="B8" t="s">
        <v>183</v>
      </c>
      <c r="C8" s="23">
        <f>-PMT(C3,C6,C2)</f>
        <v>32693725.702631824</v>
      </c>
    </row>
    <row r="10" spans="2:6" x14ac:dyDescent="0.25">
      <c r="B10" s="6" t="s">
        <v>173</v>
      </c>
      <c r="C10" s="6" t="s">
        <v>174</v>
      </c>
      <c r="D10" s="6" t="s">
        <v>175</v>
      </c>
      <c r="E10" s="6" t="s">
        <v>176</v>
      </c>
      <c r="F10" s="6" t="s">
        <v>177</v>
      </c>
    </row>
    <row r="11" spans="2:6" x14ac:dyDescent="0.25">
      <c r="B11" s="6">
        <v>0</v>
      </c>
      <c r="C11" s="6"/>
      <c r="D11" s="6"/>
      <c r="E11" s="6"/>
      <c r="F11" s="39">
        <v>90000000</v>
      </c>
    </row>
    <row r="12" spans="2:6" x14ac:dyDescent="0.25">
      <c r="B12" s="6">
        <v>1</v>
      </c>
      <c r="C12" s="63">
        <f>$C$8</f>
        <v>32693725.702631824</v>
      </c>
      <c r="D12" s="63">
        <f>F11*$C$3</f>
        <v>21483000</v>
      </c>
      <c r="E12" s="63">
        <f>C12-D12</f>
        <v>11210725.702631824</v>
      </c>
      <c r="F12" s="39">
        <f>F11-E12</f>
        <v>78789274.297368169</v>
      </c>
    </row>
    <row r="13" spans="2:6" x14ac:dyDescent="0.25">
      <c r="B13" s="6">
        <v>2</v>
      </c>
      <c r="C13" s="63">
        <f t="shared" ref="C13:C16" si="0">$C$8</f>
        <v>32693725.702631824</v>
      </c>
      <c r="D13" s="63">
        <f>F12*$C$3</f>
        <v>18806999.774781782</v>
      </c>
      <c r="E13" s="63">
        <f>C13-D13</f>
        <v>13886725.927850042</v>
      </c>
      <c r="F13" s="39">
        <f t="shared" ref="F13:F16" si="1">F12-E13</f>
        <v>64902548.369518131</v>
      </c>
    </row>
    <row r="14" spans="2:6" x14ac:dyDescent="0.25">
      <c r="B14" s="6">
        <v>3</v>
      </c>
      <c r="C14" s="63">
        <f t="shared" si="0"/>
        <v>32693725.702631824</v>
      </c>
      <c r="D14" s="63">
        <f>F13*$C$3</f>
        <v>15492238.295803977</v>
      </c>
      <c r="E14" s="63">
        <f t="shared" ref="E14:E15" si="2">C14-D14</f>
        <v>17201487.406827845</v>
      </c>
      <c r="F14" s="39">
        <f t="shared" si="1"/>
        <v>47701060.962690286</v>
      </c>
    </row>
    <row r="15" spans="2:6" x14ac:dyDescent="0.25">
      <c r="B15" s="6">
        <v>4</v>
      </c>
      <c r="C15" s="63">
        <f t="shared" si="0"/>
        <v>32693725.702631824</v>
      </c>
      <c r="D15" s="63">
        <f t="shared" ref="D15:D16" si="3">F14*$C$3</f>
        <v>11386243.251794171</v>
      </c>
      <c r="E15" s="63">
        <f t="shared" si="2"/>
        <v>21307482.450837653</v>
      </c>
      <c r="F15" s="39">
        <f t="shared" si="1"/>
        <v>26393578.511852633</v>
      </c>
    </row>
    <row r="16" spans="2:6" x14ac:dyDescent="0.25">
      <c r="B16" s="6">
        <v>5</v>
      </c>
      <c r="C16" s="63">
        <f t="shared" si="0"/>
        <v>32693725.702631824</v>
      </c>
      <c r="D16" s="63">
        <f t="shared" si="3"/>
        <v>6300147.1907792231</v>
      </c>
      <c r="E16" s="63">
        <f>C16-D16</f>
        <v>26393578.5118526</v>
      </c>
      <c r="F16" s="39">
        <f t="shared" si="1"/>
        <v>3.3527612686157227E-8</v>
      </c>
    </row>
    <row r="17" spans="2:6" x14ac:dyDescent="0.25">
      <c r="B17" s="6" t="s">
        <v>1</v>
      </c>
      <c r="C17" s="63">
        <f>SUM(C12:C16)</f>
        <v>163468628.51315913</v>
      </c>
      <c r="D17" s="63">
        <f t="shared" ref="D17" si="4">SUM(D12:D16)</f>
        <v>73468628.513159156</v>
      </c>
      <c r="E17" s="63">
        <f>SUM(E12:E16)</f>
        <v>89999999.99999997</v>
      </c>
      <c r="F17" s="6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1102-DF49-44C6-B680-3B179F9D5EC2}">
  <dimension ref="A1:P72"/>
  <sheetViews>
    <sheetView topLeftCell="A50" zoomScaleNormal="100" workbookViewId="0">
      <selection activeCell="L28" sqref="L28"/>
    </sheetView>
  </sheetViews>
  <sheetFormatPr baseColWidth="10" defaultRowHeight="15" x14ac:dyDescent="0.25"/>
  <cols>
    <col min="1" max="1" width="11.5703125" bestFit="1" customWidth="1"/>
    <col min="2" max="2" width="34.140625" bestFit="1" customWidth="1"/>
    <col min="3" max="3" width="16.5703125" bestFit="1" customWidth="1"/>
    <col min="4" max="7" width="17.7109375" bestFit="1" customWidth="1"/>
    <col min="8" max="9" width="15.5703125" bestFit="1" customWidth="1"/>
    <col min="10" max="10" width="22.42578125" bestFit="1" customWidth="1"/>
    <col min="11" max="11" width="15.5703125" bestFit="1" customWidth="1"/>
    <col min="12" max="12" width="16.5703125" bestFit="1" customWidth="1"/>
    <col min="13" max="13" width="15.5703125" bestFit="1" customWidth="1"/>
    <col min="14" max="16" width="16.7109375" bestFit="1" customWidth="1"/>
  </cols>
  <sheetData>
    <row r="1" spans="1:16" ht="15.75" x14ac:dyDescent="0.25">
      <c r="A1" s="48"/>
      <c r="B1" s="48"/>
      <c r="C1" s="48"/>
      <c r="D1" s="48"/>
      <c r="E1" s="48"/>
      <c r="F1" s="48"/>
      <c r="G1" s="48"/>
    </row>
    <row r="2" spans="1:16" ht="15.75" x14ac:dyDescent="0.25">
      <c r="A2" s="49">
        <v>66194</v>
      </c>
      <c r="B2" s="50" t="s">
        <v>152</v>
      </c>
      <c r="C2" s="50" t="s">
        <v>153</v>
      </c>
      <c r="D2" s="50" t="s">
        <v>154</v>
      </c>
      <c r="E2" s="50" t="s">
        <v>155</v>
      </c>
      <c r="F2" s="50" t="s">
        <v>156</v>
      </c>
      <c r="G2" s="48"/>
    </row>
    <row r="3" spans="1:16" ht="15.75" x14ac:dyDescent="0.25">
      <c r="A3" s="49"/>
      <c r="B3" s="51">
        <f>A2*50%*25000</f>
        <v>827425000</v>
      </c>
      <c r="C3" s="52">
        <f>($A$2*C4*25000)+B3</f>
        <v>910167500</v>
      </c>
      <c r="D3" s="52">
        <f t="shared" ref="D3:F3" si="0">($A$2*D4*25000)+C3</f>
        <v>1042555500</v>
      </c>
      <c r="E3" s="52">
        <f t="shared" si="0"/>
        <v>1241137500</v>
      </c>
      <c r="F3" s="52">
        <f t="shared" si="0"/>
        <v>1489365000</v>
      </c>
      <c r="G3" s="48"/>
      <c r="J3" s="48"/>
      <c r="K3" s="93" t="s">
        <v>211</v>
      </c>
      <c r="L3" s="93"/>
      <c r="M3" s="93"/>
      <c r="N3" s="93"/>
      <c r="O3" s="93"/>
    </row>
    <row r="4" spans="1:16" ht="15.75" x14ac:dyDescent="0.25">
      <c r="A4" s="48"/>
      <c r="B4" s="48"/>
      <c r="C4" s="53">
        <v>0.05</v>
      </c>
      <c r="D4" s="53">
        <v>0.08</v>
      </c>
      <c r="E4" s="53">
        <v>0.12</v>
      </c>
      <c r="F4" s="53">
        <v>0.15</v>
      </c>
      <c r="G4" s="48"/>
      <c r="J4" s="48"/>
      <c r="K4" s="48"/>
      <c r="L4" s="48"/>
      <c r="M4" s="48"/>
      <c r="N4" s="48"/>
      <c r="O4" s="48"/>
    </row>
    <row r="5" spans="1:16" ht="15.75" x14ac:dyDescent="0.25">
      <c r="A5" s="48"/>
      <c r="B5" s="48"/>
      <c r="C5" s="48"/>
      <c r="D5" s="48"/>
      <c r="E5" s="48"/>
      <c r="F5" s="48"/>
      <c r="G5" s="48"/>
      <c r="J5" s="42" t="s">
        <v>26</v>
      </c>
      <c r="K5" s="42" t="s">
        <v>213</v>
      </c>
      <c r="L5" s="42" t="s">
        <v>152</v>
      </c>
      <c r="M5" s="42" t="s">
        <v>153</v>
      </c>
      <c r="N5" s="42" t="s">
        <v>154</v>
      </c>
      <c r="O5" s="42" t="s">
        <v>155</v>
      </c>
      <c r="P5" s="42" t="s">
        <v>156</v>
      </c>
    </row>
    <row r="6" spans="1:16" ht="15.75" x14ac:dyDescent="0.25">
      <c r="A6" s="48"/>
      <c r="B6" s="48"/>
      <c r="C6" s="93" t="s">
        <v>209</v>
      </c>
      <c r="D6" s="93"/>
      <c r="E6" s="93"/>
      <c r="F6" s="93"/>
      <c r="G6" s="48"/>
      <c r="J6" s="41" t="s">
        <v>212</v>
      </c>
      <c r="K6" s="67">
        <f>D71</f>
        <v>47900028.556203015</v>
      </c>
      <c r="L6" s="67">
        <f t="shared" ref="L6:P6" si="1">E71</f>
        <v>51853730.681766912</v>
      </c>
      <c r="M6" s="67">
        <f t="shared" si="1"/>
        <v>96903522.257106125</v>
      </c>
      <c r="N6" s="67">
        <f t="shared" si="1"/>
        <v>205746252.33129674</v>
      </c>
      <c r="O6" s="67">
        <f t="shared" si="1"/>
        <v>406827036.77086926</v>
      </c>
      <c r="P6" s="67">
        <f t="shared" si="1"/>
        <v>717326306.25158727</v>
      </c>
    </row>
    <row r="7" spans="1:16" ht="15.75" x14ac:dyDescent="0.25">
      <c r="A7" s="48"/>
      <c r="B7" s="48"/>
      <c r="C7" s="48"/>
      <c r="D7" s="48"/>
      <c r="E7" s="48"/>
      <c r="F7" s="48"/>
      <c r="G7" s="48"/>
      <c r="J7" s="42" t="s">
        <v>214</v>
      </c>
      <c r="K7" s="70">
        <f t="shared" ref="K7:P7" si="2">SUM(K6:K6)</f>
        <v>47900028.556203015</v>
      </c>
      <c r="L7" s="70">
        <f t="shared" si="2"/>
        <v>51853730.681766912</v>
      </c>
      <c r="M7" s="70">
        <f t="shared" si="2"/>
        <v>96903522.257106125</v>
      </c>
      <c r="N7" s="70">
        <f t="shared" si="2"/>
        <v>205746252.33129674</v>
      </c>
      <c r="O7" s="70">
        <f t="shared" si="2"/>
        <v>406827036.77086926</v>
      </c>
      <c r="P7" s="70">
        <f t="shared" si="2"/>
        <v>717326306.25158727</v>
      </c>
    </row>
    <row r="8" spans="1:16" ht="15.75" x14ac:dyDescent="0.25">
      <c r="A8" s="48"/>
      <c r="B8" s="48"/>
      <c r="C8" s="54" t="s">
        <v>152</v>
      </c>
      <c r="D8" s="54" t="s">
        <v>153</v>
      </c>
      <c r="E8" s="54" t="s">
        <v>154</v>
      </c>
      <c r="F8" s="54" t="s">
        <v>155</v>
      </c>
      <c r="G8" s="54" t="s">
        <v>156</v>
      </c>
      <c r="J8" s="42" t="s">
        <v>215</v>
      </c>
      <c r="K8" s="68"/>
      <c r="L8" s="68"/>
      <c r="M8" s="68"/>
      <c r="N8" s="68"/>
      <c r="O8" s="68"/>
    </row>
    <row r="9" spans="1:16" ht="15.75" x14ac:dyDescent="0.25">
      <c r="A9" s="48"/>
      <c r="B9" s="41" t="s">
        <v>158</v>
      </c>
      <c r="C9" s="52">
        <f>B3</f>
        <v>827425000</v>
      </c>
      <c r="D9" s="52">
        <f t="shared" ref="D9:G9" si="3">C3</f>
        <v>910167500</v>
      </c>
      <c r="E9" s="52">
        <f t="shared" si="3"/>
        <v>1042555500</v>
      </c>
      <c r="F9" s="52">
        <f t="shared" si="3"/>
        <v>1241137500</v>
      </c>
      <c r="G9" s="52">
        <f t="shared" si="3"/>
        <v>1489365000</v>
      </c>
      <c r="J9" s="41" t="s">
        <v>28</v>
      </c>
      <c r="K9" s="67">
        <f>'Inversiones '!$E$6</f>
        <v>15000000</v>
      </c>
      <c r="L9" s="67">
        <f>'Inversiones '!$E$6</f>
        <v>15000000</v>
      </c>
      <c r="M9" s="67">
        <f>'Inversiones '!$E$6</f>
        <v>15000000</v>
      </c>
      <c r="N9" s="67">
        <f>'Inversiones '!$E$6</f>
        <v>15000000</v>
      </c>
      <c r="O9" s="67">
        <f>'Inversiones '!$E$6</f>
        <v>15000000</v>
      </c>
      <c r="P9" s="67">
        <f>'Inversiones '!$E$6</f>
        <v>15000000</v>
      </c>
    </row>
    <row r="10" spans="1:16" ht="15.75" x14ac:dyDescent="0.25">
      <c r="A10" s="48"/>
      <c r="B10" s="42" t="s">
        <v>159</v>
      </c>
      <c r="C10" s="46">
        <f>C9</f>
        <v>827425000</v>
      </c>
      <c r="D10" s="46">
        <f t="shared" ref="D10:G10" si="4">D9</f>
        <v>910167500</v>
      </c>
      <c r="E10" s="46">
        <f t="shared" si="4"/>
        <v>1042555500</v>
      </c>
      <c r="F10" s="46">
        <f t="shared" si="4"/>
        <v>1241137500</v>
      </c>
      <c r="G10" s="46">
        <f t="shared" si="4"/>
        <v>1489365000</v>
      </c>
      <c r="J10" s="41" t="s">
        <v>43</v>
      </c>
      <c r="K10" s="67">
        <f>'Inversiones '!$E$4</f>
        <v>65314000</v>
      </c>
      <c r="L10" s="67">
        <f>'Inversiones '!$E$4</f>
        <v>65314000</v>
      </c>
      <c r="M10" s="67">
        <f>'Inversiones '!$E$4</f>
        <v>65314000</v>
      </c>
      <c r="N10" s="67">
        <f>'Inversiones '!$E$4</f>
        <v>65314000</v>
      </c>
      <c r="O10" s="67">
        <f>'Inversiones '!$E$4</f>
        <v>65314000</v>
      </c>
      <c r="P10" s="67">
        <f>'Inversiones '!$E$4</f>
        <v>65314000</v>
      </c>
    </row>
    <row r="11" spans="1:16" ht="15.75" x14ac:dyDescent="0.25">
      <c r="A11" s="48"/>
      <c r="B11" s="55"/>
      <c r="C11" s="48"/>
      <c r="D11" s="48"/>
      <c r="E11" s="48"/>
      <c r="F11" s="48"/>
      <c r="G11" s="48"/>
      <c r="J11" s="41" t="s">
        <v>15</v>
      </c>
      <c r="K11" s="67">
        <f>'Inversiones '!$E$5</f>
        <v>16856900</v>
      </c>
      <c r="L11" s="67">
        <f>'Inversiones '!$E$5</f>
        <v>16856900</v>
      </c>
      <c r="M11" s="67">
        <f>'Inversiones '!$E$5</f>
        <v>16856900</v>
      </c>
      <c r="N11" s="67">
        <f>'Inversiones '!$E$5</f>
        <v>16856900</v>
      </c>
      <c r="O11" s="67">
        <f>'Inversiones '!$E$5</f>
        <v>16856900</v>
      </c>
      <c r="P11" s="67">
        <f>'Inversiones '!$E$5</f>
        <v>16856900</v>
      </c>
    </row>
    <row r="12" spans="1:16" ht="15.75" x14ac:dyDescent="0.25">
      <c r="A12" s="48"/>
      <c r="B12" s="41" t="s">
        <v>160</v>
      </c>
      <c r="C12" s="51">
        <f>'Costos y productos'!$K$56</f>
        <v>75458740.799999997</v>
      </c>
      <c r="D12" s="51">
        <f>'Costos y productos'!$K$56</f>
        <v>75458740.799999997</v>
      </c>
      <c r="E12" s="51">
        <f>'Costos y productos'!$K$56</f>
        <v>75458740.799999997</v>
      </c>
      <c r="F12" s="51">
        <f>'Costos y productos'!$K$56</f>
        <v>75458740.799999997</v>
      </c>
      <c r="G12" s="51">
        <f>'Costos y productos'!$K$56</f>
        <v>75458740.799999997</v>
      </c>
      <c r="J12" s="41" t="s">
        <v>128</v>
      </c>
      <c r="K12" s="66">
        <v>0</v>
      </c>
      <c r="L12" s="66">
        <f>'Costos y productos'!J49</f>
        <v>7470343.5</v>
      </c>
      <c r="M12" s="67">
        <f>$L$12*2</f>
        <v>14940687</v>
      </c>
      <c r="N12" s="67">
        <f>$L$12*3</f>
        <v>22411030.5</v>
      </c>
      <c r="O12" s="67">
        <f>$L$12*4</f>
        <v>29881374</v>
      </c>
      <c r="P12" s="67">
        <f>$L$12*5</f>
        <v>37351717.5</v>
      </c>
    </row>
    <row r="13" spans="1:16" ht="15.75" x14ac:dyDescent="0.25">
      <c r="A13" s="48"/>
      <c r="B13" s="41" t="s">
        <v>161</v>
      </c>
      <c r="C13" s="51">
        <f>'Costos y productos'!$J$38</f>
        <v>432563909.77443612</v>
      </c>
      <c r="D13" s="51">
        <f>(C13*C4)+C13</f>
        <v>454192105.2631579</v>
      </c>
      <c r="E13" s="51">
        <f t="shared" ref="E13:F13" si="5">(D13*D4)+D13</f>
        <v>490527473.68421054</v>
      </c>
      <c r="F13" s="51">
        <f t="shared" si="5"/>
        <v>549390770.52631581</v>
      </c>
      <c r="G13" s="51">
        <f>(F13*F4)+F13</f>
        <v>631799386.10526323</v>
      </c>
      <c r="J13" s="42" t="s">
        <v>216</v>
      </c>
      <c r="K13" s="70">
        <f t="shared" ref="K13:P13" si="6">K9+K10+K11-K12</f>
        <v>97170900</v>
      </c>
      <c r="L13" s="70">
        <f t="shared" si="6"/>
        <v>89700556.5</v>
      </c>
      <c r="M13" s="70">
        <f t="shared" si="6"/>
        <v>82230213</v>
      </c>
      <c r="N13" s="70">
        <f t="shared" si="6"/>
        <v>74759869.5</v>
      </c>
      <c r="O13" s="70">
        <f t="shared" si="6"/>
        <v>67289526</v>
      </c>
      <c r="P13" s="70">
        <f t="shared" si="6"/>
        <v>59819182.5</v>
      </c>
    </row>
    <row r="14" spans="1:16" ht="15.75" x14ac:dyDescent="0.25">
      <c r="A14" s="48"/>
      <c r="B14" s="41" t="s">
        <v>163</v>
      </c>
      <c r="C14" s="51">
        <f>'Costos y productos'!$J$32</f>
        <v>17810503.5</v>
      </c>
      <c r="D14" s="51">
        <f>'Costos y productos'!$J$32</f>
        <v>17810503.5</v>
      </c>
      <c r="E14" s="51">
        <f>'Costos y productos'!$J$32</f>
        <v>17810503.5</v>
      </c>
      <c r="F14" s="51">
        <f>'Costos y productos'!$J$32</f>
        <v>17810503.5</v>
      </c>
      <c r="G14" s="51">
        <f>'Costos y productos'!$J$32</f>
        <v>17810503.5</v>
      </c>
      <c r="J14" s="41" t="s">
        <v>204</v>
      </c>
      <c r="K14" s="67">
        <f>'Inversiones '!$E$15</f>
        <v>12214000</v>
      </c>
      <c r="L14" s="67">
        <f>'Inversiones '!$E$15</f>
        <v>12214000</v>
      </c>
      <c r="M14" s="67">
        <f>'Inversiones '!$E$15</f>
        <v>12214000</v>
      </c>
      <c r="N14" s="67">
        <f>'Inversiones '!$E$15</f>
        <v>12214000</v>
      </c>
      <c r="O14" s="67">
        <f>'Inversiones '!$E$15</f>
        <v>12214000</v>
      </c>
      <c r="P14" s="67">
        <f>'Inversiones '!$E$15</f>
        <v>12214000</v>
      </c>
    </row>
    <row r="15" spans="1:16" ht="15.75" x14ac:dyDescent="0.25">
      <c r="A15" s="48"/>
      <c r="B15" s="41" t="s">
        <v>170</v>
      </c>
      <c r="C15" s="51">
        <f>'Costos y productos'!J43</f>
        <v>8272128</v>
      </c>
      <c r="D15" s="51">
        <f>(C15*C4)+C15</f>
        <v>8685734.4000000004</v>
      </c>
      <c r="E15" s="51">
        <f t="shared" ref="E15:F15" si="7">(D15*D4)+D15</f>
        <v>9380593.1520000007</v>
      </c>
      <c r="F15" s="51">
        <f t="shared" si="7"/>
        <v>10506264.33024</v>
      </c>
      <c r="G15" s="51">
        <f>(F15*F4)+F15</f>
        <v>12082203.979776001</v>
      </c>
      <c r="J15" s="41" t="s">
        <v>234</v>
      </c>
      <c r="K15" s="67"/>
      <c r="L15" s="67">
        <f>'Inversiones '!$E$16</f>
        <v>2442800</v>
      </c>
      <c r="M15" s="67">
        <f>'Inversiones '!$E$16*2</f>
        <v>4885600</v>
      </c>
      <c r="N15" s="67">
        <f>L15*3</f>
        <v>7328400</v>
      </c>
      <c r="O15" s="67">
        <f>L15*4</f>
        <v>9771200</v>
      </c>
      <c r="P15" s="67">
        <f>L15*5</f>
        <v>12214000</v>
      </c>
    </row>
    <row r="16" spans="1:16" ht="15.75" x14ac:dyDescent="0.25">
      <c r="A16" s="48"/>
      <c r="B16" s="42" t="s">
        <v>162</v>
      </c>
      <c r="C16" s="59">
        <f>SUM(Ingresos!C12:C15)</f>
        <v>534105282.07443613</v>
      </c>
      <c r="D16" s="59">
        <f>SUM(Ingresos!D12:D15)</f>
        <v>556147083.96315789</v>
      </c>
      <c r="E16" s="59">
        <f>SUM(Ingresos!E12:E15)</f>
        <v>593177311.13621044</v>
      </c>
      <c r="F16" s="59">
        <f>SUM(Ingresos!F12:F15)</f>
        <v>653166279.15655577</v>
      </c>
      <c r="G16" s="59">
        <f>SUM(Ingresos!G12:G15)</f>
        <v>737150834.38503921</v>
      </c>
      <c r="J16" s="41" t="s">
        <v>235</v>
      </c>
      <c r="K16" s="67">
        <f>K14-K15</f>
        <v>12214000</v>
      </c>
      <c r="L16" s="67">
        <f>L14-L15</f>
        <v>9771200</v>
      </c>
      <c r="M16" s="67">
        <f t="shared" ref="M16" si="8">M14-M15</f>
        <v>7328400</v>
      </c>
      <c r="N16" s="67">
        <f t="shared" ref="N16" si="9">N14-N15</f>
        <v>4885600</v>
      </c>
      <c r="O16" s="67">
        <f t="shared" ref="O16" si="10">O14-O15</f>
        <v>2442800</v>
      </c>
      <c r="P16" s="67">
        <f t="shared" ref="P16" si="11">P14-P15</f>
        <v>0</v>
      </c>
    </row>
    <row r="17" spans="1:16" ht="15.75" x14ac:dyDescent="0.25">
      <c r="A17" s="48"/>
      <c r="B17" s="48"/>
      <c r="C17" s="58"/>
      <c r="D17" s="58"/>
      <c r="E17" s="58"/>
      <c r="F17" s="58"/>
      <c r="G17" s="58"/>
      <c r="J17" s="42" t="s">
        <v>217</v>
      </c>
      <c r="K17" s="70">
        <f>K7+K13+K16</f>
        <v>157284928.55620301</v>
      </c>
      <c r="L17" s="70">
        <f>L7+L13+L16</f>
        <v>151325487.18176693</v>
      </c>
      <c r="M17" s="70">
        <f t="shared" ref="M17:O17" si="12">M7+M13+M16</f>
        <v>186462135.25710613</v>
      </c>
      <c r="N17" s="70">
        <f t="shared" si="12"/>
        <v>285391721.83129674</v>
      </c>
      <c r="O17" s="70">
        <f t="shared" si="12"/>
        <v>476559362.77086926</v>
      </c>
      <c r="P17" s="70">
        <f>P7+P13+P16</f>
        <v>777145488.75158727</v>
      </c>
    </row>
    <row r="18" spans="1:16" ht="15.75" x14ac:dyDescent="0.25">
      <c r="A18" s="48"/>
      <c r="B18" s="42" t="s">
        <v>157</v>
      </c>
      <c r="C18" s="59">
        <f>C10-C16</f>
        <v>293319717.92556387</v>
      </c>
      <c r="D18" s="59">
        <f t="shared" ref="D18:G18" si="13">D10-D16</f>
        <v>354020416.03684211</v>
      </c>
      <c r="E18" s="59">
        <f t="shared" si="13"/>
        <v>449378188.86378956</v>
      </c>
      <c r="F18" s="59">
        <f t="shared" si="13"/>
        <v>587971220.84344423</v>
      </c>
      <c r="G18" s="59">
        <f t="shared" si="13"/>
        <v>752214165.61496079</v>
      </c>
      <c r="J18" s="42" t="s">
        <v>236</v>
      </c>
      <c r="K18" s="67"/>
      <c r="L18" s="67"/>
      <c r="M18" s="67">
        <f>E52</f>
        <v>21949638.88672113</v>
      </c>
      <c r="N18" s="67">
        <f t="shared" ref="N18:P18" si="14">F52</f>
        <v>56299682.693794973</v>
      </c>
      <c r="O18" s="67">
        <f t="shared" si="14"/>
        <v>105966327.35207753</v>
      </c>
      <c r="P18" s="67">
        <f t="shared" si="14"/>
        <v>164883973.14346355</v>
      </c>
    </row>
    <row r="19" spans="1:16" ht="15.75" x14ac:dyDescent="0.25">
      <c r="A19" s="48"/>
      <c r="B19" s="48"/>
      <c r="C19" s="58"/>
      <c r="D19" s="58"/>
      <c r="E19" s="58"/>
      <c r="F19" s="58"/>
      <c r="G19" s="58"/>
      <c r="J19" s="41" t="s">
        <v>237</v>
      </c>
      <c r="K19" s="67">
        <f>K18</f>
        <v>0</v>
      </c>
      <c r="L19" s="67"/>
      <c r="M19" s="67">
        <f>M18</f>
        <v>21949638.88672113</v>
      </c>
      <c r="N19" s="67">
        <f>N18</f>
        <v>56299682.693794973</v>
      </c>
      <c r="O19" s="67">
        <f>O18</f>
        <v>105966327.35207753</v>
      </c>
      <c r="P19" s="67">
        <f t="shared" ref="P19" si="15">P18</f>
        <v>164883973.14346355</v>
      </c>
    </row>
    <row r="20" spans="1:16" ht="15.75" x14ac:dyDescent="0.25">
      <c r="A20" s="48"/>
      <c r="B20" s="56" t="s">
        <v>171</v>
      </c>
      <c r="C20" s="51">
        <f>'Costos y productos'!$J$95</f>
        <v>146164075.19999999</v>
      </c>
      <c r="D20" s="51">
        <f>'Costos y productos'!$J$95</f>
        <v>146164075.19999999</v>
      </c>
      <c r="E20" s="51">
        <f>'Costos y productos'!$J$95</f>
        <v>146164075.19999999</v>
      </c>
      <c r="F20" s="51">
        <f>'Costos y productos'!$J$95</f>
        <v>146164075.19999999</v>
      </c>
      <c r="G20" s="51">
        <f>'Costos y productos'!$J$95</f>
        <v>146164075.19999999</v>
      </c>
      <c r="J20" s="41" t="s">
        <v>221</v>
      </c>
      <c r="K20" s="74">
        <v>90000000</v>
      </c>
      <c r="L20" s="74">
        <f>Financiación!F12</f>
        <v>78789274.297368169</v>
      </c>
      <c r="M20" s="74">
        <f>Financiación!F13</f>
        <v>64902548.369518131</v>
      </c>
      <c r="N20" s="74">
        <f>Financiación!F14</f>
        <v>47701060.962690286</v>
      </c>
      <c r="O20" s="74">
        <f>Financiación!F15</f>
        <v>26393578.511852633</v>
      </c>
      <c r="P20" s="74">
        <f>Financiación!F116</f>
        <v>0</v>
      </c>
    </row>
    <row r="21" spans="1:16" ht="15.75" x14ac:dyDescent="0.25">
      <c r="A21" s="48"/>
      <c r="B21" s="56" t="s">
        <v>38</v>
      </c>
      <c r="C21" s="51">
        <f>'Costos y productos'!$J$97</f>
        <v>38187145.100000001</v>
      </c>
      <c r="D21" s="51">
        <f>'Costos y productos'!$J$97</f>
        <v>38187145.100000001</v>
      </c>
      <c r="E21" s="51">
        <f>'Costos y productos'!$J$97</f>
        <v>38187145.100000001</v>
      </c>
      <c r="F21" s="51">
        <f>'Costos y productos'!$J$97</f>
        <v>38187145.100000001</v>
      </c>
      <c r="G21" s="51">
        <f>'Costos y productos'!$J$97</f>
        <v>38187145.100000001</v>
      </c>
      <c r="J21" s="71" t="s">
        <v>218</v>
      </c>
      <c r="K21" s="73">
        <f>K19+K20</f>
        <v>90000000</v>
      </c>
      <c r="L21" s="73">
        <f>L19+L20</f>
        <v>78789274.297368169</v>
      </c>
      <c r="M21" s="73">
        <f t="shared" ref="M21:P21" si="16">M19+M20</f>
        <v>86852187.256239265</v>
      </c>
      <c r="N21" s="73">
        <f t="shared" si="16"/>
        <v>104000743.65648526</v>
      </c>
      <c r="O21" s="73">
        <f t="shared" si="16"/>
        <v>132359905.86393017</v>
      </c>
      <c r="P21" s="73">
        <f t="shared" si="16"/>
        <v>164883973.14346355</v>
      </c>
    </row>
    <row r="22" spans="1:16" ht="15.75" x14ac:dyDescent="0.25">
      <c r="A22" s="48"/>
      <c r="B22" s="56" t="s">
        <v>172</v>
      </c>
      <c r="C22" s="51">
        <f>'Costos y productos'!$J$96</f>
        <v>84508272</v>
      </c>
      <c r="D22" s="51">
        <f>'Costos y productos'!$J$96</f>
        <v>84508272</v>
      </c>
      <c r="E22" s="51">
        <f>'Costos y productos'!$J$96</f>
        <v>84508272</v>
      </c>
      <c r="F22" s="51">
        <f>'Costos y productos'!$J$96</f>
        <v>84508272</v>
      </c>
      <c r="G22" s="51">
        <f>'Costos y productos'!$J$96</f>
        <v>84508272</v>
      </c>
      <c r="J22" s="47" t="s">
        <v>238</v>
      </c>
      <c r="K22" s="73">
        <f>$C$61</f>
        <v>67284928.556203008</v>
      </c>
      <c r="L22" s="73">
        <f>$C$61+1585529</f>
        <v>68870457.556203008</v>
      </c>
      <c r="M22" s="73">
        <f>$C$61-55581505</f>
        <v>11703423.556203008</v>
      </c>
      <c r="N22" s="73">
        <f>$C$61-104230863</f>
        <v>-36945934.443796992</v>
      </c>
      <c r="O22" s="73">
        <f>$C$61-127616536</f>
        <v>-60331607.443796992</v>
      </c>
      <c r="P22" s="73">
        <f>$C$61-36828290</f>
        <v>30456638.556203008</v>
      </c>
    </row>
    <row r="23" spans="1:16" ht="30" x14ac:dyDescent="0.25">
      <c r="A23" s="48"/>
      <c r="B23" s="60" t="s">
        <v>136</v>
      </c>
      <c r="C23" s="59">
        <f>SUM(C20:C22)</f>
        <v>268859492.29999995</v>
      </c>
      <c r="D23" s="59">
        <f t="shared" ref="D23:G23" si="17">SUM(D20:D22)</f>
        <v>268859492.29999995</v>
      </c>
      <c r="E23" s="59">
        <f t="shared" si="17"/>
        <v>268859492.29999995</v>
      </c>
      <c r="F23" s="59">
        <f t="shared" si="17"/>
        <v>268859492.29999995</v>
      </c>
      <c r="G23" s="59">
        <f t="shared" si="17"/>
        <v>268859492.29999995</v>
      </c>
      <c r="J23" s="76" t="s">
        <v>239</v>
      </c>
      <c r="K23" s="72"/>
      <c r="L23" s="72">
        <f>C32</f>
        <v>-216108.3433834523</v>
      </c>
      <c r="M23" s="72">
        <f t="shared" ref="M23:N23" si="18">D32</f>
        <v>40763615.075339243</v>
      </c>
      <c r="N23" s="72">
        <f t="shared" si="18"/>
        <v>104556553.57419068</v>
      </c>
      <c r="O23" s="72">
        <f t="shared" ref="O23" si="19">F32</f>
        <v>196794607.93957257</v>
      </c>
      <c r="P23" s="72">
        <f t="shared" ref="P23" si="20">G32</f>
        <v>306213092.98071808</v>
      </c>
    </row>
    <row r="24" spans="1:16" ht="30" x14ac:dyDescent="0.25">
      <c r="A24" s="48"/>
      <c r="B24" s="48"/>
      <c r="C24" s="58"/>
      <c r="E24" s="58"/>
      <c r="F24" s="58"/>
      <c r="G24" s="58"/>
      <c r="J24" s="76" t="s">
        <v>240</v>
      </c>
      <c r="K24" s="73"/>
      <c r="L24" s="73">
        <f>C34</f>
        <v>-194497.50904510706</v>
      </c>
      <c r="M24" s="73">
        <f>D34</f>
        <v>36687253.56780532</v>
      </c>
      <c r="N24" s="73">
        <f>E34</f>
        <v>94100898.216771603</v>
      </c>
      <c r="O24" s="73">
        <f>F34</f>
        <v>177115147.14561531</v>
      </c>
      <c r="P24" s="73">
        <f>G34</f>
        <v>275591783.68264627</v>
      </c>
    </row>
    <row r="25" spans="1:16" ht="15.75" x14ac:dyDescent="0.25">
      <c r="A25" s="48"/>
      <c r="B25" s="60" t="s">
        <v>164</v>
      </c>
      <c r="C25" s="59">
        <f>C18-C23</f>
        <v>24460225.62556392</v>
      </c>
      <c r="D25" s="59">
        <f>D18-D23</f>
        <v>85160923.736842155</v>
      </c>
      <c r="E25" s="59">
        <f t="shared" ref="E25:G25" si="21">E18-E23</f>
        <v>180518696.56378961</v>
      </c>
      <c r="F25" s="59">
        <f t="shared" si="21"/>
        <v>319111728.54344428</v>
      </c>
      <c r="G25" s="59">
        <f t="shared" si="21"/>
        <v>483354673.31496084</v>
      </c>
      <c r="J25" s="76" t="s">
        <v>241</v>
      </c>
      <c r="K25" s="73"/>
      <c r="L25" s="73">
        <f>D33</f>
        <v>4076361.5075339247</v>
      </c>
      <c r="M25" s="73">
        <f>E33</f>
        <v>10455655.357419068</v>
      </c>
      <c r="N25" s="73">
        <f>F33</f>
        <v>19679460.79395726</v>
      </c>
      <c r="O25" s="73">
        <f>G33</f>
        <v>30621309.298071809</v>
      </c>
      <c r="P25" s="73">
        <f>H33</f>
        <v>0</v>
      </c>
    </row>
    <row r="26" spans="1:16" ht="15.75" x14ac:dyDescent="0.25">
      <c r="A26" s="48"/>
      <c r="B26" s="56" t="s">
        <v>165</v>
      </c>
      <c r="C26" s="51">
        <f>Financiación!D12</f>
        <v>21483000</v>
      </c>
      <c r="D26" s="51">
        <f>Financiación!D13</f>
        <v>18806999.774781782</v>
      </c>
      <c r="E26" s="51">
        <f>Financiación!D14</f>
        <v>15492238.295803977</v>
      </c>
      <c r="F26" s="51">
        <f>Financiación!D15</f>
        <v>11386243.251794171</v>
      </c>
      <c r="G26" s="51">
        <f>Financiación!D16</f>
        <v>6300147.1907792231</v>
      </c>
      <c r="J26" s="71" t="s">
        <v>219</v>
      </c>
      <c r="K26" s="73">
        <f>SUM(K22:K25)</f>
        <v>67284928.556203008</v>
      </c>
      <c r="L26" s="73">
        <f>SUM(L22:L25)</f>
        <v>72536213.211308375</v>
      </c>
      <c r="M26" s="73">
        <f t="shared" ref="M26:O26" si="22">SUM(M22:M25)</f>
        <v>99609947.556766644</v>
      </c>
      <c r="N26" s="73">
        <f t="shared" si="22"/>
        <v>181390978.14112255</v>
      </c>
      <c r="O26" s="73">
        <f t="shared" si="22"/>
        <v>344199456.93946272</v>
      </c>
      <c r="P26" s="73">
        <f>SUM(P22:P25)</f>
        <v>612261515.2195673</v>
      </c>
    </row>
    <row r="27" spans="1:16" ht="15.75" x14ac:dyDescent="0.25">
      <c r="A27" s="48"/>
      <c r="B27" s="56" t="s">
        <v>166</v>
      </c>
      <c r="C27" s="51">
        <f>(C9)*4/1000</f>
        <v>3309700</v>
      </c>
      <c r="D27" s="51">
        <f t="shared" ref="D27:G27" si="23">(D9)*4/1000</f>
        <v>3640670</v>
      </c>
      <c r="E27" s="51">
        <f t="shared" si="23"/>
        <v>4170222</v>
      </c>
      <c r="F27" s="51">
        <f t="shared" si="23"/>
        <v>4964550</v>
      </c>
      <c r="G27" s="51">
        <f t="shared" si="23"/>
        <v>5957460</v>
      </c>
      <c r="J27" s="71" t="s">
        <v>220</v>
      </c>
      <c r="K27" s="75">
        <f t="shared" ref="K27:P27" si="24">K21+K26</f>
        <v>157284928.55620301</v>
      </c>
      <c r="L27" s="75">
        <f t="shared" si="24"/>
        <v>151325487.50867653</v>
      </c>
      <c r="M27" s="75">
        <f t="shared" si="24"/>
        <v>186462134.81300592</v>
      </c>
      <c r="N27" s="75">
        <f t="shared" si="24"/>
        <v>285391721.79760778</v>
      </c>
      <c r="O27" s="75">
        <f t="shared" si="24"/>
        <v>476559362.80339289</v>
      </c>
      <c r="P27" s="45">
        <f t="shared" si="24"/>
        <v>777145488.36303091</v>
      </c>
    </row>
    <row r="28" spans="1:16" ht="15.75" x14ac:dyDescent="0.25">
      <c r="A28" s="48"/>
      <c r="B28" s="60" t="s">
        <v>167</v>
      </c>
      <c r="C28" s="59">
        <f>C25-C26-C27</f>
        <v>-332474.37443608046</v>
      </c>
      <c r="D28" s="59">
        <f>D25-D26-D27</f>
        <v>62713253.962060377</v>
      </c>
      <c r="E28" s="59">
        <f t="shared" ref="E28:F28" si="25">E25-E26-E27</f>
        <v>160856236.26798564</v>
      </c>
      <c r="F28" s="59">
        <f t="shared" si="25"/>
        <v>302760935.29165012</v>
      </c>
      <c r="G28" s="59">
        <f>G25-G26-G27</f>
        <v>471097066.12418163</v>
      </c>
      <c r="J28" s="69"/>
      <c r="K28" s="32">
        <f t="shared" ref="K28:P28" si="26">K17-K27</f>
        <v>0</v>
      </c>
      <c r="L28" s="32">
        <f>ABS(L17-L27)</f>
        <v>0.32690960168838501</v>
      </c>
      <c r="M28" s="32">
        <f t="shared" si="26"/>
        <v>0.44410020112991333</v>
      </c>
      <c r="N28" s="32">
        <f t="shared" si="26"/>
        <v>3.3688962459564209E-2</v>
      </c>
      <c r="O28" s="32">
        <f>ABS(O17-O27)</f>
        <v>3.2523632049560547E-2</v>
      </c>
      <c r="P28" s="32">
        <f t="shared" si="26"/>
        <v>0.38855636119842529</v>
      </c>
    </row>
    <row r="29" spans="1:16" ht="15.75" x14ac:dyDescent="0.25">
      <c r="A29" s="48"/>
      <c r="B29" s="48"/>
      <c r="C29" s="58"/>
      <c r="D29" s="58"/>
      <c r="E29" s="58"/>
      <c r="F29" s="58"/>
      <c r="G29" s="58"/>
    </row>
    <row r="30" spans="1:16" ht="15.75" x14ac:dyDescent="0.25">
      <c r="A30" s="48"/>
      <c r="B30" s="56" t="s">
        <v>184</v>
      </c>
      <c r="C30" s="51">
        <f>C28*35%</f>
        <v>-116366.03105262815</v>
      </c>
      <c r="D30" s="51">
        <f t="shared" ref="D30:G30" si="27">D28*35%</f>
        <v>21949638.88672113</v>
      </c>
      <c r="E30" s="51">
        <f t="shared" si="27"/>
        <v>56299682.693794973</v>
      </c>
      <c r="F30" s="51">
        <f t="shared" si="27"/>
        <v>105966327.35207753</v>
      </c>
      <c r="G30" s="51">
        <f t="shared" si="27"/>
        <v>164883973.14346355</v>
      </c>
    </row>
    <row r="31" spans="1:16" ht="15.75" x14ac:dyDescent="0.25">
      <c r="A31" s="48"/>
      <c r="B31" s="48"/>
      <c r="C31" s="58"/>
      <c r="D31" s="58"/>
      <c r="E31" s="58"/>
      <c r="F31" s="58"/>
      <c r="G31" s="58"/>
    </row>
    <row r="32" spans="1:16" ht="15.75" x14ac:dyDescent="0.25">
      <c r="A32" s="48"/>
      <c r="B32" s="56" t="s">
        <v>168</v>
      </c>
      <c r="C32" s="51">
        <f>C28-C30</f>
        <v>-216108.3433834523</v>
      </c>
      <c r="D32" s="51">
        <f t="shared" ref="D32:G32" si="28">D28-D30</f>
        <v>40763615.075339243</v>
      </c>
      <c r="E32" s="51">
        <f t="shared" si="28"/>
        <v>104556553.57419068</v>
      </c>
      <c r="F32" s="51">
        <f t="shared" si="28"/>
        <v>196794607.93957257</v>
      </c>
      <c r="G32" s="51">
        <f t="shared" si="28"/>
        <v>306213092.98071808</v>
      </c>
    </row>
    <row r="33" spans="1:8" ht="15.75" x14ac:dyDescent="0.25">
      <c r="A33" s="48"/>
      <c r="B33" s="56" t="s">
        <v>185</v>
      </c>
      <c r="C33" s="57">
        <f>C32*10%</f>
        <v>-21610.83433834523</v>
      </c>
      <c r="D33" s="57">
        <f>D32*10%</f>
        <v>4076361.5075339247</v>
      </c>
      <c r="E33" s="57">
        <f t="shared" ref="E33:G33" si="29">E32*10%</f>
        <v>10455655.357419068</v>
      </c>
      <c r="F33" s="57">
        <f t="shared" si="29"/>
        <v>19679460.79395726</v>
      </c>
      <c r="G33" s="57">
        <f t="shared" si="29"/>
        <v>30621309.298071809</v>
      </c>
    </row>
    <row r="34" spans="1:8" ht="15.75" x14ac:dyDescent="0.25">
      <c r="A34" s="48"/>
      <c r="B34" s="60" t="s">
        <v>169</v>
      </c>
      <c r="C34" s="59">
        <f>C32-C33</f>
        <v>-194497.50904510706</v>
      </c>
      <c r="D34" s="59">
        <f t="shared" ref="D34:G34" si="30">D32-D33</f>
        <v>36687253.56780532</v>
      </c>
      <c r="E34" s="59">
        <f t="shared" si="30"/>
        <v>94100898.216771603</v>
      </c>
      <c r="F34" s="59">
        <f t="shared" si="30"/>
        <v>177115147.14561531</v>
      </c>
      <c r="G34" s="59">
        <f t="shared" si="30"/>
        <v>275591783.68264627</v>
      </c>
    </row>
    <row r="35" spans="1:8" ht="15.75" x14ac:dyDescent="0.25">
      <c r="A35" s="48"/>
      <c r="B35" s="48"/>
      <c r="C35" s="48"/>
      <c r="D35" s="48"/>
      <c r="E35" s="48"/>
      <c r="F35" s="48"/>
      <c r="G35" s="48"/>
    </row>
    <row r="36" spans="1:8" ht="15.75" x14ac:dyDescent="0.25">
      <c r="A36" s="48"/>
      <c r="B36" s="48"/>
      <c r="C36" s="48"/>
      <c r="D36" s="93" t="s">
        <v>210</v>
      </c>
      <c r="E36" s="93"/>
      <c r="F36" s="93"/>
      <c r="G36" s="93"/>
    </row>
    <row r="37" spans="1:8" ht="15.75" x14ac:dyDescent="0.25">
      <c r="A37" s="48"/>
      <c r="D37" s="124" t="s">
        <v>152</v>
      </c>
      <c r="E37" s="124" t="s">
        <v>153</v>
      </c>
      <c r="F37" s="124" t="s">
        <v>154</v>
      </c>
      <c r="G37" s="124" t="s">
        <v>155</v>
      </c>
      <c r="H37" s="124" t="s">
        <v>156</v>
      </c>
    </row>
    <row r="38" spans="1:8" ht="15.75" x14ac:dyDescent="0.25">
      <c r="A38" s="48"/>
      <c r="B38" s="117" t="s">
        <v>186</v>
      </c>
      <c r="C38" s="118"/>
      <c r="D38" s="32">
        <f>C9</f>
        <v>827425000</v>
      </c>
      <c r="E38" s="32">
        <f t="shared" ref="E38:H38" si="31">D9</f>
        <v>910167500</v>
      </c>
      <c r="F38" s="32">
        <f t="shared" si="31"/>
        <v>1042555500</v>
      </c>
      <c r="G38" s="32">
        <f t="shared" si="31"/>
        <v>1241137500</v>
      </c>
      <c r="H38" s="32">
        <f t="shared" si="31"/>
        <v>1489365000</v>
      </c>
    </row>
    <row r="39" spans="1:8" ht="15.75" x14ac:dyDescent="0.25">
      <c r="A39" s="48"/>
      <c r="B39" s="119" t="s">
        <v>187</v>
      </c>
      <c r="C39" s="120"/>
      <c r="D39" s="45">
        <f>C10</f>
        <v>827425000</v>
      </c>
      <c r="E39" s="45">
        <f t="shared" ref="E39:H39" si="32">D10</f>
        <v>910167500</v>
      </c>
      <c r="F39" s="45">
        <f t="shared" si="32"/>
        <v>1042555500</v>
      </c>
      <c r="G39" s="45">
        <f t="shared" si="32"/>
        <v>1241137500</v>
      </c>
      <c r="H39" s="45">
        <f t="shared" si="32"/>
        <v>1489365000</v>
      </c>
    </row>
    <row r="40" spans="1:8" ht="15.75" x14ac:dyDescent="0.25">
      <c r="A40" s="48"/>
      <c r="B40" s="123" t="s">
        <v>188</v>
      </c>
      <c r="C40" s="123"/>
      <c r="D40" s="123"/>
      <c r="E40" s="123"/>
      <c r="F40" s="123"/>
      <c r="G40" s="123"/>
      <c r="H40" s="123"/>
    </row>
    <row r="41" spans="1:8" ht="15.75" x14ac:dyDescent="0.25">
      <c r="A41" s="48"/>
      <c r="B41" s="115" t="s">
        <v>189</v>
      </c>
      <c r="C41" s="115"/>
      <c r="D41" s="32">
        <f>C13</f>
        <v>432563909.77443612</v>
      </c>
      <c r="E41" s="32">
        <f t="shared" ref="E41:H41" si="33">D13</f>
        <v>454192105.2631579</v>
      </c>
      <c r="F41" s="32">
        <f t="shared" si="33"/>
        <v>490527473.68421054</v>
      </c>
      <c r="G41" s="32">
        <f t="shared" si="33"/>
        <v>549390770.52631581</v>
      </c>
      <c r="H41" s="32">
        <f t="shared" si="33"/>
        <v>631799386.10526323</v>
      </c>
    </row>
    <row r="42" spans="1:8" ht="15.75" x14ac:dyDescent="0.25">
      <c r="A42" s="48"/>
      <c r="B42" s="121" t="s">
        <v>190</v>
      </c>
      <c r="C42" s="122"/>
      <c r="D42" s="32">
        <f>C12</f>
        <v>75458740.799999997</v>
      </c>
      <c r="E42" s="32">
        <f t="shared" ref="E42:H42" si="34">D12</f>
        <v>75458740.799999997</v>
      </c>
      <c r="F42" s="32">
        <f t="shared" si="34"/>
        <v>75458740.799999997</v>
      </c>
      <c r="G42" s="32">
        <f t="shared" si="34"/>
        <v>75458740.799999997</v>
      </c>
      <c r="H42" s="32">
        <f t="shared" si="34"/>
        <v>75458740.799999997</v>
      </c>
    </row>
    <row r="43" spans="1:8" ht="15.75" x14ac:dyDescent="0.25">
      <c r="A43" s="48"/>
      <c r="B43" s="115" t="s">
        <v>208</v>
      </c>
      <c r="C43" s="115"/>
      <c r="D43" s="32">
        <f>C14</f>
        <v>17810503.5</v>
      </c>
      <c r="E43" s="32">
        <f t="shared" ref="E43:H43" si="35">D14</f>
        <v>17810503.5</v>
      </c>
      <c r="F43" s="32">
        <f t="shared" si="35"/>
        <v>17810503.5</v>
      </c>
      <c r="G43" s="32">
        <f t="shared" si="35"/>
        <v>17810503.5</v>
      </c>
      <c r="H43" s="32">
        <f t="shared" si="35"/>
        <v>17810503.5</v>
      </c>
    </row>
    <row r="44" spans="1:8" ht="15.75" x14ac:dyDescent="0.25">
      <c r="A44" s="48"/>
      <c r="B44" s="115" t="s">
        <v>191</v>
      </c>
      <c r="C44" s="115"/>
      <c r="D44" s="35">
        <f>-'Costos y productos'!$J$28+'Costos y productos'!$J$29+'Costos y productos'!$J$30</f>
        <v>-4286176.5</v>
      </c>
      <c r="E44" s="35">
        <f>-'Costos y productos'!$J$28+'Costos y productos'!$J$29+'Costos y productos'!$J$30</f>
        <v>-4286176.5</v>
      </c>
      <c r="F44" s="35">
        <f>-'Costos y productos'!$J$28+'Costos y productos'!$J$29+'Costos y productos'!$J$30</f>
        <v>-4286176.5</v>
      </c>
      <c r="G44" s="35">
        <f>-'Costos y productos'!$J$28+'Costos y productos'!$J$29+'Costos y productos'!$J$30</f>
        <v>-4286176.5</v>
      </c>
      <c r="H44" s="35">
        <f>-'Costos y productos'!$J$28+'Costos y productos'!$J$29+'Costos y productos'!$J$30</f>
        <v>-4286176.5</v>
      </c>
    </row>
    <row r="45" spans="1:8" ht="15.75" x14ac:dyDescent="0.25">
      <c r="A45" s="48"/>
      <c r="B45" s="115" t="s">
        <v>192</v>
      </c>
      <c r="C45" s="115"/>
      <c r="D45" s="32">
        <f>C15</f>
        <v>8272128</v>
      </c>
      <c r="E45" s="32">
        <f t="shared" ref="E45:H45" si="36">D15</f>
        <v>8685734.4000000004</v>
      </c>
      <c r="F45" s="32">
        <f t="shared" si="36"/>
        <v>9380593.1520000007</v>
      </c>
      <c r="G45" s="32">
        <f t="shared" si="36"/>
        <v>10506264.33024</v>
      </c>
      <c r="H45" s="32">
        <f t="shared" si="36"/>
        <v>12082203.979776001</v>
      </c>
    </row>
    <row r="46" spans="1:8" ht="15.75" x14ac:dyDescent="0.25">
      <c r="A46" s="48"/>
      <c r="B46" s="115" t="s">
        <v>193</v>
      </c>
      <c r="C46" s="115"/>
      <c r="D46" s="32">
        <f>SUM(D41:D45)</f>
        <v>529819105.57443613</v>
      </c>
      <c r="E46" s="32">
        <f t="shared" ref="E46:H46" si="37">SUM(E41:E45)</f>
        <v>551860907.46315789</v>
      </c>
      <c r="F46" s="32">
        <f t="shared" si="37"/>
        <v>588891134.63621044</v>
      </c>
      <c r="G46" s="32">
        <f t="shared" si="37"/>
        <v>648880102.65655577</v>
      </c>
      <c r="H46" s="32">
        <f t="shared" si="37"/>
        <v>732864657.88503921</v>
      </c>
    </row>
    <row r="47" spans="1:8" ht="15.75" x14ac:dyDescent="0.25">
      <c r="A47" s="48"/>
      <c r="B47" s="116" t="s">
        <v>194</v>
      </c>
      <c r="C47" s="116"/>
      <c r="D47" s="45">
        <f>D39-D46</f>
        <v>297605894.42556387</v>
      </c>
      <c r="E47" s="45">
        <f t="shared" ref="E47:H47" si="38">E39-E46</f>
        <v>358306592.53684211</v>
      </c>
      <c r="F47" s="45">
        <f t="shared" si="38"/>
        <v>453664365.36378956</v>
      </c>
      <c r="G47" s="45">
        <f t="shared" si="38"/>
        <v>592257397.34344423</v>
      </c>
      <c r="H47" s="45">
        <f t="shared" si="38"/>
        <v>756500342.11496079</v>
      </c>
    </row>
    <row r="48" spans="1:8" ht="15.75" x14ac:dyDescent="0.25">
      <c r="A48" s="48"/>
      <c r="B48" s="114" t="s">
        <v>195</v>
      </c>
      <c r="C48" s="114"/>
      <c r="D48" s="114"/>
      <c r="E48" s="114"/>
      <c r="F48" s="114"/>
      <c r="G48" s="114"/>
      <c r="H48" s="114"/>
    </row>
    <row r="49" spans="1:8" ht="15.75" x14ac:dyDescent="0.25">
      <c r="A49" s="48"/>
      <c r="B49" s="115" t="s">
        <v>196</v>
      </c>
      <c r="C49" s="115"/>
      <c r="D49" s="32">
        <f>C21+C20</f>
        <v>184351220.29999998</v>
      </c>
      <c r="E49" s="32">
        <f t="shared" ref="E49:H49" si="39">D21+D20</f>
        <v>184351220.29999998</v>
      </c>
      <c r="F49" s="32">
        <f t="shared" si="39"/>
        <v>184351220.29999998</v>
      </c>
      <c r="G49" s="32">
        <f t="shared" si="39"/>
        <v>184351220.29999998</v>
      </c>
      <c r="H49" s="32">
        <f t="shared" si="39"/>
        <v>184351220.29999998</v>
      </c>
    </row>
    <row r="50" spans="1:8" ht="15.75" x14ac:dyDescent="0.25">
      <c r="A50" s="48"/>
      <c r="B50" s="115" t="s">
        <v>197</v>
      </c>
      <c r="C50" s="115"/>
      <c r="D50" s="35">
        <f>-Financiación!E12</f>
        <v>-11210725.702631824</v>
      </c>
      <c r="E50" s="35">
        <f>-Financiación!E13</f>
        <v>-13886725.927850042</v>
      </c>
      <c r="F50" s="35">
        <f>-Financiación!E14</f>
        <v>-17201487.406827845</v>
      </c>
      <c r="G50" s="35">
        <f>-Financiación!E15</f>
        <v>-21307482.450837653</v>
      </c>
      <c r="H50" s="35">
        <f>-Financiación!E16</f>
        <v>-26393578.5118526</v>
      </c>
    </row>
    <row r="51" spans="1:8" ht="15.75" x14ac:dyDescent="0.25">
      <c r="A51" s="48"/>
      <c r="B51" s="115" t="s">
        <v>198</v>
      </c>
      <c r="C51" s="115"/>
      <c r="D51" s="32">
        <f>C22</f>
        <v>84508272</v>
      </c>
      <c r="E51" s="32">
        <f t="shared" ref="E51:H51" si="40">D22</f>
        <v>84508272</v>
      </c>
      <c r="F51" s="32">
        <f t="shared" si="40"/>
        <v>84508272</v>
      </c>
      <c r="G51" s="32">
        <f t="shared" si="40"/>
        <v>84508272</v>
      </c>
      <c r="H51" s="32">
        <f t="shared" si="40"/>
        <v>84508272</v>
      </c>
    </row>
    <row r="52" spans="1:8" ht="15.75" x14ac:dyDescent="0.25">
      <c r="A52" s="48"/>
      <c r="B52" s="115" t="s">
        <v>199</v>
      </c>
      <c r="C52" s="115"/>
      <c r="D52" s="32"/>
      <c r="E52" s="32">
        <f t="shared" ref="E52:H52" si="41">D30</f>
        <v>21949638.88672113</v>
      </c>
      <c r="F52" s="32">
        <f t="shared" si="41"/>
        <v>56299682.693794973</v>
      </c>
      <c r="G52" s="32">
        <f t="shared" si="41"/>
        <v>105966327.35207753</v>
      </c>
      <c r="H52" s="32">
        <f t="shared" si="41"/>
        <v>164883973.14346355</v>
      </c>
    </row>
    <row r="53" spans="1:8" ht="15.75" x14ac:dyDescent="0.25">
      <c r="A53" s="48"/>
      <c r="B53" s="115" t="s">
        <v>200</v>
      </c>
      <c r="C53" s="115"/>
      <c r="D53" s="32">
        <f>SUM(D49:D52)</f>
        <v>257648766.59736815</v>
      </c>
      <c r="E53" s="32">
        <f t="shared" ref="E53:H53" si="42">SUM(E49:E52)</f>
        <v>276922405.25887108</v>
      </c>
      <c r="F53" s="32">
        <f t="shared" si="42"/>
        <v>307957687.58696711</v>
      </c>
      <c r="G53" s="32">
        <f t="shared" si="42"/>
        <v>353518337.20123988</v>
      </c>
      <c r="H53" s="32">
        <f t="shared" si="42"/>
        <v>407349886.93161094</v>
      </c>
    </row>
    <row r="54" spans="1:8" ht="15.75" x14ac:dyDescent="0.25">
      <c r="A54" s="48"/>
      <c r="B54" s="116" t="s">
        <v>201</v>
      </c>
      <c r="C54" s="116"/>
      <c r="D54" s="32">
        <f>D47-D53</f>
        <v>39957127.828195721</v>
      </c>
      <c r="E54" s="32">
        <f t="shared" ref="E54:H54" si="43">E47-E53</f>
        <v>81384187.277971029</v>
      </c>
      <c r="F54" s="32">
        <f t="shared" si="43"/>
        <v>145706677.77682245</v>
      </c>
      <c r="G54" s="32">
        <f t="shared" si="43"/>
        <v>238739060.14220434</v>
      </c>
      <c r="H54" s="32">
        <f t="shared" si="43"/>
        <v>349150455.18334985</v>
      </c>
    </row>
    <row r="55" spans="1:8" ht="15.75" x14ac:dyDescent="0.25">
      <c r="A55" s="48"/>
      <c r="B55" s="114" t="s">
        <v>202</v>
      </c>
      <c r="C55" s="114"/>
      <c r="D55" s="114"/>
      <c r="E55" s="114"/>
      <c r="F55" s="114"/>
      <c r="G55" s="114"/>
    </row>
    <row r="56" spans="1:8" ht="15.75" x14ac:dyDescent="0.25">
      <c r="A56" s="48"/>
      <c r="B56" s="56" t="s">
        <v>203</v>
      </c>
      <c r="C56" s="24" cm="1">
        <f t="array" ref="C56:D56">'Inversiones '!C28:D28</f>
        <v>97170900</v>
      </c>
      <c r="D56" s="24">
        <v>0</v>
      </c>
      <c r="E56" s="24"/>
      <c r="F56" s="24"/>
      <c r="G56" s="24"/>
      <c r="H56" s="24"/>
    </row>
    <row r="57" spans="1:8" ht="15.75" x14ac:dyDescent="0.25">
      <c r="A57" s="48"/>
      <c r="B57" s="56" t="s">
        <v>204</v>
      </c>
      <c r="C57" s="24" cm="1">
        <f t="array" ref="C57:D57">'Inversiones '!C29:D29</f>
        <v>12214000</v>
      </c>
      <c r="D57" s="24">
        <v>0</v>
      </c>
      <c r="E57" s="24"/>
      <c r="F57" s="24"/>
      <c r="G57" s="24"/>
      <c r="H57" s="24"/>
    </row>
    <row r="58" spans="1:8" ht="15.75" x14ac:dyDescent="0.25">
      <c r="A58" s="48"/>
      <c r="B58" s="56" t="s">
        <v>205</v>
      </c>
      <c r="C58" s="24" cm="1">
        <f t="array" ref="C58:D58">'Inversiones '!C30:D30</f>
        <v>47900028.556203015</v>
      </c>
      <c r="D58" s="24">
        <v>0</v>
      </c>
      <c r="E58" s="24"/>
      <c r="F58" s="24"/>
      <c r="G58" s="24"/>
      <c r="H58" s="24"/>
    </row>
    <row r="59" spans="1:8" ht="15.75" x14ac:dyDescent="0.25">
      <c r="A59" s="48"/>
      <c r="B59" s="60" t="s">
        <v>206</v>
      </c>
      <c r="C59" s="24">
        <f>SUM(C56:C58)</f>
        <v>157284928.55620301</v>
      </c>
      <c r="D59" s="24"/>
      <c r="E59" s="24"/>
      <c r="F59" s="24"/>
      <c r="G59" s="24"/>
      <c r="H59" s="24"/>
    </row>
    <row r="60" spans="1:8" ht="15.75" x14ac:dyDescent="0.25">
      <c r="A60" s="48"/>
      <c r="B60" s="60" t="s">
        <v>207</v>
      </c>
      <c r="C60" s="64">
        <f>-C59</f>
        <v>-157284928.55620301</v>
      </c>
      <c r="D60" s="65">
        <f>D54-D59</f>
        <v>39957127.828195721</v>
      </c>
      <c r="E60" s="65">
        <f t="shared" ref="E60:H60" si="44">E54-E59</f>
        <v>81384187.277971029</v>
      </c>
      <c r="F60" s="65">
        <f t="shared" si="44"/>
        <v>145706677.77682245</v>
      </c>
      <c r="G60" s="65">
        <f t="shared" si="44"/>
        <v>238739060.14220434</v>
      </c>
      <c r="H60" s="65">
        <f t="shared" si="44"/>
        <v>349150455.18334985</v>
      </c>
    </row>
    <row r="61" spans="1:8" ht="15.75" x14ac:dyDescent="0.25">
      <c r="A61" s="48"/>
      <c r="B61" s="56" t="s">
        <v>222</v>
      </c>
      <c r="C61" s="35">
        <f>'Inversiones '!E31-90000000</f>
        <v>67284928.556203008</v>
      </c>
      <c r="D61" s="1"/>
      <c r="E61" s="1"/>
      <c r="F61" s="1"/>
      <c r="G61" s="1"/>
      <c r="H61" s="1"/>
    </row>
    <row r="62" spans="1:8" ht="15.75" x14ac:dyDescent="0.25">
      <c r="A62" s="48"/>
      <c r="B62" s="56" t="s">
        <v>223</v>
      </c>
      <c r="C62" s="35">
        <f>Financiación!C2</f>
        <v>90000000</v>
      </c>
      <c r="D62" s="1"/>
      <c r="E62" s="1"/>
      <c r="F62" s="1"/>
      <c r="G62" s="1"/>
      <c r="H62" s="1"/>
    </row>
    <row r="63" spans="1:8" ht="15.75" x14ac:dyDescent="0.25">
      <c r="A63" s="48"/>
      <c r="B63" s="56" t="s">
        <v>224</v>
      </c>
      <c r="C63" s="32">
        <f>SUM(C61:C62)</f>
        <v>157284928.55620301</v>
      </c>
      <c r="D63" s="1"/>
      <c r="E63" s="1"/>
      <c r="F63" s="1"/>
      <c r="G63" s="1"/>
      <c r="H63" s="1"/>
    </row>
    <row r="64" spans="1:8" ht="15.75" x14ac:dyDescent="0.25">
      <c r="A64" s="48"/>
      <c r="B64" s="56" t="s">
        <v>225</v>
      </c>
      <c r="C64" s="1"/>
      <c r="D64" s="30">
        <f>Financiación!E12</f>
        <v>11210725.702631824</v>
      </c>
      <c r="E64" s="30">
        <f>Financiación!E13</f>
        <v>13886725.927850042</v>
      </c>
      <c r="F64" s="30">
        <f>Financiación!E14</f>
        <v>17201487.406827845</v>
      </c>
      <c r="G64" s="30">
        <f>Financiación!E15</f>
        <v>21307482.450837653</v>
      </c>
      <c r="H64" s="30">
        <f>Financiación!E16</f>
        <v>26393578.5118526</v>
      </c>
    </row>
    <row r="65" spans="1:9" ht="15.75" x14ac:dyDescent="0.25">
      <c r="A65" s="48"/>
      <c r="B65" s="56" t="s">
        <v>226</v>
      </c>
      <c r="C65" s="1"/>
      <c r="D65" s="30">
        <f>Financiación!D12</f>
        <v>21483000</v>
      </c>
      <c r="E65" s="30">
        <f>Financiación!D13</f>
        <v>18806999.774781782</v>
      </c>
      <c r="F65" s="30">
        <f>Financiación!D14</f>
        <v>15492238.295803977</v>
      </c>
      <c r="G65" s="30">
        <f>Financiación!D15</f>
        <v>11386243.251794171</v>
      </c>
      <c r="H65" s="30">
        <f>Financiación!D16</f>
        <v>6300147.1907792231</v>
      </c>
    </row>
    <row r="66" spans="1:9" ht="15.75" x14ac:dyDescent="0.25">
      <c r="A66" s="48"/>
      <c r="B66" s="56" t="s">
        <v>227</v>
      </c>
      <c r="C66" s="1"/>
      <c r="D66" s="32">
        <f>D38*4/1000</f>
        <v>3309700</v>
      </c>
      <c r="E66" s="32">
        <f t="shared" ref="E66:H66" si="45">E38*4/1000</f>
        <v>3640670</v>
      </c>
      <c r="F66" s="32">
        <f t="shared" si="45"/>
        <v>4170222</v>
      </c>
      <c r="G66" s="32">
        <f t="shared" si="45"/>
        <v>4964550</v>
      </c>
      <c r="H66" s="32">
        <f t="shared" si="45"/>
        <v>5957460</v>
      </c>
    </row>
    <row r="67" spans="1:9" x14ac:dyDescent="0.25">
      <c r="B67" s="1" t="s">
        <v>228</v>
      </c>
      <c r="C67" s="24">
        <v>0</v>
      </c>
      <c r="D67" s="30">
        <f>SUM(D64:D66)</f>
        <v>36003425.702631824</v>
      </c>
      <c r="E67" s="30">
        <f t="shared" ref="E67:H67" si="46">SUM(E64:E66)</f>
        <v>36334395.702631824</v>
      </c>
      <c r="F67" s="30">
        <f t="shared" si="46"/>
        <v>36863947.702631824</v>
      </c>
      <c r="G67" s="30">
        <f t="shared" si="46"/>
        <v>37658275.702631824</v>
      </c>
      <c r="H67" s="30">
        <f t="shared" si="46"/>
        <v>38651185.702631824</v>
      </c>
    </row>
    <row r="68" spans="1:9" x14ac:dyDescent="0.25">
      <c r="B68" s="1" t="s">
        <v>233</v>
      </c>
      <c r="C68" s="32">
        <f>C63-C67</f>
        <v>157284928.55620301</v>
      </c>
      <c r="D68" s="32">
        <f>D63-D67</f>
        <v>-36003425.702631824</v>
      </c>
      <c r="E68" s="32">
        <f t="shared" ref="E68:H68" si="47">E63-E67</f>
        <v>-36334395.702631824</v>
      </c>
      <c r="F68" s="32">
        <f t="shared" si="47"/>
        <v>-36863947.702631824</v>
      </c>
      <c r="G68" s="32">
        <f t="shared" si="47"/>
        <v>-37658275.702631824</v>
      </c>
      <c r="H68" s="32">
        <f t="shared" si="47"/>
        <v>-38651185.702631824</v>
      </c>
    </row>
    <row r="69" spans="1:9" x14ac:dyDescent="0.25">
      <c r="B69" s="1" t="s">
        <v>229</v>
      </c>
      <c r="C69" s="24">
        <v>0</v>
      </c>
      <c r="D69" s="32">
        <f>D60+D68</f>
        <v>3953702.1255638972</v>
      </c>
      <c r="E69" s="32">
        <f t="shared" ref="E69:H69" si="48">E60+E68</f>
        <v>45049791.575339206</v>
      </c>
      <c r="F69" s="32">
        <f t="shared" si="48"/>
        <v>108842730.07419062</v>
      </c>
      <c r="G69" s="32">
        <f t="shared" si="48"/>
        <v>201080784.43957251</v>
      </c>
      <c r="H69" s="32">
        <f t="shared" si="48"/>
        <v>310499269.48071802</v>
      </c>
    </row>
    <row r="70" spans="1:9" x14ac:dyDescent="0.25">
      <c r="B70" s="1" t="s">
        <v>230</v>
      </c>
      <c r="C70" s="32">
        <f>-C68</f>
        <v>-157284928.55620301</v>
      </c>
      <c r="D70" s="32">
        <f>D69</f>
        <v>3953702.1255638972</v>
      </c>
      <c r="E70" s="32">
        <f t="shared" ref="E70:H70" si="49">E69</f>
        <v>45049791.575339206</v>
      </c>
      <c r="F70" s="32">
        <f t="shared" si="49"/>
        <v>108842730.07419062</v>
      </c>
      <c r="G70" s="32">
        <f t="shared" si="49"/>
        <v>201080784.43957251</v>
      </c>
      <c r="H70" s="32">
        <f t="shared" si="49"/>
        <v>310499269.48071802</v>
      </c>
    </row>
    <row r="71" spans="1:9" x14ac:dyDescent="0.25">
      <c r="B71" s="1" t="s">
        <v>231</v>
      </c>
      <c r="C71" s="1"/>
      <c r="D71" s="32">
        <f>C58</f>
        <v>47900028.556203015</v>
      </c>
      <c r="E71" s="32">
        <f>D71+D70</f>
        <v>51853730.681766912</v>
      </c>
      <c r="F71" s="32">
        <f t="shared" ref="F71:I71" si="50">E71+E70</f>
        <v>96903522.257106125</v>
      </c>
      <c r="G71" s="32">
        <f t="shared" si="50"/>
        <v>205746252.33129674</v>
      </c>
      <c r="H71" s="32">
        <f t="shared" si="50"/>
        <v>406827036.77086926</v>
      </c>
      <c r="I71" s="32">
        <f t="shared" si="50"/>
        <v>717326306.25158727</v>
      </c>
    </row>
    <row r="72" spans="1:9" x14ac:dyDescent="0.25">
      <c r="B72" s="1" t="s">
        <v>232</v>
      </c>
      <c r="C72" s="32">
        <f>C70</f>
        <v>-157284928.55620301</v>
      </c>
      <c r="D72" s="32">
        <f>SUM(D69:D70)</f>
        <v>7907404.2511277944</v>
      </c>
      <c r="E72" s="32">
        <f t="shared" ref="E72:H72" si="51">SUM(E69:E70)</f>
        <v>90099583.150678411</v>
      </c>
      <c r="F72" s="32">
        <f t="shared" si="51"/>
        <v>217685460.14838123</v>
      </c>
      <c r="G72" s="32">
        <f t="shared" si="51"/>
        <v>402161568.87914503</v>
      </c>
      <c r="H72" s="32">
        <f t="shared" si="51"/>
        <v>620998538.96143603</v>
      </c>
    </row>
  </sheetData>
  <mergeCells count="21">
    <mergeCell ref="B39:C39"/>
    <mergeCell ref="B41:C41"/>
    <mergeCell ref="B43:C43"/>
    <mergeCell ref="B42:C42"/>
    <mergeCell ref="B40:H40"/>
    <mergeCell ref="B55:G55"/>
    <mergeCell ref="C6:F6"/>
    <mergeCell ref="D36:G36"/>
    <mergeCell ref="K3:O3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9:C49"/>
    <mergeCell ref="B48:H48"/>
    <mergeCell ref="B38:C38"/>
  </mergeCells>
  <phoneticPr fontId="7" type="noConversion"/>
  <pageMargins left="0.7" right="0.7" top="0.75" bottom="0.75" header="0.3" footer="0.3"/>
  <ignoredErrors>
    <ignoredError sqref="L28 L22 O2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2509-E6E9-49CE-9970-5F60C1586C15}">
  <dimension ref="C2:H20"/>
  <sheetViews>
    <sheetView workbookViewId="0">
      <selection activeCell="D10" sqref="D10"/>
    </sheetView>
  </sheetViews>
  <sheetFormatPr baseColWidth="10" defaultRowHeight="15" x14ac:dyDescent="0.25"/>
  <cols>
    <col min="4" max="4" width="19.28515625" bestFit="1" customWidth="1"/>
    <col min="6" max="7" width="16.7109375" bestFit="1" customWidth="1"/>
  </cols>
  <sheetData>
    <row r="2" spans="3:8" x14ac:dyDescent="0.25">
      <c r="E2" s="126" t="s">
        <v>250</v>
      </c>
      <c r="F2" s="62">
        <v>0.127</v>
      </c>
      <c r="H2" t="s">
        <v>251</v>
      </c>
    </row>
    <row r="3" spans="3:8" ht="15.75" x14ac:dyDescent="0.25">
      <c r="C3" s="41" t="s">
        <v>242</v>
      </c>
      <c r="D3" s="35">
        <f>-'Inversiones '!E31</f>
        <v>-157284928.55620301</v>
      </c>
      <c r="F3" s="62">
        <f>((1+F2)*(1+H3)-1)</f>
        <v>0.23970000000000002</v>
      </c>
      <c r="H3" s="37">
        <v>0.1</v>
      </c>
    </row>
    <row r="4" spans="3:8" ht="15.75" x14ac:dyDescent="0.25">
      <c r="C4" s="41" t="s">
        <v>243</v>
      </c>
      <c r="D4" s="24">
        <f>Ingresos!D60</f>
        <v>39957127.828195721</v>
      </c>
    </row>
    <row r="5" spans="3:8" ht="15.75" x14ac:dyDescent="0.25">
      <c r="C5" s="41" t="s">
        <v>244</v>
      </c>
      <c r="D5" s="35">
        <f>Ingresos!E60</f>
        <v>81384187.277971029</v>
      </c>
    </row>
    <row r="6" spans="3:8" ht="15.75" x14ac:dyDescent="0.25">
      <c r="C6" s="41" t="s">
        <v>245</v>
      </c>
      <c r="D6" s="35">
        <f>Ingresos!F60</f>
        <v>145706677.77682245</v>
      </c>
    </row>
    <row r="7" spans="3:8" ht="15.75" x14ac:dyDescent="0.25">
      <c r="C7" s="41" t="s">
        <v>246</v>
      </c>
      <c r="D7" s="35">
        <f>Ingresos!G60</f>
        <v>238739060.14220434</v>
      </c>
    </row>
    <row r="8" spans="3:8" ht="15.75" x14ac:dyDescent="0.25">
      <c r="C8" s="41" t="s">
        <v>247</v>
      </c>
      <c r="D8" s="35">
        <f>Ingresos!H60</f>
        <v>349150455.18334985</v>
      </c>
    </row>
    <row r="9" spans="3:8" ht="15.75" x14ac:dyDescent="0.25">
      <c r="C9" s="41" t="s">
        <v>248</v>
      </c>
      <c r="D9" s="127">
        <f>F3</f>
        <v>0.23970000000000002</v>
      </c>
      <c r="F9" s="90"/>
      <c r="G9" s="90"/>
    </row>
    <row r="10" spans="3:8" ht="15.75" x14ac:dyDescent="0.25">
      <c r="C10" s="125" t="s">
        <v>249</v>
      </c>
      <c r="D10" s="30">
        <f>NPV(D9,D4:D8)</f>
        <v>381983259.480416</v>
      </c>
      <c r="F10" s="131"/>
    </row>
    <row r="11" spans="3:8" x14ac:dyDescent="0.25">
      <c r="F11" s="31"/>
      <c r="G11" s="31"/>
    </row>
    <row r="13" spans="3:8" ht="15.75" x14ac:dyDescent="0.25">
      <c r="C13" s="128" t="s">
        <v>252</v>
      </c>
      <c r="F13" s="23"/>
    </row>
    <row r="14" spans="3:8" ht="15.75" x14ac:dyDescent="0.25">
      <c r="C14" s="41" t="s">
        <v>242</v>
      </c>
      <c r="D14" s="35">
        <v>-157284928.55620301</v>
      </c>
      <c r="F14" s="37"/>
      <c r="G14" s="37"/>
    </row>
    <row r="15" spans="3:8" ht="15.75" x14ac:dyDescent="0.25">
      <c r="C15" s="41" t="s">
        <v>243</v>
      </c>
      <c r="D15" s="24">
        <v>39957127.828195721</v>
      </c>
    </row>
    <row r="16" spans="3:8" ht="15.75" x14ac:dyDescent="0.25">
      <c r="C16" s="41" t="s">
        <v>244</v>
      </c>
      <c r="D16" s="35">
        <v>81384187.277971029</v>
      </c>
    </row>
    <row r="17" spans="3:4" ht="15.75" x14ac:dyDescent="0.25">
      <c r="C17" s="41" t="s">
        <v>245</v>
      </c>
      <c r="D17" s="35">
        <v>145706677.77682245</v>
      </c>
    </row>
    <row r="18" spans="3:4" ht="15.75" x14ac:dyDescent="0.25">
      <c r="C18" s="41" t="s">
        <v>246</v>
      </c>
      <c r="D18" s="35">
        <v>238739060.14220434</v>
      </c>
    </row>
    <row r="19" spans="3:4" ht="15.75" x14ac:dyDescent="0.25">
      <c r="C19" s="41" t="s">
        <v>247</v>
      </c>
      <c r="D19" s="35">
        <v>349150455.18334985</v>
      </c>
    </row>
    <row r="20" spans="3:4" ht="15.75" x14ac:dyDescent="0.25">
      <c r="C20" s="41" t="s">
        <v>252</v>
      </c>
      <c r="D20" s="130">
        <f>IRR(D14:D19)</f>
        <v>0.61540839127818181</v>
      </c>
    </row>
  </sheetData>
  <mergeCells count="1">
    <mergeCell ref="F9:G9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7DB1-C50B-44B8-A96C-BE538309C549}">
  <dimension ref="B3:H39"/>
  <sheetViews>
    <sheetView topLeftCell="B24" workbookViewId="0">
      <selection activeCell="F33" sqref="F33:G37"/>
    </sheetView>
  </sheetViews>
  <sheetFormatPr baseColWidth="10" defaultRowHeight="15" x14ac:dyDescent="0.25"/>
  <cols>
    <col min="3" max="4" width="16.7109375" bestFit="1" customWidth="1"/>
    <col min="6" max="6" width="15.140625" bestFit="1" customWidth="1"/>
    <col min="7" max="7" width="12.5703125" bestFit="1" customWidth="1"/>
  </cols>
  <sheetData>
    <row r="3" spans="2:8" ht="15.75" x14ac:dyDescent="0.25">
      <c r="B3" s="41" t="s">
        <v>242</v>
      </c>
      <c r="C3" s="35">
        <v>-157284928.55620301</v>
      </c>
    </row>
    <row r="4" spans="2:8" ht="15.75" x14ac:dyDescent="0.25">
      <c r="B4" s="41" t="s">
        <v>243</v>
      </c>
      <c r="C4" s="24">
        <v>39957127.828195721</v>
      </c>
    </row>
    <row r="5" spans="2:8" ht="15.75" x14ac:dyDescent="0.25">
      <c r="B5" s="41" t="s">
        <v>244</v>
      </c>
      <c r="C5" s="35">
        <v>81384187.277971029</v>
      </c>
    </row>
    <row r="6" spans="2:8" ht="15.75" x14ac:dyDescent="0.25">
      <c r="B6" s="41" t="s">
        <v>245</v>
      </c>
      <c r="C6" s="35">
        <v>145706677.77682245</v>
      </c>
    </row>
    <row r="7" spans="2:8" ht="15.75" x14ac:dyDescent="0.25">
      <c r="B7" s="41" t="s">
        <v>246</v>
      </c>
      <c r="C7" s="35">
        <v>238739060.14220434</v>
      </c>
      <c r="F7" s="1" t="s">
        <v>249</v>
      </c>
      <c r="G7" s="30">
        <f>'Evaluación financiera'!D10</f>
        <v>381983259.480416</v>
      </c>
    </row>
    <row r="8" spans="2:8" ht="15.75" x14ac:dyDescent="0.25">
      <c r="B8" s="41" t="s">
        <v>247</v>
      </c>
      <c r="C8" s="35">
        <v>349150455.18334985</v>
      </c>
      <c r="F8" s="1" t="s">
        <v>252</v>
      </c>
      <c r="G8" s="129">
        <f>'Evaluación financiera'!D20</f>
        <v>0.61540839127818181</v>
      </c>
    </row>
    <row r="9" spans="2:8" x14ac:dyDescent="0.25">
      <c r="F9" s="1" t="s">
        <v>253</v>
      </c>
      <c r="G9" s="132">
        <f>C13</f>
        <v>2.8995544826090498</v>
      </c>
      <c r="H9" t="s">
        <v>254</v>
      </c>
    </row>
    <row r="11" spans="2:8" x14ac:dyDescent="0.25">
      <c r="D11" s="131">
        <f>C4+C5</f>
        <v>121341315.10616675</v>
      </c>
    </row>
    <row r="12" spans="2:8" x14ac:dyDescent="0.25">
      <c r="B12" s="3" t="s">
        <v>253</v>
      </c>
    </row>
    <row r="13" spans="2:8" x14ac:dyDescent="0.25">
      <c r="B13" s="1">
        <f>(-C3-D11)/C4</f>
        <v>0.89955448260904958</v>
      </c>
      <c r="C13" s="132">
        <f>B13+2</f>
        <v>2.8995544826090498</v>
      </c>
      <c r="D13" s="1" t="s">
        <v>254</v>
      </c>
    </row>
    <row r="14" spans="2:8" x14ac:dyDescent="0.25">
      <c r="B14" s="1"/>
      <c r="C14" s="20">
        <f>C13*12</f>
        <v>34.794653791308598</v>
      </c>
      <c r="D14" s="1" t="s">
        <v>255</v>
      </c>
    </row>
    <row r="18" spans="2:7" x14ac:dyDescent="0.25">
      <c r="B18" t="s">
        <v>256</v>
      </c>
      <c r="D18" s="37">
        <v>0.2</v>
      </c>
      <c r="F18" s="62">
        <v>0.2397</v>
      </c>
    </row>
    <row r="19" spans="2:7" x14ac:dyDescent="0.25">
      <c r="B19" s="1" t="s">
        <v>242</v>
      </c>
      <c r="C19" s="24">
        <v>-157284928.55620301</v>
      </c>
      <c r="D19" s="24">
        <v>-157284928.55620301</v>
      </c>
    </row>
    <row r="20" spans="2:7" x14ac:dyDescent="0.25">
      <c r="B20" s="1" t="s">
        <v>243</v>
      </c>
      <c r="C20" s="24">
        <v>39957127.828195721</v>
      </c>
      <c r="D20" s="24">
        <f>(C20*$D$18)+C20</f>
        <v>47948553.393834867</v>
      </c>
      <c r="F20" s="30">
        <f>NPV(F18,D20:D24)</f>
        <v>458379911.3764993</v>
      </c>
      <c r="G20" s="1" t="s">
        <v>249</v>
      </c>
    </row>
    <row r="21" spans="2:7" x14ac:dyDescent="0.25">
      <c r="B21" s="1" t="s">
        <v>244</v>
      </c>
      <c r="C21" s="24">
        <v>81384187.277971029</v>
      </c>
      <c r="D21" s="24">
        <f t="shared" ref="D21:D24" si="0">(C21*$D$18)+C21</f>
        <v>97661024.733565241</v>
      </c>
    </row>
    <row r="22" spans="2:7" x14ac:dyDescent="0.25">
      <c r="B22" s="1" t="s">
        <v>245</v>
      </c>
      <c r="C22" s="24">
        <v>145706677.77682245</v>
      </c>
      <c r="D22" s="24">
        <f t="shared" si="0"/>
        <v>174848013.33218694</v>
      </c>
      <c r="F22" s="129">
        <f>IRR(D19:D24)</f>
        <v>0.71463006818091834</v>
      </c>
      <c r="G22" s="1" t="s">
        <v>252</v>
      </c>
    </row>
    <row r="23" spans="2:7" x14ac:dyDescent="0.25">
      <c r="B23" s="1" t="s">
        <v>246</v>
      </c>
      <c r="C23" s="24">
        <v>238739060.14220434</v>
      </c>
      <c r="D23" s="24">
        <f t="shared" si="0"/>
        <v>286486872.17064524</v>
      </c>
    </row>
    <row r="24" spans="2:7" x14ac:dyDescent="0.25">
      <c r="B24" s="1" t="s">
        <v>247</v>
      </c>
      <c r="C24" s="24">
        <v>349150455.18334985</v>
      </c>
      <c r="D24" s="24">
        <f t="shared" si="0"/>
        <v>418980546.22001982</v>
      </c>
      <c r="F24" s="132">
        <f>G26+2</f>
        <v>3.2434974488782826</v>
      </c>
      <c r="G24" s="1" t="s">
        <v>253</v>
      </c>
    </row>
    <row r="25" spans="2:7" x14ac:dyDescent="0.25">
      <c r="F25" s="126" t="s">
        <v>254</v>
      </c>
    </row>
    <row r="26" spans="2:7" x14ac:dyDescent="0.25">
      <c r="D26" s="131">
        <f>D20+D21</f>
        <v>145609578.1274001</v>
      </c>
      <c r="G26">
        <f>(-D19-D21)/D20</f>
        <v>1.2434974488782824</v>
      </c>
    </row>
    <row r="31" spans="2:7" x14ac:dyDescent="0.25">
      <c r="B31" s="90" t="s">
        <v>257</v>
      </c>
      <c r="C31" s="90"/>
      <c r="D31" s="90"/>
      <c r="E31" s="37">
        <v>-0.1</v>
      </c>
      <c r="F31" s="62">
        <v>0.2397</v>
      </c>
    </row>
    <row r="32" spans="2:7" x14ac:dyDescent="0.25">
      <c r="B32" s="1" t="s">
        <v>242</v>
      </c>
      <c r="C32" s="35">
        <v>-157284928.55620301</v>
      </c>
      <c r="D32" s="35">
        <v>-157284928.55620301</v>
      </c>
    </row>
    <row r="33" spans="2:7" x14ac:dyDescent="0.25">
      <c r="B33" s="1" t="s">
        <v>243</v>
      </c>
      <c r="C33" s="35">
        <v>39957127.828195721</v>
      </c>
      <c r="D33" s="35">
        <f>(C33*$E$31)+C33</f>
        <v>35961415.045376152</v>
      </c>
      <c r="F33" s="30">
        <f>NPV(F31,D33:D37)</f>
        <v>343784933.53237438</v>
      </c>
      <c r="G33" s="1" t="s">
        <v>249</v>
      </c>
    </row>
    <row r="34" spans="2:7" x14ac:dyDescent="0.25">
      <c r="B34" s="1" t="s">
        <v>244</v>
      </c>
      <c r="C34" s="35">
        <v>81384187.277971029</v>
      </c>
      <c r="D34" s="35">
        <f t="shared" ref="D34:D37" si="1">(C34*$E$31)+C34</f>
        <v>73245768.550173923</v>
      </c>
    </row>
    <row r="35" spans="2:7" x14ac:dyDescent="0.25">
      <c r="B35" s="1" t="s">
        <v>245</v>
      </c>
      <c r="C35" s="35">
        <v>145706677.77682245</v>
      </c>
      <c r="D35" s="35">
        <f t="shared" si="1"/>
        <v>131136009.9991402</v>
      </c>
      <c r="F35" s="129">
        <f>IRR(D32:D37)</f>
        <v>0.56217930405257333</v>
      </c>
      <c r="G35" s="1" t="s">
        <v>252</v>
      </c>
    </row>
    <row r="36" spans="2:7" x14ac:dyDescent="0.25">
      <c r="B36" s="1" t="s">
        <v>246</v>
      </c>
      <c r="C36" s="35">
        <v>238739060.14220434</v>
      </c>
      <c r="D36" s="35">
        <f t="shared" si="1"/>
        <v>214865154.1279839</v>
      </c>
    </row>
    <row r="37" spans="2:7" x14ac:dyDescent="0.25">
      <c r="B37" s="1" t="s">
        <v>247</v>
      </c>
      <c r="C37" s="35">
        <v>349150455.18334985</v>
      </c>
      <c r="D37" s="35">
        <f t="shared" si="1"/>
        <v>314235409.66501486</v>
      </c>
      <c r="F37" s="132">
        <f>G39+2</f>
        <v>4.3369258384295613</v>
      </c>
      <c r="G37" s="1" t="s">
        <v>253</v>
      </c>
    </row>
    <row r="38" spans="2:7" x14ac:dyDescent="0.25">
      <c r="F38" s="126" t="s">
        <v>254</v>
      </c>
    </row>
    <row r="39" spans="2:7" x14ac:dyDescent="0.25">
      <c r="D39" s="61">
        <f>D33+D34</f>
        <v>109207183.59555008</v>
      </c>
      <c r="G39">
        <f>(-D32-D34)/D33</f>
        <v>2.3369258384295608</v>
      </c>
    </row>
  </sheetData>
  <mergeCells count="1">
    <mergeCell ref="B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Costos y productos</vt:lpstr>
      <vt:lpstr>Estructura Salarial</vt:lpstr>
      <vt:lpstr>Inversiones </vt:lpstr>
      <vt:lpstr>Financiación</vt:lpstr>
      <vt:lpstr>Ingresos</vt:lpstr>
      <vt:lpstr>Evaluación financiera</vt:lpstr>
      <vt:lpstr>Análisis de escenarios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BAYONA</dc:creator>
  <cp:lastModifiedBy>Marisol Bayona Vega</cp:lastModifiedBy>
  <dcterms:created xsi:type="dcterms:W3CDTF">2023-09-14T19:08:49Z</dcterms:created>
  <dcterms:modified xsi:type="dcterms:W3CDTF">2023-09-18T20:42:39Z</dcterms:modified>
</cp:coreProperties>
</file>