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esis\"/>
    </mc:Choice>
  </mc:AlternateContent>
  <xr:revisionPtr revIDLastSave="0" documentId="13_ncr:1_{F07B2436-0BA6-4D17-B0A3-6273091F7934}" xr6:coauthVersionLast="46" xr6:coauthVersionMax="46" xr10:uidLastSave="{00000000-0000-0000-0000-000000000000}"/>
  <bookViews>
    <workbookView xWindow="-108" yWindow="-108" windowWidth="23256" windowHeight="12456" activeTab="9" xr2:uid="{00000000-000D-0000-FFFF-FFFF00000000}"/>
  </bookViews>
  <sheets>
    <sheet name="Contenido" sheetId="11" r:id="rId1"/>
    <sheet name="BG" sheetId="2" r:id="rId2"/>
    <sheet name="ER" sheetId="13" r:id="rId3"/>
    <sheet name="FE" sheetId="6" r:id="rId4"/>
    <sheet name="IN" sheetId="7" r:id="rId5"/>
    <sheet name="FCP" sheetId="17" r:id="rId6"/>
    <sheet name="RL" sheetId="9" r:id="rId7"/>
    <sheet name="EVA" sheetId="14" r:id="rId8"/>
    <sheet name="WACC" sheetId="15" r:id="rId9"/>
    <sheet name="Hoja1" sheetId="18" r:id="rId10"/>
  </sheets>
  <externalReferences>
    <externalReference r:id="rId11"/>
    <externalReference r:id="rId12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Activos">#REF!</definedName>
    <definedName name="Cuentas">[1]Consolidado!$E$3:$E$1048576</definedName>
    <definedName name="Cuentas_Activos">#REF!</definedName>
    <definedName name="Pal_Workbook_GUID" hidden="1">"XQ4J79DNA61JTD7V6EQGN5Z5"</definedName>
    <definedName name="Presupuesto">'[2]1'!$D$129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odas_Activos">#REF!</definedName>
    <definedName name="Valores_Activo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H11" i="15" l="1"/>
  <c r="E25" i="14" l="1"/>
  <c r="C87" i="17" l="1"/>
  <c r="D87" i="17" s="1"/>
  <c r="C91" i="17"/>
  <c r="D58" i="17"/>
  <c r="E58" i="17" s="1"/>
  <c r="F58" i="17" s="1"/>
  <c r="G58" i="17" s="1"/>
  <c r="C58" i="17"/>
  <c r="C53" i="17"/>
  <c r="C82" i="17" s="1"/>
  <c r="D82" i="17" s="1"/>
  <c r="E82" i="17" s="1"/>
  <c r="F82" i="17" s="1"/>
  <c r="G82" i="17" s="1"/>
  <c r="C45" i="17"/>
  <c r="C44" i="17"/>
  <c r="D44" i="17" s="1"/>
  <c r="D20" i="17"/>
  <c r="E20" i="17" s="1"/>
  <c r="F20" i="17" s="1"/>
  <c r="G20" i="17" s="1"/>
  <c r="C31" i="17"/>
  <c r="D31" i="17" s="1"/>
  <c r="E31" i="17" s="1"/>
  <c r="F31" i="17" s="1"/>
  <c r="G31" i="17" s="1"/>
  <c r="L31" i="17"/>
  <c r="M31" i="17"/>
  <c r="N31" i="17"/>
  <c r="K31" i="17"/>
  <c r="L26" i="17"/>
  <c r="M26" i="17"/>
  <c r="N26" i="17"/>
  <c r="K26" i="17"/>
  <c r="L25" i="17"/>
  <c r="M25" i="17"/>
  <c r="N25" i="17"/>
  <c r="K25" i="17"/>
  <c r="L23" i="17"/>
  <c r="M23" i="17"/>
  <c r="N23" i="17"/>
  <c r="L24" i="17"/>
  <c r="M24" i="17"/>
  <c r="N24" i="17"/>
  <c r="K24" i="17"/>
  <c r="L20" i="17"/>
  <c r="M20" i="17"/>
  <c r="N20" i="17"/>
  <c r="K20" i="17"/>
  <c r="K23" i="17"/>
  <c r="L17" i="17"/>
  <c r="M17" i="17"/>
  <c r="N17" i="17"/>
  <c r="K17" i="17"/>
  <c r="C35" i="17"/>
  <c r="C62" i="17" s="1"/>
  <c r="C30" i="17"/>
  <c r="C57" i="17" s="1"/>
  <c r="C86" i="17" s="1"/>
  <c r="C26" i="17"/>
  <c r="D26" i="17" s="1"/>
  <c r="E26" i="17" s="1"/>
  <c r="F26" i="17" s="1"/>
  <c r="G26" i="17" s="1"/>
  <c r="C25" i="17"/>
  <c r="D25" i="17" s="1"/>
  <c r="E25" i="17" s="1"/>
  <c r="F25" i="17" s="1"/>
  <c r="G25" i="17" s="1"/>
  <c r="C24" i="17"/>
  <c r="D24" i="17" s="1"/>
  <c r="C23" i="17"/>
  <c r="C50" i="17" s="1"/>
  <c r="C20" i="17"/>
  <c r="C47" i="17" s="1"/>
  <c r="C17" i="17"/>
  <c r="C19" i="17" s="1"/>
  <c r="D46" i="17" l="1"/>
  <c r="E44" i="17"/>
  <c r="D47" i="17"/>
  <c r="E47" i="17" s="1"/>
  <c r="F47" i="17" s="1"/>
  <c r="G47" i="17" s="1"/>
  <c r="C76" i="17"/>
  <c r="D76" i="17" s="1"/>
  <c r="E76" i="17" s="1"/>
  <c r="F76" i="17" s="1"/>
  <c r="G76" i="17" s="1"/>
  <c r="C79" i="17"/>
  <c r="D79" i="17" s="1"/>
  <c r="E79" i="17" s="1"/>
  <c r="F79" i="17" s="1"/>
  <c r="G79" i="17" s="1"/>
  <c r="D50" i="17"/>
  <c r="E50" i="17" s="1"/>
  <c r="F50" i="17" s="1"/>
  <c r="G50" i="17" s="1"/>
  <c r="C52" i="17"/>
  <c r="D17" i="17"/>
  <c r="J36" i="17"/>
  <c r="J37" i="17" s="1"/>
  <c r="C51" i="17"/>
  <c r="D53" i="17"/>
  <c r="E53" i="17" s="1"/>
  <c r="F53" i="17" s="1"/>
  <c r="G53" i="17" s="1"/>
  <c r="C73" i="17"/>
  <c r="D23" i="17"/>
  <c r="E87" i="17"/>
  <c r="F87" i="17" s="1"/>
  <c r="G87" i="17" s="1"/>
  <c r="C49" i="17"/>
  <c r="C46" i="17"/>
  <c r="C48" i="17" s="1"/>
  <c r="D22" i="17"/>
  <c r="C22" i="17"/>
  <c r="C21" i="17"/>
  <c r="C27" i="17" s="1"/>
  <c r="C29" i="17" s="1"/>
  <c r="C80" i="17" l="1"/>
  <c r="D51" i="17"/>
  <c r="D48" i="17"/>
  <c r="E24" i="17"/>
  <c r="E23" i="17"/>
  <c r="C67" i="17"/>
  <c r="J38" i="17"/>
  <c r="C96" i="17" s="1"/>
  <c r="F44" i="17"/>
  <c r="E46" i="17"/>
  <c r="E48" i="17" s="1"/>
  <c r="C81" i="17"/>
  <c r="D81" i="17" s="1"/>
  <c r="E81" i="17" s="1"/>
  <c r="F81" i="17" s="1"/>
  <c r="G81" i="17" s="1"/>
  <c r="D52" i="17"/>
  <c r="E52" i="17" s="1"/>
  <c r="F52" i="17" s="1"/>
  <c r="G52" i="17" s="1"/>
  <c r="C75" i="17"/>
  <c r="C77" i="17" s="1"/>
  <c r="D73" i="17"/>
  <c r="D19" i="17"/>
  <c r="D21" i="17" s="1"/>
  <c r="D27" i="17" s="1"/>
  <c r="D29" i="17" s="1"/>
  <c r="D30" i="17" s="1"/>
  <c r="E17" i="17"/>
  <c r="C54" i="17"/>
  <c r="C56" i="17" s="1"/>
  <c r="F17" i="17" l="1"/>
  <c r="E19" i="17"/>
  <c r="E21" i="17" s="1"/>
  <c r="E51" i="17"/>
  <c r="D49" i="17"/>
  <c r="D54" i="17" s="1"/>
  <c r="D56" i="17" s="1"/>
  <c r="D57" i="17" s="1"/>
  <c r="D86" i="17" s="1"/>
  <c r="E73" i="17"/>
  <c r="D75" i="17"/>
  <c r="D77" i="17" s="1"/>
  <c r="F23" i="17"/>
  <c r="F24" i="17"/>
  <c r="E22" i="17"/>
  <c r="D80" i="17"/>
  <c r="C78" i="17"/>
  <c r="C83" i="17" s="1"/>
  <c r="C85" i="17" s="1"/>
  <c r="G44" i="17"/>
  <c r="G46" i="17" s="1"/>
  <c r="G48" i="17" s="1"/>
  <c r="F46" i="17"/>
  <c r="F48" i="17" s="1"/>
  <c r="G24" i="17" l="1"/>
  <c r="G23" i="17"/>
  <c r="G22" i="17" s="1"/>
  <c r="F22" i="17"/>
  <c r="E80" i="17"/>
  <c r="D78" i="17"/>
  <c r="F51" i="17"/>
  <c r="E49" i="17"/>
  <c r="E54" i="17" s="1"/>
  <c r="E56" i="17" s="1"/>
  <c r="E57" i="17" s="1"/>
  <c r="E86" i="17" s="1"/>
  <c r="D83" i="17"/>
  <c r="D85" i="17" s="1"/>
  <c r="E27" i="17"/>
  <c r="E29" i="17" s="1"/>
  <c r="E30" i="17" s="1"/>
  <c r="F73" i="17"/>
  <c r="E75" i="17"/>
  <c r="E77" i="17" s="1"/>
  <c r="G17" i="17"/>
  <c r="G19" i="17" s="1"/>
  <c r="G21" i="17" s="1"/>
  <c r="G27" i="17" s="1"/>
  <c r="G29" i="17" s="1"/>
  <c r="G30" i="17" s="1"/>
  <c r="F19" i="17"/>
  <c r="F21" i="17" s="1"/>
  <c r="F27" i="17" s="1"/>
  <c r="F29" i="17" s="1"/>
  <c r="F30" i="17" s="1"/>
  <c r="F80" i="17" l="1"/>
  <c r="E78" i="17"/>
  <c r="E83" i="17" s="1"/>
  <c r="E85" i="17" s="1"/>
  <c r="G51" i="17"/>
  <c r="G49" i="17" s="1"/>
  <c r="G54" i="17" s="1"/>
  <c r="G56" i="17" s="1"/>
  <c r="G57" i="17" s="1"/>
  <c r="G86" i="17" s="1"/>
  <c r="F49" i="17"/>
  <c r="F54" i="17" s="1"/>
  <c r="F56" i="17" s="1"/>
  <c r="F57" i="17" s="1"/>
  <c r="F86" i="17" s="1"/>
  <c r="G73" i="17"/>
  <c r="G75" i="17" s="1"/>
  <c r="G77" i="17" s="1"/>
  <c r="F75" i="17"/>
  <c r="F77" i="17" s="1"/>
  <c r="G80" i="17" l="1"/>
  <c r="G78" i="17" s="1"/>
  <c r="G83" i="17" s="1"/>
  <c r="G85" i="17" s="1"/>
  <c r="F78" i="17"/>
  <c r="F83" i="17" s="1"/>
  <c r="F85" i="17" s="1"/>
  <c r="E50" i="7"/>
  <c r="F50" i="7"/>
  <c r="G50" i="7"/>
  <c r="H50" i="7"/>
  <c r="D50" i="7"/>
  <c r="E48" i="7"/>
  <c r="F48" i="7"/>
  <c r="G48" i="7"/>
  <c r="H48" i="7"/>
  <c r="D48" i="7"/>
  <c r="E47" i="7"/>
  <c r="E49" i="7" s="1"/>
  <c r="E51" i="7" s="1"/>
  <c r="F47" i="7"/>
  <c r="F49" i="7" s="1"/>
  <c r="F51" i="7" s="1"/>
  <c r="G47" i="7"/>
  <c r="H47" i="7"/>
  <c r="H49" i="7" s="1"/>
  <c r="D47" i="7"/>
  <c r="D49" i="7" s="1"/>
  <c r="H51" i="7" l="1"/>
  <c r="D51" i="7"/>
  <c r="G49" i="7"/>
  <c r="G51" i="7" s="1"/>
  <c r="F18" i="14"/>
  <c r="F16" i="14"/>
  <c r="D17" i="14" s="1"/>
  <c r="F14" i="14"/>
  <c r="F12" i="14"/>
  <c r="F10" i="14"/>
  <c r="D13" i="14" s="1"/>
  <c r="C15" i="14" s="1"/>
  <c r="E9" i="14"/>
  <c r="E7" i="14"/>
  <c r="E5" i="14"/>
  <c r="E3" i="14"/>
  <c r="B10" i="15"/>
  <c r="E21" i="14"/>
  <c r="C8" i="14" l="1"/>
  <c r="B11" i="14" s="1"/>
  <c r="H69" i="6" l="1"/>
  <c r="H66" i="6"/>
  <c r="H51" i="6"/>
  <c r="G51" i="6"/>
  <c r="E51" i="6"/>
  <c r="F51" i="6"/>
  <c r="H33" i="6"/>
  <c r="H34" i="6" s="1"/>
  <c r="G33" i="6"/>
  <c r="G34" i="6" s="1"/>
  <c r="D69" i="6"/>
  <c r="E69" i="6"/>
  <c r="E66" i="6"/>
  <c r="D66" i="6"/>
  <c r="D51" i="6"/>
  <c r="D33" i="6"/>
  <c r="D34" i="6" s="1"/>
  <c r="E33" i="6"/>
  <c r="E34" i="6" s="1"/>
  <c r="G69" i="6"/>
  <c r="G66" i="6"/>
  <c r="F69" i="6"/>
  <c r="F66" i="6"/>
  <c r="F33" i="6"/>
  <c r="F34" i="6" s="1"/>
  <c r="D20" i="9"/>
  <c r="D19" i="9"/>
  <c r="D23" i="9"/>
  <c r="D22" i="9"/>
  <c r="D21" i="9"/>
  <c r="D24" i="9"/>
  <c r="D18" i="9" l="1"/>
  <c r="D17" i="9"/>
  <c r="D16" i="9"/>
  <c r="D15" i="9"/>
  <c r="D14" i="9"/>
  <c r="F19" i="13"/>
  <c r="H26" i="13"/>
  <c r="G26" i="13"/>
  <c r="G33" i="13" s="1"/>
  <c r="G19" i="13"/>
  <c r="H19" i="13"/>
  <c r="D19" i="13"/>
  <c r="E19" i="13"/>
  <c r="G37" i="13" l="1"/>
  <c r="H41" i="7"/>
  <c r="H31" i="7"/>
  <c r="H32" i="7" s="1"/>
  <c r="H26" i="7"/>
  <c r="H52" i="7"/>
  <c r="H25" i="7"/>
  <c r="D26" i="13"/>
  <c r="D52" i="7"/>
  <c r="D25" i="7"/>
  <c r="F52" i="7"/>
  <c r="F25" i="7"/>
  <c r="F26" i="13"/>
  <c r="G52" i="7"/>
  <c r="G25" i="7"/>
  <c r="H33" i="13"/>
  <c r="E26" i="13"/>
  <c r="E52" i="7"/>
  <c r="E25" i="7"/>
  <c r="G41" i="7"/>
  <c r="G31" i="7"/>
  <c r="G32" i="7" s="1"/>
  <c r="G26" i="7"/>
  <c r="H37" i="13" l="1"/>
  <c r="D33" i="13"/>
  <c r="D41" i="7"/>
  <c r="D31" i="7"/>
  <c r="D32" i="7" s="1"/>
  <c r="D26" i="7"/>
  <c r="G27" i="7"/>
  <c r="F41" i="7"/>
  <c r="F26" i="7"/>
  <c r="F31" i="7"/>
  <c r="F32" i="7" s="1"/>
  <c r="F33" i="13"/>
  <c r="E33" i="13"/>
  <c r="E37" i="13" s="1"/>
  <c r="E27" i="7" s="1"/>
  <c r="E41" i="7"/>
  <c r="E26" i="7"/>
  <c r="E31" i="7"/>
  <c r="E32" i="7" s="1"/>
  <c r="F79" i="2"/>
  <c r="F76" i="2"/>
  <c r="F68" i="2"/>
  <c r="F69" i="2"/>
  <c r="F56" i="2"/>
  <c r="F40" i="2"/>
  <c r="G79" i="2"/>
  <c r="H76" i="2"/>
  <c r="H79" i="2" s="1"/>
  <c r="G76" i="2"/>
  <c r="E76" i="2"/>
  <c r="E79" i="2" s="1"/>
  <c r="G68" i="2"/>
  <c r="H68" i="2"/>
  <c r="H56" i="2"/>
  <c r="G56" i="2"/>
  <c r="E40" i="2"/>
  <c r="D40" i="2"/>
  <c r="G40" i="2"/>
  <c r="H40" i="2"/>
  <c r="G25" i="2"/>
  <c r="F25" i="2"/>
  <c r="H25" i="2"/>
  <c r="D76" i="2"/>
  <c r="D79" i="2" s="1"/>
  <c r="E68" i="2"/>
  <c r="E56" i="2"/>
  <c r="D68" i="2"/>
  <c r="D56" i="2"/>
  <c r="D25" i="2"/>
  <c r="C25" i="14" l="1"/>
  <c r="H39" i="7"/>
  <c r="H55" i="7"/>
  <c r="F21" i="7"/>
  <c r="F37" i="13"/>
  <c r="D30" i="7"/>
  <c r="D17" i="7"/>
  <c r="D16" i="7"/>
  <c r="D54" i="7"/>
  <c r="G17" i="7"/>
  <c r="G16" i="7"/>
  <c r="G30" i="7"/>
  <c r="G54" i="7"/>
  <c r="G39" i="7"/>
  <c r="G55" i="7"/>
  <c r="F42" i="7"/>
  <c r="F38" i="7"/>
  <c r="D37" i="13"/>
  <c r="D21" i="7"/>
  <c r="E43" i="7"/>
  <c r="E30" i="7"/>
  <c r="E17" i="7"/>
  <c r="E16" i="7"/>
  <c r="E54" i="7"/>
  <c r="E42" i="7"/>
  <c r="G42" i="7"/>
  <c r="D43" i="7"/>
  <c r="D39" i="7"/>
  <c r="D55" i="7"/>
  <c r="G43" i="7"/>
  <c r="G37" i="7"/>
  <c r="E39" i="7"/>
  <c r="E55" i="7"/>
  <c r="H27" i="7"/>
  <c r="F41" i="2"/>
  <c r="F30" i="7"/>
  <c r="F17" i="7"/>
  <c r="F16" i="7"/>
  <c r="F54" i="7"/>
  <c r="H42" i="7"/>
  <c r="F40" i="7"/>
  <c r="F36" i="7"/>
  <c r="D42" i="7"/>
  <c r="H16" i="7"/>
  <c r="H17" i="7"/>
  <c r="H30" i="7"/>
  <c r="H54" i="7"/>
  <c r="H43" i="7"/>
  <c r="F43" i="7"/>
  <c r="F37" i="7"/>
  <c r="F80" i="2"/>
  <c r="F39" i="7"/>
  <c r="F55" i="7"/>
  <c r="H41" i="2"/>
  <c r="H21" i="7" s="1"/>
  <c r="H69" i="2"/>
  <c r="H38" i="7" s="1"/>
  <c r="G69" i="2"/>
  <c r="G38" i="7" s="1"/>
  <c r="G41" i="2"/>
  <c r="E69" i="2"/>
  <c r="E38" i="7" s="1"/>
  <c r="D69" i="2"/>
  <c r="D38" i="7" s="1"/>
  <c r="E41" i="2"/>
  <c r="D41" i="2"/>
  <c r="H24" i="7" l="1"/>
  <c r="D53" i="7"/>
  <c r="D20" i="7"/>
  <c r="M32" i="17"/>
  <c r="G53" i="7"/>
  <c r="G20" i="7"/>
  <c r="G24" i="7"/>
  <c r="D37" i="7"/>
  <c r="D27" i="7"/>
  <c r="D24" i="7"/>
  <c r="G21" i="7"/>
  <c r="N32" i="17"/>
  <c r="C32" i="17"/>
  <c r="H53" i="7"/>
  <c r="H20" i="7"/>
  <c r="E80" i="2"/>
  <c r="E40" i="7"/>
  <c r="G80" i="2"/>
  <c r="G40" i="7"/>
  <c r="G36" i="7"/>
  <c r="D80" i="2"/>
  <c r="D36" i="7"/>
  <c r="D40" i="7"/>
  <c r="H80" i="2"/>
  <c r="C28" i="14" s="1"/>
  <c r="C26" i="14" s="1"/>
  <c r="H40" i="7"/>
  <c r="C22" i="14"/>
  <c r="C23" i="14" s="1"/>
  <c r="H36" i="7"/>
  <c r="H37" i="7"/>
  <c r="F53" i="7"/>
  <c r="F20" i="7"/>
  <c r="E37" i="7"/>
  <c r="F24" i="7"/>
  <c r="F27" i="7"/>
  <c r="L32" i="17"/>
  <c r="D32" i="17" s="1"/>
  <c r="K32" i="17"/>
  <c r="E53" i="7"/>
  <c r="E36" i="7"/>
  <c r="E20" i="7"/>
  <c r="E21" i="7"/>
  <c r="E24" i="7"/>
  <c r="B24" i="14" l="1"/>
  <c r="A16" i="14" s="1"/>
  <c r="B3" i="15"/>
  <c r="C59" i="17"/>
  <c r="C33" i="17"/>
  <c r="K36" i="17" s="1"/>
  <c r="E32" i="17"/>
  <c r="D33" i="17"/>
  <c r="C88" i="17" l="1"/>
  <c r="C60" i="17"/>
  <c r="B4" i="15"/>
  <c r="E18" i="15"/>
  <c r="E20" i="15" s="1"/>
  <c r="E22" i="15" s="1"/>
  <c r="D59" i="17"/>
  <c r="L36" i="17"/>
  <c r="F32" i="17"/>
  <c r="E33" i="17"/>
  <c r="M36" i="17" s="1"/>
  <c r="E59" i="17" l="1"/>
  <c r="D60" i="17"/>
  <c r="D88" i="17"/>
  <c r="C89" i="17"/>
  <c r="G32" i="17"/>
  <c r="G33" i="17" s="1"/>
  <c r="O36" i="17" s="1"/>
  <c r="F33" i="17"/>
  <c r="E88" i="17" l="1"/>
  <c r="D89" i="17"/>
  <c r="F59" i="17"/>
  <c r="E60" i="17"/>
  <c r="N36" i="17"/>
  <c r="C39" i="17" s="1"/>
  <c r="D39" i="17" s="1"/>
  <c r="C38" i="17"/>
  <c r="F60" i="17" l="1"/>
  <c r="C66" i="17" s="1"/>
  <c r="G59" i="17"/>
  <c r="G60" i="17" s="1"/>
  <c r="F88" i="17"/>
  <c r="E89" i="17"/>
  <c r="G88" i="17" l="1"/>
  <c r="G89" i="17" s="1"/>
  <c r="F89" i="17"/>
  <c r="C95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GALEANO Cardona Cristian Leandro</author>
  </authors>
  <commentList>
    <comment ref="D47" authorId="0" shapeId="0" xr:uid="{00000000-0006-0000-0400-000001000000}">
      <text>
        <r>
          <rPr>
            <b/>
            <sz val="9"/>
            <color indexed="81"/>
            <rFont val="Tahoma"/>
            <charset val="1"/>
          </rPr>
          <t xml:space="preserve">Se mide en Dias
</t>
        </r>
      </text>
    </comment>
    <comment ref="D48" authorId="0" shapeId="0" xr:uid="{00000000-0006-0000-0400-000002000000}">
      <text>
        <r>
          <rPr>
            <b/>
            <sz val="9"/>
            <color indexed="81"/>
            <rFont val="Tahoma"/>
            <charset val="1"/>
          </rPr>
          <t>Dias</t>
        </r>
      </text>
    </comment>
    <comment ref="D49" authorId="0" shapeId="0" xr:uid="{00000000-0006-0000-0400-000003000000}">
      <text>
        <r>
          <rPr>
            <b/>
            <sz val="9"/>
            <color indexed="81"/>
            <rFont val="Tahoma"/>
            <charset val="1"/>
          </rPr>
          <t>Dias</t>
        </r>
      </text>
    </comment>
  </commentList>
</comments>
</file>

<file path=xl/sharedStrings.xml><?xml version="1.0" encoding="utf-8"?>
<sst xmlns="http://schemas.openxmlformats.org/spreadsheetml/2006/main" count="423" uniqueCount="328">
  <si>
    <t>Inventarios</t>
  </si>
  <si>
    <t>Provisiones</t>
  </si>
  <si>
    <t>NOTAS</t>
  </si>
  <si>
    <t>AÑOS</t>
  </si>
  <si>
    <t>INGRESOS</t>
  </si>
  <si>
    <t>UNIVERSIDAD INDUSTRIAL DE SANTANDER</t>
  </si>
  <si>
    <t>Total</t>
  </si>
  <si>
    <t>ESTADO DE RESULTADOS</t>
  </si>
  <si>
    <t>INDICADORES</t>
  </si>
  <si>
    <t>Utilidad operativa</t>
  </si>
  <si>
    <t>AÑO</t>
  </si>
  <si>
    <t>Balance general</t>
  </si>
  <si>
    <t>Estado de resultados</t>
  </si>
  <si>
    <t>Indicadores</t>
  </si>
  <si>
    <t>Utilidad bruta</t>
  </si>
  <si>
    <t>Utilidad neta</t>
  </si>
  <si>
    <t>N°</t>
  </si>
  <si>
    <t>INGRESO</t>
  </si>
  <si>
    <t>PROYECCIONES DE INGRESOS</t>
  </si>
  <si>
    <t>REGRESIÓN LINEAL</t>
  </si>
  <si>
    <t>RESUMEN</t>
  </si>
  <si>
    <t>Flujo de caja libre y valor del negocio</t>
  </si>
  <si>
    <t>WACC</t>
  </si>
  <si>
    <t xml:space="preserve">Valor del negocio en escenario optimista: </t>
  </si>
  <si>
    <t>EVA</t>
  </si>
  <si>
    <t>CEMENTOS ARGOS SAS</t>
  </si>
  <si>
    <t>(Cifras en millones de pesos colombianos)</t>
  </si>
  <si>
    <t>Efectivo y equivalentes de efectivo</t>
  </si>
  <si>
    <t>Otros activos financieros</t>
  </si>
  <si>
    <t>ACTIVO</t>
  </si>
  <si>
    <t>Activo corriente</t>
  </si>
  <si>
    <t>Saldos a favor de impuestos</t>
  </si>
  <si>
    <t>Instrumentos financieros derivados</t>
  </si>
  <si>
    <t>Deudores comerciales y otros por cobrar, neto</t>
  </si>
  <si>
    <t>Total activo corriente</t>
  </si>
  <si>
    <t>Activo no corriente</t>
  </si>
  <si>
    <t>TOTAL ACTIVOS</t>
  </si>
  <si>
    <t>Total activo no corriente</t>
  </si>
  <si>
    <t>Deudores comerciales y otras cuentas por cobrar, neto</t>
  </si>
  <si>
    <t>Inversiones en asociadas y negocios conjuntos</t>
  </si>
  <si>
    <t>Otros activos intangibles, neto</t>
  </si>
  <si>
    <t>Activos biológicos</t>
  </si>
  <si>
    <t>Propiedad, planta y equipo, neto</t>
  </si>
  <si>
    <t>Propiedades de inversión</t>
  </si>
  <si>
    <t>Crédito mercantil, neto</t>
  </si>
  <si>
    <t>Activo por impuesto diferido</t>
  </si>
  <si>
    <t>PASIVOS</t>
  </si>
  <si>
    <t>Pasivo corriente</t>
  </si>
  <si>
    <t>Total pasivo corriente</t>
  </si>
  <si>
    <t>Obligaciones financieras</t>
  </si>
  <si>
    <t>Impuestos, gravámenes y tasas</t>
  </si>
  <si>
    <t>Pasivo por beneficios a empleados</t>
  </si>
  <si>
    <t>Bonos en circulación y acciones preferenciales</t>
  </si>
  <si>
    <t>Ingresos recibidos por anticipado y otros pasivos</t>
  </si>
  <si>
    <t>Pasivo no corriente</t>
  </si>
  <si>
    <t>Total pasivo no corriente</t>
  </si>
  <si>
    <t>TOTAL PASIVOS</t>
  </si>
  <si>
    <t>Pasivo por impuesto diferido</t>
  </si>
  <si>
    <t xml:space="preserve">Patrimonio Total </t>
  </si>
  <si>
    <t>TOTAL PASIVO Y PATRINOMIO</t>
  </si>
  <si>
    <t>Activos por derecho de uso en arrendamiento</t>
  </si>
  <si>
    <t>Pasivo por arrendamiento</t>
  </si>
  <si>
    <t>Pasivo comerciales y cuentas por pagar</t>
  </si>
  <si>
    <t xml:space="preserve">Otros pasivos financieros </t>
  </si>
  <si>
    <t>Pasivos por arrendamiento</t>
  </si>
  <si>
    <t xml:space="preserve">Pasivos comerciales y cuentas por pagar </t>
  </si>
  <si>
    <t>Capital emitido</t>
  </si>
  <si>
    <t xml:space="preserve">Acciones propias readquiridas </t>
  </si>
  <si>
    <t>Reservas</t>
  </si>
  <si>
    <t>Resultados acumulados</t>
  </si>
  <si>
    <t>Otro resultado integral</t>
  </si>
  <si>
    <t>Total patrimonio atribuible a los participaciones controladoras</t>
  </si>
  <si>
    <t>Participaciones no controladoras</t>
  </si>
  <si>
    <t>Otros activos no financieros</t>
  </si>
  <si>
    <t xml:space="preserve">                                                                       UNIVERSIDAD INDUSTRIAL DE SANTANDER</t>
  </si>
  <si>
    <t>2023 - 2028</t>
  </si>
  <si>
    <t>Erika Julieth Barrera Sánchez</t>
  </si>
  <si>
    <t>Activos mantenidos para la venta</t>
  </si>
  <si>
    <t>ESTADO DE SITUACIÓN FINANCIERA</t>
  </si>
  <si>
    <t>ENERO 1 A DICIEMBRE 31 DE 2018-2019-2020-2021-2022</t>
  </si>
  <si>
    <t>Ingresos operacionales</t>
  </si>
  <si>
    <t>Costo de ventas</t>
  </si>
  <si>
    <t>Gastos de administración</t>
  </si>
  <si>
    <t>Gastos de venta</t>
  </si>
  <si>
    <t>Otros ingresos operacionales, netos</t>
  </si>
  <si>
    <t>Deterioro de valor de activos no corrientes</t>
  </si>
  <si>
    <t>Gastos financieros, netos</t>
  </si>
  <si>
    <t>Ganancia por diferencia en cambio, neta</t>
  </si>
  <si>
    <t>Participación neta en el resultado de participadas</t>
  </si>
  <si>
    <t>Utilidad antes de impuesto sobre  la renta</t>
  </si>
  <si>
    <t>Impuesto sobre la renta</t>
  </si>
  <si>
    <t>Ingresos financieros</t>
  </si>
  <si>
    <t xml:space="preserve">Prueba ácida </t>
  </si>
  <si>
    <t>Estadísticas de la regresión</t>
  </si>
  <si>
    <t>Coeficiente de correlación múltiple</t>
  </si>
  <si>
    <t>Coeficiente de determinación R^2</t>
  </si>
  <si>
    <t>R^2  ajustado</t>
  </si>
  <si>
    <t>Error típico</t>
  </si>
  <si>
    <t>Observaciones</t>
  </si>
  <si>
    <t>ANÁLISIS DE VARIANZA</t>
  </si>
  <si>
    <t>Regresión</t>
  </si>
  <si>
    <t>Residuos</t>
  </si>
  <si>
    <t>Intercepción</t>
  </si>
  <si>
    <t>Grados de libertad</t>
  </si>
  <si>
    <t>Suma de cuadrados</t>
  </si>
  <si>
    <t>Promedio de los cuadrados</t>
  </si>
  <si>
    <t>F</t>
  </si>
  <si>
    <t>Valor crítico de F</t>
  </si>
  <si>
    <t>Coeficientes</t>
  </si>
  <si>
    <t>Estadístico t</t>
  </si>
  <si>
    <t>Probabilidad</t>
  </si>
  <si>
    <t>Inferior 95%</t>
  </si>
  <si>
    <t>Superior 95%</t>
  </si>
  <si>
    <t>Inferior 95,0%</t>
  </si>
  <si>
    <t>Superior 95,0%</t>
  </si>
  <si>
    <t>Estado de flujos de efectivo</t>
  </si>
  <si>
    <t>Proyección de ingresos por regresión lineal</t>
  </si>
  <si>
    <t>ESTADO DE FLUJOS DE EFECTIVO</t>
  </si>
  <si>
    <t>FLUJOS DE EFECTIVO DE ACTIVIDADES DE OPERACIÓN</t>
  </si>
  <si>
    <t xml:space="preserve">Utlidad neta </t>
  </si>
  <si>
    <t>Ajustes para conciliar la utilidad:</t>
  </si>
  <si>
    <t>Depreciación y amortización</t>
  </si>
  <si>
    <t>Provisiones y planes de beneficios definidos Posempleo</t>
  </si>
  <si>
    <t>Deterioro de valor de activos financieros e inventarios, neto</t>
  </si>
  <si>
    <t>(Ganancia) por diferencia en cambio</t>
  </si>
  <si>
    <t>(Ganancia) por medición a valor razonable de propiedades de inversión y otros activos</t>
  </si>
  <si>
    <t>Participación en la pérdida neta de asociadas y negocios conjuntos</t>
  </si>
  <si>
    <t>(Ganancia) pérdida por disposición de activos no corrientes y negocios</t>
  </si>
  <si>
    <t>Otros ajustes para conciliar la utilidad</t>
  </si>
  <si>
    <t>Cambios en el capital de trabajo de:</t>
  </si>
  <si>
    <t>(Incrementos) disminución en los inventarios</t>
  </si>
  <si>
    <t>(Incrementos) disminución en deudores y otras cuentas por cobrar</t>
  </si>
  <si>
    <t>Disminución en acreedores y otras cuentas por pagar</t>
  </si>
  <si>
    <t>Impuestos pagados</t>
  </si>
  <si>
    <t>Total ajustes para conciliar la utilidad</t>
  </si>
  <si>
    <t>Flujos de efectivo netos procedentes de actividades de operación</t>
  </si>
  <si>
    <t>FLUJOS DE EFECTIVO DE ACTIVIDADES DE INVERSIÓN</t>
  </si>
  <si>
    <t>Compras de propiedades, planta y equipo y propiedades de inversión</t>
  </si>
  <si>
    <t>Importes procedentes de la venta de activos financieros</t>
  </si>
  <si>
    <t>Compras de activos financieros</t>
  </si>
  <si>
    <t>Importes procedentes de la venta de propiedades, planta y equipo y de inversión</t>
  </si>
  <si>
    <t>Dividendos recibidos</t>
  </si>
  <si>
    <t>Intereses recibidos</t>
  </si>
  <si>
    <t>Importes procedentes de la pérdida de control de negocios</t>
  </si>
  <si>
    <t>Importes procedentes de la venta de participaciones en participadas</t>
  </si>
  <si>
    <t xml:space="preserve">Compras de activos intangibles </t>
  </si>
  <si>
    <t xml:space="preserve">Compras de participaciones en asociadas y negocios conjuntos </t>
  </si>
  <si>
    <t>Ventas de activos biológicos</t>
  </si>
  <si>
    <t>Ventas de activos no corrientes mantenidos para la venta</t>
  </si>
  <si>
    <t>Flujos de efectivo netos procedentes en actividades de inversión</t>
  </si>
  <si>
    <t>FLUJOS DE EFECTIVO DE ACTIVIDADES DE FINANCIACIÓN</t>
  </si>
  <si>
    <t>Dividendos pagados sobre acciones ordinarias</t>
  </si>
  <si>
    <t xml:space="preserve">Pagos de préstamos e instrumentos de deuda </t>
  </si>
  <si>
    <t xml:space="preserve">Importes procedentes de préstamos </t>
  </si>
  <si>
    <t xml:space="preserve">Intereses pagados </t>
  </si>
  <si>
    <t xml:space="preserve">Importes procedentes de emisión de bonos 
</t>
  </si>
  <si>
    <t>Pagos de pasivos por arrendamientos</t>
  </si>
  <si>
    <t>Pagos de contratos de derivados financieros</t>
  </si>
  <si>
    <t>Cobros procedentes de contratos de derivados financieros</t>
  </si>
  <si>
    <t>Dividendos pagados sobre acciones preferentes</t>
  </si>
  <si>
    <t>Pago de bonos en circulación</t>
  </si>
  <si>
    <t>Compras de participación a las participaciones no controladoras</t>
  </si>
  <si>
    <t>Otras (salidas) entradas de efectivo</t>
  </si>
  <si>
    <t>Flujos de efectivo netos (utilizados) en actividades de financiación</t>
  </si>
  <si>
    <t>(Disminución) Incremento de efectivo y equivalente al efectivo por operaciones</t>
  </si>
  <si>
    <t>Efecto de la variación en la tasa de cambio sobre el efectivo</t>
  </si>
  <si>
    <t>(Disminución) incremento neto de efectivo y equivalente al efectivo</t>
  </si>
  <si>
    <t>Ventas de activos intangibles</t>
  </si>
  <si>
    <t>Pagos derivados de contratos de derivados financieros</t>
  </si>
  <si>
    <t>Incremento de otros activos y pasivos, neto</t>
  </si>
  <si>
    <t>Liquidez:</t>
  </si>
  <si>
    <t>Razón corriente-veces</t>
  </si>
  <si>
    <t>Solvencia:</t>
  </si>
  <si>
    <t>Apalancamiento</t>
  </si>
  <si>
    <t>Apalancamiento financiero</t>
  </si>
  <si>
    <t>Rentabilidad:</t>
  </si>
  <si>
    <t>Rentabilidad neta del activo</t>
  </si>
  <si>
    <t>Margen bruto</t>
  </si>
  <si>
    <t>Margen operacional</t>
  </si>
  <si>
    <t>Margen neto</t>
  </si>
  <si>
    <t>Otros:</t>
  </si>
  <si>
    <t>Capital de trabajo</t>
  </si>
  <si>
    <t>EBITDA</t>
  </si>
  <si>
    <t>Margen EBITDA</t>
  </si>
  <si>
    <t>(UAI / Patrimonio) / (UAII / Activo total)</t>
  </si>
  <si>
    <t>Activo corriente / Pasivo corriente</t>
  </si>
  <si>
    <t>Activo corriente-inventario / Pasivo corriente</t>
  </si>
  <si>
    <t>Activo total / Patrimonio</t>
  </si>
  <si>
    <t>Utlidad neta / Activos totales</t>
  </si>
  <si>
    <t>Utilidad bruta / Ingresos operacionales</t>
  </si>
  <si>
    <t>Utilidad operacional / Ingresos operacionales</t>
  </si>
  <si>
    <t>Utilidad neta / Ingresos operacionales</t>
  </si>
  <si>
    <t>Activo corriente - Pasivo corriente</t>
  </si>
  <si>
    <t>Utilidad operativa+Depreciaciones y Amortizaciones</t>
  </si>
  <si>
    <t>EBITDA/Ventas</t>
  </si>
  <si>
    <t>ARBOL EVA</t>
  </si>
  <si>
    <t>CMV</t>
  </si>
  <si>
    <t>GASTOS</t>
  </si>
  <si>
    <t>UODI</t>
  </si>
  <si>
    <t>IMPUESTOS  OPERACIONALES</t>
  </si>
  <si>
    <t>CXC DISPONIBLE</t>
  </si>
  <si>
    <t>ROA O RAN</t>
  </si>
  <si>
    <t>INVENTARIOS</t>
  </si>
  <si>
    <t>KTNO</t>
  </si>
  <si>
    <t>CXP</t>
  </si>
  <si>
    <t>ACTIVOS OPERACIONALES o andeo</t>
  </si>
  <si>
    <t>OTROS ACTIVOS</t>
  </si>
  <si>
    <t>ACTIVOS LP</t>
  </si>
  <si>
    <t>EVA=ANDEO*(RAN-CK)</t>
  </si>
  <si>
    <t>ACTIVOS FIJOS</t>
  </si>
  <si>
    <t>COSTOS DEUDA</t>
  </si>
  <si>
    <t>DEUDA</t>
  </si>
  <si>
    <t>TMRR</t>
  </si>
  <si>
    <t>PATRIMONIO</t>
  </si>
  <si>
    <t>CAPITAL</t>
  </si>
  <si>
    <t>Composición de la empresa</t>
  </si>
  <si>
    <t>Participación Deuda (Wd)</t>
  </si>
  <si>
    <r>
      <t>Costo del Patrimonio (</t>
    </r>
    <r>
      <rPr>
        <b/>
        <i/>
        <u/>
        <sz val="11"/>
        <color theme="1"/>
        <rFont val="Calibri"/>
        <family val="2"/>
        <scheme val="minor"/>
      </rPr>
      <t>Ke o re</t>
    </r>
    <r>
      <rPr>
        <b/>
        <u/>
        <sz val="11"/>
        <color theme="1"/>
        <rFont val="Calibri"/>
        <family val="2"/>
        <scheme val="minor"/>
      </rPr>
      <t>)</t>
    </r>
  </si>
  <si>
    <t>Participación Patrimonio (We)</t>
  </si>
  <si>
    <t>Tasa Libre de Riesgo</t>
  </si>
  <si>
    <t>Premio por el Riesgo del Mercado</t>
  </si>
  <si>
    <t>Beta del sector</t>
  </si>
  <si>
    <r>
      <t>Costo Deuda (</t>
    </r>
    <r>
      <rPr>
        <b/>
        <i/>
        <u/>
        <sz val="11"/>
        <color theme="1"/>
        <rFont val="Calibri"/>
        <family val="2"/>
        <scheme val="minor"/>
      </rPr>
      <t>Kd o rd</t>
    </r>
    <r>
      <rPr>
        <b/>
        <u/>
        <sz val="11"/>
        <color theme="1"/>
        <rFont val="Calibri"/>
        <family val="2"/>
        <scheme val="minor"/>
      </rPr>
      <t>)</t>
    </r>
  </si>
  <si>
    <t>Tasa impositiva COL</t>
  </si>
  <si>
    <t xml:space="preserve">Tasa interés interbancaria </t>
  </si>
  <si>
    <t>Beta Apalancada</t>
  </si>
  <si>
    <t>Spread bancario</t>
  </si>
  <si>
    <t>Riesgo País</t>
  </si>
  <si>
    <t>Tasa de colocación prevista (Kd)</t>
  </si>
  <si>
    <t>Prima por Tamaño</t>
  </si>
  <si>
    <t>Costo del Patrimonio (Ke) en US$ Corrientes</t>
  </si>
  <si>
    <t>Costo del capital en dolares de la empresa</t>
  </si>
  <si>
    <t>COSTO DE CAPITAL (WACC) en USD</t>
  </si>
  <si>
    <t>Inflación EEUU</t>
  </si>
  <si>
    <t>Costo de Capital en Constantes</t>
  </si>
  <si>
    <t>Inflación Interna COL</t>
  </si>
  <si>
    <t>Costo del capital en pesos colombianos de la empresa</t>
  </si>
  <si>
    <t>COSTO DE CAPITAL (WACC) en pesos corrientes</t>
  </si>
  <si>
    <t>Endeudamiento</t>
  </si>
  <si>
    <t>Razón de endeudamiento</t>
  </si>
  <si>
    <t>Razón de concentración de endeudamiento a corto plazo</t>
  </si>
  <si>
    <t>Razon de concentración de endeudamiento a largo plazo</t>
  </si>
  <si>
    <t>Razón Financiera a largo plazo</t>
  </si>
  <si>
    <t>Razón de deuda o nivel de endeudamiento</t>
  </si>
  <si>
    <t>Razón de cobertura de los intereses financieros</t>
  </si>
  <si>
    <t>Indicador de Leverage - largo plazo</t>
  </si>
  <si>
    <t>Indicador de Leverage - corto plazo</t>
  </si>
  <si>
    <t>Eficiencia, actividad o rotación</t>
  </si>
  <si>
    <t>Rotación cartera o Deudores Clientes</t>
  </si>
  <si>
    <t>Rotación de inventarios</t>
  </si>
  <si>
    <t>Ciclo Operativo o Ciclo del negocio</t>
  </si>
  <si>
    <t>Rotación de proveedores</t>
  </si>
  <si>
    <t>Ciclo financiero o rotación efectivo</t>
  </si>
  <si>
    <t>Rotación de activos fijos netos</t>
  </si>
  <si>
    <t>Rotación de activos totales</t>
  </si>
  <si>
    <t>Rotación capital de trabajo</t>
  </si>
  <si>
    <t>Rotación del patrimonio líquido</t>
  </si>
  <si>
    <t>Deuda total/activos totales</t>
  </si>
  <si>
    <t>Deuda a corto plazo/deuda total</t>
  </si>
  <si>
    <t>Deuda a largo plazo/deuda total</t>
  </si>
  <si>
    <t>Capital propio/Deuda a largo plazo</t>
  </si>
  <si>
    <t>Deuda total/capital propio</t>
  </si>
  <si>
    <t>Utilidad operativa/Gatos de intereses</t>
  </si>
  <si>
    <t>Deuda a largo plazo/capital propio</t>
  </si>
  <si>
    <t>Deuda a corto plazo/capital propio</t>
  </si>
  <si>
    <t>Costo de ventas/Invetarios</t>
  </si>
  <si>
    <t>Ventas/CuentasXcobrar</t>
  </si>
  <si>
    <t>Rotacion inventarios + Rotacion cartera</t>
  </si>
  <si>
    <t>Costo de ventas/cuentasx pagar</t>
  </si>
  <si>
    <t>Ciclo operativo-Rotacion provedores</t>
  </si>
  <si>
    <t>Ventas netas/Propiedad planta y equipo</t>
  </si>
  <si>
    <t>Ventas netas / total de activos</t>
  </si>
  <si>
    <t>ventas netas/KTN</t>
  </si>
  <si>
    <t>Ventas netas/total patrimonio</t>
  </si>
  <si>
    <t>VENTAS BRUTAS</t>
  </si>
  <si>
    <t>Devoluciones en Ventas</t>
  </si>
  <si>
    <t>VENTAS NETAS</t>
  </si>
  <si>
    <t>Costo de Ventas</t>
  </si>
  <si>
    <t>GASTOS OPERACIONALES</t>
  </si>
  <si>
    <t>De Administración</t>
  </si>
  <si>
    <t>De Ventas</t>
  </si>
  <si>
    <t>Depreciación y Amortización Acumulada</t>
  </si>
  <si>
    <t>Provisión Para Impuestos de Renta</t>
  </si>
  <si>
    <t>Incremento en KTNO</t>
  </si>
  <si>
    <t>Incremento en CAPEX</t>
  </si>
  <si>
    <t>FLUJO DE CAJA LIBRE</t>
  </si>
  <si>
    <t>Valor actual neto de la empresa (VAN)</t>
  </si>
  <si>
    <t>Tasa interna de retorno (TIR)</t>
  </si>
  <si>
    <t>UTILIDAD BRUTA</t>
  </si>
  <si>
    <t>UTILIDAD OPERACIONAL</t>
  </si>
  <si>
    <t>FLUJO DE CAJA OPTIMISTA</t>
  </si>
  <si>
    <t>Incrementos</t>
  </si>
  <si>
    <t>VARIACIONES PORCENTUALES DE LOS AÑOS</t>
  </si>
  <si>
    <t>Se toman las variaciones más optimistas para calcular los valores futuros</t>
  </si>
  <si>
    <t>COK</t>
  </si>
  <si>
    <t>Caja optimista</t>
  </si>
  <si>
    <t>Suponemos que la inversion inicial es el capital emitido</t>
  </si>
  <si>
    <t>FLUJO DE CAJA MODERADO</t>
  </si>
  <si>
    <t>Caja moderada</t>
  </si>
  <si>
    <t>FLUJO DE CAJA PESIMISTA</t>
  </si>
  <si>
    <t>Caja pesimista</t>
  </si>
  <si>
    <t>2019E</t>
  </si>
  <si>
    <t>2020E</t>
  </si>
  <si>
    <t>2021E</t>
  </si>
  <si>
    <t>2022E</t>
  </si>
  <si>
    <t>2023E</t>
  </si>
  <si>
    <t>2024E</t>
  </si>
  <si>
    <t>2025E</t>
  </si>
  <si>
    <t>2026E</t>
  </si>
  <si>
    <t>2027E</t>
  </si>
  <si>
    <t>2028E</t>
  </si>
  <si>
    <t>Unlevered Beta Construction Supplies</t>
  </si>
  <si>
    <t>%D t-1</t>
  </si>
  <si>
    <t>%E t-1</t>
  </si>
  <si>
    <t>D/E Cementos Argos</t>
  </si>
  <si>
    <t>Tasa de impuestos</t>
  </si>
  <si>
    <t>Beta apalancado Cementos Argos</t>
  </si>
  <si>
    <t>Tesoros EE.UU a 10 años</t>
  </si>
  <si>
    <t>EMBI Colombia (Riesgo País)</t>
  </si>
  <si>
    <t>Prima para acciones en EEUU</t>
  </si>
  <si>
    <t>Beta apalancado</t>
  </si>
  <si>
    <t>Costo del Patrimonio (Nominal US$)</t>
  </si>
  <si>
    <t>- Inflación Estados Unidos</t>
  </si>
  <si>
    <t>Costo del Patrimonio (Real US$)</t>
  </si>
  <si>
    <t>- Inflación Colombia</t>
  </si>
  <si>
    <t>Ke (Nom. moneda local)</t>
  </si>
  <si>
    <t>Kd</t>
  </si>
  <si>
    <t>Cálculo del WACC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</si>
</sst>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164" formatCode="&quot;$&quot;\ #,##0.00;[Red]\-&quot;$&quot;\ #,##0.00"/>
    <numFmt numFmtId="165" formatCode="_-&quot;$&quot;\ * #,##0_-;\-&quot;$&quot;\ * #,##0_-;_-&quot;$&quot;\ * &quot;-&quot;_-;_-@_-"/>
    <numFmt numFmtId="166" formatCode="_-&quot;$&quot;\ * #,##0.00_-;\-&quot;$&quot;\ * #,##0.00_-;_-&quot;$&quot;\ * &quot;-&quot;??_-;_-@_-"/>
    <numFmt numFmtId="167" formatCode="_-[$$-240A]\ * #,##0_-;\-[$$-240A]\ * #,##0_-;_-[$$-240A]\ * &quot;-&quot;??_-;_-@_-"/>
    <numFmt numFmtId="168" formatCode="_-&quot;$&quot;\ * #,##0_-;\-&quot;$&quot;\ * #,##0_-;_-&quot;$&quot;\ * &quot;-&quot;??_-;_-@_-"/>
    <numFmt numFmtId="169" formatCode="0.0%"/>
    <numFmt numFmtId="170" formatCode="&quot;$&quot;\ #,##0.00"/>
    <numFmt numFmtId="171" formatCode="&quot;$&quot;\ #,##0"/>
    <numFmt numFmtId="172" formatCode="_-&quot;$&quot;* #,##0_-;\-&quot;$&quot;* #,##0_-;_-&quot;$&quot;* &quot;-&quot;_-;_-@_-"/>
    <numFmt numFmtId="173" formatCode="_-* #,##0.00_-;\-* #,##0.00_-;_-* &quot;-&quot;_-;_-@_-"/>
    <numFmt numFmtId="174" formatCode="0.000"/>
    <numFmt numFmtId="175" formatCode="0.0"/>
    <numFmt numFmtId="176" formatCode="&quot;$&quot;#,##0;[Red]\-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lgerian"/>
      <family val="5"/>
    </font>
    <font>
      <b/>
      <sz val="3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1F1F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67" fontId="3" fillId="0" borderId="0" xfId="0" applyNumberFormat="1" applyFont="1"/>
    <xf numFmtId="167" fontId="4" fillId="0" borderId="0" xfId="0" applyNumberFormat="1" applyFont="1"/>
    <xf numFmtId="167" fontId="4" fillId="0" borderId="0" xfId="1" applyNumberFormat="1" applyFont="1" applyBorder="1"/>
    <xf numFmtId="167" fontId="3" fillId="0" borderId="0" xfId="1" applyNumberFormat="1" applyFont="1" applyBorder="1"/>
    <xf numFmtId="167" fontId="3" fillId="0" borderId="0" xfId="1" applyNumberFormat="1" applyFont="1" applyFill="1" applyBorder="1"/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/>
    <xf numFmtId="0" fontId="12" fillId="0" borderId="0" xfId="0" applyFont="1"/>
    <xf numFmtId="167" fontId="4" fillId="0" borderId="2" xfId="0" applyNumberFormat="1" applyFont="1" applyBorder="1"/>
    <xf numFmtId="167" fontId="4" fillId="0" borderId="2" xfId="1" applyNumberFormat="1" applyFont="1" applyBorder="1"/>
    <xf numFmtId="168" fontId="3" fillId="0" borderId="0" xfId="1" applyNumberFormat="1" applyFont="1" applyBorder="1"/>
    <xf numFmtId="168" fontId="3" fillId="0" borderId="0" xfId="1" applyNumberFormat="1" applyFont="1" applyBorder="1" applyAlignment="1">
      <alignment vertical="center"/>
    </xf>
    <xf numFmtId="168" fontId="4" fillId="0" borderId="0" xfId="1" applyNumberFormat="1" applyFont="1" applyBorder="1"/>
    <xf numFmtId="168" fontId="3" fillId="0" borderId="0" xfId="0" applyNumberFormat="1" applyFont="1"/>
    <xf numFmtId="168" fontId="4" fillId="0" borderId="0" xfId="0" applyNumberFormat="1" applyFont="1"/>
    <xf numFmtId="168" fontId="4" fillId="0" borderId="2" xfId="1" applyNumberFormat="1" applyFont="1" applyBorder="1"/>
    <xf numFmtId="168" fontId="4" fillId="2" borderId="0" xfId="1" applyNumberFormat="1" applyFont="1" applyFill="1" applyBorder="1"/>
    <xf numFmtId="168" fontId="7" fillId="0" borderId="0" xfId="1" applyNumberFormat="1" applyFont="1" applyBorder="1"/>
    <xf numFmtId="168" fontId="4" fillId="0" borderId="2" xfId="0" applyNumberFormat="1" applyFont="1" applyBorder="1"/>
    <xf numFmtId="168" fontId="4" fillId="2" borderId="2" xfId="0" applyNumberFormat="1" applyFont="1" applyFill="1" applyBorder="1"/>
    <xf numFmtId="168" fontId="4" fillId="2" borderId="0" xfId="0" applyNumberFormat="1" applyFont="1" applyFill="1"/>
    <xf numFmtId="168" fontId="4" fillId="0" borderId="3" xfId="0" applyNumberFormat="1" applyFont="1" applyBorder="1"/>
    <xf numFmtId="168" fontId="4" fillId="2" borderId="3" xfId="0" applyNumberFormat="1" applyFont="1" applyFill="1" applyBorder="1"/>
    <xf numFmtId="168" fontId="4" fillId="0" borderId="1" xfId="0" applyNumberFormat="1" applyFont="1" applyBorder="1"/>
    <xf numFmtId="165" fontId="3" fillId="0" borderId="0" xfId="2" applyFont="1" applyBorder="1"/>
    <xf numFmtId="165" fontId="0" fillId="0" borderId="0" xfId="2" applyFont="1"/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15" fillId="2" borderId="0" xfId="0" applyFont="1" applyFill="1"/>
    <xf numFmtId="0" fontId="7" fillId="2" borderId="0" xfId="0" applyFont="1" applyFill="1"/>
    <xf numFmtId="0" fontId="4" fillId="0" borderId="0" xfId="0" applyFont="1"/>
    <xf numFmtId="0" fontId="15" fillId="3" borderId="0" xfId="0" applyFont="1" applyFill="1"/>
    <xf numFmtId="0" fontId="6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0" fontId="7" fillId="3" borderId="0" xfId="4" applyFont="1" applyFill="1"/>
    <xf numFmtId="0" fontId="7" fillId="3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0" fontId="3" fillId="0" borderId="0" xfId="3" applyNumberFormat="1" applyFont="1" applyBorder="1"/>
    <xf numFmtId="0" fontId="3" fillId="2" borderId="0" xfId="0" applyFont="1" applyFill="1"/>
    <xf numFmtId="168" fontId="3" fillId="2" borderId="0" xfId="0" applyNumberFormat="1" applyFont="1" applyFill="1"/>
    <xf numFmtId="0" fontId="4" fillId="3" borderId="5" xfId="0" applyFont="1" applyFill="1" applyBorder="1"/>
    <xf numFmtId="0" fontId="3" fillId="3" borderId="4" xfId="0" applyFont="1" applyFill="1" applyBorder="1"/>
    <xf numFmtId="168" fontId="4" fillId="3" borderId="4" xfId="0" applyNumberFormat="1" applyFont="1" applyFill="1" applyBorder="1"/>
    <xf numFmtId="168" fontId="4" fillId="3" borderId="6" xfId="0" applyNumberFormat="1" applyFont="1" applyFill="1" applyBorder="1"/>
    <xf numFmtId="0" fontId="4" fillId="3" borderId="4" xfId="0" applyFont="1" applyFill="1" applyBorder="1"/>
    <xf numFmtId="10" fontId="3" fillId="2" borderId="0" xfId="3" applyNumberFormat="1" applyFont="1" applyFill="1" applyBorder="1" applyAlignment="1">
      <alignment horizontal="center"/>
    </xf>
    <xf numFmtId="169" fontId="3" fillId="2" borderId="0" xfId="3" applyNumberFormat="1" applyFont="1" applyFill="1" applyBorder="1" applyAlignment="1">
      <alignment horizontal="center"/>
    </xf>
    <xf numFmtId="10" fontId="3" fillId="2" borderId="0" xfId="3" applyNumberFormat="1" applyFont="1" applyFill="1" applyBorder="1" applyAlignment="1">
      <alignment horizontal="center" vertical="center"/>
    </xf>
    <xf numFmtId="10" fontId="3" fillId="2" borderId="0" xfId="0" applyNumberFormat="1" applyFont="1" applyFill="1" applyAlignment="1">
      <alignment horizontal="center"/>
    </xf>
    <xf numFmtId="10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10" fontId="3" fillId="0" borderId="0" xfId="3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6" fillId="2" borderId="0" xfId="0" applyFont="1" applyFill="1"/>
    <xf numFmtId="0" fontId="18" fillId="3" borderId="0" xfId="0" applyFont="1" applyFill="1"/>
    <xf numFmtId="0" fontId="0" fillId="2" borderId="0" xfId="0" applyFill="1"/>
    <xf numFmtId="0" fontId="4" fillId="2" borderId="0" xfId="0" applyFont="1" applyFill="1"/>
    <xf numFmtId="164" fontId="15" fillId="3" borderId="0" xfId="0" applyNumberFormat="1" applyFont="1" applyFill="1"/>
    <xf numFmtId="165" fontId="13" fillId="3" borderId="0" xfId="2" applyFont="1" applyFill="1"/>
    <xf numFmtId="168" fontId="3" fillId="2" borderId="0" xfId="1" applyNumberFormat="1" applyFont="1" applyFill="1" applyBorder="1"/>
    <xf numFmtId="0" fontId="10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8" fontId="13" fillId="0" borderId="0" xfId="1" applyNumberFormat="1" applyFont="1" applyBorder="1"/>
    <xf numFmtId="0" fontId="10" fillId="4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0" fillId="0" borderId="7" xfId="0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Continuous"/>
    </xf>
    <xf numFmtId="0" fontId="18" fillId="3" borderId="0" xfId="0" applyFont="1" applyFill="1" applyAlignment="1">
      <alignment horizontal="left"/>
    </xf>
    <xf numFmtId="0" fontId="13" fillId="0" borderId="0" xfId="0" applyFont="1"/>
    <xf numFmtId="0" fontId="7" fillId="0" borderId="0" xfId="0" applyFont="1"/>
    <xf numFmtId="0" fontId="10" fillId="0" borderId="0" xfId="0" applyFont="1"/>
    <xf numFmtId="165" fontId="3" fillId="0" borderId="0" xfId="2" applyFont="1" applyFill="1" applyBorder="1"/>
    <xf numFmtId="2" fontId="3" fillId="2" borderId="0" xfId="3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2" borderId="0" xfId="0" applyNumberFormat="1" applyFont="1" applyFill="1" applyAlignment="1">
      <alignment horizontal="center"/>
    </xf>
    <xf numFmtId="9" fontId="3" fillId="0" borderId="0" xfId="3" applyFont="1" applyAlignment="1">
      <alignment horizontal="center"/>
    </xf>
    <xf numFmtId="2" fontId="3" fillId="2" borderId="0" xfId="3" applyNumberFormat="1" applyFont="1" applyFill="1" applyBorder="1" applyAlignment="1">
      <alignment horizontal="center" vertical="center"/>
    </xf>
    <xf numFmtId="10" fontId="3" fillId="0" borderId="0" xfId="3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171" fontId="3" fillId="0" borderId="0" xfId="0" applyNumberFormat="1" applyFont="1" applyAlignment="1">
      <alignment horizontal="center"/>
    </xf>
    <xf numFmtId="171" fontId="3" fillId="0" borderId="0" xfId="1" applyNumberFormat="1" applyFont="1" applyAlignment="1">
      <alignment horizontal="center"/>
    </xf>
    <xf numFmtId="9" fontId="3" fillId="0" borderId="0" xfId="3" applyFont="1" applyFill="1" applyAlignment="1">
      <alignment horizontal="center"/>
    </xf>
    <xf numFmtId="170" fontId="3" fillId="0" borderId="0" xfId="0" applyNumberFormat="1" applyFont="1" applyAlignment="1">
      <alignment horizontal="center"/>
    </xf>
    <xf numFmtId="0" fontId="1" fillId="0" borderId="0" xfId="5"/>
    <xf numFmtId="0" fontId="6" fillId="0" borderId="0" xfId="5" applyFont="1" applyAlignment="1">
      <alignment horizontal="center"/>
    </xf>
    <xf numFmtId="172" fontId="1" fillId="4" borderId="0" xfId="5" applyNumberFormat="1" applyFill="1"/>
    <xf numFmtId="0" fontId="6" fillId="0" borderId="0" xfId="5" applyFont="1"/>
    <xf numFmtId="172" fontId="1" fillId="6" borderId="0" xfId="5" applyNumberFormat="1" applyFill="1"/>
    <xf numFmtId="0" fontId="6" fillId="0" borderId="0" xfId="5" applyFont="1" applyAlignment="1">
      <alignment vertical="center" wrapText="1"/>
    </xf>
    <xf numFmtId="172" fontId="0" fillId="4" borderId="0" xfId="6" applyFont="1" applyFill="1"/>
    <xf numFmtId="10" fontId="0" fillId="7" borderId="0" xfId="7" applyNumberFormat="1" applyFont="1" applyFill="1"/>
    <xf numFmtId="0" fontId="6" fillId="0" borderId="0" xfId="5" applyFont="1" applyAlignment="1">
      <alignment horizontal="center" vertical="center"/>
    </xf>
    <xf numFmtId="172" fontId="1" fillId="0" borderId="0" xfId="5" applyNumberFormat="1"/>
    <xf numFmtId="172" fontId="1" fillId="8" borderId="0" xfId="8" applyFont="1" applyFill="1"/>
    <xf numFmtId="0" fontId="19" fillId="0" borderId="0" xfId="5" applyFont="1"/>
    <xf numFmtId="10" fontId="0" fillId="6" borderId="0" xfId="7" applyNumberFormat="1" applyFont="1" applyFill="1"/>
    <xf numFmtId="172" fontId="1" fillId="6" borderId="0" xfId="6" applyFont="1" applyFill="1"/>
    <xf numFmtId="10" fontId="6" fillId="0" borderId="0" xfId="7" applyNumberFormat="1" applyFont="1"/>
    <xf numFmtId="10" fontId="1" fillId="7" borderId="0" xfId="5" applyNumberFormat="1" applyFill="1"/>
    <xf numFmtId="9" fontId="1" fillId="6" borderId="0" xfId="5" applyNumberFormat="1" applyFill="1"/>
    <xf numFmtId="172" fontId="0" fillId="6" borderId="0" xfId="6" applyFont="1" applyFill="1"/>
    <xf numFmtId="0" fontId="22" fillId="0" borderId="0" xfId="9" applyFont="1"/>
    <xf numFmtId="0" fontId="1" fillId="0" borderId="0" xfId="9"/>
    <xf numFmtId="10" fontId="1" fillId="0" borderId="0" xfId="9" applyNumberFormat="1"/>
    <xf numFmtId="10" fontId="1" fillId="9" borderId="0" xfId="9" applyNumberFormat="1" applyFill="1"/>
    <xf numFmtId="173" fontId="0" fillId="9" borderId="0" xfId="10" applyNumberFormat="1" applyFont="1" applyFill="1"/>
    <xf numFmtId="2" fontId="6" fillId="0" borderId="0" xfId="9" applyNumberFormat="1" applyFont="1"/>
    <xf numFmtId="0" fontId="6" fillId="0" borderId="0" xfId="9" applyFont="1"/>
    <xf numFmtId="10" fontId="6" fillId="0" borderId="0" xfId="9" applyNumberFormat="1" applyFont="1"/>
    <xf numFmtId="0" fontId="6" fillId="0" borderId="0" xfId="9" applyFont="1" applyAlignment="1">
      <alignment wrapText="1"/>
    </xf>
    <xf numFmtId="0" fontId="4" fillId="0" borderId="0" xfId="9" applyFont="1" applyAlignment="1">
      <alignment wrapText="1"/>
    </xf>
    <xf numFmtId="0" fontId="6" fillId="0" borderId="0" xfId="9" applyFont="1" applyAlignment="1">
      <alignment vertical="center"/>
    </xf>
    <xf numFmtId="10" fontId="6" fillId="0" borderId="0" xfId="11" applyNumberFormat="1" applyFont="1"/>
    <xf numFmtId="10" fontId="6" fillId="10" borderId="0" xfId="11" applyNumberFormat="1" applyFont="1" applyFill="1"/>
    <xf numFmtId="0" fontId="24" fillId="0" borderId="0" xfId="9" applyFont="1"/>
    <xf numFmtId="0" fontId="1" fillId="0" borderId="0" xfId="9" applyAlignment="1">
      <alignment wrapText="1"/>
    </xf>
    <xf numFmtId="175" fontId="3" fillId="0" borderId="0" xfId="0" applyNumberFormat="1" applyFont="1" applyAlignment="1">
      <alignment horizontal="center"/>
    </xf>
    <xf numFmtId="174" fontId="3" fillId="0" borderId="0" xfId="3" applyNumberFormat="1" applyFont="1" applyAlignment="1">
      <alignment horizontal="center"/>
    </xf>
    <xf numFmtId="175" fontId="3" fillId="0" borderId="0" xfId="3" applyNumberFormat="1" applyFont="1" applyAlignment="1">
      <alignment horizontal="center"/>
    </xf>
    <xf numFmtId="0" fontId="26" fillId="0" borderId="9" xfId="0" applyFont="1" applyBorder="1"/>
    <xf numFmtId="176" fontId="0" fillId="0" borderId="9" xfId="0" applyNumberFormat="1" applyBorder="1"/>
    <xf numFmtId="9" fontId="0" fillId="0" borderId="9" xfId="0" applyNumberFormat="1" applyBorder="1"/>
    <xf numFmtId="0" fontId="4" fillId="0" borderId="9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8" fontId="3" fillId="0" borderId="0" xfId="1" applyNumberFormat="1" applyFont="1"/>
    <xf numFmtId="0" fontId="3" fillId="10" borderId="0" xfId="0" applyFont="1" applyFill="1"/>
    <xf numFmtId="9" fontId="3" fillId="0" borderId="0" xfId="3" applyFont="1"/>
    <xf numFmtId="169" fontId="3" fillId="0" borderId="0" xfId="3" applyNumberFormat="1" applyFont="1"/>
    <xf numFmtId="168" fontId="3" fillId="0" borderId="0" xfId="0" applyNumberFormat="1" applyFont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169" fontId="1" fillId="0" borderId="0" xfId="9" applyNumberFormat="1"/>
    <xf numFmtId="10" fontId="6" fillId="0" borderId="0" xfId="5" applyNumberFormat="1" applyFont="1" applyAlignment="1">
      <alignment horizontal="right"/>
    </xf>
    <xf numFmtId="168" fontId="6" fillId="0" borderId="13" xfId="1" applyNumberFormat="1" applyFont="1" applyBorder="1"/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right" vertical="center" wrapText="1"/>
    </xf>
    <xf numFmtId="0" fontId="29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0" fontId="27" fillId="0" borderId="0" xfId="0" applyNumberFormat="1" applyFont="1" applyAlignment="1">
      <alignment horizontal="right" vertical="center" wrapText="1"/>
    </xf>
    <xf numFmtId="10" fontId="27" fillId="0" borderId="0" xfId="0" applyNumberFormat="1" applyFont="1" applyAlignment="1">
      <alignment horizontal="center" vertical="center" wrapText="1"/>
    </xf>
    <xf numFmtId="9" fontId="27" fillId="0" borderId="0" xfId="0" applyNumberFormat="1" applyFont="1" applyAlignment="1">
      <alignment horizontal="right" vertical="center" wrapText="1"/>
    </xf>
    <xf numFmtId="9" fontId="27" fillId="0" borderId="0" xfId="0" applyNumberFormat="1" applyFont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10" fontId="27" fillId="0" borderId="14" xfId="0" applyNumberFormat="1" applyFont="1" applyBorder="1" applyAlignment="1">
      <alignment horizontal="right" vertical="center" wrapText="1"/>
    </xf>
    <xf numFmtId="10" fontId="27" fillId="0" borderId="14" xfId="0" applyNumberFormat="1" applyFont="1" applyBorder="1" applyAlignment="1">
      <alignment horizontal="center" vertical="center" wrapText="1"/>
    </xf>
    <xf numFmtId="0" fontId="27" fillId="11" borderId="14" xfId="0" applyFont="1" applyFill="1" applyBorder="1" applyAlignment="1">
      <alignment horizontal="left" vertical="center" wrapText="1"/>
    </xf>
    <xf numFmtId="10" fontId="27" fillId="11" borderId="14" xfId="0" applyNumberFormat="1" applyFont="1" applyFill="1" applyBorder="1" applyAlignment="1">
      <alignment horizontal="right" vertical="center" wrapText="1"/>
    </xf>
    <xf numFmtId="10" fontId="27" fillId="11" borderId="14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10" borderId="0" xfId="0" applyFont="1" applyFill="1" applyAlignment="1">
      <alignment horizontal="center" vertical="center"/>
    </xf>
    <xf numFmtId="0" fontId="20" fillId="5" borderId="0" xfId="5" applyFont="1" applyFill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</cellXfs>
  <cellStyles count="12">
    <cellStyle name="Hipervínculo" xfId="4" builtinId="8"/>
    <cellStyle name="Millares [0] 2" xfId="10" xr:uid="{00000000-0005-0000-0000-000001000000}"/>
    <cellStyle name="Moneda" xfId="1" builtinId="4"/>
    <cellStyle name="Moneda [0]" xfId="2" builtinId="7"/>
    <cellStyle name="Moneda [0] 2" xfId="6" xr:uid="{00000000-0005-0000-0000-000004000000}"/>
    <cellStyle name="Moneda [0] 3" xfId="8" xr:uid="{00000000-0005-0000-0000-000005000000}"/>
    <cellStyle name="Normal" xfId="0" builtinId="0"/>
    <cellStyle name="Normal 3" xfId="5" xr:uid="{00000000-0005-0000-0000-000007000000}"/>
    <cellStyle name="Normal 4" xfId="9" xr:uid="{00000000-0005-0000-0000-000008000000}"/>
    <cellStyle name="Porcentaje" xfId="3" builtinId="5"/>
    <cellStyle name="Porcentaje 2" xfId="7" xr:uid="{00000000-0005-0000-0000-00000A000000}"/>
    <cellStyle name="Porcentaje 3" xfId="11" xr:uid="{00000000-0005-0000-0000-00000B000000}"/>
  </cellStyles>
  <dxfs count="0"/>
  <tableStyles count="0" defaultTableStyle="TableStyleMedium2" defaultPivotStyle="PivotStyleLight16"/>
  <colors>
    <mruColors>
      <color rgb="FF91F60A"/>
      <color rgb="FF36F709"/>
      <color rgb="FF26DA37"/>
      <color rgb="FF24F424"/>
      <color rgb="FF51FD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Proyección</a:t>
            </a:r>
            <a:r>
              <a:rPr lang="es-CO" b="1" baseline="0"/>
              <a:t> de los ingresos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RL!$C$14:$C$24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xVal>
          <c:yVal>
            <c:numRef>
              <c:f>RL!$D$14:$D$24</c:f>
              <c:numCache>
                <c:formatCode>_-"$"\ * #,##0_-;\-"$"\ * #,##0_-;_-"$"\ * "-"_-;_-@_-</c:formatCode>
                <c:ptCount val="11"/>
                <c:pt idx="0">
                  <c:v>8417604</c:v>
                </c:pt>
                <c:pt idx="1">
                  <c:v>9375076</c:v>
                </c:pt>
                <c:pt idx="2">
                  <c:v>9000548</c:v>
                </c:pt>
                <c:pt idx="3">
                  <c:v>9817689</c:v>
                </c:pt>
                <c:pt idx="4">
                  <c:v>11684055</c:v>
                </c:pt>
                <c:pt idx="5">
                  <c:v>11905361.5</c:v>
                </c:pt>
                <c:pt idx="6">
                  <c:v>12679769.300000001</c:v>
                </c:pt>
                <c:pt idx="7">
                  <c:v>13454177.1</c:v>
                </c:pt>
                <c:pt idx="8">
                  <c:v>14228584.899999999</c:v>
                </c:pt>
                <c:pt idx="9">
                  <c:v>15002992.699999999</c:v>
                </c:pt>
                <c:pt idx="10">
                  <c:v>15777400.5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AB-47DB-862B-B28DD52F9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50688"/>
        <c:axId val="44069248"/>
      </c:scatterChart>
      <c:valAx>
        <c:axId val="440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069248"/>
        <c:crosses val="autoZero"/>
        <c:crossBetween val="midCat"/>
      </c:valAx>
      <c:valAx>
        <c:axId val="4406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Ingresos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0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Contenid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Contenido!A1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ontenido!A1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hyperlink" Target="#Contenido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2274</xdr:colOff>
      <xdr:row>4</xdr:row>
      <xdr:rowOff>469537</xdr:rowOff>
    </xdr:from>
    <xdr:to>
      <xdr:col>1</xdr:col>
      <xdr:colOff>11906</xdr:colOff>
      <xdr:row>16</xdr:row>
      <xdr:rowOff>137474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4454334-1D84-4096-B04D-DAAF3BC47FCD}"/>
            </a:ext>
          </a:extLst>
        </xdr:cNvPr>
        <xdr:cNvCxnSpPr>
          <a:cxnSpLocks/>
        </xdr:cNvCxnSpPr>
      </xdr:nvCxnSpPr>
      <xdr:spPr>
        <a:xfrm flipH="1" flipV="1">
          <a:off x="930962" y="1231537"/>
          <a:ext cx="9632" cy="169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</xdr:row>
      <xdr:rowOff>133350</xdr:rowOff>
    </xdr:from>
    <xdr:to>
      <xdr:col>1</xdr:col>
      <xdr:colOff>428625</xdr:colOff>
      <xdr:row>12</xdr:row>
      <xdr:rowOff>133350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A27035D-AA47-48C5-8F46-030850DB4317}"/>
            </a:ext>
          </a:extLst>
        </xdr:cNvPr>
        <xdr:cNvCxnSpPr/>
      </xdr:nvCxnSpPr>
      <xdr:spPr>
        <a:xfrm>
          <a:off x="933450" y="1933575"/>
          <a:ext cx="428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</xdr:row>
      <xdr:rowOff>104775</xdr:rowOff>
    </xdr:from>
    <xdr:to>
      <xdr:col>1</xdr:col>
      <xdr:colOff>428625</xdr:colOff>
      <xdr:row>14</xdr:row>
      <xdr:rowOff>104775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BF4C069F-92FD-41A2-9D77-8D187F48F93D}"/>
            </a:ext>
          </a:extLst>
        </xdr:cNvPr>
        <xdr:cNvCxnSpPr/>
      </xdr:nvCxnSpPr>
      <xdr:spPr>
        <a:xfrm>
          <a:off x="933450" y="2181225"/>
          <a:ext cx="428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16</xdr:row>
      <xdr:rowOff>114300</xdr:rowOff>
    </xdr:from>
    <xdr:to>
      <xdr:col>1</xdr:col>
      <xdr:colOff>428625</xdr:colOff>
      <xdr:row>16</xdr:row>
      <xdr:rowOff>114300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65C14FC5-DC3E-4C48-9F05-6D294CBB804E}"/>
            </a:ext>
          </a:extLst>
        </xdr:cNvPr>
        <xdr:cNvCxnSpPr/>
      </xdr:nvCxnSpPr>
      <xdr:spPr>
        <a:xfrm>
          <a:off x="933450" y="2438400"/>
          <a:ext cx="428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</xdr:row>
      <xdr:rowOff>114300</xdr:rowOff>
    </xdr:from>
    <xdr:to>
      <xdr:col>1</xdr:col>
      <xdr:colOff>428625</xdr:colOff>
      <xdr:row>6</xdr:row>
      <xdr:rowOff>114300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C2ECA4A0-CE33-44DB-B434-3CAA8624646F}"/>
            </a:ext>
          </a:extLst>
        </xdr:cNvPr>
        <xdr:cNvCxnSpPr/>
      </xdr:nvCxnSpPr>
      <xdr:spPr>
        <a:xfrm>
          <a:off x="933450" y="1171575"/>
          <a:ext cx="428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104775</xdr:rowOff>
    </xdr:from>
    <xdr:to>
      <xdr:col>1</xdr:col>
      <xdr:colOff>428625</xdr:colOff>
      <xdr:row>8</xdr:row>
      <xdr:rowOff>104775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3CC87A45-3882-42FE-8085-122043C6D9D8}"/>
            </a:ext>
          </a:extLst>
        </xdr:cNvPr>
        <xdr:cNvCxnSpPr/>
      </xdr:nvCxnSpPr>
      <xdr:spPr>
        <a:xfrm>
          <a:off x="933450" y="1409700"/>
          <a:ext cx="428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104775</xdr:rowOff>
    </xdr:from>
    <xdr:to>
      <xdr:col>1</xdr:col>
      <xdr:colOff>428625</xdr:colOff>
      <xdr:row>10</xdr:row>
      <xdr:rowOff>104775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2EF8F7A5-06B2-4507-B406-C0E72510AA9D}"/>
            </a:ext>
          </a:extLst>
        </xdr:cNvPr>
        <xdr:cNvCxnSpPr/>
      </xdr:nvCxnSpPr>
      <xdr:spPr>
        <a:xfrm>
          <a:off x="933450" y="1657350"/>
          <a:ext cx="428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3048000</xdr:colOff>
      <xdr:row>21</xdr:row>
      <xdr:rowOff>11906</xdr:rowOff>
    </xdr:from>
    <xdr:to>
      <xdr:col>2</xdr:col>
      <xdr:colOff>4167187</xdr:colOff>
      <xdr:row>26</xdr:row>
      <xdr:rowOff>130968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FD6923C-F9E4-489A-8225-F6F497081C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488531"/>
          <a:ext cx="1119187" cy="678656"/>
        </a:xfrm>
        <a:prstGeom prst="rect">
          <a:avLst/>
        </a:prstGeom>
      </xdr:spPr>
    </xdr:pic>
    <xdr:clientData/>
  </xdr:twoCellAnchor>
  <xdr:twoCellAnchor editAs="oneCell">
    <xdr:from>
      <xdr:col>0</xdr:col>
      <xdr:colOff>157383</xdr:colOff>
      <xdr:row>2</xdr:row>
      <xdr:rowOff>11906</xdr:rowOff>
    </xdr:from>
    <xdr:to>
      <xdr:col>1</xdr:col>
      <xdr:colOff>444239</xdr:colOff>
      <xdr:row>4</xdr:row>
      <xdr:rowOff>440531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C79EF1-48A5-43CD-B5B0-015E5AB7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83" y="392906"/>
          <a:ext cx="1215544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226219</xdr:colOff>
      <xdr:row>9</xdr:row>
      <xdr:rowOff>83344</xdr:rowOff>
    </xdr:from>
    <xdr:to>
      <xdr:col>1</xdr:col>
      <xdr:colOff>1321594</xdr:colOff>
      <xdr:row>11</xdr:row>
      <xdr:rowOff>59532</xdr:rowOff>
    </xdr:to>
    <xdr:sp macro="" textlink="">
      <xdr:nvSpPr>
        <xdr:cNvPr id="4" name="Rectángulo: esquinas redondeada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6DA80-AB25-46AD-853E-8F487E396C51}"/>
            </a:ext>
          </a:extLst>
        </xdr:cNvPr>
        <xdr:cNvSpPr/>
      </xdr:nvSpPr>
      <xdr:spPr>
        <a:xfrm>
          <a:off x="404813" y="1416844"/>
          <a:ext cx="1095375" cy="357188"/>
        </a:xfrm>
        <a:prstGeom prst="roundRect">
          <a:avLst/>
        </a:prstGeom>
        <a:solidFill>
          <a:schemeClr val="accent6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CONTENIDO</a:t>
          </a:r>
        </a:p>
      </xdr:txBody>
    </xdr:sp>
    <xdr:clientData/>
  </xdr:twoCellAnchor>
  <xdr:twoCellAnchor editAs="oneCell">
    <xdr:from>
      <xdr:col>1</xdr:col>
      <xdr:colOff>83343</xdr:colOff>
      <xdr:row>1</xdr:row>
      <xdr:rowOff>138466</xdr:rowOff>
    </xdr:from>
    <xdr:to>
      <xdr:col>1</xdr:col>
      <xdr:colOff>1974054</xdr:colOff>
      <xdr:row>8</xdr:row>
      <xdr:rowOff>64293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32C07E-C316-188D-BD1F-635BE1A2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" y="328966"/>
          <a:ext cx="1890711" cy="1259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226219</xdr:colOff>
      <xdr:row>9</xdr:row>
      <xdr:rowOff>83344</xdr:rowOff>
    </xdr:from>
    <xdr:to>
      <xdr:col>1</xdr:col>
      <xdr:colOff>1321594</xdr:colOff>
      <xdr:row>11</xdr:row>
      <xdr:rowOff>59532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8F6700-C9BC-457A-929D-CB4EAC041979}"/>
            </a:ext>
          </a:extLst>
        </xdr:cNvPr>
        <xdr:cNvSpPr/>
      </xdr:nvSpPr>
      <xdr:spPr>
        <a:xfrm>
          <a:off x="407194" y="1797844"/>
          <a:ext cx="1095375" cy="357188"/>
        </a:xfrm>
        <a:prstGeom prst="roundRect">
          <a:avLst/>
        </a:prstGeom>
        <a:solidFill>
          <a:schemeClr val="accent6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CONTENIDO</a:t>
          </a:r>
        </a:p>
      </xdr:txBody>
    </xdr:sp>
    <xdr:clientData/>
  </xdr:twoCellAnchor>
  <xdr:oneCellAnchor>
    <xdr:from>
      <xdr:col>9</xdr:col>
      <xdr:colOff>717021</xdr:colOff>
      <xdr:row>5</xdr:row>
      <xdr:rowOff>121708</xdr:rowOff>
    </xdr:from>
    <xdr:ext cx="3988594" cy="5429249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ED548A6-FA5D-4A49-9CE1-3E790B8B02ED}"/>
            </a:ext>
          </a:extLst>
        </xdr:cNvPr>
        <xdr:cNvSpPr txBox="1"/>
      </xdr:nvSpPr>
      <xdr:spPr>
        <a:xfrm>
          <a:off x="12633854" y="1074208"/>
          <a:ext cx="3988594" cy="5429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s-CO" sz="1100" b="1" i="1" baseline="0">
              <a:solidFill>
                <a:srgbClr val="00B050"/>
              </a:solidFill>
            </a:rPr>
            <a:t>ESTADO DE RESULTADOS</a:t>
          </a:r>
        </a:p>
        <a:p>
          <a:pPr algn="l"/>
          <a:endParaRPr lang="es-CO" sz="1100" b="1" i="1" baseline="0"/>
        </a:p>
        <a:p>
          <a:pPr algn="l"/>
          <a:r>
            <a:rPr lang="es-CO" sz="1100" b="0" i="1" baseline="0"/>
            <a:t>+Ventas</a:t>
          </a:r>
        </a:p>
        <a:p>
          <a:pPr algn="l"/>
          <a:r>
            <a:rPr lang="es-CO" sz="1100" b="0" i="1" baseline="0"/>
            <a:t>-Devoluciones y descuentos sobre ventas</a:t>
          </a:r>
        </a:p>
        <a:p>
          <a:pPr algn="l"/>
          <a:r>
            <a:rPr lang="es-CO" sz="1100" b="1" i="1" baseline="0"/>
            <a:t>=Ventas netas</a:t>
          </a:r>
        </a:p>
        <a:p>
          <a:pPr algn="l"/>
          <a:r>
            <a:rPr lang="es-CO" sz="1100" b="0" i="1" baseline="0"/>
            <a:t>+Inventario inicial</a:t>
          </a:r>
        </a:p>
        <a:p>
          <a:pPr algn="l"/>
          <a:r>
            <a:rPr lang="es-CO" sz="1100" b="0" i="1" baseline="0"/>
            <a:t>    +Compras </a:t>
          </a:r>
        </a:p>
        <a:p>
          <a:pPr algn="l"/>
          <a:r>
            <a:rPr lang="es-CO" sz="1100" b="0" i="1" baseline="0"/>
            <a:t>    -Gastos de compras</a:t>
          </a:r>
        </a:p>
        <a:p>
          <a:pPr algn="l"/>
          <a:r>
            <a:rPr lang="es-CO" sz="1100" b="1" i="1" baseline="0"/>
            <a:t>    =Compras brutas</a:t>
          </a:r>
        </a:p>
        <a:p>
          <a:pPr algn="l"/>
          <a:r>
            <a:rPr lang="es-CO" sz="1100" b="0" i="1" baseline="0"/>
            <a:t>    -Devoluciones y descuentos de compras</a:t>
          </a:r>
        </a:p>
        <a:p>
          <a:pPr algn="l"/>
          <a:r>
            <a:rPr lang="es-CO" sz="1100" b="1" i="1" baseline="0"/>
            <a:t>    =Compras netas</a:t>
          </a:r>
        </a:p>
        <a:p>
          <a:pPr algn="l"/>
          <a:r>
            <a:rPr lang="es-CO" sz="1100" b="0" i="1" baseline="0"/>
            <a:t>+Compras netas</a:t>
          </a:r>
        </a:p>
        <a:p>
          <a:pPr algn="l"/>
          <a:r>
            <a:rPr lang="es-CO" sz="1100" b="0" i="1" baseline="0"/>
            <a:t>=Total mercancia vendida</a:t>
          </a:r>
        </a:p>
        <a:p>
          <a:pPr algn="l"/>
          <a:r>
            <a:rPr lang="es-CO" sz="1100" b="0" i="1" baseline="0"/>
            <a:t>+Inventario final</a:t>
          </a:r>
        </a:p>
        <a:p>
          <a:pPr algn="l"/>
          <a:r>
            <a:rPr lang="es-CO" sz="1100" b="1" i="1" baseline="0"/>
            <a:t>=CMV</a:t>
          </a:r>
        </a:p>
        <a:p>
          <a:pPr algn="l"/>
          <a:r>
            <a:rPr lang="es-CO" sz="1100" b="1" i="1" baseline="0">
              <a:solidFill>
                <a:srgbClr val="00B050"/>
              </a:solidFill>
            </a:rPr>
            <a:t>Utilidad Bruta </a:t>
          </a:r>
        </a:p>
        <a:p>
          <a:pPr algn="l"/>
          <a:r>
            <a:rPr lang="es-CO" sz="1100" b="0" i="1" baseline="0">
              <a:solidFill>
                <a:schemeClr val="tx1"/>
              </a:solidFill>
            </a:rPr>
            <a:t>  -Gastos generales y de administración</a:t>
          </a:r>
        </a:p>
        <a:p>
          <a:pPr algn="l"/>
          <a:r>
            <a:rPr lang="es-CO" sz="1100" b="0" i="1" baseline="0">
              <a:solidFill>
                <a:schemeClr val="tx1"/>
              </a:solidFill>
            </a:rPr>
            <a:t>  -Gastos de ventas</a:t>
          </a:r>
        </a:p>
        <a:p>
          <a:pPr algn="l"/>
          <a:r>
            <a:rPr lang="es-CO" sz="1100" b="0" i="1" baseline="0">
              <a:solidFill>
                <a:schemeClr val="tx1"/>
              </a:solidFill>
            </a:rPr>
            <a:t>=Gastos operacionales</a:t>
          </a:r>
        </a:p>
        <a:p>
          <a:pPr algn="l"/>
          <a:r>
            <a:rPr lang="es-CO" sz="1100" b="0" i="1" baseline="0">
              <a:solidFill>
                <a:schemeClr val="tx1"/>
              </a:solidFill>
            </a:rPr>
            <a:t>-Depresiaciones y amortizaciones</a:t>
          </a:r>
        </a:p>
        <a:p>
          <a:pPr algn="l"/>
          <a:r>
            <a:rPr lang="es-CO" sz="1100" b="1" i="1" baseline="0">
              <a:solidFill>
                <a:srgbClr val="00B050"/>
              </a:solidFill>
            </a:rPr>
            <a:t>Utilidad operativa </a:t>
          </a:r>
        </a:p>
        <a:p>
          <a:pPr algn="l"/>
          <a:r>
            <a:rPr lang="es-CO" sz="1100" b="0" i="1" baseline="0"/>
            <a:t>+Otros ingresos</a:t>
          </a:r>
        </a:p>
        <a:p>
          <a:pPr algn="l"/>
          <a:r>
            <a:rPr lang="es-CO" sz="1100" b="0" i="1" baseline="0"/>
            <a:t>-Intereses</a:t>
          </a:r>
        </a:p>
        <a:p>
          <a:pPr algn="l"/>
          <a:r>
            <a:rPr lang="es-CO" sz="1100" b="0" i="1" baseline="0">
              <a:solidFill>
                <a:srgbClr val="00B050"/>
              </a:solidFill>
            </a:rPr>
            <a:t>=</a:t>
          </a:r>
          <a:r>
            <a:rPr lang="es-CO" sz="1100" b="1" i="1" baseline="0">
              <a:solidFill>
                <a:srgbClr val="00B050"/>
              </a:solidFill>
            </a:rPr>
            <a:t>Utilidad antes de impuestos</a:t>
          </a:r>
        </a:p>
        <a:p>
          <a:pPr algn="l"/>
          <a:r>
            <a:rPr lang="es-CO" sz="1100" b="1" i="1" baseline="0"/>
            <a:t>-</a:t>
          </a:r>
          <a:r>
            <a:rPr lang="es-CO" sz="1100" b="0" i="1" baseline="0"/>
            <a:t>Impuestos</a:t>
          </a:r>
        </a:p>
        <a:p>
          <a:pPr algn="l"/>
          <a:r>
            <a:rPr lang="es-CO" sz="1100" b="0" i="1" baseline="0">
              <a:solidFill>
                <a:srgbClr val="00B050"/>
              </a:solidFill>
            </a:rPr>
            <a:t>=</a:t>
          </a:r>
          <a:r>
            <a:rPr lang="es-CO" sz="1100" b="1" i="1" baseline="0">
              <a:solidFill>
                <a:srgbClr val="00B050"/>
              </a:solidFill>
            </a:rPr>
            <a:t>Utilidad neta</a:t>
          </a:r>
        </a:p>
        <a:p>
          <a:pPr algn="l"/>
          <a:endParaRPr lang="es-CO" sz="1100" b="0" i="1" baseline="0"/>
        </a:p>
        <a:p>
          <a:pPr algn="l"/>
          <a:r>
            <a:rPr lang="es-CO" sz="1100" b="0" i="1" baseline="0"/>
            <a:t>+Depreciaciones y Amortizaciones</a:t>
          </a:r>
        </a:p>
        <a:p>
          <a:pPr algn="l"/>
          <a:r>
            <a:rPr lang="es-CO" sz="1100" b="0" i="1" baseline="0"/>
            <a:t>+Intereses</a:t>
          </a:r>
        </a:p>
        <a:p>
          <a:pPr algn="l"/>
          <a:r>
            <a:rPr lang="es-CO" sz="1100" b="0" i="1" baseline="0">
              <a:solidFill>
                <a:srgbClr val="00B050"/>
              </a:solidFill>
            </a:rPr>
            <a:t>=</a:t>
          </a:r>
          <a:r>
            <a:rPr lang="es-CO" sz="1100" b="1" i="1" baseline="0">
              <a:solidFill>
                <a:srgbClr val="00B050"/>
              </a:solidFill>
            </a:rPr>
            <a:t>Flujo de caja bruto</a:t>
          </a:r>
        </a:p>
        <a:p>
          <a:pPr algn="l"/>
          <a:r>
            <a:rPr lang="es-CO" sz="1100" b="1" i="1" baseline="0"/>
            <a:t>-</a:t>
          </a:r>
          <a:r>
            <a:rPr lang="es-CO" sz="1100" b="0" i="1" baseline="0"/>
            <a:t>Incremento del KTNO</a:t>
          </a:r>
        </a:p>
        <a:p>
          <a:pPr algn="l"/>
          <a:r>
            <a:rPr lang="es-CO" sz="1100" b="0" i="1" baseline="0"/>
            <a:t>-Reposición de activos fijos</a:t>
          </a:r>
        </a:p>
        <a:p>
          <a:pPr algn="l"/>
          <a:r>
            <a:rPr lang="es-CO" sz="1100" b="0" i="1" baseline="0">
              <a:solidFill>
                <a:srgbClr val="00B050"/>
              </a:solidFill>
            </a:rPr>
            <a:t>=</a:t>
          </a:r>
          <a:r>
            <a:rPr lang="es-CO" sz="1100" b="1" i="1" baseline="0">
              <a:solidFill>
                <a:srgbClr val="00B050"/>
              </a:solidFill>
            </a:rPr>
            <a:t>Flujo de caja libre</a:t>
          </a:r>
          <a:br>
            <a:rPr lang="es-CO" sz="1400" b="1" i="1" baseline="0"/>
          </a:br>
          <a:br>
            <a:rPr lang="es-CO" sz="1400" b="1" i="1" baseline="0"/>
          </a:br>
          <a:endParaRPr lang="es-CO" sz="1400" b="0" i="1"/>
        </a:p>
      </xdr:txBody>
    </xdr:sp>
    <xdr:clientData/>
  </xdr:oneCellAnchor>
  <xdr:twoCellAnchor editAs="oneCell">
    <xdr:from>
      <xdr:col>0</xdr:col>
      <xdr:colOff>166687</xdr:colOff>
      <xdr:row>1</xdr:row>
      <xdr:rowOff>107156</xdr:rowOff>
    </xdr:from>
    <xdr:to>
      <xdr:col>1</xdr:col>
      <xdr:colOff>1878804</xdr:colOff>
      <xdr:row>8</xdr:row>
      <xdr:rowOff>32983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9D6520F-FE08-4898-A152-6CD3DE2B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297656"/>
          <a:ext cx="1890711" cy="1259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357188</xdr:colOff>
      <xdr:row>9</xdr:row>
      <xdr:rowOff>59532</xdr:rowOff>
    </xdr:from>
    <xdr:to>
      <xdr:col>1</xdr:col>
      <xdr:colOff>1452563</xdr:colOff>
      <xdr:row>11</xdr:row>
      <xdr:rowOff>47626</xdr:rowOff>
    </xdr:to>
    <xdr:sp macro="" textlink="">
      <xdr:nvSpPr>
        <xdr:cNvPr id="5" name="Rectángulo: esquinas redondeada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42C67-F4BB-4374-B10C-9A1B91F2C458}"/>
            </a:ext>
          </a:extLst>
        </xdr:cNvPr>
        <xdr:cNvSpPr/>
      </xdr:nvSpPr>
      <xdr:spPr>
        <a:xfrm>
          <a:off x="535782" y="1774032"/>
          <a:ext cx="1095375" cy="357188"/>
        </a:xfrm>
        <a:prstGeom prst="roundRect">
          <a:avLst/>
        </a:prstGeom>
        <a:solidFill>
          <a:schemeClr val="accent6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CONTENIDO</a:t>
          </a:r>
        </a:p>
      </xdr:txBody>
    </xdr:sp>
    <xdr:clientData/>
  </xdr:twoCellAnchor>
  <xdr:twoCellAnchor editAs="oneCell">
    <xdr:from>
      <xdr:col>1</xdr:col>
      <xdr:colOff>119063</xdr:colOff>
      <xdr:row>1</xdr:row>
      <xdr:rowOff>95250</xdr:rowOff>
    </xdr:from>
    <xdr:to>
      <xdr:col>1</xdr:col>
      <xdr:colOff>2011097</xdr:colOff>
      <xdr:row>8</xdr:row>
      <xdr:rowOff>21077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8621DA-312A-47E7-AC7E-6E22858A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7" y="285750"/>
          <a:ext cx="1892034" cy="1259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1042985</xdr:colOff>
      <xdr:row>9</xdr:row>
      <xdr:rowOff>0</xdr:rowOff>
    </xdr:from>
    <xdr:ext cx="5303044" cy="158353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8A0B5B8-68B9-4B71-BEFF-A5341AA45E10}"/>
            </a:ext>
          </a:extLst>
        </xdr:cNvPr>
        <xdr:cNvSpPr txBox="1"/>
      </xdr:nvSpPr>
      <xdr:spPr>
        <a:xfrm>
          <a:off x="13401673" y="2738438"/>
          <a:ext cx="5303044" cy="1583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br>
            <a:rPr lang="es-CO" sz="1050" b="1" i="1" baseline="0"/>
          </a:br>
          <a:r>
            <a:rPr lang="es-CO" sz="900" b="1" i="1" baseline="0">
              <a:solidFill>
                <a:srgbClr val="00B050"/>
              </a:solidFill>
            </a:rPr>
            <a:t>INDICADORES:</a:t>
          </a:r>
          <a:br>
            <a:rPr lang="es-CO" sz="1050" b="1" i="1" baseline="0"/>
          </a:br>
          <a:endParaRPr lang="es-CO" sz="1050" b="1" i="1" baseline="0"/>
        </a:p>
        <a:p>
          <a:pPr algn="l"/>
          <a:r>
            <a:rPr lang="es-CO" sz="1050" b="0" i="1" baseline="0"/>
            <a:t>Productividad del KT = KTNO/Ventas</a:t>
          </a:r>
        </a:p>
        <a:p>
          <a:pPr algn="l"/>
          <a:r>
            <a:rPr lang="es-CO" sz="1050" b="0" i="1" baseline="0"/>
            <a:t>Ebitda = Utilidad operativa + Depreciaciones y Amortizaciones</a:t>
          </a:r>
        </a:p>
        <a:p>
          <a:pPr algn="l"/>
          <a:r>
            <a:rPr lang="es-CO" sz="1050" b="0" i="1" baseline="0"/>
            <a:t>Margen Ebitda = Ebitda/Ventas</a:t>
          </a:r>
        </a:p>
        <a:p>
          <a:pPr algn="l"/>
          <a:r>
            <a:rPr lang="es-CO" sz="1050" b="0" i="1" baseline="0"/>
            <a:t>Productividad de los activos fijos = Inversiones en activos/Ventas</a:t>
          </a:r>
        </a:p>
        <a:p>
          <a:pPr algn="l"/>
          <a:r>
            <a:rPr lang="es-CO" sz="1050" b="0" i="1" baseline="0"/>
            <a:t>Inversión en KTNO = Inversión en KTNO/Ventas</a:t>
          </a:r>
        </a:p>
        <a:p>
          <a:pPr algn="l"/>
          <a:endParaRPr lang="es-CO" sz="1050" b="0" i="1"/>
        </a:p>
      </xdr:txBody>
    </xdr:sp>
    <xdr:clientData/>
  </xdr:oneCellAnchor>
  <xdr:twoCellAnchor editAs="oneCell">
    <xdr:from>
      <xdr:col>1</xdr:col>
      <xdr:colOff>297655</xdr:colOff>
      <xdr:row>1</xdr:row>
      <xdr:rowOff>47625</xdr:rowOff>
    </xdr:from>
    <xdr:to>
      <xdr:col>1</xdr:col>
      <xdr:colOff>2189689</xdr:colOff>
      <xdr:row>7</xdr:row>
      <xdr:rowOff>163952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5D4E36-7819-4BD3-9D14-EE11ED78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238125"/>
          <a:ext cx="1892034" cy="1259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321468</xdr:colOff>
      <xdr:row>10</xdr:row>
      <xdr:rowOff>59531</xdr:rowOff>
    </xdr:from>
    <xdr:to>
      <xdr:col>1</xdr:col>
      <xdr:colOff>1416843</xdr:colOff>
      <xdr:row>12</xdr:row>
      <xdr:rowOff>47625</xdr:rowOff>
    </xdr:to>
    <xdr:sp macro="" textlink="">
      <xdr:nvSpPr>
        <xdr:cNvPr id="5" name="Rectángulo: esquinas redondeada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94AA0-2990-41E5-8647-A60B5EFB1AC5}"/>
            </a:ext>
          </a:extLst>
        </xdr:cNvPr>
        <xdr:cNvSpPr/>
      </xdr:nvSpPr>
      <xdr:spPr>
        <a:xfrm>
          <a:off x="500062" y="1774031"/>
          <a:ext cx="1095375" cy="357188"/>
        </a:xfrm>
        <a:prstGeom prst="roundRect">
          <a:avLst/>
        </a:prstGeom>
        <a:solidFill>
          <a:srgbClr val="92D05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CONTENIDO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297655</xdr:colOff>
      <xdr:row>1</xdr:row>
      <xdr:rowOff>47625</xdr:rowOff>
    </xdr:from>
    <xdr:to>
      <xdr:col>1</xdr:col>
      <xdr:colOff>2189689</xdr:colOff>
      <xdr:row>7</xdr:row>
      <xdr:rowOff>163952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D658C4-A90E-445F-B87B-46E56CB4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630" y="238125"/>
          <a:ext cx="1892034" cy="1259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321468</xdr:colOff>
      <xdr:row>10</xdr:row>
      <xdr:rowOff>59531</xdr:rowOff>
    </xdr:from>
    <xdr:to>
      <xdr:col>1</xdr:col>
      <xdr:colOff>1416843</xdr:colOff>
      <xdr:row>12</xdr:row>
      <xdr:rowOff>47625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8B21C-8E7F-4DCC-A404-FDA2327DA098}"/>
            </a:ext>
          </a:extLst>
        </xdr:cNvPr>
        <xdr:cNvSpPr/>
      </xdr:nvSpPr>
      <xdr:spPr>
        <a:xfrm>
          <a:off x="502443" y="1964531"/>
          <a:ext cx="1095375" cy="369094"/>
        </a:xfrm>
        <a:prstGeom prst="roundRect">
          <a:avLst/>
        </a:prstGeom>
        <a:solidFill>
          <a:srgbClr val="92D05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CONTENIDO</a:t>
          </a:r>
        </a:p>
      </xdr:txBody>
    </xdr:sp>
    <xdr:clientData/>
  </xdr:twoCellAnchor>
  <xdr:twoCellAnchor>
    <xdr:from>
      <xdr:col>8</xdr:col>
      <xdr:colOff>273843</xdr:colOff>
      <xdr:row>2</xdr:row>
      <xdr:rowOff>59531</xdr:rowOff>
    </xdr:from>
    <xdr:to>
      <xdr:col>10</xdr:col>
      <xdr:colOff>607219</xdr:colOff>
      <xdr:row>12</xdr:row>
      <xdr:rowOff>23812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455609E-E31D-8E0D-1BFE-9B598B1D394B}"/>
            </a:ext>
          </a:extLst>
        </xdr:cNvPr>
        <xdr:cNvSpPr txBox="1"/>
      </xdr:nvSpPr>
      <xdr:spPr>
        <a:xfrm>
          <a:off x="9775031" y="440531"/>
          <a:ext cx="3857626" cy="1809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ESTOS SON LOS FLUJOS</a:t>
          </a:r>
          <a:r>
            <a:rPr lang="es-ES" sz="1100" baseline="0"/>
            <a:t> DE CAJAS, OPTIMISTA, PESIMISATA Y MODERADO. TAMBIEN ESTA EL INDICADOR DE VAN Y LA TIR, INDICADORES IMPORTANTES PARA SABER SI LA EMPRESA DARA GANANCIAS EN EL FUTURO</a:t>
          </a:r>
        </a:p>
        <a:p>
          <a:endParaRPr lang="es-ES" sz="1100" baseline="0"/>
        </a:p>
        <a:p>
          <a:r>
            <a:rPr lang="es-ES" sz="1100" baseline="0"/>
            <a:t>LOS INCREMENTOS PARA EL OPTIMISTA SE TOMO LA MEJOR VARIACION DISPONIBLE EN EL PERIODO ANALIZADO, PARA LA PESIMISTA LA PEOR VARIACION Y PARA EL MODERADO LA VARIACION MÁS PROBABLE</a:t>
          </a:r>
        </a:p>
        <a:p>
          <a:endParaRPr lang="es-E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285749</xdr:colOff>
      <xdr:row>10</xdr:row>
      <xdr:rowOff>23815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99058E0-54F0-4CF6-9131-AC0FB5C13E1C}"/>
            </a:ext>
          </a:extLst>
        </xdr:cNvPr>
        <xdr:cNvSpPr txBox="1"/>
      </xdr:nvSpPr>
      <xdr:spPr>
        <a:xfrm>
          <a:off x="12739687" y="192881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twoCellAnchor>
    <xdr:from>
      <xdr:col>1</xdr:col>
      <xdr:colOff>321468</xdr:colOff>
      <xdr:row>9</xdr:row>
      <xdr:rowOff>59531</xdr:rowOff>
    </xdr:from>
    <xdr:to>
      <xdr:col>2</xdr:col>
      <xdr:colOff>210843</xdr:colOff>
      <xdr:row>11</xdr:row>
      <xdr:rowOff>0</xdr:rowOff>
    </xdr:to>
    <xdr:sp macro="" textlink="">
      <xdr:nvSpPr>
        <xdr:cNvPr id="10" name="Rectángulo: esquinas redondeadas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92E55-A193-439A-A526-50F4B15DE98C}"/>
            </a:ext>
          </a:extLst>
        </xdr:cNvPr>
        <xdr:cNvSpPr/>
      </xdr:nvSpPr>
      <xdr:spPr>
        <a:xfrm>
          <a:off x="547687" y="1774031"/>
          <a:ext cx="1080000" cy="321469"/>
        </a:xfrm>
        <a:prstGeom prst="roundRect">
          <a:avLst/>
        </a:prstGeom>
        <a:solidFill>
          <a:schemeClr val="accent6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CONTENIDO</a:t>
          </a:r>
        </a:p>
      </xdr:txBody>
    </xdr:sp>
    <xdr:clientData/>
  </xdr:twoCellAnchor>
  <xdr:twoCellAnchor editAs="oneCell">
    <xdr:from>
      <xdr:col>1</xdr:col>
      <xdr:colOff>226218</xdr:colOff>
      <xdr:row>0</xdr:row>
      <xdr:rowOff>166688</xdr:rowOff>
    </xdr:from>
    <xdr:to>
      <xdr:col>2</xdr:col>
      <xdr:colOff>927627</xdr:colOff>
      <xdr:row>7</xdr:row>
      <xdr:rowOff>92515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032138-FBF3-40EC-A77A-B5C2A94C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166688"/>
          <a:ext cx="1892034" cy="1259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738188</xdr:colOff>
      <xdr:row>9</xdr:row>
      <xdr:rowOff>142874</xdr:rowOff>
    </xdr:from>
    <xdr:to>
      <xdr:col>12</xdr:col>
      <xdr:colOff>333375</xdr:colOff>
      <xdr:row>25</xdr:row>
      <xdr:rowOff>190499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C40CD7-EF6B-3DCD-9FA2-2CDED098D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895350</xdr:colOff>
      <xdr:row>2</xdr:row>
      <xdr:rowOff>133350</xdr:rowOff>
    </xdr:from>
    <xdr:to>
      <xdr:col>3</xdr:col>
      <xdr:colOff>981075</xdr:colOff>
      <xdr:row>6</xdr:row>
      <xdr:rowOff>161925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9EDFDBAA-F760-4011-B068-D018DC483710}"/>
            </a:ext>
          </a:extLst>
        </xdr:cNvPr>
        <xdr:cNvCxnSpPr/>
      </xdr:nvCxnSpPr>
      <xdr:spPr>
        <a:xfrm flipV="1">
          <a:off x="3238500" y="590550"/>
          <a:ext cx="1314450" cy="790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</xdr:row>
      <xdr:rowOff>95250</xdr:rowOff>
    </xdr:from>
    <xdr:to>
      <xdr:col>3</xdr:col>
      <xdr:colOff>990600</xdr:colOff>
      <xdr:row>7</xdr:row>
      <xdr:rowOff>133352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8A2D1EAB-AFE5-48E7-A5C5-80182C2FA8F0}"/>
            </a:ext>
          </a:extLst>
        </xdr:cNvPr>
        <xdr:cNvCxnSpPr/>
      </xdr:nvCxnSpPr>
      <xdr:spPr>
        <a:xfrm flipV="1">
          <a:off x="3571875" y="933450"/>
          <a:ext cx="990600" cy="6096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7</xdr:row>
      <xdr:rowOff>266700</xdr:rowOff>
    </xdr:from>
    <xdr:to>
      <xdr:col>4</xdr:col>
      <xdr:colOff>9525</xdr:colOff>
      <xdr:row>8</xdr:row>
      <xdr:rowOff>104775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6CDF3DA8-3A28-46E0-AFFB-42AA2557C8F1}"/>
            </a:ext>
          </a:extLst>
        </xdr:cNvPr>
        <xdr:cNvCxnSpPr/>
      </xdr:nvCxnSpPr>
      <xdr:spPr>
        <a:xfrm>
          <a:off x="3581400" y="1676400"/>
          <a:ext cx="1181100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6</xdr:row>
      <xdr:rowOff>95251</xdr:rowOff>
    </xdr:from>
    <xdr:to>
      <xdr:col>3</xdr:col>
      <xdr:colOff>990600</xdr:colOff>
      <xdr:row>7</xdr:row>
      <xdr:rowOff>190500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324D39CE-048D-429C-970F-7D34A5CE3030}"/>
            </a:ext>
          </a:extLst>
        </xdr:cNvPr>
        <xdr:cNvCxnSpPr/>
      </xdr:nvCxnSpPr>
      <xdr:spPr>
        <a:xfrm flipV="1">
          <a:off x="3609975" y="1314451"/>
          <a:ext cx="952500" cy="2857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9</xdr:row>
      <xdr:rowOff>152400</xdr:rowOff>
    </xdr:from>
    <xdr:to>
      <xdr:col>4</xdr:col>
      <xdr:colOff>1323975</xdr:colOff>
      <xdr:row>12</xdr:row>
      <xdr:rowOff>28574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646953DA-4B14-4E92-A5ED-9EF51AF9FE46}"/>
            </a:ext>
          </a:extLst>
        </xdr:cNvPr>
        <xdr:cNvCxnSpPr/>
      </xdr:nvCxnSpPr>
      <xdr:spPr>
        <a:xfrm flipV="1">
          <a:off x="4829175" y="2114550"/>
          <a:ext cx="1247775" cy="4571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11</xdr:row>
      <xdr:rowOff>104776</xdr:rowOff>
    </xdr:from>
    <xdr:to>
      <xdr:col>5</xdr:col>
      <xdr:colOff>66675</xdr:colOff>
      <xdr:row>12</xdr:row>
      <xdr:rowOff>133350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B61D371E-9D76-4250-86A6-4B8D96786783}"/>
            </a:ext>
          </a:extLst>
        </xdr:cNvPr>
        <xdr:cNvCxnSpPr/>
      </xdr:nvCxnSpPr>
      <xdr:spPr>
        <a:xfrm flipV="1">
          <a:off x="4772025" y="2457451"/>
          <a:ext cx="1400175" cy="2190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12</xdr:row>
      <xdr:rowOff>142875</xdr:rowOff>
    </xdr:from>
    <xdr:to>
      <xdr:col>4</xdr:col>
      <xdr:colOff>1333500</xdr:colOff>
      <xdr:row>13</xdr:row>
      <xdr:rowOff>104775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5F552C51-5A5C-46CC-A7AF-34A0F65F4290}"/>
            </a:ext>
          </a:extLst>
        </xdr:cNvPr>
        <xdr:cNvCxnSpPr/>
      </xdr:nvCxnSpPr>
      <xdr:spPr>
        <a:xfrm>
          <a:off x="4810125" y="2686050"/>
          <a:ext cx="127635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142875</xdr:rowOff>
    </xdr:from>
    <xdr:to>
      <xdr:col>4</xdr:col>
      <xdr:colOff>1333500</xdr:colOff>
      <xdr:row>16</xdr:row>
      <xdr:rowOff>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D1964840-A25D-4935-91E3-12389FEC2575}"/>
            </a:ext>
          </a:extLst>
        </xdr:cNvPr>
        <xdr:cNvCxnSpPr/>
      </xdr:nvCxnSpPr>
      <xdr:spPr>
        <a:xfrm flipV="1">
          <a:off x="4752975" y="3629025"/>
          <a:ext cx="133350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16</xdr:row>
      <xdr:rowOff>142875</xdr:rowOff>
    </xdr:from>
    <xdr:to>
      <xdr:col>4</xdr:col>
      <xdr:colOff>1276350</xdr:colOff>
      <xdr:row>17</xdr:row>
      <xdr:rowOff>104775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F837CFC9-8B72-419B-BA18-CBBE3C63829C}"/>
            </a:ext>
          </a:extLst>
        </xdr:cNvPr>
        <xdr:cNvCxnSpPr/>
      </xdr:nvCxnSpPr>
      <xdr:spPr>
        <a:xfrm>
          <a:off x="4752975" y="3829050"/>
          <a:ext cx="127635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12</xdr:row>
      <xdr:rowOff>171451</xdr:rowOff>
    </xdr:from>
    <xdr:to>
      <xdr:col>3</xdr:col>
      <xdr:colOff>352425</xdr:colOff>
      <xdr:row>13</xdr:row>
      <xdr:rowOff>295275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962D90B7-DCE7-4149-B44A-0138C01F14C7}"/>
            </a:ext>
          </a:extLst>
        </xdr:cNvPr>
        <xdr:cNvCxnSpPr/>
      </xdr:nvCxnSpPr>
      <xdr:spPr>
        <a:xfrm flipV="1">
          <a:off x="3571875" y="2714626"/>
          <a:ext cx="352425" cy="3143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13</xdr:row>
      <xdr:rowOff>314326</xdr:rowOff>
    </xdr:from>
    <xdr:to>
      <xdr:col>3</xdr:col>
      <xdr:colOff>390525</xdr:colOff>
      <xdr:row>14</xdr:row>
      <xdr:rowOff>133350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8DEABF6B-59A5-46A3-B6D0-5A70DA79EAB3}"/>
            </a:ext>
          </a:extLst>
        </xdr:cNvPr>
        <xdr:cNvCxnSpPr/>
      </xdr:nvCxnSpPr>
      <xdr:spPr>
        <a:xfrm>
          <a:off x="3590925" y="3048001"/>
          <a:ext cx="371475" cy="3809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20</xdr:row>
      <xdr:rowOff>104775</xdr:rowOff>
    </xdr:from>
    <xdr:to>
      <xdr:col>4</xdr:col>
      <xdr:colOff>9525</xdr:colOff>
      <xdr:row>21</xdr:row>
      <xdr:rowOff>57151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55E62F98-8F60-4E9A-AB9B-306592CDD020}"/>
            </a:ext>
          </a:extLst>
        </xdr:cNvPr>
        <xdr:cNvCxnSpPr/>
      </xdr:nvCxnSpPr>
      <xdr:spPr>
        <a:xfrm flipV="1">
          <a:off x="3609975" y="4562475"/>
          <a:ext cx="1152525" cy="1524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638175</xdr:colOff>
      <xdr:row>11</xdr:row>
      <xdr:rowOff>47625</xdr:rowOff>
    </xdr:from>
    <xdr:to>
      <xdr:col>1</xdr:col>
      <xdr:colOff>47625</xdr:colOff>
      <xdr:row>14</xdr:row>
      <xdr:rowOff>171450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C27C2B45-33AB-4A3D-9643-B51FFEEA6035}"/>
            </a:ext>
          </a:extLst>
        </xdr:cNvPr>
        <xdr:cNvCxnSpPr/>
      </xdr:nvCxnSpPr>
      <xdr:spPr>
        <a:xfrm flipV="1">
          <a:off x="638175" y="2400300"/>
          <a:ext cx="857250" cy="1066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14</xdr:row>
      <xdr:rowOff>114300</xdr:rowOff>
    </xdr:from>
    <xdr:to>
      <xdr:col>1</xdr:col>
      <xdr:colOff>857250</xdr:colOff>
      <xdr:row>15</xdr:row>
      <xdr:rowOff>152402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4B67D5CE-2CDD-495E-A35D-10F6AA7F6450}"/>
            </a:ext>
          </a:extLst>
        </xdr:cNvPr>
        <xdr:cNvCxnSpPr/>
      </xdr:nvCxnSpPr>
      <xdr:spPr>
        <a:xfrm flipV="1">
          <a:off x="1514475" y="3409950"/>
          <a:ext cx="790575" cy="2286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16</xdr:row>
      <xdr:rowOff>47625</xdr:rowOff>
    </xdr:from>
    <xdr:to>
      <xdr:col>1</xdr:col>
      <xdr:colOff>542925</xdr:colOff>
      <xdr:row>21</xdr:row>
      <xdr:rowOff>171450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F9FF0F0A-D429-408D-82F9-7677E5C0082C}"/>
            </a:ext>
          </a:extLst>
        </xdr:cNvPr>
        <xdr:cNvCxnSpPr/>
      </xdr:nvCxnSpPr>
      <xdr:spPr>
        <a:xfrm>
          <a:off x="1485900" y="3733800"/>
          <a:ext cx="504825" cy="1095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123825</xdr:colOff>
      <xdr:row>22</xdr:row>
      <xdr:rowOff>133350</xdr:rowOff>
    </xdr:from>
    <xdr:to>
      <xdr:col>5</xdr:col>
      <xdr:colOff>1038225</xdr:colOff>
      <xdr:row>26</xdr:row>
      <xdr:rowOff>31422</xdr:rowOff>
    </xdr:to>
    <xdr:pic>
      <xdr:nvPicPr>
        <xdr:cNvPr id="17" name="Gráfico 16" descr="Flecha lineal: recto contorno">
          <a:extLst>
            <a:ext uri="{FF2B5EF4-FFF2-40B4-BE49-F238E27FC236}">
              <a16:creationId xmlns:a16="http://schemas.microsoft.com/office/drawing/2014/main" id="{4854CF56-6937-4D9E-A94F-F43DA0CEF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229350" y="4981575"/>
          <a:ext cx="914400" cy="657225"/>
        </a:xfrm>
        <a:prstGeom prst="rect">
          <a:avLst/>
        </a:prstGeom>
      </xdr:spPr>
    </xdr:pic>
    <xdr:clientData/>
  </xdr:twoCellAnchor>
  <xdr:twoCellAnchor>
    <xdr:from>
      <xdr:col>6</xdr:col>
      <xdr:colOff>9525</xdr:colOff>
      <xdr:row>23</xdr:row>
      <xdr:rowOff>76200</xdr:rowOff>
    </xdr:from>
    <xdr:to>
      <xdr:col>9</xdr:col>
      <xdr:colOff>542925</xdr:colOff>
      <xdr:row>25</xdr:row>
      <xdr:rowOff>161925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28BC8EAC-7A51-4EB8-9752-B381EA60EE7E}"/>
            </a:ext>
          </a:extLst>
        </xdr:cNvPr>
        <xdr:cNvSpPr txBox="1"/>
      </xdr:nvSpPr>
      <xdr:spPr>
        <a:xfrm>
          <a:off x="7229475" y="5114925"/>
          <a:ext cx="32194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Ingrese</a:t>
          </a:r>
          <a:r>
            <a:rPr lang="es-CO" sz="1100" baseline="0"/>
            <a:t> la tasa mínima de retorno requerido  y la tasa libre de riesgo</a:t>
          </a:r>
          <a:endParaRPr lang="es-CO" sz="1100"/>
        </a:p>
      </xdr:txBody>
    </xdr:sp>
    <xdr:clientData/>
  </xdr:twoCellAnchor>
  <xdr:twoCellAnchor>
    <xdr:from>
      <xdr:col>2</xdr:col>
      <xdr:colOff>9525</xdr:colOff>
      <xdr:row>8</xdr:row>
      <xdr:rowOff>28575</xdr:rowOff>
    </xdr:from>
    <xdr:to>
      <xdr:col>2</xdr:col>
      <xdr:colOff>628650</xdr:colOff>
      <xdr:row>10</xdr:row>
      <xdr:rowOff>95251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C12FDE6C-E6B8-45FB-B432-FD5374AAFC62}"/>
            </a:ext>
          </a:extLst>
        </xdr:cNvPr>
        <xdr:cNvCxnSpPr/>
      </xdr:nvCxnSpPr>
      <xdr:spPr>
        <a:xfrm flipV="1">
          <a:off x="2352675" y="1790700"/>
          <a:ext cx="619125" cy="4572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142877</xdr:rowOff>
    </xdr:from>
    <xdr:to>
      <xdr:col>2</xdr:col>
      <xdr:colOff>638175</xdr:colOff>
      <xdr:row>12</xdr:row>
      <xdr:rowOff>161925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6E7EA842-F8A9-42B8-9B71-828CE5512EF3}"/>
            </a:ext>
          </a:extLst>
        </xdr:cNvPr>
        <xdr:cNvCxnSpPr/>
      </xdr:nvCxnSpPr>
      <xdr:spPr>
        <a:xfrm>
          <a:off x="2343150" y="2295527"/>
          <a:ext cx="638175" cy="4095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752475</xdr:colOff>
      <xdr:row>1</xdr:row>
      <xdr:rowOff>57149</xdr:rowOff>
    </xdr:from>
    <xdr:to>
      <xdr:col>4</xdr:col>
      <xdr:colOff>1714500</xdr:colOff>
      <xdr:row>9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2F78F3F-CDAA-4903-8E81-409413378D35}"/>
            </a:ext>
          </a:extLst>
        </xdr:cNvPr>
        <xdr:cNvSpPr txBox="1"/>
      </xdr:nvSpPr>
      <xdr:spPr>
        <a:xfrm>
          <a:off x="3667125" y="247649"/>
          <a:ext cx="4610100" cy="1590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 i="1"/>
            <a:t>Se deben modificar solo los valeres que se encuentran en color azul.</a:t>
          </a:r>
        </a:p>
        <a:p>
          <a:endParaRPr lang="es-CO" sz="1100" b="1" i="1"/>
        </a:p>
        <a:p>
          <a:pPr>
            <a:lnSpc>
              <a:spcPct val="107000"/>
            </a:lnSpc>
            <a:spcAft>
              <a:spcPts val="800"/>
            </a:spcAft>
          </a:pPr>
          <a:r>
            <a:rPr lang="es-CO" sz="1100" b="1" u="sng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Costo Deuda (</a:t>
          </a:r>
          <a:r>
            <a:rPr lang="es-CO" sz="1100" b="1" i="1" u="sng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Kd o rd</a:t>
          </a:r>
          <a:r>
            <a:rPr lang="es-CO" sz="1100" b="1" u="sng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)</a:t>
          </a:r>
          <a:endParaRPr lang="es-CO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>
            <a:lnSpc>
              <a:spcPct val="107000"/>
            </a:lnSpc>
            <a:buFont typeface="+mj-lt"/>
            <a:buAutoNum type="arabicPeriod"/>
          </a:pPr>
          <a:r>
            <a:rPr lang="es-CO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Ingresar la tasa de interés interbancaria, si no se conoce este valor se puede ingresar la tasa de capación de un banco a 360 días</a:t>
          </a:r>
        </a:p>
        <a:p>
          <a:pPr marL="342900" lvl="0" indent="-342900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es-CO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 spread bancario histórico hasta la fecha de Colombia es del </a:t>
          </a:r>
          <a:r>
            <a:rPr lang="es-CO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10%</a:t>
          </a:r>
          <a:r>
            <a:rPr lang="es-CO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pero se debe revisar si este valor cambio.</a:t>
          </a:r>
        </a:p>
        <a:p>
          <a:endParaRPr lang="es-CO" sz="1100" b="1" i="1"/>
        </a:p>
        <a:p>
          <a:endParaRPr lang="es-CO" sz="1100"/>
        </a:p>
      </xdr:txBody>
    </xdr:sp>
    <xdr:clientData/>
  </xdr:twoCellAnchor>
  <xdr:twoCellAnchor>
    <xdr:from>
      <xdr:col>2</xdr:col>
      <xdr:colOff>228600</xdr:colOff>
      <xdr:row>1</xdr:row>
      <xdr:rowOff>171450</xdr:rowOff>
    </xdr:from>
    <xdr:to>
      <xdr:col>2</xdr:col>
      <xdr:colOff>676275</xdr:colOff>
      <xdr:row>10</xdr:row>
      <xdr:rowOff>0</xdr:rowOff>
    </xdr:to>
    <xdr:sp macro="" textlink="">
      <xdr:nvSpPr>
        <xdr:cNvPr id="3" name="Cerrar llave 2">
          <a:extLst>
            <a:ext uri="{FF2B5EF4-FFF2-40B4-BE49-F238E27FC236}">
              <a16:creationId xmlns:a16="http://schemas.microsoft.com/office/drawing/2014/main" id="{9660AC43-0FD9-4541-840F-4AAFC527AA13}"/>
            </a:ext>
          </a:extLst>
        </xdr:cNvPr>
        <xdr:cNvSpPr/>
      </xdr:nvSpPr>
      <xdr:spPr>
        <a:xfrm>
          <a:off x="3143250" y="361950"/>
          <a:ext cx="447675" cy="15525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438150</xdr:colOff>
      <xdr:row>1</xdr:row>
      <xdr:rowOff>161925</xdr:rowOff>
    </xdr:from>
    <xdr:to>
      <xdr:col>19</xdr:col>
      <xdr:colOff>161926</xdr:colOff>
      <xdr:row>21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CF1F223-6FBC-4C7F-8F7B-361635D71D56}"/>
            </a:ext>
          </a:extLst>
        </xdr:cNvPr>
        <xdr:cNvSpPr txBox="1"/>
      </xdr:nvSpPr>
      <xdr:spPr>
        <a:xfrm>
          <a:off x="13668375" y="352425"/>
          <a:ext cx="8105776" cy="416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 i="1"/>
            <a:t>Se deben modificar solo los valeres que se encuentran en color azul.</a:t>
          </a:r>
        </a:p>
        <a:p>
          <a:endParaRPr lang="es-CO" sz="1100" b="1" i="1"/>
        </a:p>
        <a:p>
          <a:r>
            <a:rPr lang="es-CO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Costo del Patrimonio (</a:t>
          </a:r>
          <a:r>
            <a:rPr lang="es-CO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 o re</a:t>
          </a:r>
          <a:r>
            <a:rPr lang="es-CO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Tasa Libre de Riesgo: 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debe buscar T-Bonds EEUU y calcular promedio 5 años, los datos están en la columna 4 de la tabla llamados </a:t>
          </a:r>
          <a:r>
            <a:rPr lang="es-CO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 T. Bond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http://pages.stern.nyu.edu/~adamodar/New_Home_Page/datafile/histretSP.html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Premio por el Riesgo del Mercado: 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Buscar Implied Equity Risk Premiums - United States, a columna esta al final y recibe el nombre de </a:t>
          </a:r>
          <a:r>
            <a:rPr lang="es-CO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Implied Premium (FCFE) 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http://pages.stern.nyu.edu/~adamodar/New_Home_Page/datafile/histimpl.html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C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Beta del sector: 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Buscar Beta desapalancada de la Industria de la empresa http://pages.stern.nyu.edu/~adamodar/New_Home_Page/datafile/totalbeta.html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Tasa impositiva COL: 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debe buscar la tasa de Colombia del año correspondiente en la página.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http://pages.stern.nyu.edu/~adamodar/New_Home_Page/datafile/countrytaxrate.html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Riesgo país: 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debe tomar el valor de Colombia de la columna denominada Country</a:t>
          </a:r>
          <a:r>
            <a:rPr lang="es-CO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Risk Premium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http://pages.stern.nyu.edu/~adamodar/New_Home_Page/datafile/ctryprem.html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Prima por tamaño: 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Existen 2 caminos que para hacer esto, el primero mediante el análisis de diferentes aspectos para sacar la prima por tamaño  y el segundo camino es utilizar el valor de la columna denominada </a:t>
          </a:r>
          <a:r>
            <a:rPr lang="es-CO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Equity Risk Premium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damodaran. http://pages.stern.nyu.edu/~adamodar/New_Home_Page/datafile/ctryprem.html</a:t>
          </a:r>
        </a:p>
        <a:p>
          <a:endParaRPr lang="es-CO" sz="1100" b="1" i="1"/>
        </a:p>
        <a:p>
          <a:endParaRPr lang="es-CO" sz="1100"/>
        </a:p>
      </xdr:txBody>
    </xdr:sp>
    <xdr:clientData/>
  </xdr:twoCellAnchor>
  <xdr:twoCellAnchor>
    <xdr:from>
      <xdr:col>8</xdr:col>
      <xdr:colOff>342900</xdr:colOff>
      <xdr:row>3</xdr:row>
      <xdr:rowOff>9526</xdr:rowOff>
    </xdr:from>
    <xdr:to>
      <xdr:col>9</xdr:col>
      <xdr:colOff>28575</xdr:colOff>
      <xdr:row>11</xdr:row>
      <xdr:rowOff>0</xdr:rowOff>
    </xdr:to>
    <xdr:sp macro="" textlink="">
      <xdr:nvSpPr>
        <xdr:cNvPr id="5" name="Cerrar llave 4">
          <a:extLst>
            <a:ext uri="{FF2B5EF4-FFF2-40B4-BE49-F238E27FC236}">
              <a16:creationId xmlns:a16="http://schemas.microsoft.com/office/drawing/2014/main" id="{1B14DBDF-011A-45F7-AE43-7F1A38BDD74D}"/>
            </a:ext>
          </a:extLst>
        </xdr:cNvPr>
        <xdr:cNvSpPr/>
      </xdr:nvSpPr>
      <xdr:spPr>
        <a:xfrm>
          <a:off x="12734925" y="581026"/>
          <a:ext cx="523875" cy="171449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9525</xdr:colOff>
      <xdr:row>17</xdr:row>
      <xdr:rowOff>0</xdr:rowOff>
    </xdr:from>
    <xdr:to>
      <xdr:col>7</xdr:col>
      <xdr:colOff>0</xdr:colOff>
      <xdr:row>25</xdr:row>
      <xdr:rowOff>171450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4CED968-BB8D-407A-A656-C42301CD35EB}"/>
            </a:ext>
          </a:extLst>
        </xdr:cNvPr>
        <xdr:cNvSpPr txBox="1"/>
      </xdr:nvSpPr>
      <xdr:spPr>
        <a:xfrm>
          <a:off x="9486900" y="3438525"/>
          <a:ext cx="2066925" cy="2066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 i="1"/>
            <a:t>Se deben modificar solo los valeres que se encuentran en color azul.</a:t>
          </a:r>
        </a:p>
        <a:p>
          <a:endParaRPr lang="es-CO" sz="1100" b="1" i="1"/>
        </a:p>
        <a:p>
          <a:pPr>
            <a:lnSpc>
              <a:spcPct val="107000"/>
            </a:lnSpc>
            <a:spcAft>
              <a:spcPts val="800"/>
            </a:spcAft>
          </a:pPr>
          <a:r>
            <a:rPr lang="es-CO" sz="1100" b="1" u="sng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Costos</a:t>
          </a:r>
          <a:r>
            <a:rPr lang="es-CO" sz="1100" b="1" u="sng" baseline="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 de la wacc</a:t>
          </a:r>
          <a:endParaRPr lang="es-CO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>
            <a:lnSpc>
              <a:spcPct val="107000"/>
            </a:lnSpc>
            <a:buFont typeface="+mj-lt"/>
            <a:buAutoNum type="arabicPeriod"/>
          </a:pPr>
          <a:r>
            <a:rPr lang="es-CO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Ingresar</a:t>
          </a:r>
          <a:r>
            <a:rPr lang="es-CO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el valor de la inflación de EEUU.</a:t>
          </a:r>
          <a:endParaRPr lang="es-CO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es-CO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 Ingresar</a:t>
          </a:r>
          <a:r>
            <a:rPr lang="es-CO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el valor de la inflacion de Colombia</a:t>
          </a:r>
          <a:endParaRPr lang="es-CO" sz="1100" b="1" i="1"/>
        </a:p>
        <a:p>
          <a:endParaRPr lang="es-CO" sz="1100"/>
        </a:p>
      </xdr:txBody>
    </xdr:sp>
    <xdr:clientData/>
  </xdr:twoCellAnchor>
  <xdr:twoCellAnchor>
    <xdr:from>
      <xdr:col>5</xdr:col>
      <xdr:colOff>247650</xdr:colOff>
      <xdr:row>17</xdr:row>
      <xdr:rowOff>114301</xdr:rowOff>
    </xdr:from>
    <xdr:to>
      <xdr:col>5</xdr:col>
      <xdr:colOff>695325</xdr:colOff>
      <xdr:row>22</xdr:row>
      <xdr:rowOff>19050</xdr:rowOff>
    </xdr:to>
    <xdr:sp macro="" textlink="">
      <xdr:nvSpPr>
        <xdr:cNvPr id="7" name="Cerrar llave 6">
          <a:extLst>
            <a:ext uri="{FF2B5EF4-FFF2-40B4-BE49-F238E27FC236}">
              <a16:creationId xmlns:a16="http://schemas.microsoft.com/office/drawing/2014/main" id="{F95E6EA9-5BA8-4E8F-B362-3739BB014429}"/>
            </a:ext>
          </a:extLst>
        </xdr:cNvPr>
        <xdr:cNvSpPr/>
      </xdr:nvSpPr>
      <xdr:spPr>
        <a:xfrm>
          <a:off x="8886825" y="3552826"/>
          <a:ext cx="447675" cy="1228724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98534</xdr:colOff>
      <xdr:row>21</xdr:row>
      <xdr:rowOff>197069</xdr:rowOff>
    </xdr:from>
    <xdr:to>
      <xdr:col>2</xdr:col>
      <xdr:colOff>691492</xdr:colOff>
      <xdr:row>21</xdr:row>
      <xdr:rowOff>203310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E62745A4-B202-4C8F-8ECA-848F2817FC23}"/>
            </a:ext>
          </a:extLst>
        </xdr:cNvPr>
        <xdr:cNvCxnSpPr/>
      </xdr:nvCxnSpPr>
      <xdr:spPr>
        <a:xfrm>
          <a:off x="2174984" y="4607144"/>
          <a:ext cx="1431158" cy="62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65689</xdr:colOff>
      <xdr:row>17</xdr:row>
      <xdr:rowOff>186121</xdr:rowOff>
    </xdr:from>
    <xdr:to>
      <xdr:col>2</xdr:col>
      <xdr:colOff>658647</xdr:colOff>
      <xdr:row>17</xdr:row>
      <xdr:rowOff>192362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F95798CA-DF87-4DF7-8466-CFEBDC9A02B2}"/>
            </a:ext>
          </a:extLst>
        </xdr:cNvPr>
        <xdr:cNvCxnSpPr/>
      </xdr:nvCxnSpPr>
      <xdr:spPr>
        <a:xfrm>
          <a:off x="2142139" y="3624646"/>
          <a:ext cx="1431158" cy="62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galeano/Downloads/Analisis%20de%20los%20estados%20Financieros%20argos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e%20David\Excel\Excel%20intermedio\Curso%20de%20excel%20intermedio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e"/>
      <sheetName val="Grupo"/>
      <sheetName val="Cuenta"/>
      <sheetName val="Consolidado"/>
      <sheetName val="Libro Diario"/>
      <sheetName val="Balance General"/>
      <sheetName val="Estado de Resultados"/>
      <sheetName val="Flujos de caja"/>
      <sheetName val="Proyección flujo de caja "/>
      <sheetName val="GENERACION ARBOL EVA"/>
      <sheetName val="WACC"/>
      <sheetName val="Indicadores"/>
      <sheetName val="Balance de Prueba"/>
      <sheetName val="Tabla de Amortización"/>
      <sheetName val="Tabla de Depreciación"/>
    </sheetNames>
    <sheetDataSet>
      <sheetData sheetId="0" refreshError="1"/>
      <sheetData sheetId="1" refreshError="1"/>
      <sheetData sheetId="2" refreshError="1"/>
      <sheetData sheetId="3">
        <row r="3">
          <cell r="E3" t="str">
            <v>01</v>
          </cell>
        </row>
        <row r="4">
          <cell r="E4" t="str">
            <v>0101</v>
          </cell>
        </row>
        <row r="5">
          <cell r="E5" t="str">
            <v>010105</v>
          </cell>
        </row>
        <row r="6">
          <cell r="E6" t="str">
            <v>010110</v>
          </cell>
        </row>
        <row r="7">
          <cell r="E7" t="str">
            <v>010115</v>
          </cell>
        </row>
        <row r="8">
          <cell r="E8" t="str">
            <v>010120</v>
          </cell>
        </row>
        <row r="9">
          <cell r="E9" t="str">
            <v>010125</v>
          </cell>
        </row>
        <row r="10">
          <cell r="E10" t="str">
            <v>0102</v>
          </cell>
        </row>
        <row r="11">
          <cell r="E11" t="str">
            <v>010205</v>
          </cell>
        </row>
        <row r="12">
          <cell r="E12" t="str">
            <v>010210</v>
          </cell>
        </row>
        <row r="13">
          <cell r="E13" t="str">
            <v>010215</v>
          </cell>
        </row>
        <row r="14">
          <cell r="E14" t="str">
            <v>010220</v>
          </cell>
        </row>
        <row r="15">
          <cell r="E15" t="str">
            <v>010225</v>
          </cell>
        </row>
        <row r="16">
          <cell r="E16" t="str">
            <v>010230</v>
          </cell>
        </row>
        <row r="17">
          <cell r="E17" t="str">
            <v>010235</v>
          </cell>
        </row>
        <row r="18">
          <cell r="E18" t="str">
            <v>010240</v>
          </cell>
        </row>
        <row r="19">
          <cell r="E19" t="str">
            <v>010245</v>
          </cell>
        </row>
        <row r="20">
          <cell r="E20" t="str">
            <v>010250</v>
          </cell>
        </row>
        <row r="21">
          <cell r="E21" t="str">
            <v>010255</v>
          </cell>
        </row>
        <row r="22">
          <cell r="E22" t="str">
            <v>010260</v>
          </cell>
        </row>
        <row r="23">
          <cell r="E23" t="str">
            <v>010295</v>
          </cell>
        </row>
        <row r="24">
          <cell r="E24" t="str">
            <v>010299</v>
          </cell>
        </row>
        <row r="25">
          <cell r="E25" t="str">
            <v>0103</v>
          </cell>
        </row>
        <row r="26">
          <cell r="E26" t="str">
            <v>010305</v>
          </cell>
        </row>
        <row r="27">
          <cell r="E27" t="str">
            <v>010310</v>
          </cell>
        </row>
        <row r="28">
          <cell r="E28" t="str">
            <v>010315</v>
          </cell>
        </row>
        <row r="29">
          <cell r="E29" t="str">
            <v>010320</v>
          </cell>
        </row>
        <row r="30">
          <cell r="E30" t="str">
            <v>010323</v>
          </cell>
        </row>
        <row r="31">
          <cell r="E31" t="str">
            <v>010325</v>
          </cell>
        </row>
        <row r="32">
          <cell r="E32" t="str">
            <v>010328</v>
          </cell>
        </row>
        <row r="33">
          <cell r="E33" t="str">
            <v>010330</v>
          </cell>
        </row>
        <row r="34">
          <cell r="E34" t="str">
            <v>010332</v>
          </cell>
        </row>
        <row r="35">
          <cell r="E35" t="str">
            <v>010335</v>
          </cell>
        </row>
        <row r="36">
          <cell r="E36" t="str">
            <v>010340</v>
          </cell>
        </row>
        <row r="37">
          <cell r="E37" t="str">
            <v>010345</v>
          </cell>
        </row>
        <row r="38">
          <cell r="E38" t="str">
            <v>010350</v>
          </cell>
        </row>
        <row r="39">
          <cell r="E39" t="str">
            <v>010355</v>
          </cell>
        </row>
        <row r="40">
          <cell r="E40" t="str">
            <v>010360</v>
          </cell>
        </row>
        <row r="41">
          <cell r="E41" t="str">
            <v>010365</v>
          </cell>
        </row>
        <row r="42">
          <cell r="E42" t="str">
            <v>010370</v>
          </cell>
        </row>
        <row r="43">
          <cell r="E43" t="str">
            <v>010380</v>
          </cell>
        </row>
        <row r="44">
          <cell r="E44" t="str">
            <v>010385</v>
          </cell>
        </row>
        <row r="45">
          <cell r="E45" t="str">
            <v>010390</v>
          </cell>
        </row>
        <row r="46">
          <cell r="E46" t="str">
            <v>010399</v>
          </cell>
        </row>
        <row r="47">
          <cell r="E47" t="str">
            <v>0104</v>
          </cell>
        </row>
        <row r="48">
          <cell r="E48" t="str">
            <v>010405</v>
          </cell>
        </row>
        <row r="49">
          <cell r="E49" t="str">
            <v>010410</v>
          </cell>
        </row>
        <row r="50">
          <cell r="E50" t="str">
            <v>010415</v>
          </cell>
        </row>
        <row r="51">
          <cell r="E51" t="str">
            <v>010417</v>
          </cell>
        </row>
        <row r="52">
          <cell r="E52" t="str">
            <v>010420</v>
          </cell>
        </row>
        <row r="53">
          <cell r="E53" t="str">
            <v>010425</v>
          </cell>
        </row>
        <row r="54">
          <cell r="E54" t="str">
            <v>010428</v>
          </cell>
        </row>
        <row r="55">
          <cell r="E55" t="str">
            <v>010430</v>
          </cell>
        </row>
        <row r="56">
          <cell r="E56" t="str">
            <v>010435</v>
          </cell>
        </row>
        <row r="57">
          <cell r="E57" t="str">
            <v>010440</v>
          </cell>
        </row>
        <row r="58">
          <cell r="E58" t="str">
            <v>010445</v>
          </cell>
        </row>
        <row r="59">
          <cell r="E59" t="str">
            <v>010450</v>
          </cell>
        </row>
        <row r="60">
          <cell r="E60" t="str">
            <v>010455</v>
          </cell>
        </row>
        <row r="61">
          <cell r="E61" t="str">
            <v>010460</v>
          </cell>
        </row>
        <row r="62">
          <cell r="E62" t="str">
            <v>010465</v>
          </cell>
        </row>
        <row r="63">
          <cell r="E63" t="str">
            <v>010499</v>
          </cell>
        </row>
        <row r="64">
          <cell r="E64" t="str">
            <v>0105</v>
          </cell>
        </row>
        <row r="65">
          <cell r="E65" t="str">
            <v>010504</v>
          </cell>
        </row>
        <row r="66">
          <cell r="E66" t="str">
            <v>010506</v>
          </cell>
        </row>
        <row r="67">
          <cell r="E67" t="str">
            <v>010508</v>
          </cell>
        </row>
        <row r="68">
          <cell r="E68" t="str">
            <v>010512</v>
          </cell>
        </row>
        <row r="69">
          <cell r="E69" t="str">
            <v>010516</v>
          </cell>
        </row>
        <row r="70">
          <cell r="E70" t="str">
            <v>010520</v>
          </cell>
        </row>
        <row r="71">
          <cell r="E71" t="str">
            <v>010524</v>
          </cell>
        </row>
        <row r="72">
          <cell r="E72" t="str">
            <v>010528</v>
          </cell>
        </row>
        <row r="73">
          <cell r="E73" t="str">
            <v>010532</v>
          </cell>
        </row>
        <row r="74">
          <cell r="E74" t="str">
            <v>010536</v>
          </cell>
        </row>
        <row r="75">
          <cell r="E75" t="str">
            <v>010540</v>
          </cell>
        </row>
        <row r="76">
          <cell r="E76" t="str">
            <v>010544</v>
          </cell>
        </row>
        <row r="77">
          <cell r="E77" t="str">
            <v>010548</v>
          </cell>
        </row>
        <row r="78">
          <cell r="E78" t="str">
            <v>010552</v>
          </cell>
        </row>
        <row r="79">
          <cell r="E79" t="str">
            <v>010556</v>
          </cell>
        </row>
        <row r="80">
          <cell r="E80" t="str">
            <v>010560</v>
          </cell>
        </row>
        <row r="81">
          <cell r="E81" t="str">
            <v>010562</v>
          </cell>
        </row>
        <row r="82">
          <cell r="E82" t="str">
            <v>010564</v>
          </cell>
        </row>
        <row r="83">
          <cell r="E83" t="str">
            <v>010568</v>
          </cell>
        </row>
        <row r="84">
          <cell r="E84" t="str">
            <v>010572</v>
          </cell>
        </row>
        <row r="85">
          <cell r="E85" t="str">
            <v>010576</v>
          </cell>
        </row>
        <row r="86">
          <cell r="E86" t="str">
            <v>010580</v>
          </cell>
        </row>
        <row r="87">
          <cell r="E87" t="str">
            <v>010584</v>
          </cell>
        </row>
        <row r="88">
          <cell r="E88" t="str">
            <v>010588</v>
          </cell>
        </row>
        <row r="89">
          <cell r="E89" t="str">
            <v>010592</v>
          </cell>
        </row>
        <row r="90">
          <cell r="E90" t="str">
            <v>010596</v>
          </cell>
        </row>
        <row r="91">
          <cell r="E91" t="str">
            <v>010597</v>
          </cell>
        </row>
        <row r="92">
          <cell r="E92" t="str">
            <v>010598</v>
          </cell>
        </row>
        <row r="93">
          <cell r="E93" t="str">
            <v>010599</v>
          </cell>
        </row>
        <row r="94">
          <cell r="E94" t="str">
            <v>0106</v>
          </cell>
        </row>
        <row r="95">
          <cell r="E95" t="str">
            <v>010605</v>
          </cell>
        </row>
        <row r="96">
          <cell r="E96" t="str">
            <v>010610</v>
          </cell>
        </row>
        <row r="97">
          <cell r="E97" t="str">
            <v>010615</v>
          </cell>
        </row>
        <row r="98">
          <cell r="E98" t="str">
            <v>010620</v>
          </cell>
        </row>
        <row r="99">
          <cell r="E99" t="str">
            <v>010625</v>
          </cell>
        </row>
        <row r="100">
          <cell r="E100" t="str">
            <v>010630</v>
          </cell>
        </row>
        <row r="101">
          <cell r="E101" t="str">
            <v>010635</v>
          </cell>
        </row>
        <row r="102">
          <cell r="E102" t="str">
            <v>010640</v>
          </cell>
        </row>
        <row r="103">
          <cell r="E103" t="str">
            <v>010698</v>
          </cell>
        </row>
        <row r="104">
          <cell r="E104" t="str">
            <v>010699</v>
          </cell>
        </row>
        <row r="105">
          <cell r="E105" t="str">
            <v>0107</v>
          </cell>
        </row>
        <row r="106">
          <cell r="E106" t="str">
            <v>010705</v>
          </cell>
        </row>
        <row r="107">
          <cell r="E107" t="str">
            <v>010710</v>
          </cell>
        </row>
        <row r="108">
          <cell r="E108" t="str">
            <v>010715</v>
          </cell>
        </row>
        <row r="109">
          <cell r="E109" t="str">
            <v>010720</v>
          </cell>
        </row>
        <row r="110">
          <cell r="E110" t="str">
            <v>010798</v>
          </cell>
        </row>
        <row r="111">
          <cell r="E111" t="str">
            <v>0108</v>
          </cell>
        </row>
        <row r="112">
          <cell r="E112" t="str">
            <v>010805</v>
          </cell>
        </row>
        <row r="113">
          <cell r="E113" t="str">
            <v>010895</v>
          </cell>
        </row>
        <row r="114">
          <cell r="E114" t="str">
            <v>010899</v>
          </cell>
        </row>
        <row r="115">
          <cell r="E115" t="str">
            <v>0109</v>
          </cell>
        </row>
        <row r="116">
          <cell r="E116" t="str">
            <v>010905</v>
          </cell>
        </row>
        <row r="117">
          <cell r="E117" t="str">
            <v>010910</v>
          </cell>
        </row>
        <row r="118">
          <cell r="E118" t="str">
            <v>010995</v>
          </cell>
        </row>
        <row r="119">
          <cell r="E119" t="str">
            <v>02</v>
          </cell>
        </row>
        <row r="120">
          <cell r="E120" t="str">
            <v>0201</v>
          </cell>
        </row>
        <row r="121">
          <cell r="E121" t="str">
            <v>020105</v>
          </cell>
        </row>
        <row r="122">
          <cell r="E122" t="str">
            <v>020106</v>
          </cell>
        </row>
        <row r="123">
          <cell r="E123" t="str">
            <v>020110</v>
          </cell>
        </row>
        <row r="124">
          <cell r="E124" t="str">
            <v>020111</v>
          </cell>
        </row>
        <row r="125">
          <cell r="E125" t="str">
            <v>020115</v>
          </cell>
        </row>
        <row r="126">
          <cell r="E126" t="str">
            <v>020116</v>
          </cell>
        </row>
        <row r="127">
          <cell r="E127" t="str">
            <v>020120</v>
          </cell>
        </row>
        <row r="128">
          <cell r="E128" t="str">
            <v>020121</v>
          </cell>
        </row>
        <row r="129">
          <cell r="E129" t="str">
            <v>020125</v>
          </cell>
        </row>
        <row r="130">
          <cell r="E130" t="str">
            <v>020126</v>
          </cell>
        </row>
        <row r="131">
          <cell r="E131" t="str">
            <v>020130</v>
          </cell>
        </row>
        <row r="132">
          <cell r="E132" t="str">
            <v>020131</v>
          </cell>
        </row>
        <row r="133">
          <cell r="E133" t="str">
            <v>020135</v>
          </cell>
        </row>
        <row r="134">
          <cell r="E134" t="str">
            <v>020140</v>
          </cell>
        </row>
        <row r="135">
          <cell r="E135" t="str">
            <v>020145</v>
          </cell>
        </row>
        <row r="136">
          <cell r="E136" t="str">
            <v>020195</v>
          </cell>
        </row>
        <row r="137">
          <cell r="E137" t="str">
            <v>0202</v>
          </cell>
        </row>
        <row r="138">
          <cell r="E138" t="str">
            <v>020205</v>
          </cell>
        </row>
        <row r="139">
          <cell r="E139" t="str">
            <v>020210</v>
          </cell>
        </row>
        <row r="140">
          <cell r="E140" t="str">
            <v>020215</v>
          </cell>
        </row>
        <row r="141">
          <cell r="E141" t="str">
            <v>020220</v>
          </cell>
        </row>
        <row r="142">
          <cell r="E142" t="str">
            <v>020225</v>
          </cell>
        </row>
        <row r="143">
          <cell r="E143" t="str">
            <v>0203</v>
          </cell>
        </row>
        <row r="144">
          <cell r="E144" t="str">
            <v>020305</v>
          </cell>
        </row>
        <row r="145">
          <cell r="E145" t="str">
            <v>020310</v>
          </cell>
        </row>
        <row r="146">
          <cell r="E146" t="str">
            <v>020315</v>
          </cell>
        </row>
        <row r="147">
          <cell r="E147" t="str">
            <v>020320</v>
          </cell>
        </row>
        <row r="148">
          <cell r="E148" t="str">
            <v>020330</v>
          </cell>
        </row>
        <row r="149">
          <cell r="E149" t="str">
            <v>020335</v>
          </cell>
        </row>
        <row r="150">
          <cell r="E150" t="str">
            <v>020340</v>
          </cell>
        </row>
        <row r="151">
          <cell r="E151" t="str">
            <v>020345</v>
          </cell>
        </row>
        <row r="152">
          <cell r="E152" t="str">
            <v>020350</v>
          </cell>
        </row>
        <row r="153">
          <cell r="E153" t="str">
            <v>020355</v>
          </cell>
        </row>
        <row r="154">
          <cell r="E154" t="str">
            <v>020357</v>
          </cell>
        </row>
        <row r="155">
          <cell r="E155" t="str">
            <v>020360</v>
          </cell>
        </row>
        <row r="156">
          <cell r="E156" t="str">
            <v>020365</v>
          </cell>
        </row>
        <row r="157">
          <cell r="E157" t="str">
            <v>020367</v>
          </cell>
        </row>
        <row r="158">
          <cell r="E158" t="str">
            <v>020368</v>
          </cell>
        </row>
        <row r="159">
          <cell r="E159" t="str">
            <v>020370</v>
          </cell>
        </row>
        <row r="160">
          <cell r="E160" t="str">
            <v>020375</v>
          </cell>
        </row>
        <row r="161">
          <cell r="E161" t="str">
            <v>020380</v>
          </cell>
        </row>
        <row r="162">
          <cell r="E162" t="str">
            <v>0204</v>
          </cell>
        </row>
        <row r="163">
          <cell r="E163" t="str">
            <v>020404</v>
          </cell>
        </row>
        <row r="164">
          <cell r="E164" t="str">
            <v>020408</v>
          </cell>
        </row>
        <row r="165">
          <cell r="E165" t="str">
            <v>020412</v>
          </cell>
        </row>
        <row r="166">
          <cell r="E166" t="str">
            <v>020416</v>
          </cell>
        </row>
        <row r="167">
          <cell r="E167" t="str">
            <v>020420</v>
          </cell>
        </row>
        <row r="168">
          <cell r="E168" t="str">
            <v>020424</v>
          </cell>
        </row>
        <row r="169">
          <cell r="E169" t="str">
            <v>020428</v>
          </cell>
        </row>
        <row r="170">
          <cell r="E170" t="str">
            <v>020432</v>
          </cell>
        </row>
        <row r="171">
          <cell r="E171" t="str">
            <v>020436</v>
          </cell>
        </row>
        <row r="172">
          <cell r="E172" t="str">
            <v>020440</v>
          </cell>
        </row>
        <row r="173">
          <cell r="E173" t="str">
            <v>020444</v>
          </cell>
        </row>
        <row r="174">
          <cell r="E174" t="str">
            <v>020448</v>
          </cell>
        </row>
        <row r="175">
          <cell r="E175" t="str">
            <v>020452</v>
          </cell>
        </row>
        <row r="176">
          <cell r="E176" t="str">
            <v>020456</v>
          </cell>
        </row>
        <row r="177">
          <cell r="E177" t="str">
            <v>020460</v>
          </cell>
        </row>
        <row r="178">
          <cell r="E178" t="str">
            <v>020464</v>
          </cell>
        </row>
        <row r="179">
          <cell r="E179" t="str">
            <v>020468</v>
          </cell>
        </row>
        <row r="180">
          <cell r="E180" t="str">
            <v>020472</v>
          </cell>
        </row>
        <row r="181">
          <cell r="E181" t="str">
            <v>020476</v>
          </cell>
        </row>
        <row r="182">
          <cell r="E182" t="str">
            <v>020495</v>
          </cell>
        </row>
        <row r="183">
          <cell r="E183" t="str">
            <v>0205</v>
          </cell>
        </row>
        <row r="184">
          <cell r="E184" t="str">
            <v>020505</v>
          </cell>
        </row>
        <row r="185">
          <cell r="E185" t="str">
            <v>020510</v>
          </cell>
        </row>
        <row r="186">
          <cell r="E186" t="str">
            <v>020515</v>
          </cell>
        </row>
        <row r="187">
          <cell r="E187" t="str">
            <v>020520</v>
          </cell>
        </row>
        <row r="188">
          <cell r="E188" t="str">
            <v>020525</v>
          </cell>
        </row>
        <row r="189">
          <cell r="E189" t="str">
            <v>020530</v>
          </cell>
        </row>
        <row r="190">
          <cell r="E190" t="str">
            <v>020532</v>
          </cell>
        </row>
        <row r="191">
          <cell r="E191" t="str">
            <v>020535</v>
          </cell>
        </row>
        <row r="192">
          <cell r="E192" t="str">
            <v>020540</v>
          </cell>
        </row>
        <row r="193">
          <cell r="E193" t="str">
            <v>0206</v>
          </cell>
        </row>
        <row r="194">
          <cell r="E194" t="str">
            <v>020605</v>
          </cell>
        </row>
        <row r="195">
          <cell r="E195" t="str">
            <v>020610</v>
          </cell>
        </row>
        <row r="196">
          <cell r="E196" t="str">
            <v>020615</v>
          </cell>
        </row>
        <row r="197">
          <cell r="E197" t="str">
            <v>020620</v>
          </cell>
        </row>
        <row r="198">
          <cell r="E198" t="str">
            <v>020625</v>
          </cell>
        </row>
        <row r="199">
          <cell r="E199" t="str">
            <v>020630</v>
          </cell>
        </row>
        <row r="200">
          <cell r="E200" t="str">
            <v>020635</v>
          </cell>
        </row>
        <row r="201">
          <cell r="E201" t="str">
            <v>020640</v>
          </cell>
        </row>
        <row r="202">
          <cell r="E202" t="str">
            <v>020695</v>
          </cell>
        </row>
        <row r="203">
          <cell r="E203" t="str">
            <v>0207</v>
          </cell>
        </row>
        <row r="204">
          <cell r="E204" t="str">
            <v>020705</v>
          </cell>
        </row>
        <row r="205">
          <cell r="E205" t="str">
            <v>020710</v>
          </cell>
        </row>
        <row r="206">
          <cell r="E206" t="str">
            <v>020715</v>
          </cell>
        </row>
        <row r="207">
          <cell r="E207" t="str">
            <v>020725</v>
          </cell>
        </row>
        <row r="208">
          <cell r="E208" t="str">
            <v>0208</v>
          </cell>
        </row>
        <row r="209">
          <cell r="E209" t="str">
            <v>020805</v>
          </cell>
        </row>
        <row r="210">
          <cell r="E210" t="str">
            <v>020810</v>
          </cell>
        </row>
        <row r="211">
          <cell r="E211" t="str">
            <v>020815</v>
          </cell>
        </row>
        <row r="212">
          <cell r="E212" t="str">
            <v>020820</v>
          </cell>
        </row>
        <row r="213">
          <cell r="E213" t="str">
            <v>020825</v>
          </cell>
        </row>
        <row r="214">
          <cell r="E214" t="str">
            <v>020830</v>
          </cell>
        </row>
        <row r="215">
          <cell r="E215" t="str">
            <v>020835</v>
          </cell>
        </row>
        <row r="216">
          <cell r="E216" t="str">
            <v>020840</v>
          </cell>
        </row>
        <row r="217">
          <cell r="E217" t="str">
            <v>020895</v>
          </cell>
        </row>
        <row r="218">
          <cell r="E218" t="str">
            <v>0209</v>
          </cell>
        </row>
        <row r="219">
          <cell r="E219" t="str">
            <v>020905</v>
          </cell>
        </row>
        <row r="220">
          <cell r="E220" t="str">
            <v>020910</v>
          </cell>
        </row>
        <row r="221">
          <cell r="E221" t="str">
            <v>020915</v>
          </cell>
        </row>
        <row r="222">
          <cell r="E222" t="str">
            <v>020920</v>
          </cell>
        </row>
        <row r="223">
          <cell r="E223" t="str">
            <v>020925</v>
          </cell>
        </row>
        <row r="224">
          <cell r="E224" t="str">
            <v>03</v>
          </cell>
        </row>
        <row r="225">
          <cell r="E225" t="str">
            <v>0301</v>
          </cell>
        </row>
        <row r="226">
          <cell r="E226" t="str">
            <v>030105</v>
          </cell>
        </row>
        <row r="227">
          <cell r="E227" t="str">
            <v>030115</v>
          </cell>
        </row>
        <row r="228">
          <cell r="E228" t="str">
            <v>030120</v>
          </cell>
        </row>
        <row r="229">
          <cell r="E229" t="str">
            <v>030125</v>
          </cell>
        </row>
        <row r="230">
          <cell r="E230" t="str">
            <v>030130</v>
          </cell>
        </row>
        <row r="231">
          <cell r="E231" t="str">
            <v>030135</v>
          </cell>
        </row>
        <row r="232">
          <cell r="E232" t="str">
            <v>030140</v>
          </cell>
        </row>
        <row r="233">
          <cell r="E233" t="str">
            <v>0302</v>
          </cell>
        </row>
        <row r="234">
          <cell r="E234" t="str">
            <v>030205</v>
          </cell>
        </row>
        <row r="235">
          <cell r="E235" t="str">
            <v>030210</v>
          </cell>
        </row>
        <row r="236">
          <cell r="E236" t="str">
            <v>030215</v>
          </cell>
        </row>
        <row r="237">
          <cell r="E237" t="str">
            <v>030220</v>
          </cell>
        </row>
        <row r="238">
          <cell r="E238" t="str">
            <v>030225</v>
          </cell>
        </row>
        <row r="239">
          <cell r="E239" t="str">
            <v>0303</v>
          </cell>
        </row>
        <row r="240">
          <cell r="E240" t="str">
            <v>030305</v>
          </cell>
        </row>
        <row r="241">
          <cell r="E241" t="str">
            <v>030310</v>
          </cell>
        </row>
        <row r="242">
          <cell r="E242" t="str">
            <v>030315</v>
          </cell>
        </row>
        <row r="243">
          <cell r="E243" t="str">
            <v>0304</v>
          </cell>
        </row>
        <row r="244">
          <cell r="E244" t="str">
            <v>030410</v>
          </cell>
        </row>
        <row r="245">
          <cell r="E245" t="str">
            <v>0305</v>
          </cell>
        </row>
        <row r="246">
          <cell r="E246" t="str">
            <v>030505</v>
          </cell>
        </row>
        <row r="247">
          <cell r="E247" t="str">
            <v>030510</v>
          </cell>
        </row>
        <row r="248">
          <cell r="E248" t="str">
            <v>0306</v>
          </cell>
        </row>
        <row r="249">
          <cell r="E249" t="str">
            <v>030605</v>
          </cell>
        </row>
        <row r="250">
          <cell r="E250" t="str">
            <v>030610</v>
          </cell>
        </row>
        <row r="251">
          <cell r="E251" t="str">
            <v>0307</v>
          </cell>
        </row>
        <row r="252">
          <cell r="E252" t="str">
            <v>030705</v>
          </cell>
        </row>
        <row r="253">
          <cell r="E253" t="str">
            <v>030710</v>
          </cell>
        </row>
        <row r="254">
          <cell r="E254" t="str">
            <v>0308</v>
          </cell>
        </row>
        <row r="255">
          <cell r="E255" t="str">
            <v>030805</v>
          </cell>
        </row>
        <row r="256">
          <cell r="E256" t="str">
            <v>030810</v>
          </cell>
        </row>
        <row r="257">
          <cell r="E257" t="str">
            <v>030895</v>
          </cell>
        </row>
        <row r="258">
          <cell r="E258" t="str">
            <v>04</v>
          </cell>
        </row>
        <row r="259">
          <cell r="E259" t="str">
            <v>0401</v>
          </cell>
        </row>
        <row r="260">
          <cell r="E260" t="str">
            <v>040105</v>
          </cell>
        </row>
        <row r="261">
          <cell r="E261" t="str">
            <v>040106</v>
          </cell>
        </row>
        <row r="262">
          <cell r="E262" t="str">
            <v>040110</v>
          </cell>
        </row>
        <row r="263">
          <cell r="E263" t="str">
            <v>040115</v>
          </cell>
        </row>
        <row r="264">
          <cell r="E264" t="str">
            <v>040120</v>
          </cell>
        </row>
        <row r="265">
          <cell r="E265" t="str">
            <v>040125</v>
          </cell>
        </row>
        <row r="266">
          <cell r="E266" t="str">
            <v>040130</v>
          </cell>
        </row>
        <row r="267">
          <cell r="E267" t="str">
            <v>040135</v>
          </cell>
        </row>
        <row r="268">
          <cell r="E268" t="str">
            <v>040140</v>
          </cell>
        </row>
        <row r="269">
          <cell r="E269" t="str">
            <v>040145</v>
          </cell>
        </row>
        <row r="270">
          <cell r="E270" t="str">
            <v>040150</v>
          </cell>
        </row>
        <row r="271">
          <cell r="E271" t="str">
            <v>040155</v>
          </cell>
        </row>
        <row r="272">
          <cell r="E272" t="str">
            <v>040160</v>
          </cell>
        </row>
        <row r="273">
          <cell r="E273" t="str">
            <v>040165</v>
          </cell>
        </row>
        <row r="274">
          <cell r="E274" t="str">
            <v>040170</v>
          </cell>
        </row>
        <row r="275">
          <cell r="E275" t="str">
            <v>040175</v>
          </cell>
        </row>
        <row r="276">
          <cell r="E276" t="str">
            <v>0402</v>
          </cell>
        </row>
        <row r="277">
          <cell r="E277" t="str">
            <v>040205</v>
          </cell>
        </row>
        <row r="278">
          <cell r="E278" t="str">
            <v>040210</v>
          </cell>
        </row>
        <row r="279">
          <cell r="E279" t="str">
            <v>040215</v>
          </cell>
        </row>
        <row r="280">
          <cell r="E280" t="str">
            <v>040218</v>
          </cell>
        </row>
        <row r="281">
          <cell r="E281" t="str">
            <v>040220</v>
          </cell>
        </row>
        <row r="282">
          <cell r="E282" t="str">
            <v>040225</v>
          </cell>
        </row>
        <row r="283">
          <cell r="E283" t="str">
            <v>040230</v>
          </cell>
        </row>
        <row r="284">
          <cell r="E284" t="str">
            <v>040235</v>
          </cell>
        </row>
        <row r="285">
          <cell r="E285" t="str">
            <v>040240</v>
          </cell>
        </row>
        <row r="286">
          <cell r="E286" t="str">
            <v>040245</v>
          </cell>
        </row>
        <row r="287">
          <cell r="E287" t="str">
            <v>040248</v>
          </cell>
        </row>
        <row r="288">
          <cell r="E288" t="str">
            <v>040250</v>
          </cell>
        </row>
        <row r="289">
          <cell r="E289" t="str">
            <v>040255</v>
          </cell>
        </row>
        <row r="290">
          <cell r="E290" t="str">
            <v>040260</v>
          </cell>
        </row>
        <row r="291">
          <cell r="E291" t="str">
            <v>040265</v>
          </cell>
        </row>
        <row r="292">
          <cell r="E292" t="str">
            <v>040275</v>
          </cell>
        </row>
        <row r="293">
          <cell r="E293" t="str">
            <v>040295</v>
          </cell>
        </row>
        <row r="294">
          <cell r="E294" t="str">
            <v>05</v>
          </cell>
        </row>
        <row r="295">
          <cell r="E295" t="str">
            <v>0501</v>
          </cell>
        </row>
        <row r="296">
          <cell r="E296" t="str">
            <v>050105</v>
          </cell>
        </row>
        <row r="297">
          <cell r="E297" t="str">
            <v>050110</v>
          </cell>
        </row>
        <row r="298">
          <cell r="E298" t="str">
            <v>050115</v>
          </cell>
        </row>
        <row r="299">
          <cell r="E299" t="str">
            <v>050120</v>
          </cell>
        </row>
        <row r="300">
          <cell r="E300" t="str">
            <v>050125</v>
          </cell>
        </row>
        <row r="301">
          <cell r="E301" t="str">
            <v>050130</v>
          </cell>
        </row>
        <row r="302">
          <cell r="E302" t="str">
            <v>050135</v>
          </cell>
        </row>
        <row r="303">
          <cell r="E303" t="str">
            <v>050140</v>
          </cell>
        </row>
        <row r="304">
          <cell r="E304" t="str">
            <v>050145</v>
          </cell>
        </row>
        <row r="305">
          <cell r="E305" t="str">
            <v>050150</v>
          </cell>
        </row>
        <row r="306">
          <cell r="E306" t="str">
            <v>050155</v>
          </cell>
        </row>
        <row r="307">
          <cell r="E307" t="str">
            <v>050160</v>
          </cell>
        </row>
        <row r="308">
          <cell r="E308" t="str">
            <v>050165</v>
          </cell>
        </row>
        <row r="309">
          <cell r="E309" t="str">
            <v>050195</v>
          </cell>
        </row>
        <row r="310">
          <cell r="E310" t="str">
            <v>050199</v>
          </cell>
        </row>
        <row r="311">
          <cell r="E311" t="str">
            <v>0502</v>
          </cell>
        </row>
        <row r="312">
          <cell r="E312" t="str">
            <v>050205</v>
          </cell>
        </row>
        <row r="313">
          <cell r="E313" t="str">
            <v>050210</v>
          </cell>
        </row>
        <row r="314">
          <cell r="E314" t="str">
            <v>050215</v>
          </cell>
        </row>
        <row r="315">
          <cell r="E315" t="str">
            <v>050220</v>
          </cell>
        </row>
        <row r="316">
          <cell r="E316" t="str">
            <v>050225</v>
          </cell>
        </row>
        <row r="317">
          <cell r="E317" t="str">
            <v>050230</v>
          </cell>
        </row>
        <row r="318">
          <cell r="E318" t="str">
            <v>050235</v>
          </cell>
        </row>
        <row r="319">
          <cell r="E319" t="str">
            <v>050240</v>
          </cell>
        </row>
        <row r="320">
          <cell r="E320" t="str">
            <v>050245</v>
          </cell>
        </row>
        <row r="321">
          <cell r="E321" t="str">
            <v>050250</v>
          </cell>
        </row>
        <row r="322">
          <cell r="E322" t="str">
            <v>050255</v>
          </cell>
        </row>
        <row r="323">
          <cell r="E323" t="str">
            <v>050260</v>
          </cell>
        </row>
        <row r="324">
          <cell r="E324" t="str">
            <v>050265</v>
          </cell>
        </row>
        <row r="325">
          <cell r="E325" t="str">
            <v>050270</v>
          </cell>
        </row>
        <row r="326">
          <cell r="E326" t="str">
            <v>050275</v>
          </cell>
        </row>
        <row r="327">
          <cell r="E327" t="str">
            <v>050295</v>
          </cell>
        </row>
        <row r="328">
          <cell r="E328" t="str">
            <v>050299</v>
          </cell>
        </row>
        <row r="329">
          <cell r="E329" t="str">
            <v>0503</v>
          </cell>
        </row>
        <row r="330">
          <cell r="E330" t="str">
            <v>050305</v>
          </cell>
        </row>
        <row r="331">
          <cell r="E331" t="str">
            <v>050310</v>
          </cell>
        </row>
        <row r="332">
          <cell r="E332" t="str">
            <v>050313</v>
          </cell>
        </row>
        <row r="333">
          <cell r="E333" t="str">
            <v>050315</v>
          </cell>
        </row>
        <row r="334">
          <cell r="E334" t="str">
            <v>050395</v>
          </cell>
        </row>
        <row r="335">
          <cell r="E335" t="str">
            <v>0504</v>
          </cell>
        </row>
        <row r="336">
          <cell r="E336" t="str">
            <v>050405</v>
          </cell>
        </row>
        <row r="337">
          <cell r="E337" t="str">
            <v>0509</v>
          </cell>
        </row>
        <row r="338">
          <cell r="E338" t="str">
            <v>050905</v>
          </cell>
        </row>
        <row r="339">
          <cell r="E339" t="str">
            <v>06</v>
          </cell>
        </row>
        <row r="340">
          <cell r="E340" t="str">
            <v>0601</v>
          </cell>
        </row>
        <row r="341">
          <cell r="E341" t="str">
            <v>060105</v>
          </cell>
        </row>
        <row r="342">
          <cell r="E342" t="str">
            <v>060110</v>
          </cell>
        </row>
        <row r="343">
          <cell r="E343" t="str">
            <v>060115</v>
          </cell>
        </row>
        <row r="344">
          <cell r="E344" t="str">
            <v>060120</v>
          </cell>
        </row>
        <row r="345">
          <cell r="E345" t="str">
            <v>060125</v>
          </cell>
        </row>
        <row r="346">
          <cell r="E346" t="str">
            <v>060130</v>
          </cell>
        </row>
        <row r="347">
          <cell r="E347" t="str">
            <v>060135</v>
          </cell>
        </row>
        <row r="348">
          <cell r="E348" t="str">
            <v>060140</v>
          </cell>
        </row>
        <row r="349">
          <cell r="E349" t="str">
            <v>060145</v>
          </cell>
        </row>
        <row r="350">
          <cell r="E350" t="str">
            <v>060150</v>
          </cell>
        </row>
        <row r="351">
          <cell r="E351" t="str">
            <v>060155</v>
          </cell>
        </row>
        <row r="352">
          <cell r="E352" t="str">
            <v>060160</v>
          </cell>
        </row>
        <row r="353">
          <cell r="E353" t="str">
            <v>060165</v>
          </cell>
        </row>
        <row r="354">
          <cell r="E354" t="str">
            <v>060170</v>
          </cell>
        </row>
        <row r="355">
          <cell r="E355" t="str">
            <v>0602</v>
          </cell>
        </row>
        <row r="356">
          <cell r="E356" t="str">
            <v>060205</v>
          </cell>
        </row>
        <row r="357">
          <cell r="E357" t="str">
            <v>060210</v>
          </cell>
        </row>
        <row r="358">
          <cell r="E358" t="str">
            <v>060215</v>
          </cell>
        </row>
        <row r="359">
          <cell r="E359" t="str">
            <v>060220</v>
          </cell>
        </row>
        <row r="360">
          <cell r="E360" t="str">
            <v>060225</v>
          </cell>
        </row>
      </sheetData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1"/>
      <sheetName val="2"/>
    </sheetNames>
    <sheetDataSet>
      <sheetData sheetId="0" refreshError="1"/>
      <sheetData sheetId="1">
        <row r="129">
          <cell r="D129">
            <v>36700000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B3:L53"/>
  <sheetViews>
    <sheetView showGridLines="0" zoomScale="80" zoomScaleNormal="80" workbookViewId="0"/>
  </sheetViews>
  <sheetFormatPr baseColWidth="10" defaultColWidth="11.44140625" defaultRowHeight="14.4" x14ac:dyDescent="0.3"/>
  <cols>
    <col min="1" max="1" width="14" style="37" customWidth="1"/>
    <col min="2" max="2" width="7.5546875" style="37" customWidth="1"/>
    <col min="3" max="3" width="68.44140625" style="37" customWidth="1"/>
    <col min="4" max="16384" width="11.44140625" style="37"/>
  </cols>
  <sheetData>
    <row r="3" spans="2:12" x14ac:dyDescent="0.3">
      <c r="B3" s="40"/>
      <c r="C3" s="40"/>
    </row>
    <row r="4" spans="2:12" x14ac:dyDescent="0.3">
      <c r="B4" s="40"/>
      <c r="C4" s="41" t="s">
        <v>5</v>
      </c>
    </row>
    <row r="5" spans="2:12" ht="38.25" customHeight="1" x14ac:dyDescent="0.3">
      <c r="B5" s="40"/>
      <c r="C5" s="42" t="s">
        <v>25</v>
      </c>
    </row>
    <row r="6" spans="2:12" ht="20.25" customHeight="1" x14ac:dyDescent="0.3">
      <c r="B6" s="40"/>
      <c r="C6" s="42"/>
    </row>
    <row r="7" spans="2:12" x14ac:dyDescent="0.3">
      <c r="B7" s="40"/>
      <c r="C7" s="43" t="s">
        <v>11</v>
      </c>
    </row>
    <row r="8" spans="2:12" ht="5.0999999999999996" customHeight="1" x14ac:dyDescent="0.3">
      <c r="B8" s="40"/>
      <c r="C8" s="44"/>
    </row>
    <row r="9" spans="2:12" x14ac:dyDescent="0.3">
      <c r="B9" s="40"/>
      <c r="C9" s="43" t="s">
        <v>12</v>
      </c>
      <c r="E9"/>
    </row>
    <row r="10" spans="2:12" ht="5.0999999999999996" customHeight="1" x14ac:dyDescent="0.3">
      <c r="B10" s="40"/>
      <c r="C10" s="44"/>
    </row>
    <row r="11" spans="2:12" x14ac:dyDescent="0.3">
      <c r="B11" s="40"/>
      <c r="C11" s="43" t="s">
        <v>115</v>
      </c>
    </row>
    <row r="12" spans="2:12" ht="5.0999999999999996" customHeight="1" x14ac:dyDescent="0.3">
      <c r="B12" s="40"/>
      <c r="C12" s="44"/>
    </row>
    <row r="13" spans="2:12" ht="16.2" x14ac:dyDescent="0.3">
      <c r="B13" s="40"/>
      <c r="C13" s="43" t="s">
        <v>13</v>
      </c>
      <c r="G13" s="167"/>
      <c r="H13" s="167"/>
      <c r="I13" s="167"/>
      <c r="L13"/>
    </row>
    <row r="14" spans="2:12" ht="5.0999999999999996" customHeight="1" x14ac:dyDescent="0.3">
      <c r="B14" s="40"/>
      <c r="C14" s="44"/>
    </row>
    <row r="15" spans="2:12" x14ac:dyDescent="0.3">
      <c r="B15" s="40"/>
      <c r="C15" s="43" t="s">
        <v>116</v>
      </c>
    </row>
    <row r="16" spans="2:12" ht="5.0999999999999996" customHeight="1" x14ac:dyDescent="0.3">
      <c r="B16" s="40"/>
      <c r="C16" s="44"/>
    </row>
    <row r="17" spans="2:8" x14ac:dyDescent="0.3">
      <c r="B17" s="40"/>
      <c r="C17" s="43" t="s">
        <v>21</v>
      </c>
    </row>
    <row r="18" spans="2:8" ht="5.0999999999999996" customHeight="1" x14ac:dyDescent="0.3">
      <c r="B18" s="40"/>
      <c r="C18" s="44"/>
    </row>
    <row r="19" spans="2:8" x14ac:dyDescent="0.3">
      <c r="B19" s="40"/>
      <c r="C19" s="44"/>
    </row>
    <row r="20" spans="2:8" ht="5.0999999999999996" customHeight="1" x14ac:dyDescent="0.3">
      <c r="B20" s="40"/>
      <c r="C20" s="44"/>
    </row>
    <row r="21" spans="2:8" x14ac:dyDescent="0.3">
      <c r="B21" s="40"/>
      <c r="C21" s="44"/>
    </row>
    <row r="22" spans="2:8" ht="5.0999999999999996" customHeight="1" x14ac:dyDescent="0.3">
      <c r="B22" s="40"/>
      <c r="C22" s="44"/>
    </row>
    <row r="23" spans="2:8" x14ac:dyDescent="0.3">
      <c r="B23" s="40"/>
      <c r="C23" s="81" t="s">
        <v>76</v>
      </c>
    </row>
    <row r="24" spans="2:8" ht="4.5" customHeight="1" x14ac:dyDescent="0.3">
      <c r="B24" s="40"/>
      <c r="C24" s="44"/>
    </row>
    <row r="25" spans="2:8" x14ac:dyDescent="0.3">
      <c r="B25" s="64"/>
      <c r="C25" s="44"/>
    </row>
    <row r="26" spans="2:8" ht="5.0999999999999996" customHeight="1" x14ac:dyDescent="0.3">
      <c r="B26" s="40"/>
      <c r="C26" s="44"/>
    </row>
    <row r="27" spans="2:8" x14ac:dyDescent="0.3">
      <c r="B27" s="40"/>
      <c r="C27" s="44"/>
      <c r="H27"/>
    </row>
    <row r="28" spans="2:8" ht="5.0999999999999996" customHeight="1" x14ac:dyDescent="0.3">
      <c r="B28" s="40"/>
      <c r="C28" s="44"/>
    </row>
    <row r="29" spans="2:8" ht="17.25" customHeight="1" x14ac:dyDescent="0.3">
      <c r="B29" s="64" t="s">
        <v>23</v>
      </c>
      <c r="C29" s="44"/>
    </row>
    <row r="30" spans="2:8" ht="5.0999999999999996" customHeight="1" x14ac:dyDescent="0.3">
      <c r="B30" s="40"/>
      <c r="C30" s="44"/>
    </row>
    <row r="31" spans="2:8" x14ac:dyDescent="0.3">
      <c r="B31" s="67"/>
      <c r="C31" s="68">
        <v>77551623114.574295</v>
      </c>
    </row>
    <row r="32" spans="2:8" ht="5.0999999999999996" customHeight="1" x14ac:dyDescent="0.3">
      <c r="C32" s="38"/>
    </row>
    <row r="33" spans="3:3" x14ac:dyDescent="0.3">
      <c r="C33" s="38"/>
    </row>
    <row r="34" spans="3:3" ht="5.0999999999999996" customHeight="1" x14ac:dyDescent="0.3">
      <c r="C34" s="38"/>
    </row>
    <row r="35" spans="3:3" x14ac:dyDescent="0.3">
      <c r="C35" s="38"/>
    </row>
    <row r="36" spans="3:3" ht="5.0999999999999996" customHeight="1" x14ac:dyDescent="0.3">
      <c r="C36" s="38"/>
    </row>
    <row r="37" spans="3:3" x14ac:dyDescent="0.3">
      <c r="C37" s="38"/>
    </row>
    <row r="38" spans="3:3" ht="5.0999999999999996" customHeight="1" x14ac:dyDescent="0.3">
      <c r="C38" s="38"/>
    </row>
    <row r="39" spans="3:3" x14ac:dyDescent="0.3">
      <c r="C39" s="38"/>
    </row>
    <row r="40" spans="3:3" ht="5.0999999999999996" customHeight="1" x14ac:dyDescent="0.3">
      <c r="C40" s="38"/>
    </row>
    <row r="41" spans="3:3" x14ac:dyDescent="0.3">
      <c r="C41" s="38"/>
    </row>
    <row r="42" spans="3:3" ht="5.0999999999999996" customHeight="1" x14ac:dyDescent="0.3">
      <c r="C42" s="38"/>
    </row>
    <row r="43" spans="3:3" x14ac:dyDescent="0.3">
      <c r="C43" s="38"/>
    </row>
    <row r="44" spans="3:3" ht="5.0999999999999996" customHeight="1" x14ac:dyDescent="0.3">
      <c r="C44" s="38"/>
    </row>
    <row r="45" spans="3:3" x14ac:dyDescent="0.3">
      <c r="C45" s="38"/>
    </row>
    <row r="46" spans="3:3" ht="5.0999999999999996" customHeight="1" x14ac:dyDescent="0.3">
      <c r="C46" s="38"/>
    </row>
    <row r="47" spans="3:3" x14ac:dyDescent="0.3">
      <c r="C47" s="38"/>
    </row>
    <row r="48" spans="3:3" ht="5.0999999999999996" customHeight="1" x14ac:dyDescent="0.3">
      <c r="C48" s="38"/>
    </row>
    <row r="49" spans="3:3" x14ac:dyDescent="0.3">
      <c r="C49" s="38"/>
    </row>
    <row r="50" spans="3:3" ht="5.0999999999999996" customHeight="1" x14ac:dyDescent="0.3">
      <c r="C50" s="38"/>
    </row>
    <row r="51" spans="3:3" x14ac:dyDescent="0.3">
      <c r="C51" s="38"/>
    </row>
    <row r="52" spans="3:3" ht="5.0999999999999996" customHeight="1" x14ac:dyDescent="0.3">
      <c r="C52" s="38"/>
    </row>
    <row r="53" spans="3:3" x14ac:dyDescent="0.3">
      <c r="C53" s="38"/>
    </row>
  </sheetData>
  <mergeCells count="1">
    <mergeCell ref="G13:I13"/>
  </mergeCells>
  <hyperlinks>
    <hyperlink ref="C7" location="BG!A1" display="Balance general" xr:uid="{00000000-0004-0000-0000-000000000000}"/>
    <hyperlink ref="C9" location="ER!A1" display="Estado de resultados" xr:uid="{00000000-0004-0000-0000-000001000000}"/>
    <hyperlink ref="C11" location="FU!A1" display="Estado de fuentes y usos" xr:uid="{00000000-0004-0000-0000-000002000000}"/>
    <hyperlink ref="C13" location="IN!A1" display="Indicadores" xr:uid="{00000000-0004-0000-0000-000003000000}"/>
    <hyperlink ref="C15" location="RL!A1" display="Proyección por regresión lineal" xr:uid="{00000000-0004-0000-0000-000004000000}"/>
    <hyperlink ref="C17" location="'FC'!A1" display="Flujo de caja libre" xr:uid="{00000000-0004-0000-0000-000005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K22"/>
  <sheetViews>
    <sheetView tabSelected="1" workbookViewId="0">
      <selection activeCell="B2" sqref="B2"/>
    </sheetView>
  </sheetViews>
  <sheetFormatPr baseColWidth="10" defaultRowHeight="14.4" x14ac:dyDescent="0.3"/>
  <cols>
    <col min="1" max="1" width="19.33203125" bestFit="1" customWidth="1"/>
    <col min="2" max="2" width="13.44140625" customWidth="1"/>
    <col min="3" max="3" width="14.33203125" customWidth="1"/>
    <col min="4" max="8" width="12.33203125" bestFit="1" customWidth="1"/>
    <col min="9" max="11" width="11.5546875" bestFit="1" customWidth="1"/>
  </cols>
  <sheetData>
    <row r="3" spans="1:11" x14ac:dyDescent="0.3">
      <c r="A3" s="181" t="s">
        <v>327</v>
      </c>
      <c r="B3" s="181"/>
    </row>
    <row r="4" spans="1:11" ht="18" x14ac:dyDescent="0.3">
      <c r="A4" s="181"/>
      <c r="B4" s="181"/>
      <c r="C4" s="180"/>
      <c r="D4" s="180"/>
      <c r="E4" s="180"/>
      <c r="F4" s="180"/>
      <c r="G4" s="180"/>
      <c r="H4" s="180"/>
      <c r="I4" s="180"/>
      <c r="J4" s="180"/>
      <c r="K4" s="180"/>
    </row>
    <row r="5" spans="1:11" ht="18" x14ac:dyDescent="0.3">
      <c r="A5" s="153"/>
      <c r="B5" s="154" t="s">
        <v>301</v>
      </c>
      <c r="C5" s="154" t="s">
        <v>302</v>
      </c>
      <c r="D5" s="154" t="s">
        <v>303</v>
      </c>
      <c r="E5" s="154" t="s">
        <v>304</v>
      </c>
      <c r="F5" s="154" t="s">
        <v>305</v>
      </c>
      <c r="G5" s="154" t="s">
        <v>306</v>
      </c>
      <c r="H5" s="154" t="s">
        <v>307</v>
      </c>
      <c r="I5" s="154" t="s">
        <v>308</v>
      </c>
      <c r="J5" s="154" t="s">
        <v>309</v>
      </c>
      <c r="K5" s="155" t="s">
        <v>310</v>
      </c>
    </row>
    <row r="6" spans="1:11" ht="52.2" x14ac:dyDescent="0.3">
      <c r="A6" s="151" t="s">
        <v>311</v>
      </c>
      <c r="B6" s="152">
        <v>1.08</v>
      </c>
      <c r="C6" s="152">
        <v>1.08</v>
      </c>
      <c r="D6" s="152">
        <v>1.08</v>
      </c>
      <c r="E6" s="152">
        <v>1.08</v>
      </c>
      <c r="F6" s="152">
        <v>1.08</v>
      </c>
      <c r="G6" s="152">
        <v>1.08</v>
      </c>
      <c r="H6" s="152">
        <v>1.08</v>
      </c>
      <c r="I6" s="152">
        <v>1.08</v>
      </c>
      <c r="J6" s="152">
        <v>1.08</v>
      </c>
      <c r="K6" s="156">
        <v>1.08</v>
      </c>
    </row>
    <row r="7" spans="1:11" ht="17.399999999999999" x14ac:dyDescent="0.3">
      <c r="A7" s="151" t="s">
        <v>312</v>
      </c>
      <c r="B7" s="157">
        <v>0.63200000000000001</v>
      </c>
      <c r="C7" s="157">
        <v>0.622</v>
      </c>
      <c r="D7" s="157">
        <v>0.61299999999999999</v>
      </c>
      <c r="E7" s="157">
        <v>0.60199999999999998</v>
      </c>
      <c r="F7" s="157">
        <v>0.58399999999999996</v>
      </c>
      <c r="G7" s="157">
        <v>0.55900000000000005</v>
      </c>
      <c r="H7" s="157">
        <v>0.52700000000000002</v>
      </c>
      <c r="I7" s="157">
        <v>0.49099999999999999</v>
      </c>
      <c r="J7" s="157">
        <v>0.45300000000000001</v>
      </c>
      <c r="K7" s="158">
        <v>0.41399999999999998</v>
      </c>
    </row>
    <row r="8" spans="1:11" ht="17.399999999999999" x14ac:dyDescent="0.3">
      <c r="A8" s="151" t="s">
        <v>313</v>
      </c>
      <c r="B8" s="157">
        <v>0.36799999999999999</v>
      </c>
      <c r="C8" s="157">
        <v>0.378</v>
      </c>
      <c r="D8" s="157">
        <v>0.38700000000000001</v>
      </c>
      <c r="E8" s="157">
        <v>0.39800000000000002</v>
      </c>
      <c r="F8" s="157">
        <v>0.41599999999999998</v>
      </c>
      <c r="G8" s="157">
        <v>0.441</v>
      </c>
      <c r="H8" s="157">
        <v>0.47299999999999998</v>
      </c>
      <c r="I8" s="157">
        <v>0.50900000000000001</v>
      </c>
      <c r="J8" s="157">
        <v>0.54700000000000004</v>
      </c>
      <c r="K8" s="158">
        <v>0.58599999999999997</v>
      </c>
    </row>
    <row r="9" spans="1:11" ht="34.799999999999997" x14ac:dyDescent="0.3">
      <c r="A9" s="151" t="s">
        <v>314</v>
      </c>
      <c r="B9" s="157">
        <v>1.7170000000000001</v>
      </c>
      <c r="C9" s="157">
        <v>1.643</v>
      </c>
      <c r="D9" s="157">
        <v>1.5820000000000001</v>
      </c>
      <c r="E9" s="157">
        <v>1.516</v>
      </c>
      <c r="F9" s="157">
        <v>1.405</v>
      </c>
      <c r="G9" s="157">
        <v>1.266</v>
      </c>
      <c r="H9" s="157">
        <v>1.115</v>
      </c>
      <c r="I9" s="157">
        <v>0.96499999999999997</v>
      </c>
      <c r="J9" s="157">
        <v>0.82799999999999996</v>
      </c>
      <c r="K9" s="158">
        <v>0.70599999999999996</v>
      </c>
    </row>
    <row r="10" spans="1:11" ht="34.799999999999997" x14ac:dyDescent="0.3">
      <c r="A10" s="151" t="s">
        <v>315</v>
      </c>
      <c r="B10" s="159">
        <v>0.3</v>
      </c>
      <c r="C10" s="159">
        <v>0.3</v>
      </c>
      <c r="D10" s="159">
        <v>0.3</v>
      </c>
      <c r="E10" s="159">
        <v>0.3</v>
      </c>
      <c r="F10" s="159">
        <v>0.3</v>
      </c>
      <c r="G10" s="159">
        <v>0.3</v>
      </c>
      <c r="H10" s="159">
        <v>0.3</v>
      </c>
      <c r="I10" s="159">
        <v>0.3</v>
      </c>
      <c r="J10" s="159">
        <v>0.3</v>
      </c>
      <c r="K10" s="160">
        <v>0.3</v>
      </c>
    </row>
    <row r="11" spans="1:11" ht="69.599999999999994" x14ac:dyDescent="0.3">
      <c r="A11" s="151" t="s">
        <v>316</v>
      </c>
      <c r="B11" s="152">
        <v>2.38</v>
      </c>
      <c r="C11" s="152">
        <v>2.3199999999999998</v>
      </c>
      <c r="D11" s="152">
        <v>2.2799999999999998</v>
      </c>
      <c r="E11" s="152">
        <v>2.23</v>
      </c>
      <c r="F11" s="152">
        <v>2.14</v>
      </c>
      <c r="G11" s="152">
        <v>2.04</v>
      </c>
      <c r="H11" s="152">
        <v>1.92</v>
      </c>
      <c r="I11" s="152">
        <v>1.81</v>
      </c>
      <c r="J11" s="152">
        <v>1.71</v>
      </c>
      <c r="K11" s="156">
        <v>1.61</v>
      </c>
    </row>
    <row r="12" spans="1:11" ht="34.799999999999997" x14ac:dyDescent="0.3">
      <c r="A12" s="151" t="s">
        <v>317</v>
      </c>
      <c r="B12" s="157">
        <v>1.7399999999999999E-2</v>
      </c>
      <c r="C12" s="157">
        <v>1.7399999999999999E-2</v>
      </c>
      <c r="D12" s="157">
        <v>1.7399999999999999E-2</v>
      </c>
      <c r="E12" s="157">
        <v>1.7399999999999999E-2</v>
      </c>
      <c r="F12" s="157">
        <v>1.7399999999999999E-2</v>
      </c>
      <c r="G12" s="157">
        <v>1.7399999999999999E-2</v>
      </c>
      <c r="H12" s="157">
        <v>1.7399999999999999E-2</v>
      </c>
      <c r="I12" s="157">
        <v>1.7399999999999999E-2</v>
      </c>
      <c r="J12" s="157">
        <v>1.7399999999999999E-2</v>
      </c>
      <c r="K12" s="158">
        <v>1.7399999999999999E-2</v>
      </c>
    </row>
    <row r="13" spans="1:11" ht="34.799999999999997" x14ac:dyDescent="0.3">
      <c r="A13" s="151" t="s">
        <v>318</v>
      </c>
      <c r="B13" s="157">
        <v>1.7600000000000001E-2</v>
      </c>
      <c r="C13" s="157">
        <v>1.7600000000000001E-2</v>
      </c>
      <c r="D13" s="157">
        <v>1.7600000000000001E-2</v>
      </c>
      <c r="E13" s="157">
        <v>1.7600000000000001E-2</v>
      </c>
      <c r="F13" s="157">
        <v>1.7600000000000001E-2</v>
      </c>
      <c r="G13" s="157">
        <v>1.7600000000000001E-2</v>
      </c>
      <c r="H13" s="157">
        <v>1.7600000000000001E-2</v>
      </c>
      <c r="I13" s="157">
        <v>1.7600000000000001E-2</v>
      </c>
      <c r="J13" s="157">
        <v>1.7600000000000001E-2</v>
      </c>
      <c r="K13" s="158">
        <v>1.7600000000000001E-2</v>
      </c>
    </row>
    <row r="14" spans="1:11" ht="52.2" x14ac:dyDescent="0.3">
      <c r="A14" s="151" t="s">
        <v>319</v>
      </c>
      <c r="B14" s="157">
        <v>5.4899999999999997E-2</v>
      </c>
      <c r="C14" s="157">
        <v>5.4899999999999997E-2</v>
      </c>
      <c r="D14" s="157">
        <v>5.4899999999999997E-2</v>
      </c>
      <c r="E14" s="157">
        <v>5.4899999999999997E-2</v>
      </c>
      <c r="F14" s="157">
        <v>5.4899999999999997E-2</v>
      </c>
      <c r="G14" s="157">
        <v>5.4899999999999997E-2</v>
      </c>
      <c r="H14" s="157">
        <v>5.4899999999999997E-2</v>
      </c>
      <c r="I14" s="157">
        <v>5.4899999999999997E-2</v>
      </c>
      <c r="J14" s="157">
        <v>5.4899999999999997E-2</v>
      </c>
      <c r="K14" s="158">
        <v>5.4899999999999997E-2</v>
      </c>
    </row>
    <row r="15" spans="1:11" ht="34.799999999999997" x14ac:dyDescent="0.3">
      <c r="A15" s="151" t="s">
        <v>320</v>
      </c>
      <c r="B15" s="152">
        <v>2.38</v>
      </c>
      <c r="C15" s="152">
        <v>2.3199999999999998</v>
      </c>
      <c r="D15" s="152">
        <v>2.2799999999999998</v>
      </c>
      <c r="E15" s="152">
        <v>2.23</v>
      </c>
      <c r="F15" s="152">
        <v>2.14</v>
      </c>
      <c r="G15" s="152">
        <v>2.04</v>
      </c>
      <c r="H15" s="152">
        <v>1.92</v>
      </c>
      <c r="I15" s="152">
        <v>1.81</v>
      </c>
      <c r="J15" s="152">
        <v>1.71</v>
      </c>
      <c r="K15" s="156">
        <v>1.61</v>
      </c>
    </row>
    <row r="16" spans="1:11" ht="52.8" thickBot="1" x14ac:dyDescent="0.35">
      <c r="A16" s="161" t="s">
        <v>321</v>
      </c>
      <c r="B16" s="162">
        <v>0.1656</v>
      </c>
      <c r="C16" s="162">
        <v>0.16250000000000001</v>
      </c>
      <c r="D16" s="162">
        <v>0.16</v>
      </c>
      <c r="E16" s="162">
        <v>0.15720000000000001</v>
      </c>
      <c r="F16" s="162">
        <v>0.15260000000000001</v>
      </c>
      <c r="G16" s="162">
        <v>0.14680000000000001</v>
      </c>
      <c r="H16" s="162">
        <v>0.1406</v>
      </c>
      <c r="I16" s="162">
        <v>0.1343</v>
      </c>
      <c r="J16" s="162">
        <v>0.12859999999999999</v>
      </c>
      <c r="K16" s="163">
        <v>0.1236</v>
      </c>
    </row>
    <row r="17" spans="1:11" ht="34.799999999999997" x14ac:dyDescent="0.3">
      <c r="A17" s="151" t="s">
        <v>322</v>
      </c>
      <c r="B17" s="157">
        <v>2.4E-2</v>
      </c>
      <c r="C17" s="157">
        <v>2.23E-2</v>
      </c>
      <c r="D17" s="157">
        <v>2.24E-2</v>
      </c>
      <c r="E17" s="157">
        <v>2.1399999999999999E-2</v>
      </c>
      <c r="F17" s="157">
        <v>2.1399999999999999E-2</v>
      </c>
      <c r="G17" s="157">
        <v>2.1399999999999999E-2</v>
      </c>
      <c r="H17" s="157">
        <v>2.1399999999999999E-2</v>
      </c>
      <c r="I17" s="157">
        <v>2.1399999999999999E-2</v>
      </c>
      <c r="J17" s="157">
        <v>2.1399999999999999E-2</v>
      </c>
      <c r="K17" s="158">
        <v>0</v>
      </c>
    </row>
    <row r="18" spans="1:11" ht="52.2" x14ac:dyDescent="0.3">
      <c r="A18" s="151" t="s">
        <v>323</v>
      </c>
      <c r="B18" s="157">
        <v>0.13819999999999999</v>
      </c>
      <c r="C18" s="157">
        <v>0.13719999999999999</v>
      </c>
      <c r="D18" s="157">
        <v>0.1346</v>
      </c>
      <c r="E18" s="157">
        <v>0.13300000000000001</v>
      </c>
      <c r="F18" s="157">
        <v>0.1285</v>
      </c>
      <c r="G18" s="157">
        <v>0.12280000000000001</v>
      </c>
      <c r="H18" s="157">
        <v>0.1167</v>
      </c>
      <c r="I18" s="157">
        <v>0.1106</v>
      </c>
      <c r="J18" s="157">
        <v>0.105</v>
      </c>
      <c r="K18" s="158">
        <v>0.1236</v>
      </c>
    </row>
    <row r="19" spans="1:11" ht="35.4" thickBot="1" x14ac:dyDescent="0.35">
      <c r="A19" s="161" t="s">
        <v>324</v>
      </c>
      <c r="B19" s="162">
        <v>3.1899999999999998E-2</v>
      </c>
      <c r="C19" s="162">
        <v>3.04E-2</v>
      </c>
      <c r="D19" s="162">
        <v>3.04E-2</v>
      </c>
      <c r="E19" s="162">
        <v>3.04E-2</v>
      </c>
      <c r="F19" s="162">
        <v>3.04E-2</v>
      </c>
      <c r="G19" s="162">
        <v>3.04E-2</v>
      </c>
      <c r="H19" s="162">
        <v>3.04E-2</v>
      </c>
      <c r="I19" s="162">
        <v>3.04E-2</v>
      </c>
      <c r="J19" s="162">
        <v>3.04E-2</v>
      </c>
      <c r="K19" s="163">
        <v>3.04E-2</v>
      </c>
    </row>
    <row r="20" spans="1:11" ht="35.4" thickBot="1" x14ac:dyDescent="0.35">
      <c r="A20" s="161" t="s">
        <v>325</v>
      </c>
      <c r="B20" s="162">
        <v>0.17460000000000001</v>
      </c>
      <c r="C20" s="162">
        <v>0.17180000000000001</v>
      </c>
      <c r="D20" s="162">
        <v>0.1691</v>
      </c>
      <c r="E20" s="162">
        <v>0.16739999999999999</v>
      </c>
      <c r="F20" s="162">
        <v>0.1628</v>
      </c>
      <c r="G20" s="162">
        <v>0.157</v>
      </c>
      <c r="H20" s="162">
        <v>0.1507</v>
      </c>
      <c r="I20" s="162">
        <v>0.1444</v>
      </c>
      <c r="J20" s="162">
        <v>0.1386</v>
      </c>
      <c r="K20" s="163">
        <v>0.1578</v>
      </c>
    </row>
    <row r="21" spans="1:11" ht="18" thickBot="1" x14ac:dyDescent="0.35">
      <c r="A21" s="161" t="s">
        <v>326</v>
      </c>
      <c r="B21" s="162">
        <v>0.1076</v>
      </c>
      <c r="C21" s="162">
        <v>0.10879999999999999</v>
      </c>
      <c r="D21" s="162">
        <v>0.1181</v>
      </c>
      <c r="E21" s="162">
        <v>0.11650000000000001</v>
      </c>
      <c r="F21" s="162">
        <v>0.1171</v>
      </c>
      <c r="G21" s="162">
        <v>0.1152</v>
      </c>
      <c r="H21" s="162">
        <v>0.1134</v>
      </c>
      <c r="I21" s="162">
        <v>0.1114</v>
      </c>
      <c r="J21" s="162">
        <v>0.1094</v>
      </c>
      <c r="K21" s="163">
        <v>0.10730000000000001</v>
      </c>
    </row>
    <row r="22" spans="1:11" ht="18" thickBot="1" x14ac:dyDescent="0.35">
      <c r="A22" s="164" t="s">
        <v>22</v>
      </c>
      <c r="B22" s="165">
        <v>0.112</v>
      </c>
      <c r="C22" s="165">
        <v>0.112</v>
      </c>
      <c r="D22" s="165">
        <v>0.11600000000000001</v>
      </c>
      <c r="E22" s="165">
        <v>0.11600000000000001</v>
      </c>
      <c r="F22" s="165">
        <v>0.11600000000000001</v>
      </c>
      <c r="G22" s="165">
        <v>0.114</v>
      </c>
      <c r="H22" s="165">
        <v>0.113</v>
      </c>
      <c r="I22" s="165">
        <v>0.112</v>
      </c>
      <c r="J22" s="165">
        <v>0.111</v>
      </c>
      <c r="K22" s="166">
        <v>0.124</v>
      </c>
    </row>
  </sheetData>
  <mergeCells count="2">
    <mergeCell ref="C4:K4"/>
    <mergeCell ref="A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82"/>
  <sheetViews>
    <sheetView showGridLines="0" topLeftCell="A65" zoomScale="80" zoomScaleNormal="80" workbookViewId="0">
      <selection activeCell="E79" sqref="E79:H79"/>
    </sheetView>
  </sheetViews>
  <sheetFormatPr baseColWidth="10" defaultColWidth="11.44140625" defaultRowHeight="14.4" x14ac:dyDescent="0.3"/>
  <cols>
    <col min="1" max="1" width="2.6640625" style="1" customWidth="1"/>
    <col min="2" max="2" width="60.5546875" style="1" bestFit="1" customWidth="1"/>
    <col min="3" max="3" width="7.44140625" style="1" customWidth="1"/>
    <col min="4" max="5" width="14.5546875" style="1" bestFit="1" customWidth="1"/>
    <col min="6" max="7" width="18.5546875" style="1" customWidth="1"/>
    <col min="8" max="8" width="18.5546875" style="1" bestFit="1" customWidth="1"/>
    <col min="9" max="16384" width="11.44140625" style="1"/>
  </cols>
  <sheetData>
    <row r="2" spans="1:12" x14ac:dyDescent="0.3">
      <c r="A2" s="34"/>
      <c r="I2" s="34"/>
    </row>
    <row r="3" spans="1:12" x14ac:dyDescent="0.3">
      <c r="A3" s="34"/>
      <c r="I3" s="34"/>
    </row>
    <row r="4" spans="1:12" x14ac:dyDescent="0.3">
      <c r="A4" s="35"/>
      <c r="B4" s="168" t="s">
        <v>74</v>
      </c>
      <c r="C4" s="168"/>
      <c r="D4" s="168"/>
      <c r="E4" s="168"/>
      <c r="F4" s="168"/>
      <c r="G4" s="34"/>
      <c r="H4" s="34"/>
      <c r="I4" s="34"/>
      <c r="J4" s="34"/>
      <c r="K4" s="34"/>
      <c r="L4" s="34"/>
    </row>
    <row r="5" spans="1:12" x14ac:dyDescent="0.3">
      <c r="A5" s="35"/>
      <c r="B5" s="168" t="s">
        <v>25</v>
      </c>
      <c r="C5" s="168"/>
      <c r="D5" s="168"/>
      <c r="E5" s="168"/>
      <c r="F5" s="168"/>
      <c r="G5" s="168"/>
      <c r="H5" s="168"/>
      <c r="I5" s="35"/>
    </row>
    <row r="6" spans="1:12" x14ac:dyDescent="0.3">
      <c r="A6" s="36"/>
      <c r="B6" s="171" t="s">
        <v>78</v>
      </c>
      <c r="C6" s="171"/>
      <c r="D6" s="171"/>
      <c r="E6" s="171"/>
      <c r="F6" s="171"/>
      <c r="G6" s="171"/>
      <c r="H6" s="171"/>
      <c r="I6" s="36"/>
    </row>
    <row r="7" spans="1:12" x14ac:dyDescent="0.3">
      <c r="B7" s="171" t="s">
        <v>79</v>
      </c>
      <c r="C7" s="171"/>
      <c r="D7" s="171"/>
      <c r="E7" s="171"/>
      <c r="F7" s="171"/>
      <c r="G7" s="171"/>
      <c r="H7" s="171"/>
    </row>
    <row r="8" spans="1:12" x14ac:dyDescent="0.3">
      <c r="B8" s="172" t="s">
        <v>26</v>
      </c>
      <c r="C8" s="172"/>
      <c r="D8" s="172"/>
      <c r="E8" s="172"/>
      <c r="F8" s="172"/>
      <c r="G8" s="172"/>
      <c r="H8" s="172"/>
    </row>
    <row r="10" spans="1:12" ht="15" customHeight="1" x14ac:dyDescent="0.3"/>
    <row r="11" spans="1:12" ht="15" customHeight="1" x14ac:dyDescent="0.3">
      <c r="B11" s="169"/>
      <c r="C11" s="170" t="s">
        <v>2</v>
      </c>
      <c r="D11" s="170">
        <v>2018</v>
      </c>
      <c r="E11" s="170">
        <v>2019</v>
      </c>
      <c r="F11" s="170">
        <v>2020</v>
      </c>
      <c r="G11" s="170">
        <v>2021</v>
      </c>
      <c r="H11" s="170">
        <v>2022</v>
      </c>
    </row>
    <row r="12" spans="1:12" ht="15" customHeight="1" x14ac:dyDescent="0.3">
      <c r="B12" s="169"/>
      <c r="C12" s="170"/>
      <c r="D12" s="170"/>
      <c r="E12" s="170"/>
      <c r="F12" s="170"/>
      <c r="G12" s="170"/>
      <c r="H12" s="170"/>
    </row>
    <row r="13" spans="1:12" ht="15" customHeight="1" x14ac:dyDescent="0.3">
      <c r="B13" s="12"/>
      <c r="C13" s="11"/>
      <c r="D13" s="11"/>
      <c r="E13" s="11"/>
      <c r="F13" s="11"/>
      <c r="G13" s="11"/>
      <c r="H13" s="11"/>
    </row>
    <row r="14" spans="1:12" ht="15" customHeight="1" x14ac:dyDescent="0.3">
      <c r="B14" s="34" t="s">
        <v>29</v>
      </c>
      <c r="C14" s="10"/>
      <c r="D14" s="10"/>
    </row>
    <row r="15" spans="1:12" ht="15" customHeight="1" x14ac:dyDescent="0.3">
      <c r="B15" s="13"/>
      <c r="C15" s="10"/>
    </row>
    <row r="16" spans="1:12" ht="15" customHeight="1" x14ac:dyDescent="0.3">
      <c r="B16" s="39" t="s">
        <v>30</v>
      </c>
      <c r="C16" s="10"/>
    </row>
    <row r="17" spans="2:8" ht="15" customHeight="1" x14ac:dyDescent="0.3">
      <c r="B17" s="1" t="s">
        <v>27</v>
      </c>
      <c r="C17" s="10">
        <v>5</v>
      </c>
      <c r="D17" s="17">
        <v>640837</v>
      </c>
      <c r="E17" s="17">
        <v>353211</v>
      </c>
      <c r="F17" s="17">
        <v>612014</v>
      </c>
      <c r="G17" s="17">
        <v>483229</v>
      </c>
      <c r="H17" s="17">
        <v>790086</v>
      </c>
    </row>
    <row r="18" spans="2:8" ht="15" customHeight="1" x14ac:dyDescent="0.3">
      <c r="B18" s="1" t="s">
        <v>32</v>
      </c>
      <c r="C18" s="10">
        <v>6</v>
      </c>
      <c r="D18" s="17">
        <v>1528</v>
      </c>
      <c r="E18" s="17">
        <v>355</v>
      </c>
      <c r="F18" s="17">
        <v>66</v>
      </c>
      <c r="G18" s="17">
        <v>16263</v>
      </c>
      <c r="H18" s="17">
        <v>66715</v>
      </c>
    </row>
    <row r="19" spans="2:8" ht="15" customHeight="1" x14ac:dyDescent="0.3">
      <c r="B19" s="1" t="s">
        <v>28</v>
      </c>
      <c r="C19" s="10">
        <v>7</v>
      </c>
      <c r="D19" s="18">
        <v>3210</v>
      </c>
      <c r="E19" s="18">
        <v>0</v>
      </c>
      <c r="F19" s="20">
        <v>0</v>
      </c>
      <c r="G19" s="18">
        <v>160</v>
      </c>
      <c r="H19" s="18">
        <v>470805</v>
      </c>
    </row>
    <row r="20" spans="2:8" ht="15" customHeight="1" x14ac:dyDescent="0.3">
      <c r="B20" s="4" t="s">
        <v>33</v>
      </c>
      <c r="C20" s="10">
        <v>8</v>
      </c>
      <c r="D20" s="18">
        <v>989716</v>
      </c>
      <c r="E20" s="18">
        <v>1028622</v>
      </c>
      <c r="F20" s="17">
        <v>921175</v>
      </c>
      <c r="G20" s="18">
        <v>1130253</v>
      </c>
      <c r="H20" s="18">
        <v>1353453</v>
      </c>
    </row>
    <row r="21" spans="2:8" ht="15" customHeight="1" x14ac:dyDescent="0.3">
      <c r="B21" s="1" t="s">
        <v>31</v>
      </c>
      <c r="C21" s="10">
        <v>9</v>
      </c>
      <c r="D21" s="18">
        <v>310534</v>
      </c>
      <c r="E21" s="18">
        <v>324356</v>
      </c>
      <c r="F21" s="17">
        <v>179226</v>
      </c>
      <c r="G21" s="18">
        <v>155790</v>
      </c>
      <c r="H21" s="18">
        <v>173580</v>
      </c>
    </row>
    <row r="22" spans="2:8" ht="15" customHeight="1" x14ac:dyDescent="0.3">
      <c r="B22" s="4" t="s">
        <v>0</v>
      </c>
      <c r="C22" s="10">
        <v>10</v>
      </c>
      <c r="D22" s="18">
        <v>851417</v>
      </c>
      <c r="E22" s="18">
        <v>899542</v>
      </c>
      <c r="F22" s="17">
        <v>814997</v>
      </c>
      <c r="G22" s="18">
        <v>1035296</v>
      </c>
      <c r="H22" s="18">
        <v>1502691</v>
      </c>
    </row>
    <row r="23" spans="2:8" ht="15" customHeight="1" x14ac:dyDescent="0.3">
      <c r="B23" s="4" t="s">
        <v>73</v>
      </c>
      <c r="C23" s="10">
        <v>24</v>
      </c>
      <c r="D23" s="18">
        <v>75332</v>
      </c>
      <c r="E23" s="18">
        <v>76282</v>
      </c>
      <c r="F23" s="17">
        <v>64883</v>
      </c>
      <c r="G23" s="18">
        <v>126816</v>
      </c>
      <c r="H23" s="18">
        <v>244559</v>
      </c>
    </row>
    <row r="24" spans="2:8" ht="15" customHeight="1" x14ac:dyDescent="0.3">
      <c r="B24" s="1" t="s">
        <v>77</v>
      </c>
      <c r="C24" s="10">
        <v>18</v>
      </c>
      <c r="D24" s="17">
        <v>15787</v>
      </c>
      <c r="E24" s="17">
        <v>31944</v>
      </c>
      <c r="F24" s="17">
        <v>70240</v>
      </c>
      <c r="G24" s="17">
        <v>42507</v>
      </c>
      <c r="H24" s="17">
        <v>40944</v>
      </c>
    </row>
    <row r="25" spans="2:8" ht="15" customHeight="1" x14ac:dyDescent="0.3">
      <c r="B25" s="39" t="s">
        <v>34</v>
      </c>
      <c r="C25" s="10"/>
      <c r="D25" s="22">
        <f>SUM(D17:D24)</f>
        <v>2888361</v>
      </c>
      <c r="E25" s="22">
        <f>SUM(E17:E24)</f>
        <v>2714312</v>
      </c>
      <c r="F25" s="22">
        <f>SUM(F17:F24)</f>
        <v>2662601</v>
      </c>
      <c r="G25" s="22">
        <f>SUM(G17:G24)</f>
        <v>2990314</v>
      </c>
      <c r="H25" s="22">
        <f>SUM(H17:H24)</f>
        <v>4642833</v>
      </c>
    </row>
    <row r="26" spans="2:8" ht="15" customHeight="1" x14ac:dyDescent="0.3">
      <c r="B26" s="14"/>
      <c r="C26" s="10"/>
      <c r="D26" s="19"/>
      <c r="E26" s="19"/>
      <c r="F26" s="19"/>
      <c r="G26" s="19"/>
      <c r="H26" s="19"/>
    </row>
    <row r="27" spans="2:8" ht="15" customHeight="1" x14ac:dyDescent="0.3">
      <c r="B27" s="39" t="s">
        <v>35</v>
      </c>
      <c r="C27" s="10"/>
      <c r="D27" s="20"/>
      <c r="E27" s="20"/>
      <c r="F27" s="20"/>
      <c r="G27" s="20"/>
      <c r="H27" s="20"/>
    </row>
    <row r="28" spans="2:8" ht="15" customHeight="1" x14ac:dyDescent="0.3">
      <c r="B28" s="4" t="s">
        <v>38</v>
      </c>
      <c r="C28" s="10">
        <v>8</v>
      </c>
      <c r="D28" s="20">
        <v>166742</v>
      </c>
      <c r="E28" s="20">
        <v>147825</v>
      </c>
      <c r="F28" s="20">
        <v>140338</v>
      </c>
      <c r="G28" s="20">
        <v>48782</v>
      </c>
      <c r="H28" s="20">
        <v>47705</v>
      </c>
    </row>
    <row r="29" spans="2:8" ht="15" customHeight="1" x14ac:dyDescent="0.3">
      <c r="B29" s="4" t="s">
        <v>39</v>
      </c>
      <c r="C29" s="10">
        <v>12</v>
      </c>
      <c r="D29" s="20">
        <v>89626</v>
      </c>
      <c r="E29" s="20">
        <v>47415</v>
      </c>
      <c r="F29" s="20">
        <v>26955</v>
      </c>
      <c r="G29" s="20">
        <v>26602</v>
      </c>
      <c r="H29" s="20">
        <v>49084</v>
      </c>
    </row>
    <row r="30" spans="2:8" ht="15" customHeight="1" x14ac:dyDescent="0.3">
      <c r="B30" s="4" t="s">
        <v>32</v>
      </c>
      <c r="C30" s="10">
        <v>6</v>
      </c>
      <c r="D30" s="20">
        <v>618</v>
      </c>
      <c r="E30" s="20">
        <v>3675</v>
      </c>
      <c r="F30" s="20">
        <v>0</v>
      </c>
      <c r="G30" s="20">
        <v>15974</v>
      </c>
      <c r="H30" s="20">
        <v>87544</v>
      </c>
    </row>
    <row r="31" spans="2:8" ht="15" customHeight="1" x14ac:dyDescent="0.3">
      <c r="B31" s="4" t="s">
        <v>28</v>
      </c>
      <c r="C31" s="10">
        <v>7</v>
      </c>
      <c r="D31" s="20">
        <v>934323</v>
      </c>
      <c r="E31" s="20">
        <v>982630</v>
      </c>
      <c r="F31" s="20">
        <v>736412</v>
      </c>
      <c r="G31" s="20">
        <v>876394</v>
      </c>
      <c r="H31" s="20">
        <v>1219082</v>
      </c>
    </row>
    <row r="32" spans="2:8" ht="15" customHeight="1" x14ac:dyDescent="0.3">
      <c r="B32" s="4" t="s">
        <v>40</v>
      </c>
      <c r="C32" s="10">
        <v>14</v>
      </c>
      <c r="D32" s="20">
        <v>954841</v>
      </c>
      <c r="E32" s="20">
        <v>833014</v>
      </c>
      <c r="F32" s="20">
        <v>750224</v>
      </c>
      <c r="G32" s="20">
        <v>704845</v>
      </c>
      <c r="H32" s="20">
        <v>669344</v>
      </c>
    </row>
    <row r="33" spans="2:8" ht="15" customHeight="1" x14ac:dyDescent="0.3">
      <c r="B33" s="4" t="s">
        <v>60</v>
      </c>
      <c r="C33" s="10">
        <v>20</v>
      </c>
      <c r="D33" s="20">
        <v>0</v>
      </c>
      <c r="E33" s="20">
        <v>964860</v>
      </c>
      <c r="F33" s="20">
        <v>701804</v>
      </c>
      <c r="G33" s="20">
        <v>595787</v>
      </c>
      <c r="H33" s="20">
        <v>580846</v>
      </c>
    </row>
    <row r="34" spans="2:8" ht="15" customHeight="1" x14ac:dyDescent="0.3">
      <c r="B34" s="4" t="s">
        <v>41</v>
      </c>
      <c r="C34" s="10">
        <v>11</v>
      </c>
      <c r="D34" s="20">
        <v>21257</v>
      </c>
      <c r="E34" s="20">
        <v>20638</v>
      </c>
      <c r="F34" s="20">
        <v>20404</v>
      </c>
      <c r="G34" s="20">
        <v>19953</v>
      </c>
      <c r="H34" s="20">
        <v>19470</v>
      </c>
    </row>
    <row r="35" spans="2:8" ht="15" customHeight="1" x14ac:dyDescent="0.3">
      <c r="B35" s="4" t="s">
        <v>42</v>
      </c>
      <c r="C35" s="10">
        <v>15</v>
      </c>
      <c r="D35" s="20">
        <v>11438092</v>
      </c>
      <c r="E35" s="17">
        <v>11135945</v>
      </c>
      <c r="F35" s="17">
        <v>11214205</v>
      </c>
      <c r="G35" s="17">
        <v>11890008</v>
      </c>
      <c r="H35" s="17">
        <v>13401459</v>
      </c>
    </row>
    <row r="36" spans="2:8" ht="15" customHeight="1" x14ac:dyDescent="0.3">
      <c r="B36" s="4" t="s">
        <v>43</v>
      </c>
      <c r="C36" s="10">
        <v>16</v>
      </c>
      <c r="D36" s="17">
        <v>191903</v>
      </c>
      <c r="E36" s="17">
        <v>205370</v>
      </c>
      <c r="F36" s="17">
        <v>169154</v>
      </c>
      <c r="G36" s="17">
        <v>225282</v>
      </c>
      <c r="H36" s="17">
        <v>266953</v>
      </c>
    </row>
    <row r="37" spans="2:8" ht="15" customHeight="1" x14ac:dyDescent="0.3">
      <c r="B37" s="4" t="s">
        <v>44</v>
      </c>
      <c r="C37" s="10">
        <v>17</v>
      </c>
      <c r="D37" s="17">
        <v>1828481</v>
      </c>
      <c r="E37" s="17">
        <v>1718298</v>
      </c>
      <c r="F37" s="17">
        <v>1818708</v>
      </c>
      <c r="G37" s="17">
        <v>1862913</v>
      </c>
      <c r="H37" s="17">
        <v>2011850</v>
      </c>
    </row>
    <row r="38" spans="2:8" ht="15" customHeight="1" x14ac:dyDescent="0.3">
      <c r="B38" s="4" t="s">
        <v>45</v>
      </c>
      <c r="C38" s="10">
        <v>9</v>
      </c>
      <c r="D38" s="17">
        <v>355775</v>
      </c>
      <c r="E38" s="17">
        <v>420368</v>
      </c>
      <c r="F38" s="17">
        <v>333719</v>
      </c>
      <c r="G38" s="17">
        <v>312948</v>
      </c>
      <c r="H38" s="17">
        <v>259645</v>
      </c>
    </row>
    <row r="39" spans="2:8" ht="15" customHeight="1" x14ac:dyDescent="0.3">
      <c r="B39" s="4" t="s">
        <v>73</v>
      </c>
      <c r="C39" s="10">
        <v>24</v>
      </c>
      <c r="D39" s="17">
        <v>0</v>
      </c>
      <c r="E39" s="17">
        <v>0</v>
      </c>
      <c r="F39" s="17">
        <v>0</v>
      </c>
      <c r="G39" s="17">
        <v>0</v>
      </c>
      <c r="H39" s="17">
        <v>10117</v>
      </c>
    </row>
    <row r="40" spans="2:8" ht="15" customHeight="1" x14ac:dyDescent="0.3">
      <c r="B40" s="39" t="s">
        <v>37</v>
      </c>
      <c r="C40" s="10"/>
      <c r="D40" s="25">
        <f>SUM(D28:D39)</f>
        <v>15981658</v>
      </c>
      <c r="E40" s="25">
        <f>SUM(E28:E39)</f>
        <v>16480038</v>
      </c>
      <c r="F40" s="25">
        <f>SUM(F28:F39)</f>
        <v>15911923</v>
      </c>
      <c r="G40" s="25">
        <f>SUM(G28:G39)</f>
        <v>16579488</v>
      </c>
      <c r="H40" s="25">
        <f>SUM(H28:H39)</f>
        <v>18623099</v>
      </c>
    </row>
    <row r="41" spans="2:8" ht="15" customHeight="1" x14ac:dyDescent="0.3">
      <c r="B41" s="39" t="s">
        <v>36</v>
      </c>
      <c r="C41" s="10"/>
      <c r="D41" s="30">
        <f>+D25+D40</f>
        <v>18870019</v>
      </c>
      <c r="E41" s="30">
        <f>+E25+E40</f>
        <v>19194350</v>
      </c>
      <c r="F41" s="30">
        <f>+F25+F40</f>
        <v>18574524</v>
      </c>
      <c r="G41" s="30">
        <f>+G25+G40</f>
        <v>19569802</v>
      </c>
      <c r="H41" s="30">
        <f>+H25+H40</f>
        <v>23265932</v>
      </c>
    </row>
    <row r="42" spans="2:8" ht="15" customHeight="1" x14ac:dyDescent="0.3">
      <c r="B42" s="2"/>
      <c r="C42" s="10"/>
      <c r="D42" s="21"/>
      <c r="E42" s="21"/>
      <c r="F42" s="21"/>
      <c r="G42" s="21"/>
      <c r="H42" s="21"/>
    </row>
    <row r="43" spans="2:8" ht="15" customHeight="1" x14ac:dyDescent="0.3">
      <c r="B43" s="34" t="s">
        <v>46</v>
      </c>
      <c r="C43" s="10"/>
      <c r="D43" s="20"/>
      <c r="E43" s="20"/>
      <c r="F43" s="20"/>
      <c r="G43" s="20"/>
      <c r="H43" s="20"/>
    </row>
    <row r="44" spans="2:8" ht="15" customHeight="1" x14ac:dyDescent="0.3">
      <c r="B44" s="2"/>
      <c r="C44" s="10"/>
      <c r="D44" s="20"/>
      <c r="E44" s="20"/>
      <c r="F44" s="20"/>
      <c r="G44" s="20"/>
      <c r="H44" s="20"/>
    </row>
    <row r="45" spans="2:8" ht="15" customHeight="1" x14ac:dyDescent="0.3">
      <c r="B45" s="39" t="s">
        <v>47</v>
      </c>
      <c r="C45" s="10"/>
      <c r="D45" s="20"/>
      <c r="E45" s="20"/>
      <c r="F45" s="20"/>
      <c r="G45" s="20"/>
      <c r="H45" s="20"/>
    </row>
    <row r="46" spans="2:8" ht="15" customHeight="1" x14ac:dyDescent="0.3">
      <c r="B46" s="1" t="s">
        <v>49</v>
      </c>
      <c r="C46" s="10">
        <v>19</v>
      </c>
      <c r="D46" s="20">
        <v>1173727</v>
      </c>
      <c r="E46" s="20">
        <v>1035254</v>
      </c>
      <c r="F46" s="20">
        <v>656233</v>
      </c>
      <c r="G46" s="20">
        <v>1476758</v>
      </c>
      <c r="H46" s="20">
        <v>1197958</v>
      </c>
    </row>
    <row r="47" spans="2:8" ht="15" customHeight="1" x14ac:dyDescent="0.3">
      <c r="B47" s="1" t="s">
        <v>61</v>
      </c>
      <c r="C47" s="10">
        <v>20</v>
      </c>
      <c r="D47" s="17">
        <v>0</v>
      </c>
      <c r="E47" s="17">
        <v>148753</v>
      </c>
      <c r="F47" s="17">
        <v>125598</v>
      </c>
      <c r="G47" s="17">
        <v>118945</v>
      </c>
      <c r="H47" s="17">
        <v>126980</v>
      </c>
    </row>
    <row r="48" spans="2:8" ht="15" customHeight="1" x14ac:dyDescent="0.3">
      <c r="B48" s="1" t="s">
        <v>62</v>
      </c>
      <c r="C48" s="10">
        <v>21</v>
      </c>
      <c r="D48" s="17">
        <v>1176817</v>
      </c>
      <c r="E48" s="17">
        <v>1220127</v>
      </c>
      <c r="F48" s="17">
        <v>1017385</v>
      </c>
      <c r="G48" s="17">
        <v>983726</v>
      </c>
      <c r="H48" s="17">
        <v>1383501</v>
      </c>
    </row>
    <row r="49" spans="2:8" ht="15" customHeight="1" x14ac:dyDescent="0.3">
      <c r="B49" s="1" t="s">
        <v>50</v>
      </c>
      <c r="C49" s="10">
        <v>9</v>
      </c>
      <c r="D49" s="17">
        <v>268207</v>
      </c>
      <c r="E49" s="17">
        <v>215992</v>
      </c>
      <c r="F49" s="17">
        <v>191685</v>
      </c>
      <c r="G49" s="17">
        <v>63100</v>
      </c>
      <c r="H49" s="17">
        <v>94530</v>
      </c>
    </row>
    <row r="50" spans="2:8" ht="15" customHeight="1" x14ac:dyDescent="0.3">
      <c r="B50" s="1" t="s">
        <v>51</v>
      </c>
      <c r="C50" s="10">
        <v>22</v>
      </c>
      <c r="D50" s="17">
        <v>160802</v>
      </c>
      <c r="E50" s="17">
        <v>155269</v>
      </c>
      <c r="F50" s="17">
        <v>113859</v>
      </c>
      <c r="G50" s="17">
        <v>180102</v>
      </c>
      <c r="H50" s="17">
        <v>173361</v>
      </c>
    </row>
    <row r="51" spans="2:8" ht="15" customHeight="1" x14ac:dyDescent="0.3">
      <c r="B51" s="1" t="s">
        <v>1</v>
      </c>
      <c r="C51" s="10">
        <v>23</v>
      </c>
      <c r="D51" s="17">
        <v>81863</v>
      </c>
      <c r="E51" s="17">
        <v>83886</v>
      </c>
      <c r="F51" s="17">
        <v>153625</v>
      </c>
      <c r="G51" s="17">
        <v>95660</v>
      </c>
      <c r="H51" s="17">
        <v>109179</v>
      </c>
    </row>
    <row r="52" spans="2:8" ht="15" customHeight="1" x14ac:dyDescent="0.3">
      <c r="B52" s="1" t="s">
        <v>63</v>
      </c>
      <c r="C52" s="10">
        <v>26</v>
      </c>
      <c r="D52" s="17">
        <v>0</v>
      </c>
      <c r="E52" s="17">
        <v>16030</v>
      </c>
      <c r="F52" s="17">
        <v>3811</v>
      </c>
      <c r="G52" s="17">
        <v>0</v>
      </c>
      <c r="H52" s="17">
        <v>85018</v>
      </c>
    </row>
    <row r="53" spans="2:8" ht="15" customHeight="1" x14ac:dyDescent="0.3">
      <c r="B53" s="1" t="s">
        <v>32</v>
      </c>
      <c r="C53" s="10">
        <v>6</v>
      </c>
      <c r="D53" s="17">
        <v>277</v>
      </c>
      <c r="E53" s="17">
        <v>16310</v>
      </c>
      <c r="F53" s="17">
        <v>21611</v>
      </c>
      <c r="G53" s="17">
        <v>1360</v>
      </c>
      <c r="H53" s="17">
        <v>21908</v>
      </c>
    </row>
    <row r="54" spans="2:8" ht="15" customHeight="1" x14ac:dyDescent="0.3">
      <c r="B54" s="1" t="s">
        <v>52</v>
      </c>
      <c r="C54" s="10">
        <v>25</v>
      </c>
      <c r="D54" s="17">
        <v>100172</v>
      </c>
      <c r="E54" s="17">
        <v>30937</v>
      </c>
      <c r="F54" s="17">
        <v>294511</v>
      </c>
      <c r="G54" s="17">
        <v>317884</v>
      </c>
      <c r="H54" s="17">
        <v>458288</v>
      </c>
    </row>
    <row r="55" spans="2:8" x14ac:dyDescent="0.3">
      <c r="B55" s="4" t="s">
        <v>53</v>
      </c>
      <c r="C55" s="10">
        <v>24</v>
      </c>
      <c r="D55" s="17">
        <v>129706</v>
      </c>
      <c r="E55" s="17">
        <v>130035</v>
      </c>
      <c r="F55" s="17">
        <v>86841</v>
      </c>
      <c r="G55" s="17">
        <v>247135</v>
      </c>
      <c r="H55" s="17">
        <v>272419</v>
      </c>
    </row>
    <row r="56" spans="2:8" ht="15" customHeight="1" x14ac:dyDescent="0.3">
      <c r="B56" s="39" t="s">
        <v>48</v>
      </c>
      <c r="C56" s="10"/>
      <c r="D56" s="22">
        <f>+SUM(D46:D55)</f>
        <v>3091571</v>
      </c>
      <c r="E56" s="22">
        <f>+SUM(E46:E55)</f>
        <v>3052593</v>
      </c>
      <c r="F56" s="22">
        <f>+SUM(F46:F55)</f>
        <v>2665159</v>
      </c>
      <c r="G56" s="22">
        <f>+SUM(G46:G55)</f>
        <v>3484670</v>
      </c>
      <c r="H56" s="22">
        <f>+SUM(H46:H55)</f>
        <v>3923142</v>
      </c>
    </row>
    <row r="57" spans="2:8" ht="15" customHeight="1" x14ac:dyDescent="0.3">
      <c r="B57" s="39"/>
      <c r="C57" s="10"/>
      <c r="D57" s="19"/>
      <c r="E57" s="19"/>
      <c r="F57" s="19"/>
      <c r="G57" s="19"/>
      <c r="H57" s="23"/>
    </row>
    <row r="58" spans="2:8" ht="15" customHeight="1" x14ac:dyDescent="0.3">
      <c r="B58" s="39" t="s">
        <v>54</v>
      </c>
      <c r="C58" s="10"/>
      <c r="D58" s="20"/>
      <c r="E58" s="20"/>
      <c r="F58" s="20"/>
      <c r="G58" s="20"/>
      <c r="H58" s="20"/>
    </row>
    <row r="59" spans="2:8" ht="15" customHeight="1" x14ac:dyDescent="0.3">
      <c r="B59" s="1" t="s">
        <v>49</v>
      </c>
      <c r="C59" s="10">
        <v>19</v>
      </c>
      <c r="D59" s="20">
        <v>2672923</v>
      </c>
      <c r="E59" s="20">
        <v>2370149</v>
      </c>
      <c r="F59" s="20">
        <v>2620385</v>
      </c>
      <c r="G59" s="20">
        <v>1615678</v>
      </c>
      <c r="H59" s="20">
        <v>3119319</v>
      </c>
    </row>
    <row r="60" spans="2:8" ht="15" customHeight="1" x14ac:dyDescent="0.3">
      <c r="B60" s="1" t="s">
        <v>64</v>
      </c>
      <c r="C60" s="10">
        <v>20</v>
      </c>
      <c r="D60" s="17">
        <v>0</v>
      </c>
      <c r="E60" s="17">
        <v>805354</v>
      </c>
      <c r="F60" s="17">
        <v>602539</v>
      </c>
      <c r="G60" s="17">
        <v>556586</v>
      </c>
      <c r="H60" s="17">
        <v>563899</v>
      </c>
    </row>
    <row r="61" spans="2:8" ht="15" customHeight="1" x14ac:dyDescent="0.3">
      <c r="B61" s="1" t="s">
        <v>65</v>
      </c>
      <c r="C61" s="10">
        <v>21</v>
      </c>
      <c r="D61" s="17">
        <v>1832</v>
      </c>
      <c r="E61" s="17">
        <v>1159</v>
      </c>
      <c r="F61" s="17">
        <v>33</v>
      </c>
      <c r="G61" s="17">
        <v>5</v>
      </c>
      <c r="H61" s="17">
        <v>0</v>
      </c>
    </row>
    <row r="62" spans="2:8" ht="15" customHeight="1" x14ac:dyDescent="0.3">
      <c r="B62" s="1" t="s">
        <v>51</v>
      </c>
      <c r="C62" s="10">
        <v>22</v>
      </c>
      <c r="D62" s="17">
        <v>298401</v>
      </c>
      <c r="E62" s="17">
        <v>289800</v>
      </c>
      <c r="F62" s="17">
        <v>300623</v>
      </c>
      <c r="G62" s="17">
        <v>237982</v>
      </c>
      <c r="H62" s="17">
        <v>191913</v>
      </c>
    </row>
    <row r="63" spans="2:8" ht="15" customHeight="1" x14ac:dyDescent="0.3">
      <c r="B63" s="1" t="s">
        <v>32</v>
      </c>
      <c r="C63" s="10">
        <v>6</v>
      </c>
      <c r="D63" s="17">
        <v>22973</v>
      </c>
      <c r="E63" s="17">
        <v>48719</v>
      </c>
      <c r="F63" s="17">
        <v>95940</v>
      </c>
      <c r="G63" s="17">
        <v>47451</v>
      </c>
      <c r="H63" s="17">
        <v>649</v>
      </c>
    </row>
    <row r="64" spans="2:8" ht="15" customHeight="1" x14ac:dyDescent="0.3">
      <c r="B64" s="1" t="s">
        <v>1</v>
      </c>
      <c r="C64" s="10">
        <v>23</v>
      </c>
      <c r="D64" s="17">
        <v>211710</v>
      </c>
      <c r="E64" s="17">
        <v>167365</v>
      </c>
      <c r="F64" s="17">
        <v>181716</v>
      </c>
      <c r="G64" s="17">
        <v>201762</v>
      </c>
      <c r="H64" s="17">
        <v>189720</v>
      </c>
    </row>
    <row r="65" spans="2:8" ht="15" customHeight="1" x14ac:dyDescent="0.3">
      <c r="B65" s="1" t="s">
        <v>52</v>
      </c>
      <c r="C65" s="10">
        <v>25</v>
      </c>
      <c r="D65" s="17">
        <v>3279030</v>
      </c>
      <c r="E65" s="17">
        <v>3281633</v>
      </c>
      <c r="F65" s="17">
        <v>3215110</v>
      </c>
      <c r="G65" s="17">
        <v>2926871</v>
      </c>
      <c r="H65" s="17">
        <v>2740742</v>
      </c>
    </row>
    <row r="66" spans="2:8" ht="15" customHeight="1" x14ac:dyDescent="0.3">
      <c r="B66" s="1" t="s">
        <v>63</v>
      </c>
      <c r="C66" s="10">
        <v>24</v>
      </c>
      <c r="D66" s="17">
        <v>27614</v>
      </c>
      <c r="E66" s="17">
        <v>1634</v>
      </c>
      <c r="F66" s="17">
        <v>1443</v>
      </c>
      <c r="G66" s="17">
        <v>0</v>
      </c>
      <c r="H66" s="17">
        <v>0</v>
      </c>
    </row>
    <row r="67" spans="2:8" ht="15" customHeight="1" x14ac:dyDescent="0.3">
      <c r="B67" s="4" t="s">
        <v>57</v>
      </c>
      <c r="C67" s="10">
        <v>9</v>
      </c>
      <c r="D67" s="17">
        <v>268287</v>
      </c>
      <c r="E67" s="17">
        <v>323497</v>
      </c>
      <c r="F67" s="17">
        <v>179619</v>
      </c>
      <c r="G67" s="17">
        <v>293992</v>
      </c>
      <c r="H67" s="17">
        <v>467394</v>
      </c>
    </row>
    <row r="68" spans="2:8" ht="15" customHeight="1" x14ac:dyDescent="0.3">
      <c r="B68" s="39" t="s">
        <v>55</v>
      </c>
      <c r="C68" s="10"/>
      <c r="D68" s="22">
        <f>+SUM(D59:D67)</f>
        <v>6782770</v>
      </c>
      <c r="E68" s="150">
        <f>+SUM(E59:E67)</f>
        <v>7289310</v>
      </c>
      <c r="F68" s="150">
        <f>+SUM(F59:F67)</f>
        <v>7197408</v>
      </c>
      <c r="G68" s="150">
        <f>+SUM(G59:G67)</f>
        <v>5880327</v>
      </c>
      <c r="H68" s="150">
        <f>+SUM(H59:H67)</f>
        <v>7273636</v>
      </c>
    </row>
    <row r="69" spans="2:8" ht="15" customHeight="1" x14ac:dyDescent="0.3">
      <c r="B69" s="39" t="s">
        <v>56</v>
      </c>
      <c r="C69" s="10"/>
      <c r="D69" s="30">
        <f>+D56+D68</f>
        <v>9874341</v>
      </c>
      <c r="E69" s="25">
        <f>+E56+E68</f>
        <v>10341903</v>
      </c>
      <c r="F69" s="25">
        <f>+F56+F68</f>
        <v>9862567</v>
      </c>
      <c r="G69" s="25">
        <f>+G56+G68</f>
        <v>9364997</v>
      </c>
      <c r="H69" s="25">
        <f>+H56+H68</f>
        <v>11196778</v>
      </c>
    </row>
    <row r="70" spans="2:8" ht="15" customHeight="1" x14ac:dyDescent="0.3">
      <c r="B70" s="39"/>
      <c r="C70" s="10"/>
      <c r="E70" s="19"/>
      <c r="F70" s="19"/>
      <c r="G70" s="19"/>
      <c r="H70" s="23"/>
    </row>
    <row r="71" spans="2:8" ht="15" customHeight="1" x14ac:dyDescent="0.3">
      <c r="B71" s="4" t="s">
        <v>66</v>
      </c>
      <c r="C71" s="10">
        <v>27</v>
      </c>
      <c r="D71" s="17">
        <v>2142313</v>
      </c>
      <c r="E71" s="17">
        <v>2142313</v>
      </c>
      <c r="F71" s="17">
        <v>2142313</v>
      </c>
      <c r="G71" s="69">
        <v>2242552</v>
      </c>
      <c r="H71" s="69">
        <v>2242552</v>
      </c>
    </row>
    <row r="72" spans="2:8" ht="15" customHeight="1" x14ac:dyDescent="0.3">
      <c r="B72" s="1" t="s">
        <v>67</v>
      </c>
      <c r="C72" s="10">
        <v>27</v>
      </c>
      <c r="D72" s="17">
        <v>-113797</v>
      </c>
      <c r="E72" s="17">
        <v>-113797</v>
      </c>
      <c r="F72" s="17">
        <v>-113797</v>
      </c>
      <c r="G72" s="69">
        <v>-113797</v>
      </c>
      <c r="H72" s="69">
        <v>-113797</v>
      </c>
    </row>
    <row r="73" spans="2:8" ht="15" customHeight="1" x14ac:dyDescent="0.3">
      <c r="B73" s="1" t="s">
        <v>68</v>
      </c>
      <c r="C73" s="10">
        <v>28</v>
      </c>
      <c r="D73" s="17">
        <v>953167</v>
      </c>
      <c r="E73" s="17">
        <v>799012</v>
      </c>
      <c r="F73" s="17">
        <v>581479</v>
      </c>
      <c r="G73" s="69">
        <v>388181</v>
      </c>
      <c r="H73" s="69">
        <v>451540</v>
      </c>
    </row>
    <row r="74" spans="2:8" ht="15" customHeight="1" x14ac:dyDescent="0.3">
      <c r="B74" s="1" t="s">
        <v>69</v>
      </c>
      <c r="C74" s="10"/>
      <c r="D74" s="17">
        <v>1871351</v>
      </c>
      <c r="E74" s="17">
        <v>1848885</v>
      </c>
      <c r="F74" s="17">
        <v>1817515</v>
      </c>
      <c r="G74" s="69">
        <v>2130215</v>
      </c>
      <c r="H74" s="69">
        <v>1789968</v>
      </c>
    </row>
    <row r="75" spans="2:8" ht="15" customHeight="1" x14ac:dyDescent="0.3">
      <c r="B75" s="1" t="s">
        <v>70</v>
      </c>
      <c r="C75" s="10">
        <v>28</v>
      </c>
      <c r="D75" s="17">
        <v>3311993</v>
      </c>
      <c r="E75" s="17">
        <v>3361285</v>
      </c>
      <c r="F75" s="17">
        <v>3411631</v>
      </c>
      <c r="G75" s="69">
        <v>4602967</v>
      </c>
      <c r="H75" s="69">
        <v>6648207</v>
      </c>
    </row>
    <row r="76" spans="2:8" ht="15" customHeight="1" x14ac:dyDescent="0.3">
      <c r="B76" s="39" t="s">
        <v>71</v>
      </c>
      <c r="C76" s="10"/>
      <c r="D76" s="30">
        <f>+SUM(D71:D75)</f>
        <v>8165027</v>
      </c>
      <c r="E76" s="30">
        <f>+SUM(E71:E75)</f>
        <v>8037698</v>
      </c>
      <c r="F76" s="30">
        <f>+SUM(F71:F75)</f>
        <v>7839141</v>
      </c>
      <c r="G76" s="30">
        <f>SUM(G71:G75)</f>
        <v>9250118</v>
      </c>
      <c r="H76" s="30">
        <f>SUM(H71:H75)</f>
        <v>11018470</v>
      </c>
    </row>
    <row r="77" spans="2:8" ht="15" customHeight="1" x14ac:dyDescent="0.3">
      <c r="B77" s="1" t="s">
        <v>72</v>
      </c>
      <c r="C77" s="10">
        <v>30</v>
      </c>
      <c r="D77" s="17">
        <v>830651</v>
      </c>
      <c r="E77" s="17">
        <v>814749</v>
      </c>
      <c r="F77" s="17">
        <v>872816</v>
      </c>
      <c r="G77" s="17">
        <v>954687</v>
      </c>
      <c r="H77" s="17">
        <v>1050684</v>
      </c>
    </row>
    <row r="78" spans="2:8" ht="15" customHeight="1" x14ac:dyDescent="0.3">
      <c r="B78" s="39"/>
      <c r="C78" s="10"/>
      <c r="D78" s="19"/>
      <c r="E78" s="19"/>
      <c r="F78" s="19"/>
      <c r="G78" s="19"/>
      <c r="H78" s="23"/>
    </row>
    <row r="79" spans="2:8" ht="15" customHeight="1" x14ac:dyDescent="0.3">
      <c r="B79" s="39" t="s">
        <v>58</v>
      </c>
      <c r="C79" s="10"/>
      <c r="D79" s="25">
        <f>+D76+D77</f>
        <v>8995678</v>
      </c>
      <c r="E79" s="25">
        <f>+E76+E77</f>
        <v>8852447</v>
      </c>
      <c r="F79" s="25">
        <f>+F76+F77</f>
        <v>8711957</v>
      </c>
      <c r="G79" s="25">
        <f>+G76+G77</f>
        <v>10204805</v>
      </c>
      <c r="H79" s="25">
        <f>+H76+H77</f>
        <v>12069154</v>
      </c>
    </row>
    <row r="80" spans="2:8" ht="15" customHeight="1" thickBot="1" x14ac:dyDescent="0.35">
      <c r="B80" s="39" t="s">
        <v>59</v>
      </c>
      <c r="C80" s="10"/>
      <c r="D80" s="28">
        <f>+D69+D79</f>
        <v>18870019</v>
      </c>
      <c r="E80" s="28">
        <f>+E69+E79</f>
        <v>19194350</v>
      </c>
      <c r="F80" s="28">
        <f>+F69+F79</f>
        <v>18574524</v>
      </c>
      <c r="G80" s="28">
        <f>+G69+G79</f>
        <v>19569802</v>
      </c>
      <c r="H80" s="28">
        <f>+H69+H79</f>
        <v>23265932</v>
      </c>
    </row>
    <row r="81" spans="2:8" ht="15" customHeight="1" x14ac:dyDescent="0.3">
      <c r="B81" s="39"/>
      <c r="C81" s="10"/>
      <c r="D81" s="10"/>
    </row>
    <row r="82" spans="2:8" ht="15" customHeight="1" x14ac:dyDescent="0.3">
      <c r="B82" s="2"/>
      <c r="C82" s="10"/>
      <c r="D82" s="10"/>
      <c r="E82" s="19"/>
      <c r="F82" s="19"/>
      <c r="G82" s="19"/>
      <c r="H82" s="23"/>
    </row>
  </sheetData>
  <mergeCells count="12">
    <mergeCell ref="B4:F4"/>
    <mergeCell ref="B11:B12"/>
    <mergeCell ref="C11:C12"/>
    <mergeCell ref="E11:E12"/>
    <mergeCell ref="H11:H12"/>
    <mergeCell ref="F11:F12"/>
    <mergeCell ref="G11:G12"/>
    <mergeCell ref="D11:D12"/>
    <mergeCell ref="B5:H5"/>
    <mergeCell ref="B6:H6"/>
    <mergeCell ref="B7:H7"/>
    <mergeCell ref="B8:H8"/>
  </mergeCells>
  <phoneticPr fontId="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75"/>
  <sheetViews>
    <sheetView showGridLines="0" topLeftCell="A21" zoomScale="90" zoomScaleNormal="90" workbookViewId="0">
      <selection activeCell="B48" sqref="B48"/>
    </sheetView>
  </sheetViews>
  <sheetFormatPr baseColWidth="10" defaultColWidth="11.44140625" defaultRowHeight="14.4" x14ac:dyDescent="0.3"/>
  <cols>
    <col min="1" max="1" width="2.6640625" style="1" customWidth="1"/>
    <col min="2" max="2" width="60.5546875" style="1" bestFit="1" customWidth="1"/>
    <col min="3" max="3" width="7.44140625" style="1" bestFit="1" customWidth="1"/>
    <col min="4" max="4" width="18.5546875" style="1" bestFit="1" customWidth="1"/>
    <col min="5" max="5" width="22.109375" style="1" customWidth="1"/>
    <col min="6" max="7" width="18.5546875" style="1" customWidth="1"/>
    <col min="8" max="8" width="18.5546875" style="1" bestFit="1" customWidth="1"/>
    <col min="9" max="9" width="11.44140625" style="1"/>
    <col min="10" max="10" width="29.109375" style="1" bestFit="1" customWidth="1"/>
    <col min="11" max="11" width="11.44140625" style="1"/>
    <col min="12" max="13" width="18.5546875" style="1" bestFit="1" customWidth="1"/>
    <col min="14" max="16384" width="11.44140625" style="1"/>
  </cols>
  <sheetData>
    <row r="2" spans="1:14" x14ac:dyDescent="0.3">
      <c r="A2" s="34"/>
      <c r="I2" s="34"/>
      <c r="J2" s="34"/>
    </row>
    <row r="3" spans="1:14" x14ac:dyDescent="0.3">
      <c r="A3" s="34"/>
      <c r="I3" s="34"/>
      <c r="J3" s="34"/>
    </row>
    <row r="4" spans="1:14" x14ac:dyDescent="0.3">
      <c r="A4" s="35"/>
      <c r="B4" s="168" t="s">
        <v>5</v>
      </c>
      <c r="C4" s="168"/>
      <c r="D4" s="168"/>
      <c r="E4" s="168"/>
      <c r="F4" s="168"/>
      <c r="G4" s="168"/>
      <c r="H4" s="168"/>
      <c r="I4" s="35"/>
      <c r="J4" s="35"/>
    </row>
    <row r="5" spans="1:14" x14ac:dyDescent="0.3">
      <c r="A5" s="35"/>
      <c r="B5" s="168" t="s">
        <v>25</v>
      </c>
      <c r="C5" s="168"/>
      <c r="D5" s="168"/>
      <c r="E5" s="168"/>
      <c r="F5" s="168"/>
      <c r="G5" s="168"/>
      <c r="H5" s="168"/>
      <c r="I5" s="35"/>
      <c r="J5" s="35"/>
    </row>
    <row r="6" spans="1:14" x14ac:dyDescent="0.3">
      <c r="A6" s="36"/>
      <c r="B6" s="171" t="s">
        <v>7</v>
      </c>
      <c r="C6" s="171"/>
      <c r="D6" s="171"/>
      <c r="E6" s="171"/>
      <c r="F6" s="171"/>
      <c r="G6" s="171"/>
      <c r="H6" s="171"/>
      <c r="I6" s="36"/>
      <c r="J6" s="36"/>
    </row>
    <row r="7" spans="1:14" x14ac:dyDescent="0.3">
      <c r="B7" s="171" t="s">
        <v>79</v>
      </c>
      <c r="C7" s="171"/>
      <c r="D7" s="171"/>
      <c r="E7" s="171"/>
      <c r="F7" s="171"/>
      <c r="G7" s="171"/>
      <c r="H7" s="171"/>
    </row>
    <row r="8" spans="1:14" x14ac:dyDescent="0.3">
      <c r="B8" s="172" t="s">
        <v>26</v>
      </c>
      <c r="C8" s="172"/>
      <c r="D8" s="172"/>
      <c r="E8" s="172"/>
      <c r="F8" s="172"/>
      <c r="G8" s="172"/>
      <c r="H8" s="172"/>
      <c r="J8" s="48"/>
      <c r="K8" s="48"/>
      <c r="L8" s="48"/>
      <c r="M8" s="48"/>
      <c r="N8" s="48"/>
    </row>
    <row r="9" spans="1:14" x14ac:dyDescent="0.3">
      <c r="J9" s="48"/>
      <c r="K9" s="48"/>
      <c r="L9" s="48"/>
      <c r="M9" s="48"/>
      <c r="N9" s="48"/>
    </row>
    <row r="10" spans="1:14" ht="15" customHeight="1" x14ac:dyDescent="0.3">
      <c r="J10" s="48"/>
      <c r="K10" s="48"/>
      <c r="L10" s="48"/>
      <c r="M10" s="48"/>
      <c r="N10" s="48"/>
    </row>
    <row r="11" spans="1:14" ht="15" customHeight="1" x14ac:dyDescent="0.3">
      <c r="B11" s="169"/>
      <c r="C11" s="170" t="s">
        <v>2</v>
      </c>
      <c r="D11" s="170">
        <v>2018</v>
      </c>
      <c r="E11" s="170">
        <v>2019</v>
      </c>
      <c r="F11" s="170">
        <v>2020</v>
      </c>
      <c r="G11" s="170">
        <v>2021</v>
      </c>
      <c r="H11" s="170">
        <v>2022</v>
      </c>
      <c r="J11" s="173"/>
      <c r="K11" s="173"/>
      <c r="L11" s="174"/>
      <c r="M11" s="174"/>
      <c r="N11" s="48"/>
    </row>
    <row r="12" spans="1:14" ht="15" customHeight="1" x14ac:dyDescent="0.3">
      <c r="B12" s="169"/>
      <c r="C12" s="170"/>
      <c r="D12" s="170"/>
      <c r="E12" s="170"/>
      <c r="F12" s="170"/>
      <c r="G12" s="170"/>
      <c r="H12" s="170"/>
      <c r="J12" s="173"/>
      <c r="K12" s="173"/>
      <c r="L12" s="174"/>
      <c r="M12" s="174"/>
      <c r="N12" s="48"/>
    </row>
    <row r="13" spans="1:14" ht="15" customHeight="1" x14ac:dyDescent="0.3">
      <c r="B13" s="12"/>
      <c r="C13" s="11"/>
      <c r="D13" s="11"/>
      <c r="E13" s="11"/>
      <c r="F13" s="11"/>
      <c r="G13" s="11"/>
      <c r="H13" s="11"/>
      <c r="J13" s="48"/>
      <c r="K13" s="48"/>
      <c r="L13" s="48"/>
      <c r="M13" s="48"/>
      <c r="N13" s="48"/>
    </row>
    <row r="14" spans="1:14" ht="15" customHeight="1" x14ac:dyDescent="0.3">
      <c r="B14" s="34" t="s">
        <v>4</v>
      </c>
      <c r="C14" s="10"/>
      <c r="J14" s="48"/>
      <c r="K14" s="48"/>
      <c r="L14" s="49"/>
      <c r="M14" s="49"/>
      <c r="N14" s="48"/>
    </row>
    <row r="15" spans="1:14" ht="15" customHeight="1" x14ac:dyDescent="0.3">
      <c r="B15" s="13"/>
      <c r="C15" s="10"/>
      <c r="J15" s="48"/>
      <c r="K15" s="48"/>
      <c r="L15" s="49"/>
      <c r="M15" s="49"/>
      <c r="N15" s="48"/>
    </row>
    <row r="16" spans="1:14" ht="15" customHeight="1" x14ac:dyDescent="0.3">
      <c r="B16" s="1" t="s">
        <v>80</v>
      </c>
      <c r="C16" s="1">
        <v>31.32</v>
      </c>
      <c r="D16" s="20">
        <v>8417604</v>
      </c>
      <c r="E16" s="20">
        <v>9375076</v>
      </c>
      <c r="F16" s="20">
        <v>9000548</v>
      </c>
      <c r="G16" s="20">
        <v>9817689</v>
      </c>
      <c r="H16" s="20">
        <v>11684055</v>
      </c>
      <c r="J16" s="48"/>
      <c r="K16" s="48"/>
      <c r="L16" s="48"/>
      <c r="M16" s="48"/>
      <c r="N16" s="48"/>
    </row>
    <row r="17" spans="2:14" ht="15" customHeight="1" x14ac:dyDescent="0.3">
      <c r="B17" s="1" t="s">
        <v>81</v>
      </c>
      <c r="C17" s="1">
        <v>10</v>
      </c>
      <c r="D17" s="20">
        <v>-6852288</v>
      </c>
      <c r="E17" s="20">
        <v>-7754408</v>
      </c>
      <c r="F17" s="20">
        <v>-7367975</v>
      </c>
      <c r="G17" s="20">
        <v>-7912107</v>
      </c>
      <c r="H17" s="20">
        <v>-9627196</v>
      </c>
      <c r="J17" s="66"/>
      <c r="K17" s="48"/>
      <c r="L17" s="27"/>
      <c r="M17" s="27"/>
      <c r="N17" s="48"/>
    </row>
    <row r="18" spans="2:14" ht="15" customHeight="1" x14ac:dyDescent="0.3">
      <c r="J18" s="48"/>
      <c r="K18" s="48"/>
      <c r="L18" s="48"/>
      <c r="M18" s="48"/>
      <c r="N18" s="48"/>
    </row>
    <row r="19" spans="2:14" ht="15" customHeight="1" x14ac:dyDescent="0.3">
      <c r="B19" s="50" t="s">
        <v>14</v>
      </c>
      <c r="C19" s="51"/>
      <c r="D19" s="52">
        <f>D16+D17</f>
        <v>1565316</v>
      </c>
      <c r="E19" s="53">
        <f>E16+E17</f>
        <v>1620668</v>
      </c>
      <c r="F19" s="53">
        <f>F16+F17</f>
        <v>1632573</v>
      </c>
      <c r="G19" s="53">
        <f>G16+G17</f>
        <v>1905582</v>
      </c>
      <c r="H19" s="53">
        <f>H16+H17</f>
        <v>2056859</v>
      </c>
      <c r="J19" s="48"/>
      <c r="K19" s="48"/>
      <c r="L19" s="49"/>
      <c r="M19" s="49"/>
      <c r="N19" s="48"/>
    </row>
    <row r="20" spans="2:14" ht="15" customHeight="1" x14ac:dyDescent="0.3">
      <c r="J20" s="48"/>
      <c r="K20" s="48"/>
      <c r="L20" s="49"/>
      <c r="M20" s="49"/>
      <c r="N20" s="48"/>
    </row>
    <row r="21" spans="2:14" ht="15" customHeight="1" x14ac:dyDescent="0.3">
      <c r="B21" s="1" t="s">
        <v>82</v>
      </c>
      <c r="C21" s="1">
        <v>33</v>
      </c>
      <c r="D21" s="20">
        <v>-625529</v>
      </c>
      <c r="E21" s="20">
        <v>-696497</v>
      </c>
      <c r="F21" s="20">
        <v>-618948</v>
      </c>
      <c r="G21" s="20">
        <v>-644734</v>
      </c>
      <c r="H21" s="20">
        <v>-745458</v>
      </c>
      <c r="J21" s="48"/>
      <c r="K21" s="48"/>
      <c r="L21" s="49"/>
      <c r="M21" s="49"/>
      <c r="N21" s="48"/>
    </row>
    <row r="22" spans="2:14" ht="15" customHeight="1" x14ac:dyDescent="0.3">
      <c r="B22" s="1" t="s">
        <v>83</v>
      </c>
      <c r="C22" s="1">
        <v>33</v>
      </c>
      <c r="D22" s="20">
        <v>-260317</v>
      </c>
      <c r="E22" s="20">
        <v>-278180</v>
      </c>
      <c r="F22" s="20">
        <v>-260747</v>
      </c>
      <c r="G22" s="20">
        <v>-284761</v>
      </c>
      <c r="H22" s="20">
        <v>-331495</v>
      </c>
      <c r="J22" s="48"/>
      <c r="K22" s="48"/>
      <c r="L22" s="49"/>
      <c r="M22" s="49"/>
      <c r="N22" s="48"/>
    </row>
    <row r="23" spans="2:14" ht="15" customHeight="1" x14ac:dyDescent="0.3">
      <c r="B23" s="1" t="s">
        <v>84</v>
      </c>
      <c r="C23" s="1">
        <v>34</v>
      </c>
      <c r="D23" s="20">
        <v>149981</v>
      </c>
      <c r="E23" s="20">
        <v>195067</v>
      </c>
      <c r="F23" s="20">
        <v>-56717</v>
      </c>
      <c r="G23" s="20">
        <v>258926</v>
      </c>
      <c r="H23" s="20">
        <v>196440</v>
      </c>
      <c r="J23" s="48"/>
      <c r="K23" s="48"/>
      <c r="L23" s="48"/>
      <c r="M23" s="48"/>
      <c r="N23" s="48"/>
    </row>
    <row r="24" spans="2:14" ht="15" customHeight="1" x14ac:dyDescent="0.3">
      <c r="B24" s="48" t="s">
        <v>85</v>
      </c>
      <c r="C24" s="48">
        <v>17</v>
      </c>
      <c r="D24" s="49">
        <v>-4340</v>
      </c>
      <c r="E24" s="49">
        <v>-2326</v>
      </c>
      <c r="F24" s="49">
        <v>-1120</v>
      </c>
      <c r="G24" s="49">
        <v>-18123</v>
      </c>
      <c r="H24" s="49">
        <v>-724</v>
      </c>
      <c r="J24" s="66"/>
      <c r="K24" s="48"/>
      <c r="L24" s="27"/>
      <c r="M24" s="27"/>
      <c r="N24" s="48"/>
    </row>
    <row r="25" spans="2:14" ht="15" customHeight="1" x14ac:dyDescent="0.3">
      <c r="J25" s="48"/>
      <c r="K25" s="48"/>
      <c r="L25" s="48"/>
      <c r="M25" s="48"/>
      <c r="N25" s="48"/>
    </row>
    <row r="26" spans="2:14" ht="15" customHeight="1" x14ac:dyDescent="0.3">
      <c r="B26" s="50" t="s">
        <v>9</v>
      </c>
      <c r="C26" s="51"/>
      <c r="D26" s="53">
        <f>+D19+D21+D22+D23+D24</f>
        <v>825111</v>
      </c>
      <c r="E26" s="53">
        <f>+E19+E21+E22+E23+E24</f>
        <v>838732</v>
      </c>
      <c r="F26" s="53">
        <f>+F19+F21+F22+F23+F24</f>
        <v>695041</v>
      </c>
      <c r="G26" s="53">
        <f>+G19+G21+G22+G23+G24</f>
        <v>1216890</v>
      </c>
      <c r="H26" s="53">
        <f>+H19+H21+H22+H23+H24</f>
        <v>1175622</v>
      </c>
      <c r="J26" s="48"/>
      <c r="K26" s="48"/>
      <c r="L26" s="49"/>
      <c r="M26" s="49"/>
      <c r="N26" s="48"/>
    </row>
    <row r="27" spans="2:14" ht="15" customHeight="1" x14ac:dyDescent="0.3">
      <c r="J27" s="48"/>
      <c r="K27" s="48"/>
      <c r="L27" s="49"/>
      <c r="M27" s="49"/>
      <c r="N27" s="48"/>
    </row>
    <row r="28" spans="2:14" ht="15" customHeight="1" x14ac:dyDescent="0.3">
      <c r="B28" s="1" t="s">
        <v>91</v>
      </c>
      <c r="C28" s="1">
        <v>36</v>
      </c>
      <c r="D28" s="20">
        <v>0</v>
      </c>
      <c r="E28" s="20">
        <v>0</v>
      </c>
      <c r="F28" s="20">
        <v>42318</v>
      </c>
      <c r="G28" s="20">
        <v>32738</v>
      </c>
      <c r="H28" s="20">
        <v>52303</v>
      </c>
      <c r="J28" s="48"/>
      <c r="K28" s="48"/>
      <c r="L28" s="49"/>
      <c r="M28" s="49"/>
      <c r="N28" s="48"/>
    </row>
    <row r="29" spans="2:14" ht="15" customHeight="1" x14ac:dyDescent="0.3">
      <c r="B29" s="1" t="s">
        <v>86</v>
      </c>
      <c r="C29" s="1">
        <v>37</v>
      </c>
      <c r="D29" s="20">
        <v>-414638</v>
      </c>
      <c r="E29" s="20">
        <v>-491588</v>
      </c>
      <c r="F29" s="20">
        <v>-498563</v>
      </c>
      <c r="G29" s="20">
        <v>-434224</v>
      </c>
      <c r="H29" s="20">
        <v>-658399</v>
      </c>
      <c r="J29" s="48"/>
      <c r="K29" s="48"/>
      <c r="L29" s="49"/>
      <c r="M29" s="49"/>
      <c r="N29" s="48"/>
    </row>
    <row r="30" spans="2:14" ht="15" customHeight="1" x14ac:dyDescent="0.3">
      <c r="B30" s="1" t="s">
        <v>87</v>
      </c>
      <c r="C30" s="1">
        <v>35</v>
      </c>
      <c r="D30" s="20">
        <v>16193</v>
      </c>
      <c r="E30" s="20">
        <v>8812</v>
      </c>
      <c r="F30" s="20">
        <v>-11351</v>
      </c>
      <c r="G30" s="20">
        <v>10387</v>
      </c>
      <c r="H30" s="20">
        <v>3421</v>
      </c>
      <c r="J30" s="48"/>
      <c r="K30" s="48"/>
      <c r="L30" s="48"/>
      <c r="M30" s="48"/>
      <c r="N30" s="48"/>
    </row>
    <row r="31" spans="2:14" ht="15" customHeight="1" x14ac:dyDescent="0.3">
      <c r="B31" s="1" t="s">
        <v>88</v>
      </c>
      <c r="C31" s="1">
        <v>12</v>
      </c>
      <c r="D31" s="20">
        <v>-12203</v>
      </c>
      <c r="E31" s="20">
        <v>-13133</v>
      </c>
      <c r="F31" s="20">
        <v>-5630</v>
      </c>
      <c r="G31" s="20">
        <v>-8157</v>
      </c>
      <c r="H31" s="20">
        <v>7461</v>
      </c>
      <c r="J31" s="66"/>
      <c r="K31" s="48"/>
      <c r="L31" s="27"/>
      <c r="M31" s="27"/>
      <c r="N31" s="48"/>
    </row>
    <row r="32" spans="2:14" ht="15" customHeight="1" x14ac:dyDescent="0.3">
      <c r="J32" s="48"/>
      <c r="K32" s="48"/>
      <c r="L32" s="48"/>
      <c r="M32" s="48"/>
      <c r="N32" s="48"/>
    </row>
    <row r="33" spans="2:14" ht="15" customHeight="1" x14ac:dyDescent="0.3">
      <c r="B33" s="50" t="s">
        <v>89</v>
      </c>
      <c r="C33" s="51"/>
      <c r="D33" s="53">
        <f>D26+D29+D30+D31</f>
        <v>414463</v>
      </c>
      <c r="E33" s="53">
        <f>E26+E29+E30+E31</f>
        <v>342823</v>
      </c>
      <c r="F33" s="53">
        <f>F26+F29+F30+F31+F28</f>
        <v>221815</v>
      </c>
      <c r="G33" s="53">
        <f>G26+G29+G30+G31+G28</f>
        <v>817634</v>
      </c>
      <c r="H33" s="53">
        <f>H26+H29+H30+H31+H28</f>
        <v>580408</v>
      </c>
      <c r="J33" s="48"/>
      <c r="K33" s="48"/>
      <c r="L33" s="49"/>
      <c r="M33" s="49"/>
      <c r="N33" s="48"/>
    </row>
    <row r="34" spans="2:14" ht="15" customHeight="1" x14ac:dyDescent="0.3">
      <c r="J34" s="48"/>
      <c r="K34" s="48"/>
      <c r="L34" s="48"/>
      <c r="M34" s="48"/>
      <c r="N34" s="48"/>
    </row>
    <row r="35" spans="2:14" ht="15" customHeight="1" x14ac:dyDescent="0.3">
      <c r="B35" s="1" t="s">
        <v>90</v>
      </c>
      <c r="C35" s="1">
        <v>9</v>
      </c>
      <c r="D35" s="49">
        <v>-123029</v>
      </c>
      <c r="E35" s="49">
        <v>-146315</v>
      </c>
      <c r="F35" s="49">
        <v>-81001</v>
      </c>
      <c r="G35" s="49">
        <v>-293698</v>
      </c>
      <c r="H35" s="49">
        <v>-365594</v>
      </c>
      <c r="J35" s="66"/>
      <c r="K35" s="66"/>
      <c r="L35" s="27"/>
      <c r="M35" s="27"/>
      <c r="N35" s="48"/>
    </row>
    <row r="36" spans="2:14" ht="15" customHeight="1" x14ac:dyDescent="0.3">
      <c r="J36" s="48"/>
      <c r="K36" s="48"/>
      <c r="L36" s="48"/>
      <c r="M36" s="48"/>
      <c r="N36" s="48"/>
    </row>
    <row r="37" spans="2:14" ht="15" customHeight="1" x14ac:dyDescent="0.3">
      <c r="B37" s="50" t="s">
        <v>15</v>
      </c>
      <c r="C37" s="54">
        <v>39</v>
      </c>
      <c r="D37" s="53">
        <f>D33+D35</f>
        <v>291434</v>
      </c>
      <c r="E37" s="53">
        <f>E33+E35</f>
        <v>196508</v>
      </c>
      <c r="F37" s="53">
        <f>F33+F35</f>
        <v>140814</v>
      </c>
      <c r="G37" s="53">
        <f>G33+G35</f>
        <v>523936</v>
      </c>
      <c r="H37" s="53">
        <f>H33+H35</f>
        <v>214814</v>
      </c>
      <c r="J37" s="48"/>
      <c r="K37" s="48"/>
      <c r="L37" s="48"/>
      <c r="M37" s="48"/>
      <c r="N37" s="48"/>
    </row>
    <row r="38" spans="2:14" ht="15" customHeight="1" x14ac:dyDescent="0.3">
      <c r="C38" s="10"/>
      <c r="D38" s="17"/>
      <c r="E38" s="17"/>
      <c r="F38" s="17"/>
      <c r="G38" s="17"/>
      <c r="H38" s="17"/>
      <c r="L38" s="20"/>
    </row>
    <row r="39" spans="2:14" ht="15" customHeight="1" x14ac:dyDescent="0.3">
      <c r="C39" s="10"/>
      <c r="D39" s="17"/>
      <c r="E39" s="17"/>
      <c r="F39" s="17"/>
      <c r="G39" s="17"/>
      <c r="H39" s="17"/>
      <c r="L39" s="47"/>
    </row>
    <row r="40" spans="2:14" ht="15" customHeight="1" x14ac:dyDescent="0.3">
      <c r="C40" s="10"/>
      <c r="D40" s="17"/>
      <c r="E40" s="17"/>
      <c r="F40" s="17"/>
      <c r="G40" s="17"/>
      <c r="H40" s="17"/>
    </row>
    <row r="41" spans="2:14" ht="15" customHeight="1" x14ac:dyDescent="0.3">
      <c r="C41" s="10"/>
      <c r="D41" s="17"/>
      <c r="E41" s="17"/>
      <c r="F41" s="17"/>
      <c r="G41" s="17"/>
      <c r="H41" s="17"/>
    </row>
    <row r="42" spans="2:14" ht="15" customHeight="1" x14ac:dyDescent="0.3">
      <c r="B42" s="39"/>
      <c r="C42" s="10"/>
      <c r="D42" s="19"/>
      <c r="E42" s="19"/>
      <c r="F42" s="19"/>
      <c r="G42" s="19"/>
      <c r="H42" s="23"/>
    </row>
    <row r="43" spans="2:14" ht="15" customHeight="1" x14ac:dyDescent="0.3">
      <c r="B43" s="2"/>
      <c r="C43" s="10"/>
      <c r="D43" s="19"/>
      <c r="E43" s="19"/>
      <c r="F43" s="19"/>
      <c r="G43" s="19"/>
      <c r="H43" s="23"/>
    </row>
    <row r="44" spans="2:14" ht="15" customHeight="1" x14ac:dyDescent="0.3">
      <c r="B44" s="39"/>
      <c r="C44" s="10"/>
      <c r="D44" s="72"/>
      <c r="E44" s="72"/>
      <c r="F44" s="72"/>
      <c r="G44" s="72"/>
      <c r="H44" s="72"/>
    </row>
    <row r="45" spans="2:14" ht="15" customHeight="1" x14ac:dyDescent="0.3">
      <c r="B45" s="14"/>
      <c r="C45" s="10"/>
      <c r="D45" s="24"/>
      <c r="E45" s="24"/>
      <c r="F45" s="24"/>
      <c r="G45" s="24"/>
      <c r="H45" s="24"/>
    </row>
    <row r="46" spans="2:14" ht="15" customHeight="1" x14ac:dyDescent="0.3">
      <c r="B46" s="39"/>
      <c r="C46" s="10"/>
      <c r="D46" s="72"/>
      <c r="E46" s="72"/>
      <c r="F46" s="72"/>
      <c r="G46" s="72"/>
      <c r="H46" s="72"/>
    </row>
    <row r="47" spans="2:14" ht="15" customHeight="1" x14ac:dyDescent="0.3">
      <c r="C47" s="10"/>
      <c r="D47" s="24"/>
      <c r="E47" s="24"/>
      <c r="F47" s="24"/>
      <c r="G47" s="24"/>
      <c r="H47" s="24"/>
    </row>
    <row r="48" spans="2:14" ht="15" customHeight="1" x14ac:dyDescent="0.3">
      <c r="B48" s="39"/>
      <c r="C48" s="10"/>
      <c r="D48" s="20"/>
      <c r="E48" s="20"/>
      <c r="F48" s="20"/>
      <c r="G48" s="20"/>
      <c r="H48" s="20"/>
      <c r="L48" s="31"/>
    </row>
    <row r="49" spans="2:8" ht="15" customHeight="1" x14ac:dyDescent="0.3">
      <c r="B49" s="2"/>
      <c r="C49" s="10"/>
      <c r="D49" s="20"/>
      <c r="E49" s="20"/>
      <c r="F49" s="20"/>
      <c r="G49" s="20"/>
      <c r="H49" s="20"/>
    </row>
    <row r="50" spans="2:8" ht="15" customHeight="1" x14ac:dyDescent="0.3">
      <c r="C50" s="10"/>
      <c r="D50" s="17"/>
      <c r="E50" s="17"/>
      <c r="F50" s="17"/>
      <c r="G50" s="17"/>
      <c r="H50" s="17"/>
    </row>
    <row r="51" spans="2:8" ht="15" customHeight="1" x14ac:dyDescent="0.3">
      <c r="C51" s="10"/>
      <c r="D51" s="17"/>
      <c r="E51" s="17"/>
      <c r="F51" s="17"/>
      <c r="G51" s="17"/>
      <c r="H51" s="17"/>
    </row>
    <row r="52" spans="2:8" ht="15" customHeight="1" x14ac:dyDescent="0.3">
      <c r="C52" s="10"/>
      <c r="D52" s="17"/>
      <c r="E52" s="17"/>
      <c r="F52" s="17"/>
      <c r="G52" s="17"/>
      <c r="H52" s="17"/>
    </row>
    <row r="53" spans="2:8" ht="15" customHeight="1" x14ac:dyDescent="0.3">
      <c r="B53" s="39"/>
      <c r="C53" s="10"/>
      <c r="D53" s="21"/>
      <c r="E53" s="21"/>
      <c r="F53" s="21"/>
      <c r="G53" s="21"/>
      <c r="H53" s="21"/>
    </row>
    <row r="54" spans="2:8" ht="15" customHeight="1" x14ac:dyDescent="0.3">
      <c r="B54" s="14"/>
      <c r="C54" s="10"/>
      <c r="D54" s="21"/>
      <c r="E54" s="21"/>
      <c r="F54" s="21"/>
      <c r="G54" s="21"/>
      <c r="H54" s="21"/>
    </row>
    <row r="55" spans="2:8" ht="15" customHeight="1" x14ac:dyDescent="0.3">
      <c r="B55" s="39"/>
      <c r="C55" s="10"/>
      <c r="D55" s="20"/>
      <c r="E55" s="20"/>
      <c r="F55" s="20"/>
      <c r="G55" s="20"/>
      <c r="H55" s="20"/>
    </row>
    <row r="56" spans="2:8" ht="15" customHeight="1" x14ac:dyDescent="0.3">
      <c r="B56" s="2"/>
      <c r="C56" s="10"/>
      <c r="D56" s="20"/>
      <c r="E56" s="20"/>
      <c r="F56" s="20"/>
      <c r="G56" s="20"/>
      <c r="H56" s="20"/>
    </row>
    <row r="57" spans="2:8" ht="15" customHeight="1" x14ac:dyDescent="0.3">
      <c r="C57" s="10"/>
      <c r="D57" s="20"/>
      <c r="E57" s="20"/>
      <c r="F57" s="20"/>
      <c r="G57" s="20"/>
      <c r="H57" s="20"/>
    </row>
    <row r="58" spans="2:8" ht="15" customHeight="1" x14ac:dyDescent="0.3">
      <c r="C58" s="10"/>
      <c r="D58" s="20"/>
      <c r="E58" s="20"/>
      <c r="F58" s="20"/>
      <c r="G58" s="20"/>
      <c r="H58" s="20"/>
    </row>
    <row r="59" spans="2:8" ht="15" customHeight="1" x14ac:dyDescent="0.3">
      <c r="C59" s="10"/>
      <c r="D59" s="20"/>
      <c r="E59" s="20"/>
      <c r="F59" s="20"/>
      <c r="G59" s="20"/>
      <c r="H59" s="20"/>
    </row>
    <row r="60" spans="2:8" ht="15" customHeight="1" x14ac:dyDescent="0.3">
      <c r="B60" s="39"/>
      <c r="C60" s="10"/>
      <c r="D60" s="21"/>
      <c r="E60" s="21"/>
      <c r="F60" s="21"/>
      <c r="G60" s="21"/>
      <c r="H60" s="21"/>
    </row>
    <row r="61" spans="2:8" ht="15" customHeight="1" x14ac:dyDescent="0.3">
      <c r="B61" s="14"/>
      <c r="C61" s="10"/>
      <c r="D61" s="21"/>
      <c r="E61" s="21"/>
      <c r="F61" s="21"/>
      <c r="G61" s="21"/>
      <c r="H61" s="21"/>
    </row>
    <row r="62" spans="2:8" ht="15" customHeight="1" x14ac:dyDescent="0.3">
      <c r="B62" s="39"/>
      <c r="C62" s="10"/>
      <c r="D62" s="20"/>
      <c r="E62" s="20"/>
      <c r="F62" s="20"/>
      <c r="G62" s="20"/>
      <c r="H62" s="20"/>
    </row>
    <row r="63" spans="2:8" ht="15" customHeight="1" x14ac:dyDescent="0.3">
      <c r="B63" s="2"/>
      <c r="C63" s="10"/>
      <c r="D63" s="20"/>
      <c r="E63" s="20"/>
      <c r="F63" s="20"/>
      <c r="G63" s="20"/>
      <c r="H63" s="20"/>
    </row>
    <row r="64" spans="2:8" ht="15" customHeight="1" x14ac:dyDescent="0.3">
      <c r="C64" s="10"/>
      <c r="D64" s="20"/>
      <c r="E64" s="20"/>
      <c r="F64" s="20"/>
      <c r="G64" s="20"/>
      <c r="H64" s="20"/>
    </row>
    <row r="65" spans="2:8" ht="15" customHeight="1" x14ac:dyDescent="0.3">
      <c r="C65" s="10"/>
      <c r="D65" s="20"/>
      <c r="E65" s="20"/>
      <c r="F65" s="20"/>
      <c r="G65" s="20"/>
      <c r="H65" s="20"/>
    </row>
    <row r="66" spans="2:8" ht="15" customHeight="1" x14ac:dyDescent="0.3">
      <c r="C66" s="10"/>
      <c r="D66" s="20"/>
      <c r="E66" s="20"/>
      <c r="F66" s="20"/>
      <c r="G66" s="20"/>
      <c r="H66" s="20"/>
    </row>
    <row r="67" spans="2:8" ht="15" customHeight="1" x14ac:dyDescent="0.3">
      <c r="C67" s="10"/>
      <c r="D67" s="20"/>
      <c r="E67" s="20"/>
      <c r="F67" s="20"/>
      <c r="G67" s="20"/>
      <c r="H67" s="20"/>
    </row>
    <row r="68" spans="2:8" ht="15" customHeight="1" x14ac:dyDescent="0.3">
      <c r="C68" s="10"/>
      <c r="D68" s="20"/>
      <c r="E68" s="20"/>
      <c r="F68" s="20"/>
      <c r="G68" s="20"/>
      <c r="H68" s="20"/>
    </row>
    <row r="69" spans="2:8" ht="15" customHeight="1" x14ac:dyDescent="0.3">
      <c r="C69" s="10"/>
      <c r="D69" s="20"/>
      <c r="E69" s="20"/>
      <c r="F69" s="20"/>
      <c r="G69" s="20"/>
      <c r="H69" s="20"/>
    </row>
    <row r="70" spans="2:8" ht="15" customHeight="1" x14ac:dyDescent="0.3">
      <c r="B70" s="39"/>
      <c r="C70" s="10"/>
      <c r="D70" s="25"/>
      <c r="E70" s="25"/>
      <c r="F70" s="25"/>
      <c r="G70" s="25"/>
      <c r="H70" s="25"/>
    </row>
    <row r="71" spans="2:8" ht="15" customHeight="1" x14ac:dyDescent="0.3">
      <c r="B71" s="14"/>
      <c r="C71" s="10"/>
      <c r="D71" s="21"/>
      <c r="E71" s="21"/>
      <c r="F71" s="21"/>
      <c r="G71" s="21"/>
      <c r="H71" s="21"/>
    </row>
    <row r="72" spans="2:8" ht="15" customHeight="1" x14ac:dyDescent="0.3">
      <c r="B72" s="39"/>
      <c r="C72" s="10"/>
      <c r="D72" s="25"/>
      <c r="E72" s="25"/>
      <c r="F72" s="25"/>
      <c r="G72" s="25"/>
      <c r="H72" s="26"/>
    </row>
    <row r="73" spans="2:8" ht="15" customHeight="1" x14ac:dyDescent="0.3">
      <c r="B73" s="14"/>
      <c r="C73" s="10"/>
      <c r="D73" s="21"/>
      <c r="E73" s="21"/>
      <c r="F73" s="21"/>
      <c r="G73" s="21"/>
      <c r="H73" s="27"/>
    </row>
    <row r="74" spans="2:8" ht="15" customHeight="1" thickBot="1" x14ac:dyDescent="0.35">
      <c r="B74" s="39"/>
      <c r="C74" s="10"/>
      <c r="D74" s="28"/>
      <c r="E74" s="28"/>
      <c r="F74" s="28"/>
      <c r="G74" s="28"/>
      <c r="H74" s="29"/>
    </row>
    <row r="75" spans="2:8" ht="15" customHeight="1" x14ac:dyDescent="0.3">
      <c r="D75" s="20"/>
      <c r="E75" s="20"/>
      <c r="F75" s="20"/>
      <c r="G75" s="20"/>
      <c r="H75" s="20"/>
    </row>
  </sheetData>
  <mergeCells count="15">
    <mergeCell ref="B11:B12"/>
    <mergeCell ref="C11:C12"/>
    <mergeCell ref="D11:D12"/>
    <mergeCell ref="H11:H12"/>
    <mergeCell ref="B4:H4"/>
    <mergeCell ref="B5:H5"/>
    <mergeCell ref="B6:H6"/>
    <mergeCell ref="B7:H7"/>
    <mergeCell ref="B8:H8"/>
    <mergeCell ref="J11:K12"/>
    <mergeCell ref="L11:L12"/>
    <mergeCell ref="M11:M12"/>
    <mergeCell ref="E11:E12"/>
    <mergeCell ref="F11:F12"/>
    <mergeCell ref="G11:G1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J73"/>
  <sheetViews>
    <sheetView showGridLines="0" topLeftCell="A5" zoomScale="80" zoomScaleNormal="80" workbookViewId="0">
      <selection activeCell="B5" sqref="B5:J5"/>
    </sheetView>
  </sheetViews>
  <sheetFormatPr baseColWidth="10" defaultColWidth="11.44140625" defaultRowHeight="14.4" x14ac:dyDescent="0.3"/>
  <cols>
    <col min="1" max="1" width="2.6640625" style="1" customWidth="1"/>
    <col min="2" max="2" width="78.109375" style="1" customWidth="1"/>
    <col min="3" max="3" width="7.44140625" style="3" bestFit="1" customWidth="1"/>
    <col min="4" max="7" width="13.5546875" style="1" bestFit="1" customWidth="1"/>
    <col min="8" max="8" width="18.5546875" style="1" customWidth="1"/>
    <col min="9" max="9" width="23.5546875" style="1" customWidth="1"/>
    <col min="10" max="10" width="21.109375" style="1" customWidth="1"/>
    <col min="11" max="16384" width="11.44140625" style="1"/>
  </cols>
  <sheetData>
    <row r="4" spans="2:10" x14ac:dyDescent="0.3">
      <c r="B4" s="168" t="s">
        <v>5</v>
      </c>
      <c r="C4" s="168"/>
      <c r="D4" s="168"/>
      <c r="E4" s="168"/>
      <c r="F4" s="168"/>
      <c r="G4" s="168"/>
      <c r="H4" s="168"/>
      <c r="I4" s="168"/>
      <c r="J4" s="168"/>
    </row>
    <row r="5" spans="2:10" x14ac:dyDescent="0.3">
      <c r="B5" s="168" t="s">
        <v>25</v>
      </c>
      <c r="C5" s="168"/>
      <c r="D5" s="168"/>
      <c r="E5" s="168"/>
      <c r="F5" s="168"/>
      <c r="G5" s="168"/>
      <c r="H5" s="168"/>
      <c r="I5" s="168"/>
      <c r="J5" s="168"/>
    </row>
    <row r="6" spans="2:10" x14ac:dyDescent="0.3">
      <c r="B6" s="171" t="s">
        <v>117</v>
      </c>
      <c r="C6" s="171"/>
      <c r="D6" s="171"/>
      <c r="E6" s="171"/>
      <c r="F6" s="171"/>
      <c r="G6" s="171"/>
      <c r="H6" s="171"/>
      <c r="I6" s="171"/>
      <c r="J6" s="171"/>
    </row>
    <row r="7" spans="2:10" x14ac:dyDescent="0.3">
      <c r="B7" s="171" t="s">
        <v>79</v>
      </c>
      <c r="C7" s="171"/>
      <c r="D7" s="171"/>
      <c r="E7" s="171"/>
      <c r="F7" s="171"/>
      <c r="G7" s="171"/>
      <c r="H7" s="171"/>
      <c r="I7" s="171"/>
      <c r="J7" s="171"/>
    </row>
    <row r="8" spans="2:10" x14ac:dyDescent="0.3">
      <c r="B8" s="172" t="s">
        <v>26</v>
      </c>
      <c r="C8" s="172"/>
      <c r="D8" s="172"/>
      <c r="E8" s="172"/>
      <c r="F8" s="172"/>
      <c r="G8" s="172"/>
      <c r="H8" s="172"/>
      <c r="I8" s="172"/>
      <c r="J8" s="172"/>
    </row>
    <row r="11" spans="2:10" ht="14.4" customHeight="1" x14ac:dyDescent="0.3">
      <c r="B11" s="169"/>
      <c r="C11" s="75"/>
      <c r="D11" s="175" t="s">
        <v>3</v>
      </c>
      <c r="E11" s="175"/>
      <c r="F11" s="175"/>
      <c r="G11" s="175"/>
      <c r="H11" s="175"/>
      <c r="I11" s="11"/>
    </row>
    <row r="12" spans="2:10" ht="14.4" customHeight="1" x14ac:dyDescent="0.3">
      <c r="B12" s="169"/>
      <c r="C12" s="75" t="s">
        <v>2</v>
      </c>
      <c r="D12" s="75">
        <v>2018</v>
      </c>
      <c r="E12" s="75">
        <v>2019</v>
      </c>
      <c r="F12" s="75">
        <v>2020</v>
      </c>
      <c r="G12" s="75">
        <v>2021</v>
      </c>
      <c r="H12" s="75">
        <v>2022</v>
      </c>
      <c r="I12" s="11"/>
    </row>
    <row r="13" spans="2:10" ht="14.4" customHeight="1" x14ac:dyDescent="0.3">
      <c r="B13" s="12"/>
      <c r="C13" s="11"/>
      <c r="D13" s="11"/>
      <c r="E13" s="11"/>
      <c r="F13" s="11"/>
      <c r="G13" s="11"/>
      <c r="H13" s="11"/>
      <c r="I13" s="11"/>
    </row>
    <row r="14" spans="2:10" ht="15" customHeight="1" x14ac:dyDescent="0.3">
      <c r="B14" s="34" t="s">
        <v>118</v>
      </c>
    </row>
    <row r="15" spans="2:10" ht="15" customHeight="1" x14ac:dyDescent="0.3">
      <c r="B15" s="82" t="s">
        <v>119</v>
      </c>
      <c r="C15" s="3">
        <v>39</v>
      </c>
      <c r="D15" s="5">
        <v>291434</v>
      </c>
      <c r="E15" s="5">
        <v>196508</v>
      </c>
      <c r="F15" s="5">
        <v>140814</v>
      </c>
      <c r="G15" s="5">
        <v>523936</v>
      </c>
      <c r="H15" s="5">
        <v>214814</v>
      </c>
    </row>
    <row r="16" spans="2:10" ht="15" customHeight="1" x14ac:dyDescent="0.3">
      <c r="B16" s="39" t="s">
        <v>120</v>
      </c>
    </row>
    <row r="17" spans="2:9" ht="15" customHeight="1" x14ac:dyDescent="0.3">
      <c r="B17" s="1" t="s">
        <v>121</v>
      </c>
      <c r="C17" s="3">
        <v>39</v>
      </c>
      <c r="D17" s="5">
        <v>707639</v>
      </c>
      <c r="E17" s="5">
        <v>916379</v>
      </c>
      <c r="F17" s="5">
        <v>913578</v>
      </c>
      <c r="G17" s="5">
        <v>921141</v>
      </c>
      <c r="H17" s="5">
        <v>961740</v>
      </c>
    </row>
    <row r="18" spans="2:9" ht="15" customHeight="1" x14ac:dyDescent="0.3">
      <c r="B18" s="1" t="s">
        <v>90</v>
      </c>
      <c r="C18" s="3">
        <v>9</v>
      </c>
      <c r="D18" s="5">
        <v>123029</v>
      </c>
      <c r="E18" s="5">
        <v>146315</v>
      </c>
      <c r="F18" s="5">
        <v>81001</v>
      </c>
      <c r="G18" s="5">
        <v>293698</v>
      </c>
      <c r="H18" s="5">
        <v>365594</v>
      </c>
      <c r="I18" s="5"/>
    </row>
    <row r="19" spans="2:9" ht="15" customHeight="1" x14ac:dyDescent="0.3">
      <c r="B19" s="1" t="s">
        <v>86</v>
      </c>
      <c r="D19" s="5">
        <v>416964</v>
      </c>
      <c r="E19" s="5">
        <v>480300</v>
      </c>
      <c r="F19" s="5">
        <v>450357</v>
      </c>
      <c r="G19" s="5">
        <v>401486</v>
      </c>
      <c r="H19" s="5">
        <v>606097</v>
      </c>
      <c r="I19" s="5"/>
    </row>
    <row r="20" spans="2:9" ht="15" customHeight="1" x14ac:dyDescent="0.3">
      <c r="B20" s="1" t="s">
        <v>122</v>
      </c>
      <c r="D20" s="5">
        <v>140213</v>
      </c>
      <c r="E20" s="5">
        <v>89957</v>
      </c>
      <c r="F20" s="5">
        <v>267525</v>
      </c>
      <c r="G20" s="5">
        <v>159183</v>
      </c>
      <c r="H20" s="5">
        <v>172227</v>
      </c>
      <c r="I20" s="5"/>
    </row>
    <row r="21" spans="2:9" ht="15" customHeight="1" x14ac:dyDescent="0.3">
      <c r="B21" s="1" t="s">
        <v>123</v>
      </c>
      <c r="D21" s="5">
        <v>12724</v>
      </c>
      <c r="E21" s="5">
        <v>40088</v>
      </c>
      <c r="F21" s="5">
        <v>27204</v>
      </c>
      <c r="G21" s="5">
        <v>39702</v>
      </c>
      <c r="H21" s="5">
        <v>23509</v>
      </c>
      <c r="I21" s="5"/>
    </row>
    <row r="22" spans="2:9" ht="15" customHeight="1" x14ac:dyDescent="0.3">
      <c r="B22" s="1" t="s">
        <v>124</v>
      </c>
      <c r="D22" s="5">
        <v>-12263</v>
      </c>
      <c r="E22" s="5">
        <v>1165</v>
      </c>
      <c r="F22" s="5">
        <v>-4671</v>
      </c>
      <c r="G22" s="5">
        <v>-10387</v>
      </c>
      <c r="H22" s="5">
        <v>-3421</v>
      </c>
      <c r="I22" s="5"/>
    </row>
    <row r="23" spans="2:9" ht="15" customHeight="1" x14ac:dyDescent="0.3">
      <c r="B23" s="1" t="s">
        <v>125</v>
      </c>
      <c r="C23" s="3">
        <v>11.16</v>
      </c>
      <c r="D23" s="5">
        <v>-57226</v>
      </c>
      <c r="E23" s="5">
        <v>-36512</v>
      </c>
      <c r="F23" s="5">
        <v>-1307</v>
      </c>
      <c r="G23" s="5">
        <v>-41988</v>
      </c>
      <c r="H23" s="5">
        <v>-13801</v>
      </c>
      <c r="I23" s="5"/>
    </row>
    <row r="24" spans="2:9" ht="15" customHeight="1" x14ac:dyDescent="0.3">
      <c r="B24" s="1" t="s">
        <v>126</v>
      </c>
      <c r="C24" s="3">
        <v>12</v>
      </c>
      <c r="D24" s="5">
        <v>12203</v>
      </c>
      <c r="E24" s="5">
        <v>13133</v>
      </c>
      <c r="F24" s="5">
        <v>5630</v>
      </c>
      <c r="G24" s="5">
        <v>8157</v>
      </c>
      <c r="H24" s="5">
        <v>-7461</v>
      </c>
      <c r="I24" s="5"/>
    </row>
    <row r="25" spans="2:9" ht="15" customHeight="1" x14ac:dyDescent="0.3">
      <c r="B25" s="1" t="s">
        <v>127</v>
      </c>
      <c r="D25" s="5">
        <v>-104492</v>
      </c>
      <c r="E25" s="5">
        <v>-89722</v>
      </c>
      <c r="F25" s="5">
        <v>41608</v>
      </c>
      <c r="G25" s="5">
        <v>-189611</v>
      </c>
      <c r="H25" s="5">
        <v>-109217</v>
      </c>
      <c r="I25" s="5"/>
    </row>
    <row r="26" spans="2:9" ht="15" customHeight="1" x14ac:dyDescent="0.3">
      <c r="B26" s="1" t="s">
        <v>128</v>
      </c>
      <c r="D26" s="5">
        <v>-35808</v>
      </c>
      <c r="E26" s="5">
        <v>-23339</v>
      </c>
      <c r="F26" s="5">
        <v>-35204</v>
      </c>
      <c r="G26" s="5">
        <v>48738</v>
      </c>
      <c r="H26" s="5">
        <v>-34703</v>
      </c>
      <c r="I26" s="5"/>
    </row>
    <row r="27" spans="2:9" ht="15" customHeight="1" x14ac:dyDescent="0.3">
      <c r="B27" s="39" t="s">
        <v>129</v>
      </c>
      <c r="D27" s="6"/>
      <c r="E27" s="6"/>
      <c r="F27" s="6"/>
      <c r="G27" s="6"/>
      <c r="H27" s="6"/>
      <c r="I27" s="6"/>
    </row>
    <row r="28" spans="2:9" ht="15" customHeight="1" x14ac:dyDescent="0.3">
      <c r="B28" s="83" t="s">
        <v>130</v>
      </c>
      <c r="D28" s="5">
        <v>-77366</v>
      </c>
      <c r="E28" s="5">
        <v>-66115</v>
      </c>
      <c r="F28" s="5">
        <v>97350</v>
      </c>
      <c r="G28" s="5">
        <v>-166667</v>
      </c>
      <c r="H28" s="5">
        <v>-338800</v>
      </c>
      <c r="I28" s="6"/>
    </row>
    <row r="29" spans="2:9" ht="15" customHeight="1" x14ac:dyDescent="0.3">
      <c r="B29" s="83" t="s">
        <v>131</v>
      </c>
      <c r="D29" s="5">
        <v>591259</v>
      </c>
      <c r="E29" s="5">
        <v>-60329</v>
      </c>
      <c r="F29" s="5">
        <v>148523</v>
      </c>
      <c r="G29" s="5">
        <v>-67049</v>
      </c>
      <c r="H29" s="5">
        <v>-39729</v>
      </c>
      <c r="I29" s="6"/>
    </row>
    <row r="30" spans="2:9" ht="15" customHeight="1" x14ac:dyDescent="0.3">
      <c r="B30" s="83" t="s">
        <v>132</v>
      </c>
      <c r="D30" s="5">
        <v>-528220</v>
      </c>
      <c r="E30" s="5">
        <v>-125539</v>
      </c>
      <c r="F30" s="5">
        <v>-605141</v>
      </c>
      <c r="G30" s="5">
        <v>-321749</v>
      </c>
      <c r="H30" s="5">
        <v>165287</v>
      </c>
      <c r="I30" s="6"/>
    </row>
    <row r="31" spans="2:9" ht="15" customHeight="1" x14ac:dyDescent="0.3">
      <c r="B31" s="83" t="s">
        <v>169</v>
      </c>
      <c r="D31" s="5">
        <v>0</v>
      </c>
      <c r="E31" s="5">
        <v>0</v>
      </c>
      <c r="F31" s="5">
        <v>0</v>
      </c>
      <c r="G31" s="5">
        <v>0</v>
      </c>
      <c r="H31" s="5">
        <v>-286604</v>
      </c>
      <c r="I31" s="6"/>
    </row>
    <row r="32" spans="2:9" ht="15" customHeight="1" x14ac:dyDescent="0.3">
      <c r="B32" s="83" t="s">
        <v>133</v>
      </c>
      <c r="D32" s="5">
        <v>-160370</v>
      </c>
      <c r="E32" s="5">
        <v>-190840</v>
      </c>
      <c r="F32" s="5">
        <v>-91021</v>
      </c>
      <c r="G32" s="5">
        <v>-241685</v>
      </c>
      <c r="H32" s="5">
        <v>-250969</v>
      </c>
      <c r="I32" s="6"/>
    </row>
    <row r="33" spans="2:9" ht="15" customHeight="1" x14ac:dyDescent="0.3">
      <c r="B33" s="39" t="s">
        <v>134</v>
      </c>
      <c r="D33" s="6">
        <f>SUM(D17:D32)</f>
        <v>1028286</v>
      </c>
      <c r="E33" s="6">
        <f>SUM(E17:E32)</f>
        <v>1094941</v>
      </c>
      <c r="F33" s="6">
        <f>SUM(F17:F32)</f>
        <v>1295432</v>
      </c>
      <c r="G33" s="6">
        <f>+SUM(G17:G32)</f>
        <v>832969</v>
      </c>
      <c r="H33" s="6">
        <f>+SUM(H17:H32)</f>
        <v>1209749</v>
      </c>
      <c r="I33" s="5"/>
    </row>
    <row r="34" spans="2:9" ht="15" customHeight="1" x14ac:dyDescent="0.3">
      <c r="B34" s="84" t="s">
        <v>135</v>
      </c>
      <c r="D34" s="6">
        <f>+D33+D15</f>
        <v>1319720</v>
      </c>
      <c r="E34" s="6">
        <f>+E33+E15</f>
        <v>1291449</v>
      </c>
      <c r="F34" s="6">
        <f>+F33+F15</f>
        <v>1436246</v>
      </c>
      <c r="G34" s="6">
        <f>+G15+G33</f>
        <v>1356905</v>
      </c>
      <c r="H34" s="6">
        <f>+H15+H33</f>
        <v>1424563</v>
      </c>
      <c r="I34" s="5"/>
    </row>
    <row r="35" spans="2:9" ht="15" customHeight="1" x14ac:dyDescent="0.3">
      <c r="B35" s="84"/>
      <c r="D35" s="5"/>
      <c r="E35" s="5"/>
      <c r="F35" s="5"/>
      <c r="G35" s="5"/>
      <c r="H35" s="5"/>
      <c r="I35" s="5"/>
    </row>
    <row r="36" spans="2:9" ht="15" customHeight="1" x14ac:dyDescent="0.3">
      <c r="B36" s="39" t="s">
        <v>136</v>
      </c>
      <c r="D36" s="5"/>
      <c r="E36" s="5"/>
      <c r="F36" s="5"/>
      <c r="G36" s="5"/>
      <c r="H36" s="5"/>
      <c r="I36" s="5"/>
    </row>
    <row r="37" spans="2:9" ht="15" customHeight="1" x14ac:dyDescent="0.3">
      <c r="B37" s="1" t="s">
        <v>137</v>
      </c>
      <c r="D37" s="31">
        <v>-486862</v>
      </c>
      <c r="E37" s="31">
        <v>-546133</v>
      </c>
      <c r="F37" s="31">
        <v>-317669</v>
      </c>
      <c r="G37" s="31">
        <v>-450981</v>
      </c>
      <c r="H37" s="31">
        <v>-716897</v>
      </c>
    </row>
    <row r="38" spans="2:9" ht="15" customHeight="1" x14ac:dyDescent="0.3">
      <c r="B38" s="1" t="s">
        <v>138</v>
      </c>
      <c r="D38" s="31">
        <v>36008</v>
      </c>
      <c r="E38" s="31">
        <v>23376</v>
      </c>
      <c r="F38" s="31">
        <v>278815</v>
      </c>
      <c r="G38" s="31">
        <v>482757</v>
      </c>
      <c r="H38" s="31">
        <v>320116</v>
      </c>
    </row>
    <row r="39" spans="2:9" ht="15" customHeight="1" x14ac:dyDescent="0.3">
      <c r="B39" s="1" t="s">
        <v>139</v>
      </c>
      <c r="D39" s="31">
        <v>-4648</v>
      </c>
      <c r="E39" s="31">
        <v>-12201</v>
      </c>
      <c r="F39" s="31">
        <v>-177280</v>
      </c>
      <c r="G39" s="31">
        <v>-441313</v>
      </c>
      <c r="H39" s="31">
        <v>-785322</v>
      </c>
    </row>
    <row r="40" spans="2:9" ht="15" customHeight="1" x14ac:dyDescent="0.3">
      <c r="B40" s="1" t="s">
        <v>140</v>
      </c>
      <c r="D40" s="31">
        <v>184283</v>
      </c>
      <c r="E40" s="31">
        <v>25484</v>
      </c>
      <c r="F40" s="31">
        <v>22015</v>
      </c>
      <c r="G40" s="31">
        <v>32482</v>
      </c>
      <c r="H40" s="31">
        <v>33540</v>
      </c>
    </row>
    <row r="41" spans="2:9" ht="15" customHeight="1" x14ac:dyDescent="0.3">
      <c r="B41" s="1" t="s">
        <v>141</v>
      </c>
      <c r="D41" s="31">
        <v>12975</v>
      </c>
      <c r="E41" s="31">
        <v>16471</v>
      </c>
      <c r="F41" s="31">
        <v>17683</v>
      </c>
      <c r="G41" s="31">
        <v>16910</v>
      </c>
      <c r="H41" s="31">
        <v>21036</v>
      </c>
    </row>
    <row r="42" spans="2:9" ht="15" customHeight="1" x14ac:dyDescent="0.3">
      <c r="B42" s="1" t="s">
        <v>142</v>
      </c>
      <c r="D42" s="85">
        <v>9152</v>
      </c>
      <c r="E42" s="85">
        <v>11676</v>
      </c>
      <c r="F42" s="85">
        <v>12083</v>
      </c>
      <c r="G42" s="85">
        <v>10568</v>
      </c>
      <c r="H42" s="85">
        <v>17765</v>
      </c>
    </row>
    <row r="43" spans="2:9" ht="15" customHeight="1" x14ac:dyDescent="0.3">
      <c r="B43" s="1" t="s">
        <v>143</v>
      </c>
      <c r="C43" s="3">
        <v>15</v>
      </c>
      <c r="D43" s="31">
        <v>245145</v>
      </c>
      <c r="E43" s="31">
        <v>322478</v>
      </c>
      <c r="F43" s="31">
        <v>11500</v>
      </c>
      <c r="G43" s="31">
        <v>652900</v>
      </c>
      <c r="H43" s="31">
        <v>383942</v>
      </c>
    </row>
    <row r="44" spans="2:9" ht="15" customHeight="1" x14ac:dyDescent="0.3">
      <c r="B44" s="1" t="s">
        <v>145</v>
      </c>
      <c r="C44" s="3">
        <v>14</v>
      </c>
      <c r="D44" s="85">
        <v>-17328</v>
      </c>
      <c r="E44" s="85">
        <v>-2624</v>
      </c>
      <c r="F44" s="85">
        <v>-2705</v>
      </c>
      <c r="G44" s="85">
        <v>-1485</v>
      </c>
      <c r="H44" s="85">
        <v>-5685</v>
      </c>
    </row>
    <row r="45" spans="2:9" ht="15" customHeight="1" x14ac:dyDescent="0.3">
      <c r="B45" s="1" t="s">
        <v>146</v>
      </c>
      <c r="D45" s="31">
        <v>-15041</v>
      </c>
      <c r="E45" s="31">
        <v>-14576</v>
      </c>
      <c r="F45" s="31">
        <v>-2450</v>
      </c>
      <c r="G45" s="31">
        <v>-5199</v>
      </c>
      <c r="H45" s="85">
        <v>-6942</v>
      </c>
    </row>
    <row r="46" spans="2:9" ht="15" customHeight="1" x14ac:dyDescent="0.3">
      <c r="B46" s="1" t="s">
        <v>144</v>
      </c>
      <c r="C46" s="3">
        <v>12</v>
      </c>
      <c r="D46" s="85">
        <v>0</v>
      </c>
      <c r="E46" s="85">
        <v>62681</v>
      </c>
      <c r="F46" s="85">
        <v>0</v>
      </c>
      <c r="G46" s="85">
        <v>4984</v>
      </c>
      <c r="H46" s="31">
        <v>0</v>
      </c>
    </row>
    <row r="47" spans="2:9" ht="15" customHeight="1" x14ac:dyDescent="0.3">
      <c r="B47" s="1" t="s">
        <v>147</v>
      </c>
      <c r="D47" s="31">
        <v>0</v>
      </c>
      <c r="E47" s="31">
        <v>0</v>
      </c>
      <c r="F47" s="31">
        <v>0</v>
      </c>
      <c r="G47" s="31">
        <v>120</v>
      </c>
      <c r="H47" s="5">
        <v>1753</v>
      </c>
    </row>
    <row r="48" spans="2:9" ht="15" customHeight="1" x14ac:dyDescent="0.3">
      <c r="B48" s="1" t="s">
        <v>148</v>
      </c>
      <c r="D48" s="5">
        <v>0</v>
      </c>
      <c r="E48" s="5">
        <v>0</v>
      </c>
      <c r="F48" s="5">
        <v>0</v>
      </c>
      <c r="G48" s="5">
        <v>28212</v>
      </c>
      <c r="H48" s="5">
        <v>0</v>
      </c>
    </row>
    <row r="49" spans="2:9" ht="15" customHeight="1" x14ac:dyDescent="0.3">
      <c r="B49" s="1" t="s">
        <v>167</v>
      </c>
      <c r="D49" s="5">
        <v>3922</v>
      </c>
      <c r="E49" s="5">
        <v>214</v>
      </c>
      <c r="F49" s="5">
        <v>0</v>
      </c>
      <c r="G49" s="5">
        <v>0</v>
      </c>
      <c r="H49" s="31">
        <v>1648</v>
      </c>
    </row>
    <row r="50" spans="2:9" ht="15" customHeight="1" x14ac:dyDescent="0.3">
      <c r="B50" s="1" t="s">
        <v>168</v>
      </c>
      <c r="D50" s="5">
        <v>-1628</v>
      </c>
      <c r="E50" s="5">
        <v>0</v>
      </c>
      <c r="F50" s="5">
        <v>0</v>
      </c>
      <c r="G50" s="5">
        <v>0</v>
      </c>
      <c r="H50" s="5">
        <v>0</v>
      </c>
    </row>
    <row r="51" spans="2:9" ht="15" customHeight="1" x14ac:dyDescent="0.3">
      <c r="B51" s="39" t="s">
        <v>149</v>
      </c>
      <c r="D51" s="16">
        <f>+SUM(D37:D50)</f>
        <v>-34022</v>
      </c>
      <c r="E51" s="16">
        <f>+SUM(E37:E50)</f>
        <v>-113154</v>
      </c>
      <c r="F51" s="16">
        <f>+SUM(F37:F50)</f>
        <v>-158008</v>
      </c>
      <c r="G51" s="16">
        <f>+SUM(G37:G50)</f>
        <v>329955</v>
      </c>
      <c r="H51" s="16">
        <f>+SUM(H37:H50)</f>
        <v>-735046</v>
      </c>
      <c r="I51" s="7"/>
    </row>
    <row r="52" spans="2:9" ht="15" customHeight="1" x14ac:dyDescent="0.3">
      <c r="B52" s="39"/>
      <c r="D52" s="7"/>
      <c r="E52" s="7"/>
      <c r="F52" s="7"/>
      <c r="G52" s="7"/>
      <c r="H52" s="7"/>
      <c r="I52" s="7"/>
    </row>
    <row r="53" spans="2:9" ht="15" customHeight="1" x14ac:dyDescent="0.3">
      <c r="B53" s="39" t="s">
        <v>150</v>
      </c>
      <c r="D53" s="7"/>
      <c r="E53" s="7"/>
      <c r="F53" s="7"/>
      <c r="G53" s="7"/>
      <c r="H53" s="7"/>
      <c r="I53" s="7"/>
    </row>
    <row r="54" spans="2:9" ht="15" customHeight="1" x14ac:dyDescent="0.3">
      <c r="B54" s="1" t="s">
        <v>152</v>
      </c>
      <c r="D54" s="8">
        <v>-4804300</v>
      </c>
      <c r="E54" s="7">
        <v>-2777535</v>
      </c>
      <c r="F54" s="8">
        <v>-2610917</v>
      </c>
      <c r="G54" s="8">
        <v>-3997587</v>
      </c>
      <c r="H54" s="5">
        <v>-3445553</v>
      </c>
      <c r="I54" s="7"/>
    </row>
    <row r="55" spans="2:9" ht="15" customHeight="1" x14ac:dyDescent="0.3">
      <c r="B55" s="1" t="s">
        <v>153</v>
      </c>
      <c r="D55" s="5">
        <v>4014811</v>
      </c>
      <c r="E55" s="5">
        <v>2404478</v>
      </c>
      <c r="F55" s="5">
        <v>2294456</v>
      </c>
      <c r="G55" s="5">
        <v>3372246</v>
      </c>
      <c r="H55" s="5">
        <v>4056338</v>
      </c>
      <c r="I55" s="5"/>
    </row>
    <row r="56" spans="2:9" ht="15" customHeight="1" x14ac:dyDescent="0.3">
      <c r="B56" s="1" t="s">
        <v>154</v>
      </c>
      <c r="D56" s="5">
        <v>-385791</v>
      </c>
      <c r="E56" s="5">
        <v>-452069</v>
      </c>
      <c r="F56" s="5">
        <v>-419444</v>
      </c>
      <c r="G56" s="5">
        <v>-316618</v>
      </c>
      <c r="H56" s="5">
        <v>-485960</v>
      </c>
      <c r="I56" s="5"/>
    </row>
    <row r="57" spans="2:9" ht="15" customHeight="1" x14ac:dyDescent="0.3">
      <c r="B57" s="1" t="s">
        <v>151</v>
      </c>
      <c r="C57" s="3">
        <v>29</v>
      </c>
      <c r="D57" s="5">
        <v>-334822</v>
      </c>
      <c r="E57" s="5">
        <v>-367816</v>
      </c>
      <c r="F57" s="5">
        <v>-319300</v>
      </c>
      <c r="G57" s="5">
        <v>-351428</v>
      </c>
      <c r="H57" s="5">
        <v>-324392</v>
      </c>
      <c r="I57" s="5"/>
    </row>
    <row r="58" spans="2:9" ht="15" customHeight="1" x14ac:dyDescent="0.3">
      <c r="B58" s="4" t="s">
        <v>155</v>
      </c>
      <c r="C58" s="3">
        <v>25</v>
      </c>
      <c r="D58" s="9">
        <v>498747</v>
      </c>
      <c r="E58" s="9">
        <v>0</v>
      </c>
      <c r="F58" s="5">
        <v>249382</v>
      </c>
      <c r="G58" s="5">
        <v>0</v>
      </c>
      <c r="H58" s="5">
        <v>302771</v>
      </c>
      <c r="I58" s="5"/>
    </row>
    <row r="59" spans="2:9" ht="15" customHeight="1" x14ac:dyDescent="0.3">
      <c r="B59" s="1" t="s">
        <v>156</v>
      </c>
      <c r="D59" s="5">
        <v>-89369</v>
      </c>
      <c r="E59" s="5">
        <v>-173035</v>
      </c>
      <c r="F59" s="5">
        <v>-141576</v>
      </c>
      <c r="G59" s="5">
        <v>-181476</v>
      </c>
      <c r="H59" s="5">
        <v>-143692</v>
      </c>
      <c r="I59" s="5"/>
    </row>
    <row r="60" spans="2:9" ht="15" customHeight="1" x14ac:dyDescent="0.3">
      <c r="B60" s="1" t="s">
        <v>157</v>
      </c>
      <c r="D60" s="5">
        <v>-23133</v>
      </c>
      <c r="E60" s="5">
        <v>-25327</v>
      </c>
      <c r="F60" s="9">
        <v>-114287</v>
      </c>
      <c r="G60" s="9">
        <v>-57723</v>
      </c>
      <c r="H60" s="9">
        <v>-62357</v>
      </c>
      <c r="I60" s="9"/>
    </row>
    <row r="61" spans="2:9" ht="15" customHeight="1" x14ac:dyDescent="0.3">
      <c r="B61" s="1" t="s">
        <v>158</v>
      </c>
      <c r="D61" s="9">
        <v>35581</v>
      </c>
      <c r="E61" s="9">
        <v>39913</v>
      </c>
      <c r="F61" s="9">
        <v>105497</v>
      </c>
      <c r="G61" s="9">
        <v>35479</v>
      </c>
      <c r="H61" s="9">
        <v>76775</v>
      </c>
      <c r="I61" s="9"/>
    </row>
    <row r="62" spans="2:9" ht="15" customHeight="1" x14ac:dyDescent="0.3">
      <c r="B62" s="1" t="s">
        <v>159</v>
      </c>
      <c r="C62" s="3">
        <v>29</v>
      </c>
      <c r="D62" s="9">
        <v>-47174</v>
      </c>
      <c r="E62" s="9">
        <v>-49894</v>
      </c>
      <c r="F62" s="9">
        <v>-47690</v>
      </c>
      <c r="G62" s="9">
        <v>-58489</v>
      </c>
      <c r="H62" s="9">
        <v>-44120</v>
      </c>
      <c r="I62" s="9"/>
    </row>
    <row r="63" spans="2:9" ht="15" customHeight="1" x14ac:dyDescent="0.3">
      <c r="B63" s="1" t="s">
        <v>160</v>
      </c>
      <c r="C63" s="3">
        <v>25</v>
      </c>
      <c r="D63" s="9">
        <v>-97022</v>
      </c>
      <c r="E63" s="9">
        <v>-70350</v>
      </c>
      <c r="F63" s="9">
        <v>-40650</v>
      </c>
      <c r="G63" s="9">
        <v>-283918</v>
      </c>
      <c r="H63" s="9">
        <v>-381149</v>
      </c>
      <c r="I63" s="9"/>
    </row>
    <row r="64" spans="2:9" ht="15" customHeight="1" x14ac:dyDescent="0.3">
      <c r="B64" s="1" t="s">
        <v>161</v>
      </c>
      <c r="D64" s="9">
        <v>0</v>
      </c>
      <c r="E64" s="9">
        <v>0</v>
      </c>
      <c r="F64" s="9">
        <v>-2512</v>
      </c>
      <c r="G64" s="9">
        <v>0</v>
      </c>
      <c r="H64" s="9">
        <v>0</v>
      </c>
      <c r="I64" s="9"/>
    </row>
    <row r="65" spans="2:9" ht="15" customHeight="1" x14ac:dyDescent="0.3">
      <c r="B65" s="1" t="s">
        <v>162</v>
      </c>
      <c r="D65" s="8">
        <v>27252</v>
      </c>
      <c r="E65" s="8">
        <v>9968</v>
      </c>
      <c r="F65" s="8">
        <v>9091</v>
      </c>
      <c r="G65" s="8">
        <v>-20868</v>
      </c>
      <c r="H65" s="8">
        <v>-25026</v>
      </c>
      <c r="I65" s="8"/>
    </row>
    <row r="66" spans="2:9" ht="15" customHeight="1" x14ac:dyDescent="0.3">
      <c r="B66" s="39" t="s">
        <v>163</v>
      </c>
      <c r="D66" s="15">
        <f>+SUM(D54:D65)</f>
        <v>-1205220</v>
      </c>
      <c r="E66" s="15">
        <f>+SUM(E54:E65)</f>
        <v>-1461667</v>
      </c>
      <c r="F66" s="15">
        <f>+SUM(F54:F65)</f>
        <v>-1037950</v>
      </c>
      <c r="G66" s="15">
        <f>+SUM(G54:G65)</f>
        <v>-1860382</v>
      </c>
      <c r="H66" s="15">
        <f>+SUM(H54:H65)</f>
        <v>-476365</v>
      </c>
      <c r="I66" s="6"/>
    </row>
    <row r="67" spans="2:9" ht="15" customHeight="1" x14ac:dyDescent="0.3">
      <c r="B67" s="39" t="s">
        <v>164</v>
      </c>
      <c r="D67" s="6">
        <v>80478</v>
      </c>
      <c r="E67" s="6">
        <v>-283372</v>
      </c>
      <c r="F67" s="6">
        <v>240288</v>
      </c>
      <c r="G67" s="6">
        <v>-173522</v>
      </c>
      <c r="H67" s="6">
        <v>213152</v>
      </c>
      <c r="I67" s="6"/>
    </row>
    <row r="68" spans="2:9" ht="15" customHeight="1" x14ac:dyDescent="0.3">
      <c r="B68" s="39" t="s">
        <v>165</v>
      </c>
      <c r="D68" s="5">
        <v>30103</v>
      </c>
      <c r="E68" s="5">
        <v>-4254</v>
      </c>
      <c r="F68" s="5">
        <v>18515</v>
      </c>
      <c r="G68" s="5">
        <v>44737</v>
      </c>
      <c r="H68" s="5">
        <v>93705</v>
      </c>
      <c r="I68" s="5"/>
    </row>
    <row r="69" spans="2:9" ht="15" customHeight="1" x14ac:dyDescent="0.3">
      <c r="B69" s="39" t="s">
        <v>166</v>
      </c>
      <c r="D69" s="6">
        <f>+SUM(D67:D68)</f>
        <v>110581</v>
      </c>
      <c r="E69" s="6">
        <f>+SUM(E67:E68)</f>
        <v>-287626</v>
      </c>
      <c r="F69" s="6">
        <f>+SUM(F67:F68)</f>
        <v>258803</v>
      </c>
      <c r="G69" s="6">
        <f>+SUM(G67:G68)</f>
        <v>-128785</v>
      </c>
      <c r="H69" s="6">
        <f>+SUM(H67:H68)</f>
        <v>306857</v>
      </c>
      <c r="I69" s="5"/>
    </row>
    <row r="70" spans="2:9" ht="15" customHeight="1" x14ac:dyDescent="0.3">
      <c r="D70" s="5"/>
      <c r="E70" s="5"/>
      <c r="F70" s="5"/>
      <c r="G70" s="5"/>
      <c r="H70" s="5"/>
      <c r="I70" s="5"/>
    </row>
    <row r="71" spans="2:9" ht="15" customHeight="1" x14ac:dyDescent="0.3">
      <c r="D71" s="9"/>
      <c r="E71" s="9"/>
      <c r="F71" s="9"/>
      <c r="G71" s="9"/>
      <c r="H71" s="9"/>
      <c r="I71" s="9"/>
    </row>
    <row r="72" spans="2:9" x14ac:dyDescent="0.3">
      <c r="H72" s="5"/>
      <c r="I72" s="5"/>
    </row>
    <row r="73" spans="2:9" x14ac:dyDescent="0.3">
      <c r="H73" s="47"/>
      <c r="I73" s="5"/>
    </row>
  </sheetData>
  <mergeCells count="7">
    <mergeCell ref="B4:J4"/>
    <mergeCell ref="B5:J5"/>
    <mergeCell ref="B6:J6"/>
    <mergeCell ref="B11:B12"/>
    <mergeCell ref="D11:H11"/>
    <mergeCell ref="B7:J7"/>
    <mergeCell ref="B8:J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K55"/>
  <sheetViews>
    <sheetView showGridLines="0" topLeftCell="A10" zoomScale="80" zoomScaleNormal="80" workbookViewId="0">
      <selection activeCell="E21" sqref="E21"/>
    </sheetView>
  </sheetViews>
  <sheetFormatPr baseColWidth="10" defaultColWidth="11.44140625" defaultRowHeight="14.4" x14ac:dyDescent="0.3"/>
  <cols>
    <col min="1" max="1" width="2.6640625" style="1" customWidth="1"/>
    <col min="2" max="2" width="36" style="1" customWidth="1"/>
    <col min="3" max="3" width="47.33203125" style="1" customWidth="1"/>
    <col min="4" max="4" width="17.33203125" style="3" bestFit="1" customWidth="1"/>
    <col min="5" max="6" width="18.5546875" style="1" bestFit="1" customWidth="1"/>
    <col min="7" max="7" width="16.5546875" style="1" customWidth="1"/>
    <col min="8" max="8" width="15.5546875" style="1" customWidth="1"/>
    <col min="9" max="9" width="12.6640625" style="1" customWidth="1"/>
    <col min="10" max="10" width="18.5546875" style="1" customWidth="1"/>
    <col min="11" max="11" width="12" style="1" customWidth="1"/>
    <col min="12" max="12" width="14.33203125" style="1" customWidth="1"/>
    <col min="13" max="13" width="12.33203125" style="1" customWidth="1"/>
    <col min="14" max="16384" width="11.44140625" style="1"/>
  </cols>
  <sheetData>
    <row r="4" spans="2:11" x14ac:dyDescent="0.3">
      <c r="B4" s="168" t="s">
        <v>5</v>
      </c>
      <c r="C4" s="168"/>
      <c r="D4" s="168"/>
      <c r="E4" s="168"/>
      <c r="F4" s="168"/>
      <c r="G4" s="168"/>
      <c r="H4" s="168"/>
      <c r="I4" s="168"/>
      <c r="J4" s="168"/>
      <c r="K4" s="168"/>
    </row>
    <row r="5" spans="2:11" x14ac:dyDescent="0.3">
      <c r="B5" s="168" t="s">
        <v>25</v>
      </c>
      <c r="C5" s="168"/>
      <c r="D5" s="168"/>
      <c r="E5" s="168"/>
      <c r="F5" s="168"/>
      <c r="G5" s="168"/>
      <c r="H5" s="168"/>
      <c r="I5" s="168"/>
      <c r="J5" s="168"/>
      <c r="K5" s="168"/>
    </row>
    <row r="6" spans="2:11" x14ac:dyDescent="0.3">
      <c r="B6" s="168" t="s">
        <v>8</v>
      </c>
      <c r="C6" s="168"/>
      <c r="D6" s="168"/>
      <c r="E6" s="168"/>
      <c r="F6" s="168"/>
      <c r="G6" s="168"/>
      <c r="H6" s="168"/>
      <c r="I6" s="168"/>
      <c r="J6" s="168"/>
      <c r="K6" s="168"/>
    </row>
    <row r="7" spans="2:11" x14ac:dyDescent="0.3">
      <c r="B7" s="176" t="s">
        <v>79</v>
      </c>
      <c r="C7" s="176"/>
      <c r="D7" s="176"/>
      <c r="E7" s="176"/>
      <c r="F7" s="176"/>
      <c r="G7" s="176"/>
      <c r="H7" s="176"/>
      <c r="I7" s="176"/>
      <c r="J7" s="176"/>
      <c r="K7" s="176"/>
    </row>
    <row r="8" spans="2:11" x14ac:dyDescent="0.3">
      <c r="B8" s="177" t="s">
        <v>26</v>
      </c>
      <c r="C8" s="177"/>
      <c r="D8" s="177"/>
      <c r="E8" s="177"/>
      <c r="F8" s="177"/>
      <c r="G8" s="177"/>
      <c r="H8" s="177"/>
      <c r="I8" s="177"/>
      <c r="J8" s="177"/>
      <c r="K8" s="177"/>
    </row>
    <row r="12" spans="2:11" x14ac:dyDescent="0.3">
      <c r="B12" s="169"/>
      <c r="C12" s="70"/>
      <c r="D12" s="175" t="s">
        <v>3</v>
      </c>
      <c r="E12" s="175"/>
      <c r="F12" s="175"/>
      <c r="G12" s="175"/>
      <c r="H12" s="175"/>
      <c r="I12" s="175"/>
    </row>
    <row r="13" spans="2:11" x14ac:dyDescent="0.3">
      <c r="B13" s="169"/>
      <c r="C13" s="70"/>
      <c r="D13" s="75">
        <v>2018</v>
      </c>
      <c r="E13" s="75">
        <v>2019</v>
      </c>
      <c r="F13" s="75">
        <v>2020</v>
      </c>
      <c r="G13" s="75">
        <v>2021</v>
      </c>
      <c r="H13" s="71">
        <v>2022</v>
      </c>
      <c r="I13" s="71"/>
    </row>
    <row r="14" spans="2:11" x14ac:dyDescent="0.3">
      <c r="D14" s="11"/>
      <c r="E14" s="11"/>
      <c r="F14" s="11"/>
      <c r="G14" s="11"/>
      <c r="H14" s="45"/>
      <c r="I14" s="45"/>
    </row>
    <row r="15" spans="2:11" x14ac:dyDescent="0.3">
      <c r="B15" s="60" t="s">
        <v>170</v>
      </c>
      <c r="C15" s="60"/>
      <c r="D15" s="55"/>
      <c r="E15" s="56"/>
      <c r="F15" s="55"/>
      <c r="G15" s="55"/>
      <c r="H15" s="57"/>
      <c r="I15" s="57"/>
    </row>
    <row r="16" spans="2:11" x14ac:dyDescent="0.3">
      <c r="B16" s="1" t="s">
        <v>171</v>
      </c>
      <c r="C16" s="1" t="s">
        <v>185</v>
      </c>
      <c r="D16" s="86">
        <f>+BG!D25/BG!D56</f>
        <v>0.93426966419338264</v>
      </c>
      <c r="E16" s="86">
        <f>+BG!E25/BG!E56</f>
        <v>0.88918240983976571</v>
      </c>
      <c r="F16" s="86">
        <f>+BG!F25/BG!F56</f>
        <v>0.99904020735723464</v>
      </c>
      <c r="G16" s="86">
        <f>+BG!G25/BG!G56</f>
        <v>0.85813405573555024</v>
      </c>
      <c r="H16" s="86">
        <f>+BG!H25/BG!H56</f>
        <v>1.1834476039868045</v>
      </c>
      <c r="I16" s="57"/>
    </row>
    <row r="17" spans="2:9" x14ac:dyDescent="0.3">
      <c r="B17" s="1" t="s">
        <v>92</v>
      </c>
      <c r="C17" s="1" t="s">
        <v>186</v>
      </c>
      <c r="D17" s="86">
        <f>+(BG!D25-BG!D22)/BG!D56</f>
        <v>0.65887019900238419</v>
      </c>
      <c r="E17" s="86">
        <f>+(BG!E25-BG!E22)/BG!E56</f>
        <v>0.59450113395398596</v>
      </c>
      <c r="F17" s="87">
        <f>+(BG!F25-BG!F22)/BG!F56</f>
        <v>0.69324344251130987</v>
      </c>
      <c r="G17" s="86">
        <f>+(BG!G25-BG!G22)/BG!G56</f>
        <v>0.56103389991017805</v>
      </c>
      <c r="H17" s="90">
        <f>+(BG!H25-BG!H22)/BG!H56</f>
        <v>0.80041507546757162</v>
      </c>
      <c r="I17" s="57"/>
    </row>
    <row r="18" spans="2:9" x14ac:dyDescent="0.3">
      <c r="D18" s="55"/>
      <c r="E18" s="58"/>
      <c r="F18" s="58"/>
      <c r="G18" s="58"/>
      <c r="H18" s="59"/>
      <c r="I18" s="59"/>
    </row>
    <row r="19" spans="2:9" x14ac:dyDescent="0.3">
      <c r="B19" s="39" t="s">
        <v>172</v>
      </c>
      <c r="D19" s="61"/>
      <c r="E19" s="61"/>
      <c r="F19" s="62"/>
      <c r="G19" s="61"/>
      <c r="H19" s="59"/>
      <c r="I19" s="59"/>
    </row>
    <row r="20" spans="2:9" x14ac:dyDescent="0.3">
      <c r="B20" s="1" t="s">
        <v>173</v>
      </c>
      <c r="C20" s="1" t="s">
        <v>187</v>
      </c>
      <c r="D20" s="86">
        <f>+BG!D41/BG!D79</f>
        <v>2.0976761284696939</v>
      </c>
      <c r="E20" s="88">
        <f>+BG!E41/BG!E79</f>
        <v>2.1682535913516343</v>
      </c>
      <c r="F20" s="88">
        <f>+BG!F41/BG!F79</f>
        <v>2.1320725067857889</v>
      </c>
      <c r="G20" s="88">
        <f>+BG!G41/BG!G79</f>
        <v>1.9177046499173673</v>
      </c>
      <c r="H20" s="88">
        <f>+BG!H41/BG!H79</f>
        <v>1.9277185459726507</v>
      </c>
      <c r="I20" s="59"/>
    </row>
    <row r="21" spans="2:9" x14ac:dyDescent="0.3">
      <c r="B21" s="1" t="s">
        <v>174</v>
      </c>
      <c r="C21" s="1" t="s">
        <v>184</v>
      </c>
      <c r="D21" s="87">
        <f>+(ER!D33/BG!D79)/(ER!D26/BG!D41)</f>
        <v>1.0536874932390126</v>
      </c>
      <c r="E21" s="87">
        <f>+(ER!E33/BG!E79)/(ER!E26/BG!E41)</f>
        <v>0.88625115167650848</v>
      </c>
      <c r="F21" s="87">
        <f>+(ER!F33/BG!F79)/(ER!F26/BG!F41)</f>
        <v>0.68042843960671351</v>
      </c>
      <c r="G21" s="87">
        <f>+(ER!G33/BG!G79)/(ER!G26/BG!G41)</f>
        <v>1.2885145935380657</v>
      </c>
      <c r="H21" s="87">
        <f>+(ER!H33/BG!H79)/(ER!H26/BG!H41)</f>
        <v>0.95172025177386466</v>
      </c>
    </row>
    <row r="23" spans="2:9" x14ac:dyDescent="0.3">
      <c r="B23" s="39" t="s">
        <v>175</v>
      </c>
      <c r="D23" s="92"/>
    </row>
    <row r="24" spans="2:9" x14ac:dyDescent="0.3">
      <c r="B24" s="1" t="s">
        <v>176</v>
      </c>
      <c r="C24" s="1" t="s">
        <v>188</v>
      </c>
      <c r="D24" s="91">
        <f>+ER!D37/BG!D41</f>
        <v>1.5444287575969055E-2</v>
      </c>
      <c r="E24" s="91">
        <f>+ER!E37/BG!E41</f>
        <v>1.0237804353885388E-2</v>
      </c>
      <c r="F24" s="91">
        <f>+ER!F37/BG!F41</f>
        <v>7.5810287251506419E-3</v>
      </c>
      <c r="G24" s="91">
        <f>+ER!G37/BG!G41</f>
        <v>2.6772677618301911E-2</v>
      </c>
      <c r="H24" s="91">
        <f>+ER!H37/BG!H41</f>
        <v>9.2329849498399633E-3</v>
      </c>
    </row>
    <row r="25" spans="2:9" x14ac:dyDescent="0.3">
      <c r="B25" s="1" t="s">
        <v>177</v>
      </c>
      <c r="C25" s="1" t="s">
        <v>189</v>
      </c>
      <c r="D25" s="62">
        <f>+ER!D19/ER!D16</f>
        <v>0.18595742921619976</v>
      </c>
      <c r="E25" s="62">
        <f>+ER!E19/ER!E16</f>
        <v>0.17286985193506699</v>
      </c>
      <c r="F25" s="62">
        <f>+ER!F19/ER!F16</f>
        <v>0.18138595561070281</v>
      </c>
      <c r="G25" s="62">
        <f>+ER!G19/ER!G16</f>
        <v>0.19409679813650646</v>
      </c>
      <c r="H25" s="62">
        <f>+ER!H19/ER!H16</f>
        <v>0.17603982521479059</v>
      </c>
    </row>
    <row r="26" spans="2:9" x14ac:dyDescent="0.3">
      <c r="B26" s="1" t="s">
        <v>178</v>
      </c>
      <c r="C26" s="1" t="s">
        <v>190</v>
      </c>
      <c r="D26" s="62">
        <f>+ER!D26/ER!D16</f>
        <v>9.8022073739748264E-2</v>
      </c>
      <c r="E26" s="62">
        <f>+ER!E26/ER!E16</f>
        <v>8.9464021411666428E-2</v>
      </c>
      <c r="F26" s="62">
        <f>+ER!F26/ER!F16</f>
        <v>7.7222075811383933E-2</v>
      </c>
      <c r="G26" s="62">
        <f>+ER!G26/ER!G16</f>
        <v>0.12394872153721716</v>
      </c>
      <c r="H26" s="62">
        <f>+ER!H26/ER!H16</f>
        <v>0.10061763659962231</v>
      </c>
    </row>
    <row r="27" spans="2:9" x14ac:dyDescent="0.3">
      <c r="B27" s="1" t="s">
        <v>179</v>
      </c>
      <c r="C27" s="1" t="s">
        <v>191</v>
      </c>
      <c r="D27" s="91">
        <f>+ER!D37/ER!D16</f>
        <v>3.4621966060650988E-2</v>
      </c>
      <c r="E27" s="91">
        <f>+ER!E37/ER!E16</f>
        <v>2.0960683412059807E-2</v>
      </c>
      <c r="F27" s="91">
        <f>+ER!F37/ER!F16</f>
        <v>1.564504739044778E-2</v>
      </c>
      <c r="G27" s="91">
        <f>+ER!G37/ER!G16</f>
        <v>5.3366530555204995E-2</v>
      </c>
      <c r="H27" s="91">
        <f>+ER!H37/ER!H16</f>
        <v>1.8385226704256356E-2</v>
      </c>
    </row>
    <row r="28" spans="2:9" x14ac:dyDescent="0.3">
      <c r="D28" s="62"/>
      <c r="E28" s="3"/>
    </row>
    <row r="29" spans="2:9" x14ac:dyDescent="0.3">
      <c r="B29" s="39" t="s">
        <v>180</v>
      </c>
      <c r="E29" s="3"/>
    </row>
    <row r="30" spans="2:9" x14ac:dyDescent="0.3">
      <c r="B30" s="1" t="s">
        <v>181</v>
      </c>
      <c r="C30" s="1" t="s">
        <v>192</v>
      </c>
      <c r="D30" s="93">
        <f>+BG!D25-BG!D56</f>
        <v>-203210</v>
      </c>
      <c r="E30" s="93">
        <f>+BG!E25-BG!E56</f>
        <v>-338281</v>
      </c>
      <c r="F30" s="93">
        <f>+BG!F25-BG!F56</f>
        <v>-2558</v>
      </c>
      <c r="G30" s="93">
        <f>+BG!G25-BG!G56</f>
        <v>-494356</v>
      </c>
      <c r="H30" s="93">
        <f>+BG!H25-BG!H56</f>
        <v>719691</v>
      </c>
    </row>
    <row r="31" spans="2:9" x14ac:dyDescent="0.3">
      <c r="B31" s="1" t="s">
        <v>182</v>
      </c>
      <c r="C31" s="1" t="s">
        <v>193</v>
      </c>
      <c r="D31" s="94">
        <f>+ER!D26+FE!D17</f>
        <v>1532750</v>
      </c>
      <c r="E31" s="94">
        <f>+ER!E26+FE!E17</f>
        <v>1755111</v>
      </c>
      <c r="F31" s="94">
        <f>+ER!F26+FE!F17</f>
        <v>1608619</v>
      </c>
      <c r="G31" s="94">
        <f>+ER!G26+FE!G17</f>
        <v>2138031</v>
      </c>
      <c r="H31" s="94">
        <f>+ER!H26+FE!H17</f>
        <v>2137362</v>
      </c>
    </row>
    <row r="32" spans="2:9" x14ac:dyDescent="0.3">
      <c r="B32" s="1" t="s">
        <v>183</v>
      </c>
      <c r="C32" s="1" t="s">
        <v>194</v>
      </c>
      <c r="D32" s="91">
        <f>+D31/ER!D16</f>
        <v>0.18208863234716197</v>
      </c>
      <c r="E32" s="91">
        <f>+E31/ER!E16</f>
        <v>0.18721032234832016</v>
      </c>
      <c r="F32" s="91">
        <f>+F31/ER!F16</f>
        <v>0.17872456210444077</v>
      </c>
      <c r="G32" s="91">
        <f>+G31/ER!G16</f>
        <v>0.21777334767886822</v>
      </c>
      <c r="H32" s="91">
        <f>+H31/ER!H16</f>
        <v>0.18292981332251518</v>
      </c>
    </row>
    <row r="33" spans="2:8" x14ac:dyDescent="0.3">
      <c r="D33" s="89"/>
    </row>
    <row r="34" spans="2:8" x14ac:dyDescent="0.3">
      <c r="D34" s="89"/>
    </row>
    <row r="35" spans="2:8" x14ac:dyDescent="0.3">
      <c r="B35" s="39" t="s">
        <v>238</v>
      </c>
      <c r="D35" s="95"/>
    </row>
    <row r="36" spans="2:8" x14ac:dyDescent="0.3">
      <c r="B36" s="1" t="s">
        <v>239</v>
      </c>
      <c r="C36" s="1" t="s">
        <v>257</v>
      </c>
      <c r="D36" s="89">
        <f>BG!D69/BG!D41</f>
        <v>0.52328198503668699</v>
      </c>
      <c r="E36" s="89">
        <f>BG!E69/BG!E41</f>
        <v>0.53879933417906833</v>
      </c>
      <c r="F36" s="89">
        <f>BG!F69/BG!F41</f>
        <v>0.53097279908761053</v>
      </c>
      <c r="G36" s="89">
        <f>BG!G69/BG!G41</f>
        <v>0.4785432678368437</v>
      </c>
      <c r="H36" s="89">
        <f>BG!H69/BG!H41</f>
        <v>0.48125207277318616</v>
      </c>
    </row>
    <row r="37" spans="2:8" x14ac:dyDescent="0.3">
      <c r="B37" s="1" t="s">
        <v>240</v>
      </c>
      <c r="C37" s="1" t="s">
        <v>258</v>
      </c>
      <c r="D37" s="89">
        <f>BG!D56/BG!D69</f>
        <v>0.31309137490795591</v>
      </c>
      <c r="E37" s="89">
        <f>BG!E56/BG!E69</f>
        <v>0.29516743678605378</v>
      </c>
      <c r="F37" s="89">
        <f>BG!F56/BG!F69</f>
        <v>0.27022974850259573</v>
      </c>
      <c r="G37" s="89">
        <f>BG!G56/BG!G69</f>
        <v>0.37209515390127729</v>
      </c>
      <c r="H37" s="89">
        <f>BG!H56/BG!H69</f>
        <v>0.35038133291559409</v>
      </c>
    </row>
    <row r="38" spans="2:8" x14ac:dyDescent="0.3">
      <c r="B38" s="1" t="s">
        <v>241</v>
      </c>
      <c r="C38" s="1" t="s">
        <v>259</v>
      </c>
      <c r="D38" s="89">
        <f>BG!D68/BG!D69</f>
        <v>0.68690862509204409</v>
      </c>
      <c r="E38" s="89">
        <f>BG!E68/BG!E69</f>
        <v>0.70483256321394616</v>
      </c>
      <c r="F38" s="89">
        <f>BG!F68/BG!F69</f>
        <v>0.72977025149740427</v>
      </c>
      <c r="G38" s="89">
        <f>BG!G68/BG!G69</f>
        <v>0.62790484609872277</v>
      </c>
      <c r="H38" s="89">
        <f>BG!H68/BG!H69</f>
        <v>0.64961866708440585</v>
      </c>
    </row>
    <row r="39" spans="2:8" x14ac:dyDescent="0.3">
      <c r="B39" s="1" t="s">
        <v>242</v>
      </c>
      <c r="C39" s="1" t="s">
        <v>260</v>
      </c>
      <c r="D39" s="89">
        <f>BG!D79/BG!D68</f>
        <v>1.326254317926157</v>
      </c>
      <c r="E39" s="89">
        <f>BG!E79/BG!E68</f>
        <v>1.2144423820635972</v>
      </c>
      <c r="F39" s="89">
        <f>BG!F79/BG!F68</f>
        <v>1.2104297824994776</v>
      </c>
      <c r="G39" s="89">
        <f>BG!G79/BG!G68</f>
        <v>1.7354145441231414</v>
      </c>
      <c r="H39" s="89">
        <f>BG!H79/BG!H68</f>
        <v>1.6593013452969052</v>
      </c>
    </row>
    <row r="40" spans="2:8" x14ac:dyDescent="0.3">
      <c r="B40" s="1" t="s">
        <v>243</v>
      </c>
      <c r="C40" s="1" t="s">
        <v>261</v>
      </c>
      <c r="D40" s="89">
        <f>BG!D69/BG!D79</f>
        <v>1.0976761284696941</v>
      </c>
      <c r="E40" s="89">
        <f>BG!E69/BG!E79</f>
        <v>1.1682535913516341</v>
      </c>
      <c r="F40" s="89">
        <f>BG!F69/BG!F79</f>
        <v>1.1320725067857889</v>
      </c>
      <c r="G40" s="89">
        <f>BG!G69/BG!G79</f>
        <v>0.91770464991736733</v>
      </c>
      <c r="H40" s="89">
        <f>BG!H69/BG!H79</f>
        <v>0.92771854597265058</v>
      </c>
    </row>
    <row r="41" spans="2:8" x14ac:dyDescent="0.3">
      <c r="B41" s="1" t="s">
        <v>244</v>
      </c>
      <c r="C41" s="1" t="s">
        <v>262</v>
      </c>
      <c r="D41" s="89">
        <f>ABS(ER!D26/ER!D29)</f>
        <v>1.9899550933585441</v>
      </c>
      <c r="E41" s="89">
        <f>ABS(ER!E26/ER!E29)</f>
        <v>1.7061685801931699</v>
      </c>
      <c r="F41" s="89">
        <f>ABS(ER!F26/ER!F29)</f>
        <v>1.3940886106670571</v>
      </c>
      <c r="G41" s="89">
        <f>ABS(ER!G26/ER!G29)</f>
        <v>2.8024475846567669</v>
      </c>
      <c r="H41" s="89">
        <f>ABS(ER!H26/ER!H29)</f>
        <v>1.7855768310705211</v>
      </c>
    </row>
    <row r="42" spans="2:8" x14ac:dyDescent="0.3">
      <c r="B42" s="1" t="s">
        <v>245</v>
      </c>
      <c r="C42" s="1" t="s">
        <v>263</v>
      </c>
      <c r="D42" s="131">
        <f>BG!D68/BG!D79</f>
        <v>0.75400320020347544</v>
      </c>
      <c r="E42" s="131">
        <f>BG!E68/BG!E79</f>
        <v>0.82342317327627035</v>
      </c>
      <c r="F42" s="131">
        <f>BG!F68/BG!F79</f>
        <v>0.82615283799036199</v>
      </c>
      <c r="G42" s="131">
        <f>BG!G68/BG!G79</f>
        <v>0.57623119697044678</v>
      </c>
      <c r="H42" s="131">
        <f>BG!H68/BG!H79</f>
        <v>0.6026632852642364</v>
      </c>
    </row>
    <row r="43" spans="2:8" x14ac:dyDescent="0.3">
      <c r="B43" s="1" t="s">
        <v>246</v>
      </c>
      <c r="C43" s="1" t="s">
        <v>264</v>
      </c>
      <c r="D43" s="131">
        <f>BG!D56/BG!D79</f>
        <v>0.34367292826621854</v>
      </c>
      <c r="E43" s="131">
        <f>BG!E56/BG!E79</f>
        <v>0.3448304180753638</v>
      </c>
      <c r="F43" s="131">
        <f>BG!F56/BG!F79</f>
        <v>0.30591966879542681</v>
      </c>
      <c r="G43" s="131">
        <f>BG!G56/BG!G79</f>
        <v>0.34147345294692061</v>
      </c>
      <c r="H43" s="131">
        <f>BG!H56/BG!H79</f>
        <v>0.32505526070841417</v>
      </c>
    </row>
    <row r="46" spans="2:8" x14ac:dyDescent="0.3">
      <c r="B46" s="39" t="s">
        <v>247</v>
      </c>
    </row>
    <row r="47" spans="2:8" x14ac:dyDescent="0.3">
      <c r="B47" s="1" t="s">
        <v>248</v>
      </c>
      <c r="C47" s="1" t="s">
        <v>266</v>
      </c>
      <c r="D47" s="130">
        <f>365/(ER!D16/BG!D20)</f>
        <v>42.915577877030096</v>
      </c>
      <c r="E47" s="130">
        <f>365/(ER!E16/BG!E20)</f>
        <v>40.04735854941336</v>
      </c>
      <c r="F47" s="130">
        <f>365/(ER!F16/BG!F20)</f>
        <v>37.356489293762998</v>
      </c>
      <c r="G47" s="130">
        <f>365/(ER!G16/BG!G20)</f>
        <v>42.020310991721168</v>
      </c>
      <c r="H47" s="130">
        <f>365/(ER!H16/BG!H20)</f>
        <v>42.280727452926229</v>
      </c>
    </row>
    <row r="48" spans="2:8" x14ac:dyDescent="0.3">
      <c r="B48" s="1" t="s">
        <v>249</v>
      </c>
      <c r="C48" s="1" t="s">
        <v>265</v>
      </c>
      <c r="D48" s="130">
        <f>365/(ABS(ER!D17/BG!D22))</f>
        <v>45.352326843238352</v>
      </c>
      <c r="E48" s="130">
        <f>365/(ABS(ER!E17/BG!E22))</f>
        <v>42.341443731101066</v>
      </c>
      <c r="F48" s="130">
        <f>365/(ABS(ER!F17/BG!F22))</f>
        <v>40.373902598746604</v>
      </c>
      <c r="G48" s="130">
        <f>365/(ABS(ER!G17/BG!G22))</f>
        <v>47.760102334308677</v>
      </c>
      <c r="H48" s="130">
        <f>365/(ABS(ER!H17/BG!H22))</f>
        <v>56.972166662027028</v>
      </c>
    </row>
    <row r="49" spans="2:8" x14ac:dyDescent="0.3">
      <c r="B49" s="1" t="s">
        <v>250</v>
      </c>
      <c r="C49" s="1" t="s">
        <v>267</v>
      </c>
      <c r="D49" s="130">
        <f>D47+D48</f>
        <v>88.267904720268447</v>
      </c>
      <c r="E49" s="130">
        <f t="shared" ref="E49:H49" si="0">E47+E48</f>
        <v>82.388802280514426</v>
      </c>
      <c r="F49" s="130">
        <f t="shared" si="0"/>
        <v>77.730391892509601</v>
      </c>
      <c r="G49" s="130">
        <f t="shared" si="0"/>
        <v>89.780413326029844</v>
      </c>
      <c r="H49" s="130">
        <f t="shared" si="0"/>
        <v>99.25289411495325</v>
      </c>
    </row>
    <row r="50" spans="2:8" x14ac:dyDescent="0.3">
      <c r="B50" s="1" t="s">
        <v>251</v>
      </c>
      <c r="C50" s="1" t="s">
        <v>268</v>
      </c>
      <c r="D50" s="132">
        <f>ABS(365/(ER!D17/BG!D48))</f>
        <v>62.685369470751958</v>
      </c>
      <c r="E50" s="132">
        <f>ABS(365/(ER!E17/BG!E48))</f>
        <v>57.431380319426061</v>
      </c>
      <c r="F50" s="132">
        <f>ABS(365/(ER!F17/BG!F48))</f>
        <v>50.399943675161765</v>
      </c>
      <c r="G50" s="132">
        <f>ABS(365/(ER!G17/BG!G48))</f>
        <v>45.381083698691135</v>
      </c>
      <c r="H50" s="132">
        <f>ABS(365/(ER!H17/BG!H48))</f>
        <v>52.453265208270409</v>
      </c>
    </row>
    <row r="51" spans="2:8" x14ac:dyDescent="0.3">
      <c r="B51" s="1" t="s">
        <v>252</v>
      </c>
      <c r="C51" s="1" t="s">
        <v>269</v>
      </c>
      <c r="D51" s="130">
        <f>D49-D50</f>
        <v>25.582535249516489</v>
      </c>
      <c r="E51" s="130">
        <f t="shared" ref="E51:H51" si="1">E49-E50</f>
        <v>24.957421961088365</v>
      </c>
      <c r="F51" s="130">
        <f t="shared" si="1"/>
        <v>27.330448217347836</v>
      </c>
      <c r="G51" s="130">
        <f t="shared" si="1"/>
        <v>44.399329627338709</v>
      </c>
      <c r="H51" s="130">
        <f t="shared" si="1"/>
        <v>46.799628906682841</v>
      </c>
    </row>
    <row r="52" spans="2:8" x14ac:dyDescent="0.3">
      <c r="B52" s="1" t="s">
        <v>253</v>
      </c>
      <c r="C52" s="1" t="s">
        <v>270</v>
      </c>
      <c r="D52" s="96">
        <f>ER!D19/BG!D35</f>
        <v>0.1368511461526975</v>
      </c>
      <c r="E52" s="96">
        <f>ER!E19/BG!E35</f>
        <v>0.14553484235060429</v>
      </c>
      <c r="F52" s="96">
        <f>ER!F19/BG!F35</f>
        <v>0.14558080577267848</v>
      </c>
      <c r="G52" s="96">
        <f>ER!G19/BG!G35</f>
        <v>0.16026751201513068</v>
      </c>
      <c r="H52" s="96">
        <f>ER!H19/BG!H35</f>
        <v>0.15348022927951352</v>
      </c>
    </row>
    <row r="53" spans="2:8" x14ac:dyDescent="0.3">
      <c r="B53" s="1" t="s">
        <v>254</v>
      </c>
      <c r="C53" s="1" t="s">
        <v>271</v>
      </c>
      <c r="D53" s="96">
        <f>ER!D16/BG!D41</f>
        <v>0.4460834936096249</v>
      </c>
      <c r="E53" s="96">
        <f>ER!E16/BG!E41</f>
        <v>0.48842893872415583</v>
      </c>
      <c r="F53" s="96">
        <f>ER!F16/BG!F41</f>
        <v>0.48456412665002885</v>
      </c>
      <c r="G53" s="96">
        <f>ER!G16/BG!G41</f>
        <v>0.50167543851491192</v>
      </c>
      <c r="H53" s="96">
        <f>ER!H16/BG!H41</f>
        <v>0.50219587162895518</v>
      </c>
    </row>
    <row r="54" spans="2:8" x14ac:dyDescent="0.3">
      <c r="B54" s="1" t="s">
        <v>255</v>
      </c>
      <c r="C54" s="1" t="s">
        <v>272</v>
      </c>
      <c r="D54" s="130">
        <f>365/(ER!D19/(BG!D25-BG!D56))</f>
        <v>-47.384457834711966</v>
      </c>
      <c r="E54" s="130">
        <f>365/(ER!E19/(BG!E25-BG!E56))</f>
        <v>-76.186217658397638</v>
      </c>
      <c r="F54" s="87">
        <f>365/(ER!F19/(BG!F25-BG!F56))</f>
        <v>-0.57190091959134448</v>
      </c>
      <c r="G54" s="87">
        <f>365/(ER!G19/(BG!G25-BG!G56))</f>
        <v>-94.690199634547341</v>
      </c>
      <c r="H54" s="87">
        <f>365/(ER!H19/(BG!H25-BG!H56))</f>
        <v>127.71279655046847</v>
      </c>
    </row>
    <row r="55" spans="2:8" x14ac:dyDescent="0.3">
      <c r="B55" s="1" t="s">
        <v>256</v>
      </c>
      <c r="C55" s="1" t="s">
        <v>273</v>
      </c>
      <c r="D55" s="96">
        <f>ER!D19/BG!D79</f>
        <v>0.17400756229825035</v>
      </c>
      <c r="E55" s="96">
        <f>ER!E19/BG!E79</f>
        <v>0.18307570776758109</v>
      </c>
      <c r="F55" s="96">
        <f>ER!F19/BG!F79</f>
        <v>0.18739451996836073</v>
      </c>
      <c r="G55" s="96">
        <f>ER!G19/BG!G79</f>
        <v>0.18673379844102853</v>
      </c>
      <c r="H55" s="96">
        <f>ER!H19/BG!H79</f>
        <v>0.17042279848280997</v>
      </c>
    </row>
  </sheetData>
  <mergeCells count="7">
    <mergeCell ref="B12:B13"/>
    <mergeCell ref="D12:I12"/>
    <mergeCell ref="B4:K4"/>
    <mergeCell ref="B5:K5"/>
    <mergeCell ref="B6:K6"/>
    <mergeCell ref="B7:K7"/>
    <mergeCell ref="B8:K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O97"/>
  <sheetViews>
    <sheetView showGridLines="0" zoomScale="80" zoomScaleNormal="80" workbookViewId="0">
      <selection activeCell="B20" sqref="B20"/>
    </sheetView>
  </sheetViews>
  <sheetFormatPr baseColWidth="10" defaultColWidth="11.44140625" defaultRowHeight="14.4" x14ac:dyDescent="0.3"/>
  <cols>
    <col min="1" max="1" width="2.6640625" style="1" customWidth="1"/>
    <col min="2" max="2" width="39.44140625" style="1" customWidth="1"/>
    <col min="3" max="3" width="17.33203125" style="1" bestFit="1" customWidth="1"/>
    <col min="4" max="4" width="17.33203125" style="3" bestFit="1" customWidth="1"/>
    <col min="5" max="6" width="18.5546875" style="1" bestFit="1" customWidth="1"/>
    <col min="7" max="7" width="16.5546875" style="1" customWidth="1"/>
    <col min="8" max="8" width="12" style="1" customWidth="1"/>
    <col min="9" max="9" width="14.33203125" style="1" customWidth="1"/>
    <col min="10" max="10" width="38.5546875" style="1" customWidth="1"/>
    <col min="11" max="13" width="13.5546875" style="1" bestFit="1" customWidth="1"/>
    <col min="14" max="15" width="14.5546875" style="1" bestFit="1" customWidth="1"/>
    <col min="16" max="16384" width="11.44140625" style="1"/>
  </cols>
  <sheetData>
    <row r="4" spans="2:14" x14ac:dyDescent="0.3">
      <c r="B4" s="168" t="s">
        <v>5</v>
      </c>
      <c r="C4" s="168"/>
      <c r="D4" s="168"/>
      <c r="E4" s="168"/>
      <c r="F4" s="168"/>
      <c r="G4" s="168"/>
      <c r="H4" s="168"/>
    </row>
    <row r="5" spans="2:14" x14ac:dyDescent="0.3">
      <c r="B5" s="168" t="s">
        <v>25</v>
      </c>
      <c r="C5" s="168"/>
      <c r="D5" s="168"/>
      <c r="E5" s="168"/>
      <c r="F5" s="168"/>
      <c r="G5" s="168"/>
      <c r="H5" s="168"/>
    </row>
    <row r="6" spans="2:14" x14ac:dyDescent="0.3">
      <c r="B6" s="168" t="s">
        <v>8</v>
      </c>
      <c r="C6" s="168"/>
      <c r="D6" s="168"/>
      <c r="E6" s="168"/>
      <c r="F6" s="168"/>
      <c r="G6" s="168"/>
      <c r="H6" s="168"/>
    </row>
    <row r="7" spans="2:14" x14ac:dyDescent="0.3">
      <c r="B7" s="176" t="s">
        <v>79</v>
      </c>
      <c r="C7" s="176"/>
      <c r="D7" s="176"/>
      <c r="E7" s="176"/>
      <c r="F7" s="176"/>
      <c r="G7" s="176"/>
      <c r="H7" s="176"/>
    </row>
    <row r="8" spans="2:14" x14ac:dyDescent="0.3">
      <c r="B8" s="177" t="s">
        <v>26</v>
      </c>
      <c r="C8" s="177"/>
      <c r="D8" s="177"/>
      <c r="E8" s="177"/>
      <c r="F8" s="177"/>
      <c r="G8" s="177"/>
      <c r="H8" s="177"/>
    </row>
    <row r="12" spans="2:14" x14ac:dyDescent="0.3">
      <c r="B12" s="169"/>
      <c r="C12" s="70"/>
      <c r="D12" s="175" t="s">
        <v>3</v>
      </c>
      <c r="E12" s="175"/>
      <c r="F12" s="175"/>
      <c r="G12" s="175"/>
    </row>
    <row r="13" spans="2:14" x14ac:dyDescent="0.3">
      <c r="B13" s="169"/>
      <c r="C13" s="70">
        <v>2022</v>
      </c>
      <c r="D13" s="75">
        <v>2023</v>
      </c>
      <c r="E13" s="70">
        <v>2024</v>
      </c>
      <c r="F13" s="75">
        <v>2025</v>
      </c>
      <c r="G13" s="70">
        <v>2026</v>
      </c>
    </row>
    <row r="14" spans="2:14" x14ac:dyDescent="0.3">
      <c r="D14" s="11"/>
      <c r="E14" s="11"/>
      <c r="F14" s="11"/>
      <c r="G14" s="11"/>
      <c r="J14" s="142" t="s">
        <v>291</v>
      </c>
      <c r="K14" s="178" t="s">
        <v>292</v>
      </c>
      <c r="L14" s="178"/>
      <c r="M14" s="178"/>
      <c r="N14" s="178"/>
    </row>
    <row r="15" spans="2:14" x14ac:dyDescent="0.3">
      <c r="B15" s="60" t="s">
        <v>290</v>
      </c>
      <c r="C15" s="60" t="s">
        <v>293</v>
      </c>
      <c r="D15" s="55"/>
      <c r="E15" s="56"/>
      <c r="F15" s="55"/>
      <c r="G15" s="55"/>
    </row>
    <row r="16" spans="2:14" x14ac:dyDescent="0.3">
      <c r="K16" s="39">
        <v>2019</v>
      </c>
      <c r="L16" s="39">
        <v>2020</v>
      </c>
      <c r="M16" s="39">
        <v>2021</v>
      </c>
      <c r="N16" s="39">
        <v>2022</v>
      </c>
    </row>
    <row r="17" spans="2:14" x14ac:dyDescent="0.3">
      <c r="B17" s="136" t="s">
        <v>274</v>
      </c>
      <c r="C17" s="141">
        <f>ER!H16</f>
        <v>11684055</v>
      </c>
      <c r="D17" s="141">
        <f>C17*(1+$N$17)</f>
        <v>13905221.609996509</v>
      </c>
      <c r="E17" s="141">
        <f t="shared" ref="E17:G17" si="0">D17*(1+$N$17)</f>
        <v>16548637.268749068</v>
      </c>
      <c r="F17" s="141">
        <f t="shared" si="0"/>
        <v>19694572.523443542</v>
      </c>
      <c r="G17" s="141">
        <f t="shared" si="0"/>
        <v>23438557.542961806</v>
      </c>
      <c r="J17" s="136" t="s">
        <v>274</v>
      </c>
      <c r="K17" s="144">
        <f>(ER!E16-ER!D16)/ER!D16</f>
        <v>0.11374638198708326</v>
      </c>
      <c r="L17" s="144">
        <f>(ER!F16-ER!E16)/ER!E16</f>
        <v>-3.9949329477435701E-2</v>
      </c>
      <c r="M17" s="144">
        <f>(ER!G16-ER!F16)/ER!F16</f>
        <v>9.07879164690861E-2</v>
      </c>
      <c r="N17" s="144">
        <f>(ER!H16-ER!G16)/ER!G16</f>
        <v>0.19010237541645494</v>
      </c>
    </row>
    <row r="18" spans="2:14" x14ac:dyDescent="0.3">
      <c r="B18" s="137" t="s">
        <v>275</v>
      </c>
      <c r="C18" s="141">
        <v>0</v>
      </c>
      <c r="D18" s="141">
        <v>0</v>
      </c>
      <c r="E18" s="141">
        <v>0</v>
      </c>
      <c r="F18" s="141">
        <v>0</v>
      </c>
      <c r="G18" s="141">
        <v>0</v>
      </c>
    </row>
    <row r="19" spans="2:14" x14ac:dyDescent="0.3">
      <c r="B19" s="136" t="s">
        <v>276</v>
      </c>
      <c r="C19" s="20">
        <f>C17-C18</f>
        <v>11684055</v>
      </c>
      <c r="D19" s="20">
        <f t="shared" ref="D19:G19" si="1">D17-D18</f>
        <v>13905221.609996509</v>
      </c>
      <c r="E19" s="20">
        <f t="shared" si="1"/>
        <v>16548637.268749068</v>
      </c>
      <c r="F19" s="20">
        <f t="shared" si="1"/>
        <v>19694572.523443542</v>
      </c>
      <c r="G19" s="20">
        <f t="shared" si="1"/>
        <v>23438557.542961806</v>
      </c>
    </row>
    <row r="20" spans="2:14" x14ac:dyDescent="0.3">
      <c r="B20" s="137" t="s">
        <v>277</v>
      </c>
      <c r="C20" s="20">
        <f>ER!H17</f>
        <v>-9627196</v>
      </c>
      <c r="D20" s="20">
        <f>C20*(1+$L$20)</f>
        <v>-9147434.5234478246</v>
      </c>
      <c r="E20" s="20">
        <f t="shared" ref="E20:G20" si="2">D20*(1+$L$20)</f>
        <v>-8691581.4699072428</v>
      </c>
      <c r="F20" s="20">
        <f t="shared" si="2"/>
        <v>-8258445.3875447121</v>
      </c>
      <c r="G20" s="20">
        <f t="shared" si="2"/>
        <v>-7846894.1993115079</v>
      </c>
      <c r="J20" s="137" t="s">
        <v>277</v>
      </c>
      <c r="K20" s="143">
        <f>(ER!E17-ER!D17)/ER!D17</f>
        <v>0.13165237654926354</v>
      </c>
      <c r="L20" s="143">
        <f>(ER!F17-ER!E17)/ER!E17</f>
        <v>-4.9833978299826373E-2</v>
      </c>
      <c r="M20" s="143">
        <f>(ER!G17-ER!F17)/ER!F17</f>
        <v>7.3850956334678114E-2</v>
      </c>
      <c r="N20" s="143">
        <f>(ER!H17-ER!G17)/ER!G17</f>
        <v>0.21676767010355144</v>
      </c>
    </row>
    <row r="21" spans="2:14" x14ac:dyDescent="0.3">
      <c r="B21" s="136" t="s">
        <v>288</v>
      </c>
      <c r="C21" s="20">
        <f>C19+C20</f>
        <v>2056859</v>
      </c>
      <c r="D21" s="20">
        <f t="shared" ref="D21:G21" si="3">D19+D20</f>
        <v>4757787.0865486842</v>
      </c>
      <c r="E21" s="20">
        <f t="shared" si="3"/>
        <v>7857055.7988418248</v>
      </c>
      <c r="F21" s="20">
        <f t="shared" si="3"/>
        <v>11436127.13589883</v>
      </c>
      <c r="G21" s="20">
        <f t="shared" si="3"/>
        <v>15591663.343650298</v>
      </c>
    </row>
    <row r="22" spans="2:14" x14ac:dyDescent="0.3">
      <c r="B22" s="136" t="s">
        <v>278</v>
      </c>
      <c r="C22" s="20">
        <f>C23+C24</f>
        <v>-1076953</v>
      </c>
      <c r="D22" s="20">
        <f t="shared" ref="D22:G22" si="4">D23+D24</f>
        <v>-973178.46283491503</v>
      </c>
      <c r="E22" s="20">
        <f t="shared" si="4"/>
        <v>-1209641.2851973688</v>
      </c>
      <c r="F22" s="20">
        <f t="shared" si="4"/>
        <v>-1074958.046036582</v>
      </c>
      <c r="G22" s="20">
        <f t="shared" si="4"/>
        <v>-955270.63674107753</v>
      </c>
    </row>
    <row r="23" spans="2:14" x14ac:dyDescent="0.3">
      <c r="B23" s="138" t="s">
        <v>279</v>
      </c>
      <c r="C23" s="20">
        <f>ER!H21</f>
        <v>-745458</v>
      </c>
      <c r="D23" s="145">
        <f>C23*(1+$L$23)</f>
        <v>-662457.61027542118</v>
      </c>
      <c r="E23" s="145">
        <f t="shared" ref="E23:G23" si="5">D23*(1+$L$23)</f>
        <v>-588698.60597353813</v>
      </c>
      <c r="F23" s="145">
        <f t="shared" si="5"/>
        <v>-523152.0376543036</v>
      </c>
      <c r="G23" s="145">
        <f t="shared" si="5"/>
        <v>-464903.52062113106</v>
      </c>
      <c r="J23" s="138" t="s">
        <v>279</v>
      </c>
      <c r="K23" s="143">
        <f>(ER!E21-ER!D21)/ER!D21</f>
        <v>0.11345277357244828</v>
      </c>
      <c r="L23" s="143">
        <f>(ER!F21-ER!E21)/ER!E21</f>
        <v>-0.11134147024323149</v>
      </c>
      <c r="M23" s="143">
        <f>(ER!G21-ER!F21)/ER!F21</f>
        <v>4.1661011910532064E-2</v>
      </c>
      <c r="N23" s="143">
        <f>(ER!H21-ER!G21)/ER!G21</f>
        <v>0.15622566826008866</v>
      </c>
    </row>
    <row r="24" spans="2:14" x14ac:dyDescent="0.3">
      <c r="B24" s="140" t="s">
        <v>280</v>
      </c>
      <c r="C24" s="20">
        <f>ER!H22</f>
        <v>-331495</v>
      </c>
      <c r="D24" s="145">
        <f>C24*(1+$L$24)</f>
        <v>-310720.85255949385</v>
      </c>
      <c r="E24" s="145">
        <f t="shared" ref="E24:G24" si="6">D23*(1+$L$24)</f>
        <v>-620942.67922383081</v>
      </c>
      <c r="F24" s="145">
        <f t="shared" si="6"/>
        <v>-551806.00838227826</v>
      </c>
      <c r="G24" s="145">
        <f t="shared" si="6"/>
        <v>-490367.11611994647</v>
      </c>
      <c r="J24" s="140" t="s">
        <v>280</v>
      </c>
      <c r="K24" s="143">
        <f>(ER!E22-ER!D22)/ER!D22</f>
        <v>6.8620182316176045E-2</v>
      </c>
      <c r="L24" s="143">
        <f>(ER!F22-ER!E22)/ER!E22</f>
        <v>-6.2668056653965062E-2</v>
      </c>
      <c r="M24" s="143">
        <f>(ER!G22-ER!F22)/ER!F22</f>
        <v>9.2096936877509611E-2</v>
      </c>
      <c r="N24" s="143">
        <f>(ER!H22-ER!G22)/ER!G22</f>
        <v>0.16411657495232845</v>
      </c>
    </row>
    <row r="25" spans="2:14" x14ac:dyDescent="0.3">
      <c r="B25" s="137" t="s">
        <v>84</v>
      </c>
      <c r="C25" s="20">
        <f>ER!H23</f>
        <v>196440</v>
      </c>
      <c r="D25" s="145">
        <f>C25*(1+$K$25)</f>
        <v>255492.10553336755</v>
      </c>
      <c r="E25" s="145">
        <f t="shared" ref="E25:G25" si="7">D25*(1+$K$25)</f>
        <v>332295.94782057329</v>
      </c>
      <c r="F25" s="145">
        <f t="shared" si="7"/>
        <v>432187.90149096062</v>
      </c>
      <c r="G25" s="145">
        <f t="shared" si="7"/>
        <v>562108.51627964352</v>
      </c>
      <c r="J25" s="137" t="s">
        <v>84</v>
      </c>
      <c r="K25" s="143">
        <f>(ER!E23-ER!D23)/ER!D23</f>
        <v>0.30061141077869863</v>
      </c>
      <c r="L25" s="143">
        <f>(ER!F23-ER!E23)/ER!E23</f>
        <v>-1.2907565093019322</v>
      </c>
      <c r="M25" s="143">
        <f>(ER!G23-ER!F23)/ER!F23</f>
        <v>-5.5652273568771271</v>
      </c>
      <c r="N25" s="143">
        <f>(ER!H23-ER!G23)/ER!G23</f>
        <v>-0.24132763801240509</v>
      </c>
    </row>
    <row r="26" spans="2:14" x14ac:dyDescent="0.3">
      <c r="B26" s="137" t="s">
        <v>85</v>
      </c>
      <c r="C26" s="1">
        <f>ER!H24</f>
        <v>-724</v>
      </c>
      <c r="D26" s="145">
        <f>C26*(1+$K$26)</f>
        <v>-388.02396313364056</v>
      </c>
      <c r="E26" s="145">
        <f t="shared" ref="E26:G26" si="8">D26*(1+$K$26)</f>
        <v>-207.95938669328297</v>
      </c>
      <c r="F26" s="145">
        <f t="shared" si="8"/>
        <v>-111.45473120934936</v>
      </c>
      <c r="G26" s="145">
        <f t="shared" si="8"/>
        <v>-59.733572532937011</v>
      </c>
      <c r="J26" s="137" t="s">
        <v>85</v>
      </c>
      <c r="K26" s="143">
        <f>(ER!E24-ER!D24)/ER!D24</f>
        <v>-0.46405529953917052</v>
      </c>
      <c r="L26" s="143">
        <f>(ER!F24-ER!E24)/ER!E24</f>
        <v>-0.51848667239896817</v>
      </c>
      <c r="M26" s="143">
        <f>(ER!G24-ER!F24)/ER!F24</f>
        <v>15.18125</v>
      </c>
      <c r="N26" s="143">
        <f>(ER!H24-ER!G24)/ER!G24</f>
        <v>-0.96005076422225899</v>
      </c>
    </row>
    <row r="27" spans="2:14" x14ac:dyDescent="0.3">
      <c r="B27" s="136" t="s">
        <v>289</v>
      </c>
      <c r="C27" s="20">
        <f>C21+C22+C25+C26</f>
        <v>1175622</v>
      </c>
      <c r="D27" s="20">
        <f t="shared" ref="D27:G27" si="9">D21+D22+D25+D26</f>
        <v>4039712.7052840027</v>
      </c>
      <c r="E27" s="20">
        <f t="shared" si="9"/>
        <v>6979502.5020783357</v>
      </c>
      <c r="F27" s="20">
        <f t="shared" si="9"/>
        <v>10793245.536621999</v>
      </c>
      <c r="G27" s="20">
        <f t="shared" si="9"/>
        <v>15198441.489616331</v>
      </c>
    </row>
    <row r="28" spans="2:14" x14ac:dyDescent="0.3">
      <c r="B28" s="137" t="s">
        <v>281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29" spans="2:14" x14ac:dyDescent="0.3">
      <c r="B29" s="136" t="s">
        <v>182</v>
      </c>
      <c r="C29" s="20">
        <f>C27+C28</f>
        <v>1175622</v>
      </c>
      <c r="D29" s="20">
        <f t="shared" ref="D29:G29" si="10">D27+D28</f>
        <v>4039712.7052840027</v>
      </c>
      <c r="E29" s="20">
        <f t="shared" si="10"/>
        <v>6979502.5020783357</v>
      </c>
      <c r="F29" s="20">
        <f t="shared" si="10"/>
        <v>10793245.536621999</v>
      </c>
      <c r="G29" s="20">
        <f t="shared" si="10"/>
        <v>15198441.489616331</v>
      </c>
    </row>
    <row r="30" spans="2:14" x14ac:dyDescent="0.3">
      <c r="B30" s="138" t="s">
        <v>282</v>
      </c>
      <c r="C30" s="20">
        <f>ER!H35</f>
        <v>-365594</v>
      </c>
      <c r="D30" s="20">
        <f>-D29*34%</f>
        <v>-1373502.319796561</v>
      </c>
      <c r="E30" s="20">
        <f t="shared" ref="E30:G30" si="11">-E29*34%</f>
        <v>-2373030.8507066341</v>
      </c>
      <c r="F30" s="20">
        <f t="shared" si="11"/>
        <v>-3669703.4824514799</v>
      </c>
      <c r="G30" s="20">
        <f t="shared" si="11"/>
        <v>-5167470.106469553</v>
      </c>
    </row>
    <row r="31" spans="2:14" x14ac:dyDescent="0.3">
      <c r="B31" s="139" t="s">
        <v>283</v>
      </c>
      <c r="C31" s="20">
        <f>((BG!H20+BG!H22-BG!H48)-(BG!G20+BG!G22-BG!G48))</f>
        <v>290820</v>
      </c>
      <c r="D31" s="20">
        <f>C31*(1+$L$31)</f>
        <v>108477.99322783283</v>
      </c>
      <c r="E31" s="20">
        <f t="shared" ref="E31:G31" si="12">D31*(1+$M$31)</f>
        <v>73843.043322278405</v>
      </c>
      <c r="F31" s="20">
        <f t="shared" si="12"/>
        <v>50266.370946257783</v>
      </c>
      <c r="G31" s="20">
        <f t="shared" si="12"/>
        <v>34217.279440654936</v>
      </c>
      <c r="J31" s="139" t="s">
        <v>283</v>
      </c>
      <c r="K31" s="143">
        <f>((BG!E20+BG!E22-BG!E48)-(BG!D20+BG!D22-BG!D61))/(BG!D20+BG!D22-BG!D61)</f>
        <v>-0.61505104384763565</v>
      </c>
      <c r="L31" s="143">
        <f>((BG!F20+BG!F22-BG!F48)-(BG!E20+BG!E22-BG!E61))/(BG!E20+BG!E22-BG!E61)</f>
        <v>-0.62699266478291438</v>
      </c>
      <c r="M31" s="143">
        <f>((BG!G20+BG!G22-BG!G48)-(BG!F20+BG!F22-BG!F61))/(BG!F20+BG!F22-BG!F61)</f>
        <v>-0.31928088707183006</v>
      </c>
      <c r="N31" s="143">
        <f>((BG!H20+BG!H22-BG!H48)-(BG!G20+BG!G22-BG!G61))/(BG!G20+BG!G22-BG!G61)</f>
        <v>-0.31996625328323969</v>
      </c>
    </row>
    <row r="32" spans="2:14" x14ac:dyDescent="0.3">
      <c r="B32" s="140" t="s">
        <v>284</v>
      </c>
      <c r="C32" s="20">
        <f>((BG!H41-BG!G41)-(BG!H56-BG!G56))</f>
        <v>3257658</v>
      </c>
      <c r="D32" s="20">
        <f>C32*(1+$L$32)</f>
        <v>3210757.6744693904</v>
      </c>
      <c r="E32" s="20">
        <f t="shared" ref="E32:G32" si="13">D32*(1+$L$32)</f>
        <v>3164532.5703815711</v>
      </c>
      <c r="F32" s="20">
        <f t="shared" si="13"/>
        <v>3118972.966610054</v>
      </c>
      <c r="G32" s="20">
        <f t="shared" si="13"/>
        <v>3074069.2819828824</v>
      </c>
      <c r="J32" s="140" t="s">
        <v>284</v>
      </c>
      <c r="K32" s="143">
        <f>((BG!E41-BG!E56)-(BG!D41-BG!D56))/(BG!D41-BG!D56)</f>
        <v>2.3025648656952825E-2</v>
      </c>
      <c r="L32" s="143">
        <f>((BG!F41-BG!F56)-(BG!E41-BG!E56))/(BG!E41-BG!E56)</f>
        <v>-1.4396945759993784E-2</v>
      </c>
      <c r="M32" s="143">
        <f>((BG!G41-BG!G56)-(BG!F41-BG!F56))/(BG!F41-BG!F56)</f>
        <v>1.1048021086950988E-2</v>
      </c>
      <c r="N32" s="143">
        <f>((BG!H41-BG!H56)-(BG!G41-BG!G56))/(BG!G41-BG!G56)</f>
        <v>0.20252603460139462</v>
      </c>
    </row>
    <row r="33" spans="2:15" x14ac:dyDescent="0.3">
      <c r="B33" s="136" t="s">
        <v>285</v>
      </c>
      <c r="C33" s="20">
        <f>C30+C31+C32+C29</f>
        <v>4358506</v>
      </c>
      <c r="D33" s="20">
        <f t="shared" ref="D33:G33" si="14">D30+D31+D32+D29</f>
        <v>5985446.0531846648</v>
      </c>
      <c r="E33" s="20">
        <f t="shared" si="14"/>
        <v>7844847.2650755513</v>
      </c>
      <c r="F33" s="20">
        <f t="shared" si="14"/>
        <v>10292781.391726831</v>
      </c>
      <c r="G33" s="20">
        <f t="shared" si="14"/>
        <v>13139257.944570316</v>
      </c>
    </row>
    <row r="34" spans="2:15" x14ac:dyDescent="0.3">
      <c r="B34" s="39"/>
      <c r="C34" s="20"/>
      <c r="D34" s="93"/>
      <c r="E34" s="93"/>
      <c r="F34" s="93"/>
      <c r="G34" s="93"/>
    </row>
    <row r="35" spans="2:15" x14ac:dyDescent="0.3">
      <c r="B35" s="136" t="s">
        <v>66</v>
      </c>
      <c r="C35" s="20">
        <f>-BG!H71</f>
        <v>-2242552</v>
      </c>
      <c r="D35" s="1"/>
      <c r="E35" s="93" t="s">
        <v>296</v>
      </c>
      <c r="F35" s="93"/>
      <c r="G35" s="93"/>
      <c r="J35" s="136" t="s">
        <v>66</v>
      </c>
      <c r="K35" s="70">
        <v>2022</v>
      </c>
      <c r="L35" s="75">
        <v>2023</v>
      </c>
      <c r="M35" s="70">
        <v>2024</v>
      </c>
      <c r="N35" s="75">
        <v>2025</v>
      </c>
      <c r="O35" s="70">
        <v>2026</v>
      </c>
    </row>
    <row r="36" spans="2:15" x14ac:dyDescent="0.3">
      <c r="B36" s="136" t="s">
        <v>294</v>
      </c>
      <c r="C36" s="143">
        <v>0.1</v>
      </c>
      <c r="D36" s="93"/>
      <c r="E36" s="93"/>
      <c r="F36" s="93"/>
      <c r="G36" s="93"/>
      <c r="I36" s="1" t="s">
        <v>295</v>
      </c>
      <c r="J36" s="20">
        <f>C35</f>
        <v>-2242552</v>
      </c>
      <c r="K36" s="20">
        <f>C33</f>
        <v>4358506</v>
      </c>
      <c r="L36" s="20">
        <f t="shared" ref="L36:O36" si="15">D33</f>
        <v>5985446.0531846648</v>
      </c>
      <c r="M36" s="20">
        <f t="shared" si="15"/>
        <v>7844847.2650755513</v>
      </c>
      <c r="N36" s="20">
        <f t="shared" si="15"/>
        <v>10292781.391726831</v>
      </c>
      <c r="O36" s="20">
        <f t="shared" si="15"/>
        <v>13139257.944570316</v>
      </c>
    </row>
    <row r="37" spans="2:15" x14ac:dyDescent="0.3">
      <c r="D37" s="91"/>
      <c r="E37" s="91"/>
      <c r="F37" s="91"/>
      <c r="G37" s="91"/>
      <c r="I37" s="1" t="s">
        <v>298</v>
      </c>
      <c r="J37" s="20">
        <f>J36</f>
        <v>-2242552</v>
      </c>
      <c r="K37" s="20">
        <v>4358506</v>
      </c>
      <c r="L37" s="20">
        <v>4138505.2007583776</v>
      </c>
      <c r="M37" s="20">
        <v>3941678.0783900945</v>
      </c>
      <c r="N37" s="20">
        <v>3718533.9057584326</v>
      </c>
      <c r="O37" s="20">
        <v>3456287.842692636</v>
      </c>
    </row>
    <row r="38" spans="2:15" ht="15.6" x14ac:dyDescent="0.3">
      <c r="B38" s="133" t="s">
        <v>286</v>
      </c>
      <c r="C38" s="134">
        <f>NPV(C36,C33:G33)+C35</f>
        <v>27748879.284251582</v>
      </c>
      <c r="D38" s="89"/>
      <c r="I38" s="1" t="s">
        <v>300</v>
      </c>
      <c r="J38" s="20">
        <f>J37</f>
        <v>-2242552</v>
      </c>
      <c r="K38" s="20">
        <v>4358506</v>
      </c>
      <c r="L38" s="20">
        <v>2312551.99179444</v>
      </c>
      <c r="M38" s="20">
        <v>42798.75510734506</v>
      </c>
      <c r="N38" s="20">
        <v>-2562196.7929270985</v>
      </c>
      <c r="O38" s="20">
        <v>-5770744.4996389849</v>
      </c>
    </row>
    <row r="39" spans="2:15" ht="15.6" x14ac:dyDescent="0.3">
      <c r="B39" s="133" t="s">
        <v>287</v>
      </c>
      <c r="C39" s="135">
        <f>IRR(J36:O36)</f>
        <v>2.2696465701576023</v>
      </c>
      <c r="D39" s="89">
        <f>+C39/6</f>
        <v>0.3782744283596004</v>
      </c>
    </row>
    <row r="40" spans="2:15" x14ac:dyDescent="0.3">
      <c r="D40" s="95"/>
    </row>
    <row r="41" spans="2:15" x14ac:dyDescent="0.3">
      <c r="D41" s="89"/>
      <c r="E41" s="89"/>
      <c r="F41" s="89"/>
      <c r="G41" s="89"/>
    </row>
    <row r="42" spans="2:15" x14ac:dyDescent="0.3">
      <c r="B42" s="60" t="s">
        <v>297</v>
      </c>
      <c r="D42" s="89"/>
      <c r="E42" s="89"/>
      <c r="F42" s="89"/>
      <c r="G42" s="89"/>
    </row>
    <row r="43" spans="2:15" x14ac:dyDescent="0.3">
      <c r="C43" s="70">
        <v>2022</v>
      </c>
      <c r="D43" s="75">
        <v>2023</v>
      </c>
      <c r="E43" s="70">
        <v>2024</v>
      </c>
      <c r="F43" s="75">
        <v>2025</v>
      </c>
      <c r="G43" s="70">
        <v>2026</v>
      </c>
    </row>
    <row r="44" spans="2:15" x14ac:dyDescent="0.3">
      <c r="B44" s="136" t="s">
        <v>274</v>
      </c>
      <c r="C44" s="141">
        <f>C17</f>
        <v>11684055</v>
      </c>
      <c r="D44" s="141">
        <f>C44*(1+$M$17)</f>
        <v>12744826.009360207</v>
      </c>
      <c r="E44" s="141">
        <f t="shared" ref="E44:G44" si="16">D44*(1+$M$17)</f>
        <v>13901902.208511038</v>
      </c>
      <c r="F44" s="141">
        <f t="shared" si="16"/>
        <v>15164026.944978742</v>
      </c>
      <c r="G44" s="141">
        <f t="shared" si="16"/>
        <v>16540737.356594443</v>
      </c>
    </row>
    <row r="45" spans="2:15" x14ac:dyDescent="0.3">
      <c r="B45" s="137" t="s">
        <v>275</v>
      </c>
      <c r="C45" s="141">
        <f>C18</f>
        <v>0</v>
      </c>
      <c r="D45" s="141">
        <v>0</v>
      </c>
      <c r="E45" s="141">
        <v>0</v>
      </c>
      <c r="F45" s="141">
        <v>0</v>
      </c>
      <c r="G45" s="141">
        <v>0</v>
      </c>
    </row>
    <row r="46" spans="2:15" x14ac:dyDescent="0.3">
      <c r="B46" s="136" t="s">
        <v>276</v>
      </c>
      <c r="C46" s="20">
        <f>C44-C45</f>
        <v>11684055</v>
      </c>
      <c r="D46" s="20">
        <f t="shared" ref="D46" si="17">D44-D45</f>
        <v>12744826.009360207</v>
      </c>
      <c r="E46" s="20">
        <f t="shared" ref="E46" si="18">E44-E45</f>
        <v>13901902.208511038</v>
      </c>
      <c r="F46" s="20">
        <f t="shared" ref="F46" si="19">F44-F45</f>
        <v>15164026.944978742</v>
      </c>
      <c r="G46" s="20">
        <f t="shared" ref="G46" si="20">G44-G45</f>
        <v>16540737.356594443</v>
      </c>
    </row>
    <row r="47" spans="2:15" x14ac:dyDescent="0.3">
      <c r="B47" s="137" t="s">
        <v>277</v>
      </c>
      <c r="C47" s="20">
        <f>C20</f>
        <v>-9627196</v>
      </c>
      <c r="D47" s="20">
        <f>C47*(1+$K$20)</f>
        <v>-10894639.232905565</v>
      </c>
      <c r="E47" s="20">
        <f t="shared" ref="E47:G47" si="21">D47*(1+$K$20)</f>
        <v>-12328944.379564429</v>
      </c>
      <c r="F47" s="20">
        <f t="shared" si="21"/>
        <v>-13952079.207477773</v>
      </c>
      <c r="G47" s="20">
        <f t="shared" si="21"/>
        <v>-15788903.592945788</v>
      </c>
    </row>
    <row r="48" spans="2:15" x14ac:dyDescent="0.3">
      <c r="B48" s="136" t="s">
        <v>288</v>
      </c>
      <c r="C48" s="20">
        <f>C46+C47</f>
        <v>2056859</v>
      </c>
      <c r="D48" s="20">
        <f t="shared" ref="D48" si="22">D46+D47</f>
        <v>1850186.7764546424</v>
      </c>
      <c r="E48" s="20">
        <f t="shared" ref="E48" si="23">E46+E47</f>
        <v>1572957.8289466091</v>
      </c>
      <c r="F48" s="20">
        <f t="shared" ref="F48" si="24">F46+F47</f>
        <v>1211947.7375009693</v>
      </c>
      <c r="G48" s="20">
        <f t="shared" ref="G48" si="25">G46+G47</f>
        <v>751833.76364865527</v>
      </c>
    </row>
    <row r="49" spans="2:7" x14ac:dyDescent="0.3">
      <c r="B49" s="136" t="s">
        <v>278</v>
      </c>
      <c r="C49" s="20">
        <f>C50+C51</f>
        <v>-1076953</v>
      </c>
      <c r="D49" s="20">
        <f t="shared" ref="D49" si="26">D50+D51</f>
        <v>-1184274.5250186711</v>
      </c>
      <c r="E49" s="20">
        <f t="shared" ref="E49" si="27">E50+E51</f>
        <v>-1302752.1566726742</v>
      </c>
      <c r="F49" s="20">
        <f t="shared" ref="F49" si="28">F50+F51</f>
        <v>-1433581.6061020833</v>
      </c>
      <c r="G49" s="20">
        <f t="shared" ref="G49" si="29">G50+G51</f>
        <v>-1578089.4391449844</v>
      </c>
    </row>
    <row r="50" spans="2:7" x14ac:dyDescent="0.3">
      <c r="B50" s="138" t="s">
        <v>279</v>
      </c>
      <c r="C50" s="20">
        <f>C23</f>
        <v>-745458</v>
      </c>
      <c r="D50" s="145">
        <f>C50*(1+$K$23)</f>
        <v>-830032.27768177015</v>
      </c>
      <c r="E50" s="145">
        <f t="shared" ref="E50:G50" si="30">D50*(1+$K$23)</f>
        <v>-924201.74173942348</v>
      </c>
      <c r="F50" s="145">
        <f t="shared" si="30"/>
        <v>-1029054.9926802486</v>
      </c>
      <c r="G50" s="145">
        <f t="shared" si="30"/>
        <v>-1145804.1357583981</v>
      </c>
    </row>
    <row r="51" spans="2:7" x14ac:dyDescent="0.3">
      <c r="B51" s="140" t="s">
        <v>280</v>
      </c>
      <c r="C51" s="20">
        <f t="shared" ref="C51:C53" si="31">C24</f>
        <v>-331495</v>
      </c>
      <c r="D51" s="145">
        <f>C51*(1+$K$24)</f>
        <v>-354242.24733690079</v>
      </c>
      <c r="E51" s="145">
        <f t="shared" ref="E51:G51" si="32">D51*(1+$K$24)</f>
        <v>-378550.41493325087</v>
      </c>
      <c r="F51" s="145">
        <f t="shared" si="32"/>
        <v>-404526.61342183466</v>
      </c>
      <c r="G51" s="145">
        <f t="shared" si="32"/>
        <v>-432285.30338658619</v>
      </c>
    </row>
    <row r="52" spans="2:7" x14ac:dyDescent="0.3">
      <c r="B52" s="137" t="s">
        <v>84</v>
      </c>
      <c r="C52" s="20">
        <f t="shared" si="31"/>
        <v>196440</v>
      </c>
      <c r="D52" s="145">
        <f>C52*(1+$K$25)</f>
        <v>255492.10553336755</v>
      </c>
      <c r="E52" s="145">
        <f t="shared" ref="E52:G52" si="33">D52*(1+$K$25)</f>
        <v>332295.94782057329</v>
      </c>
      <c r="F52" s="145">
        <f t="shared" si="33"/>
        <v>432187.90149096062</v>
      </c>
      <c r="G52" s="145">
        <f t="shared" si="33"/>
        <v>562108.51627964352</v>
      </c>
    </row>
    <row r="53" spans="2:7" x14ac:dyDescent="0.3">
      <c r="B53" s="137" t="s">
        <v>85</v>
      </c>
      <c r="C53" s="20">
        <f t="shared" si="31"/>
        <v>-724</v>
      </c>
      <c r="D53" s="145">
        <f>C53*(1+$K$26)</f>
        <v>-388.02396313364056</v>
      </c>
      <c r="E53" s="145">
        <f t="shared" ref="E53:G53" si="34">D53*(1+$K$26)</f>
        <v>-207.95938669328297</v>
      </c>
      <c r="F53" s="145">
        <f t="shared" si="34"/>
        <v>-111.45473120934936</v>
      </c>
      <c r="G53" s="145">
        <f t="shared" si="34"/>
        <v>-59.733572532937011</v>
      </c>
    </row>
    <row r="54" spans="2:7" x14ac:dyDescent="0.3">
      <c r="B54" s="136" t="s">
        <v>289</v>
      </c>
      <c r="C54" s="20">
        <f>C48+C49+C52+C53</f>
        <v>1175622</v>
      </c>
      <c r="D54" s="20">
        <f t="shared" ref="D54" si="35">D48+D49+D52+D53</f>
        <v>921016.33300620515</v>
      </c>
      <c r="E54" s="20">
        <f t="shared" ref="E54" si="36">E48+E49+E52+E53</f>
        <v>602293.66070781485</v>
      </c>
      <c r="F54" s="20">
        <f t="shared" ref="F54" si="37">F48+F49+F52+F53</f>
        <v>210442.57815863725</v>
      </c>
      <c r="G54" s="20">
        <f t="shared" ref="G54" si="38">G48+G49+G52+G53</f>
        <v>-264206.89278921852</v>
      </c>
    </row>
    <row r="55" spans="2:7" x14ac:dyDescent="0.3">
      <c r="B55" s="137" t="s">
        <v>281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</row>
    <row r="56" spans="2:7" x14ac:dyDescent="0.3">
      <c r="B56" s="136" t="s">
        <v>182</v>
      </c>
      <c r="C56" s="20">
        <f>C54+C55</f>
        <v>1175622</v>
      </c>
      <c r="D56" s="20">
        <f t="shared" ref="D56" si="39">D54+D55</f>
        <v>921016.33300620515</v>
      </c>
      <c r="E56" s="20">
        <f t="shared" ref="E56" si="40">E54+E55</f>
        <v>602293.66070781485</v>
      </c>
      <c r="F56" s="20">
        <f t="shared" ref="F56" si="41">F54+F55</f>
        <v>210442.57815863725</v>
      </c>
      <c r="G56" s="20">
        <f t="shared" ref="G56" si="42">G54+G55</f>
        <v>-264206.89278921852</v>
      </c>
    </row>
    <row r="57" spans="2:7" x14ac:dyDescent="0.3">
      <c r="B57" s="138" t="s">
        <v>282</v>
      </c>
      <c r="C57" s="20">
        <f>C30</f>
        <v>-365594</v>
      </c>
      <c r="D57" s="20">
        <f>-D56*34%</f>
        <v>-313145.5532221098</v>
      </c>
      <c r="E57" s="20">
        <f t="shared" ref="E57:G57" si="43">-E56*34%</f>
        <v>-204779.84464065707</v>
      </c>
      <c r="F57" s="20">
        <f t="shared" si="43"/>
        <v>-71550.47657393667</v>
      </c>
      <c r="G57" s="20">
        <f t="shared" si="43"/>
        <v>89830.343548334306</v>
      </c>
    </row>
    <row r="58" spans="2:7" x14ac:dyDescent="0.3">
      <c r="B58" s="139" t="s">
        <v>283</v>
      </c>
      <c r="C58" s="20">
        <f t="shared" ref="C58:C59" si="44">C31</f>
        <v>290820</v>
      </c>
      <c r="D58" s="20">
        <f>C58*(1+$M$31)</f>
        <v>197966.7324217704</v>
      </c>
      <c r="E58" s="20">
        <f t="shared" ref="E58:G58" si="45">D58*(1+$M$31)</f>
        <v>134759.73848343594</v>
      </c>
      <c r="F58" s="20">
        <f t="shared" si="45"/>
        <v>91733.529638876687</v>
      </c>
      <c r="G58" s="20">
        <f t="shared" si="45"/>
        <v>62444.766921546128</v>
      </c>
    </row>
    <row r="59" spans="2:7" x14ac:dyDescent="0.3">
      <c r="B59" s="140" t="s">
        <v>284</v>
      </c>
      <c r="C59" s="20">
        <f t="shared" si="44"/>
        <v>3257658</v>
      </c>
      <c r="D59" s="20">
        <f>C59*(1+$K$32)</f>
        <v>3332667.6885525119</v>
      </c>
      <c r="E59" s="20">
        <f t="shared" ref="E59:G59" si="46">D59*(1+$K$32)</f>
        <v>3409404.5238395012</v>
      </c>
      <c r="F59" s="20">
        <f t="shared" si="46"/>
        <v>3487908.2745348555</v>
      </c>
      <c r="G59" s="20">
        <f t="shared" si="46"/>
        <v>3568219.625011974</v>
      </c>
    </row>
    <row r="60" spans="2:7" x14ac:dyDescent="0.3">
      <c r="B60" s="136" t="s">
        <v>285</v>
      </c>
      <c r="C60" s="20">
        <f>C57+C58+C59+C56</f>
        <v>4358506</v>
      </c>
      <c r="D60" s="20">
        <f t="shared" ref="D60" si="47">D57+D58+D59+D56</f>
        <v>4138505.2007583776</v>
      </c>
      <c r="E60" s="20">
        <f t="shared" ref="E60" si="48">E57+E58+E59+E56</f>
        <v>3941678.0783900945</v>
      </c>
      <c r="F60" s="20">
        <f t="shared" ref="F60" si="49">F57+F58+F59+F56</f>
        <v>3718533.9057584326</v>
      </c>
      <c r="G60" s="20">
        <f t="shared" ref="G60" si="50">G57+G58+G59+G56</f>
        <v>3456287.842692636</v>
      </c>
    </row>
    <row r="61" spans="2:7" x14ac:dyDescent="0.3">
      <c r="B61" s="39"/>
      <c r="C61" s="20"/>
    </row>
    <row r="62" spans="2:7" x14ac:dyDescent="0.3">
      <c r="B62" s="136" t="s">
        <v>66</v>
      </c>
      <c r="C62" s="20">
        <f>C35</f>
        <v>-2242552</v>
      </c>
    </row>
    <row r="63" spans="2:7" x14ac:dyDescent="0.3">
      <c r="B63" s="136" t="s">
        <v>294</v>
      </c>
      <c r="C63" s="143">
        <v>0.1</v>
      </c>
    </row>
    <row r="66" spans="2:7" ht="15.6" x14ac:dyDescent="0.3">
      <c r="B66" s="133" t="s">
        <v>286</v>
      </c>
      <c r="C66" s="134">
        <f>NPV(C63,C60:G60)+C62</f>
        <v>12787311.006555887</v>
      </c>
    </row>
    <row r="67" spans="2:7" ht="15.6" x14ac:dyDescent="0.3">
      <c r="B67" s="133" t="s">
        <v>287</v>
      </c>
      <c r="C67" s="135">
        <f>IRR(J37:O37)</f>
        <v>1.8854728789912532</v>
      </c>
    </row>
    <row r="71" spans="2:7" x14ac:dyDescent="0.3">
      <c r="B71" s="146" t="s">
        <v>299</v>
      </c>
      <c r="D71" s="89"/>
      <c r="E71" s="89"/>
      <c r="F71" s="89"/>
      <c r="G71" s="89"/>
    </row>
    <row r="72" spans="2:7" x14ac:dyDescent="0.3">
      <c r="C72" s="70">
        <v>2022</v>
      </c>
      <c r="D72" s="75">
        <v>2023</v>
      </c>
      <c r="E72" s="70">
        <v>2024</v>
      </c>
      <c r="F72" s="75">
        <v>2025</v>
      </c>
      <c r="G72" s="70">
        <v>2026</v>
      </c>
    </row>
    <row r="73" spans="2:7" x14ac:dyDescent="0.3">
      <c r="B73" s="136" t="s">
        <v>274</v>
      </c>
      <c r="C73" s="141">
        <f>C44</f>
        <v>11684055</v>
      </c>
      <c r="D73" s="141">
        <f>C73*(1+$L$17)</f>
        <v>11217284.837172519</v>
      </c>
      <c r="E73" s="141">
        <f t="shared" ref="E73:G73" si="51">D73*(1+$L$17)</f>
        <v>10769161.82937007</v>
      </c>
      <c r="F73" s="141">
        <f t="shared" si="51"/>
        <v>10338941.035252741</v>
      </c>
      <c r="G73" s="141">
        <f t="shared" si="51"/>
        <v>9925907.2733876482</v>
      </c>
    </row>
    <row r="74" spans="2:7" x14ac:dyDescent="0.3">
      <c r="B74" s="137" t="s">
        <v>275</v>
      </c>
      <c r="C74" s="141">
        <v>0</v>
      </c>
      <c r="D74" s="141">
        <v>0</v>
      </c>
      <c r="E74" s="141">
        <v>0</v>
      </c>
      <c r="F74" s="141">
        <v>0</v>
      </c>
      <c r="G74" s="141">
        <v>0</v>
      </c>
    </row>
    <row r="75" spans="2:7" x14ac:dyDescent="0.3">
      <c r="B75" s="136" t="s">
        <v>276</v>
      </c>
      <c r="C75" s="20">
        <f>C73-C74</f>
        <v>11684055</v>
      </c>
      <c r="D75" s="20">
        <f t="shared" ref="D75" si="52">D73-D74</f>
        <v>11217284.837172519</v>
      </c>
      <c r="E75" s="20">
        <f t="shared" ref="E75" si="53">E73-E74</f>
        <v>10769161.82937007</v>
      </c>
      <c r="F75" s="20">
        <f t="shared" ref="F75" si="54">F73-F74</f>
        <v>10338941.035252741</v>
      </c>
      <c r="G75" s="20">
        <f t="shared" ref="G75" si="55">G73-G74</f>
        <v>9925907.2733876482</v>
      </c>
    </row>
    <row r="76" spans="2:7" x14ac:dyDescent="0.3">
      <c r="B76" s="137" t="s">
        <v>277</v>
      </c>
      <c r="C76" s="20">
        <f>C47</f>
        <v>-9627196</v>
      </c>
      <c r="D76" s="20">
        <f>C76*(1+$N$20)</f>
        <v>-11714060.84655023</v>
      </c>
      <c r="E76" s="20">
        <f t="shared" ref="E76:G76" si="56">D76*(1+$N$20)</f>
        <v>-14253290.523708159</v>
      </c>
      <c r="F76" s="20">
        <f t="shared" si="56"/>
        <v>-17342943.101841405</v>
      </c>
      <c r="G76" s="20">
        <f t="shared" si="56"/>
        <v>-21102332.470766027</v>
      </c>
    </row>
    <row r="77" spans="2:7" x14ac:dyDescent="0.3">
      <c r="B77" s="136" t="s">
        <v>288</v>
      </c>
      <c r="C77" s="20">
        <f>C75+C76</f>
        <v>2056859</v>
      </c>
      <c r="D77" s="20">
        <f t="shared" ref="D77" si="57">D75+D76</f>
        <v>-496776.00937771052</v>
      </c>
      <c r="E77" s="20">
        <f t="shared" ref="E77" si="58">E75+E76</f>
        <v>-3484128.6943380889</v>
      </c>
      <c r="F77" s="20">
        <f t="shared" ref="F77" si="59">F75+F76</f>
        <v>-7004002.0665886644</v>
      </c>
      <c r="G77" s="20">
        <f t="shared" ref="G77" si="60">G75+G76</f>
        <v>-11176425.197378378</v>
      </c>
    </row>
    <row r="78" spans="2:7" x14ac:dyDescent="0.3">
      <c r="B78" s="136" t="s">
        <v>278</v>
      </c>
      <c r="C78" s="20">
        <f>C79+C80</f>
        <v>-1076953</v>
      </c>
      <c r="D78" s="20">
        <f t="shared" ref="D78" si="61">D79+D80</f>
        <v>-1247816.4982236512</v>
      </c>
      <c r="E78" s="20">
        <f t="shared" ref="E78" si="62">E79+E80</f>
        <v>-1445802.5561375429</v>
      </c>
      <c r="F78" s="20">
        <f t="shared" ref="F78" si="63">F79+F80</f>
        <v>-1675218.8682611445</v>
      </c>
      <c r="G78" s="20">
        <f t="shared" ref="G78" si="64">G79+G80</f>
        <v>-1941057.6643212582</v>
      </c>
    </row>
    <row r="79" spans="2:7" x14ac:dyDescent="0.3">
      <c r="B79" s="138" t="s">
        <v>279</v>
      </c>
      <c r="C79" s="20">
        <f>C50</f>
        <v>-745458</v>
      </c>
      <c r="D79" s="145">
        <f>C79*(1+$N$23)</f>
        <v>-861917.67420982919</v>
      </c>
      <c r="E79" s="145">
        <f t="shared" ref="E79:G79" si="65">D79*(1+$N$23)</f>
        <v>-996571.33884844114</v>
      </c>
      <c r="F79" s="145">
        <f t="shared" si="65"/>
        <v>-1152261.3622288902</v>
      </c>
      <c r="G79" s="145">
        <f t="shared" si="65"/>
        <v>-1332274.1635533785</v>
      </c>
    </row>
    <row r="80" spans="2:7" x14ac:dyDescent="0.3">
      <c r="B80" s="140" t="s">
        <v>280</v>
      </c>
      <c r="C80" s="20">
        <f t="shared" ref="C80:C82" si="66">C51</f>
        <v>-331495</v>
      </c>
      <c r="D80" s="145">
        <f>C80*(1+$N$24)</f>
        <v>-385898.82401382207</v>
      </c>
      <c r="E80" s="145">
        <f t="shared" ref="E80:G80" si="67">D80*(1+$N$24)</f>
        <v>-449231.21728910186</v>
      </c>
      <c r="F80" s="145">
        <f t="shared" si="67"/>
        <v>-522957.50603225443</v>
      </c>
      <c r="G80" s="145">
        <f t="shared" si="67"/>
        <v>-608783.50076787965</v>
      </c>
    </row>
    <row r="81" spans="2:7" x14ac:dyDescent="0.3">
      <c r="B81" s="137" t="s">
        <v>84</v>
      </c>
      <c r="C81" s="20">
        <f t="shared" si="66"/>
        <v>196440</v>
      </c>
      <c r="D81" s="145">
        <f>C81*(1+$K$25)</f>
        <v>255492.10553336755</v>
      </c>
      <c r="E81" s="145">
        <f t="shared" ref="E81:G81" si="68">D81*(1+$K$25)</f>
        <v>332295.94782057329</v>
      </c>
      <c r="F81" s="145">
        <f t="shared" si="68"/>
        <v>432187.90149096062</v>
      </c>
      <c r="G81" s="145">
        <f t="shared" si="68"/>
        <v>562108.51627964352</v>
      </c>
    </row>
    <row r="82" spans="2:7" x14ac:dyDescent="0.3">
      <c r="B82" s="137" t="s">
        <v>85</v>
      </c>
      <c r="C82" s="20">
        <f t="shared" si="66"/>
        <v>-724</v>
      </c>
      <c r="D82" s="145">
        <f>C82*(1+$K$26)</f>
        <v>-388.02396313364056</v>
      </c>
      <c r="E82" s="145">
        <f t="shared" ref="E82:G82" si="69">D82*(1+$K$26)</f>
        <v>-207.95938669328297</v>
      </c>
      <c r="F82" s="145">
        <f t="shared" si="69"/>
        <v>-111.45473120934936</v>
      </c>
      <c r="G82" s="145">
        <f t="shared" si="69"/>
        <v>-59.733572532937011</v>
      </c>
    </row>
    <row r="83" spans="2:7" x14ac:dyDescent="0.3">
      <c r="B83" s="136" t="s">
        <v>289</v>
      </c>
      <c r="C83" s="20">
        <f>C77+C78+C81+C82</f>
        <v>1175622</v>
      </c>
      <c r="D83" s="20">
        <f t="shared" ref="D83" si="70">D77+D78+D81+D82</f>
        <v>-1489488.4260311278</v>
      </c>
      <c r="E83" s="20">
        <f t="shared" ref="E83" si="71">E77+E78+E81+E82</f>
        <v>-4597843.2620417522</v>
      </c>
      <c r="F83" s="20">
        <f t="shared" ref="F83" si="72">F77+F78+F81+F82</f>
        <v>-8247144.4880900588</v>
      </c>
      <c r="G83" s="20">
        <f t="shared" ref="G83" si="73">G77+G78+G81+G82</f>
        <v>-12555434.078992527</v>
      </c>
    </row>
    <row r="84" spans="2:7" x14ac:dyDescent="0.3">
      <c r="B84" s="137" t="s">
        <v>281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</row>
    <row r="85" spans="2:7" x14ac:dyDescent="0.3">
      <c r="B85" s="136" t="s">
        <v>182</v>
      </c>
      <c r="C85" s="20">
        <f>C83+C84</f>
        <v>1175622</v>
      </c>
      <c r="D85" s="20">
        <f t="shared" ref="D85" si="74">D83+D84</f>
        <v>-1489488.4260311278</v>
      </c>
      <c r="E85" s="20">
        <f t="shared" ref="E85" si="75">E83+E84</f>
        <v>-4597843.2620417522</v>
      </c>
      <c r="F85" s="20">
        <f t="shared" ref="F85" si="76">F83+F84</f>
        <v>-8247144.4880900588</v>
      </c>
      <c r="G85" s="20">
        <f t="shared" ref="G85" si="77">G83+G84</f>
        <v>-12555434.078992527</v>
      </c>
    </row>
    <row r="86" spans="2:7" x14ac:dyDescent="0.3">
      <c r="B86" s="138" t="s">
        <v>282</v>
      </c>
      <c r="C86" s="20">
        <f>ABS(C57)</f>
        <v>365594</v>
      </c>
      <c r="D86" s="20">
        <f t="shared" ref="D86:G86" si="78">ABS(D57)</f>
        <v>313145.5532221098</v>
      </c>
      <c r="E86" s="20">
        <f t="shared" si="78"/>
        <v>204779.84464065707</v>
      </c>
      <c r="F86" s="20">
        <f t="shared" si="78"/>
        <v>71550.47657393667</v>
      </c>
      <c r="G86" s="20">
        <f t="shared" si="78"/>
        <v>89830.343548334306</v>
      </c>
    </row>
    <row r="87" spans="2:7" x14ac:dyDescent="0.3">
      <c r="B87" s="139" t="s">
        <v>283</v>
      </c>
      <c r="C87" s="20">
        <f t="shared" ref="C87:C88" si="79">C58</f>
        <v>290820</v>
      </c>
      <c r="D87" s="20">
        <f>C87*(1+$N$31)</f>
        <v>197767.41422016823</v>
      </c>
      <c r="E87" s="20">
        <f t="shared" ref="E87:G87" si="80">D87*(1+$M$31)</f>
        <v>134624.05877405088</v>
      </c>
      <c r="F87" s="20">
        <f t="shared" si="80"/>
        <v>91641.169867461736</v>
      </c>
      <c r="G87" s="20">
        <f t="shared" si="80"/>
        <v>62381.895859878292</v>
      </c>
    </row>
    <row r="88" spans="2:7" x14ac:dyDescent="0.3">
      <c r="B88" s="140" t="s">
        <v>284</v>
      </c>
      <c r="C88" s="20">
        <f t="shared" si="79"/>
        <v>3257658</v>
      </c>
      <c r="D88" s="20">
        <f>C88*(1+$N$32)</f>
        <v>3917418.5568275098</v>
      </c>
      <c r="E88" s="20">
        <f t="shared" ref="E88:G88" si="81">D88*(1+$N$32)</f>
        <v>4710797.8030157033</v>
      </c>
      <c r="F88" s="20">
        <f t="shared" si="81"/>
        <v>5664857.0018694354</v>
      </c>
      <c r="G88" s="20">
        <f t="shared" si="81"/>
        <v>6812138.0270419978</v>
      </c>
    </row>
    <row r="89" spans="2:7" x14ac:dyDescent="0.3">
      <c r="B89" s="136" t="s">
        <v>285</v>
      </c>
      <c r="C89" s="20">
        <f>-C86+C87+C88+C85</f>
        <v>4358506</v>
      </c>
      <c r="D89" s="20">
        <f t="shared" ref="D89:G89" si="82">-D86+D87+D88+D85</f>
        <v>2312551.99179444</v>
      </c>
      <c r="E89" s="20">
        <f t="shared" si="82"/>
        <v>42798.75510734506</v>
      </c>
      <c r="F89" s="20">
        <f t="shared" si="82"/>
        <v>-2562196.7929270985</v>
      </c>
      <c r="G89" s="20">
        <f t="shared" si="82"/>
        <v>-5770744.4996389849</v>
      </c>
    </row>
    <row r="90" spans="2:7" x14ac:dyDescent="0.3">
      <c r="B90" s="39"/>
      <c r="C90" s="20"/>
    </row>
    <row r="91" spans="2:7" x14ac:dyDescent="0.3">
      <c r="B91" s="136" t="s">
        <v>66</v>
      </c>
      <c r="C91" s="20">
        <f>C64</f>
        <v>0</v>
      </c>
    </row>
    <row r="92" spans="2:7" x14ac:dyDescent="0.3">
      <c r="B92" s="136" t="s">
        <v>294</v>
      </c>
      <c r="C92" s="143">
        <v>0.1</v>
      </c>
    </row>
    <row r="95" spans="2:7" ht="15.6" x14ac:dyDescent="0.3">
      <c r="B95" s="133" t="s">
        <v>286</v>
      </c>
      <c r="C95" s="134">
        <f>NPV(C92,C89:G89)+C91</f>
        <v>572440.31859441951</v>
      </c>
    </row>
    <row r="96" spans="2:7" ht="15.6" x14ac:dyDescent="0.3">
      <c r="B96" s="133" t="s">
        <v>287</v>
      </c>
      <c r="C96" s="135">
        <f>IRR(J38:O38)</f>
        <v>0.28882341353823371</v>
      </c>
    </row>
    <row r="97" spans="3:3" x14ac:dyDescent="0.3">
      <c r="C97" s="147"/>
    </row>
  </sheetData>
  <mergeCells count="8">
    <mergeCell ref="K14:N14"/>
    <mergeCell ref="B4:H4"/>
    <mergeCell ref="B5:H5"/>
    <mergeCell ref="B6:H6"/>
    <mergeCell ref="B7:H7"/>
    <mergeCell ref="B8:H8"/>
    <mergeCell ref="B12:B13"/>
    <mergeCell ref="D12:G1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6"/>
  <sheetViews>
    <sheetView showGridLines="0" topLeftCell="A34" zoomScale="80" zoomScaleNormal="80" workbookViewId="0">
      <selection activeCell="E36" sqref="E36"/>
    </sheetView>
  </sheetViews>
  <sheetFormatPr baseColWidth="10" defaultRowHeight="14.4" x14ac:dyDescent="0.3"/>
  <cols>
    <col min="1" max="1" width="3.44140625" customWidth="1"/>
    <col min="2" max="2" width="17.88671875" customWidth="1"/>
    <col min="3" max="3" width="17.88671875" bestFit="1" customWidth="1"/>
    <col min="4" max="4" width="21.33203125" customWidth="1"/>
    <col min="5" max="5" width="24.5546875" customWidth="1"/>
    <col min="6" max="6" width="17.88671875" customWidth="1"/>
    <col min="7" max="7" width="17.33203125" customWidth="1"/>
    <col min="8" max="8" width="21.6640625" customWidth="1"/>
    <col min="9" max="13" width="17.88671875" customWidth="1"/>
    <col min="14" max="14" width="15" bestFit="1" customWidth="1"/>
  </cols>
  <sheetData>
    <row r="1" spans="1:13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 x14ac:dyDescent="0.3">
      <c r="A4" s="1"/>
      <c r="B4" s="168" t="s">
        <v>5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</row>
    <row r="5" spans="1:13" x14ac:dyDescent="0.3">
      <c r="A5" s="1"/>
      <c r="B5" s="168" t="s">
        <v>25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</row>
    <row r="6" spans="1:13" x14ac:dyDescent="0.3">
      <c r="A6" s="1"/>
      <c r="B6" s="168" t="s">
        <v>18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</row>
    <row r="7" spans="1:13" x14ac:dyDescent="0.3">
      <c r="A7" s="1"/>
      <c r="B7" s="176" t="s">
        <v>75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1:13" x14ac:dyDescent="0.3">
      <c r="A8" s="1"/>
      <c r="B8" s="177" t="s">
        <v>26</v>
      </c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33"/>
      <c r="L9" s="33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33"/>
      <c r="L10" s="33"/>
    </row>
    <row r="11" spans="1:13" x14ac:dyDescent="0.3">
      <c r="A11" s="1"/>
      <c r="B11" s="73"/>
      <c r="C11" s="74"/>
      <c r="D11" s="74"/>
      <c r="E11" s="63"/>
      <c r="F11" s="63"/>
      <c r="G11" s="63"/>
      <c r="H11" s="63"/>
      <c r="I11" s="46"/>
      <c r="J11" s="46"/>
      <c r="K11" s="33"/>
      <c r="L11" s="33"/>
    </row>
    <row r="12" spans="1:13" x14ac:dyDescent="0.3">
      <c r="A12" s="1"/>
      <c r="B12" s="70" t="s">
        <v>16</v>
      </c>
      <c r="C12" s="75" t="s">
        <v>10</v>
      </c>
      <c r="D12" s="75" t="s">
        <v>17</v>
      </c>
      <c r="E12" s="63"/>
      <c r="F12" s="63"/>
      <c r="G12" s="63"/>
      <c r="H12" s="63"/>
      <c r="I12" s="46"/>
      <c r="J12" s="46"/>
      <c r="K12" s="33"/>
      <c r="L12" s="33"/>
    </row>
    <row r="13" spans="1:13" x14ac:dyDescent="0.3">
      <c r="A13" s="1"/>
      <c r="B13" s="12"/>
      <c r="C13" s="11"/>
      <c r="D13" s="32"/>
      <c r="E13" s="11"/>
      <c r="F13" s="11"/>
      <c r="G13" s="45"/>
      <c r="H13" s="45"/>
      <c r="I13" s="46"/>
      <c r="J13" s="46"/>
      <c r="K13" s="33"/>
      <c r="L13" s="33"/>
    </row>
    <row r="14" spans="1:13" x14ac:dyDescent="0.3">
      <c r="A14" s="1"/>
      <c r="B14" s="77">
        <v>1</v>
      </c>
      <c r="C14" s="76">
        <v>2018</v>
      </c>
      <c r="D14" s="32">
        <f>+ER!$D$16</f>
        <v>8417604</v>
      </c>
      <c r="E14" s="11"/>
      <c r="F14" s="11"/>
      <c r="G14" s="45"/>
      <c r="H14" s="45"/>
      <c r="I14" s="46"/>
      <c r="J14" s="46"/>
      <c r="K14" s="33"/>
      <c r="L14" s="33"/>
    </row>
    <row r="15" spans="1:13" x14ac:dyDescent="0.3">
      <c r="A15" s="1"/>
      <c r="B15" s="33">
        <v>2</v>
      </c>
      <c r="C15" s="3">
        <v>2019</v>
      </c>
      <c r="D15" s="32">
        <f>+ER!$E$16</f>
        <v>9375076</v>
      </c>
      <c r="F15" s="55"/>
      <c r="G15" s="57"/>
      <c r="H15" s="57"/>
      <c r="I15" s="45"/>
      <c r="J15" s="45"/>
      <c r="K15" s="33"/>
      <c r="L15" s="33"/>
    </row>
    <row r="16" spans="1:13" x14ac:dyDescent="0.3">
      <c r="A16" s="1"/>
      <c r="B16" s="33">
        <v>3</v>
      </c>
      <c r="C16" s="3">
        <v>2020</v>
      </c>
      <c r="D16" s="32">
        <f>+ER!$F$16</f>
        <v>9000548</v>
      </c>
      <c r="E16" s="55"/>
      <c r="F16" s="55"/>
      <c r="G16" s="57"/>
      <c r="H16" s="57"/>
      <c r="I16" s="45"/>
      <c r="J16" s="45"/>
      <c r="K16" s="33"/>
      <c r="L16" s="33"/>
    </row>
    <row r="17" spans="1:12" x14ac:dyDescent="0.3">
      <c r="A17" s="1"/>
      <c r="B17" s="77">
        <v>4</v>
      </c>
      <c r="C17" s="3">
        <v>2021</v>
      </c>
      <c r="D17" s="32">
        <f>+ER!$G$16</f>
        <v>9817689</v>
      </c>
      <c r="E17" s="58"/>
      <c r="F17" s="58"/>
      <c r="G17" s="59"/>
      <c r="H17" s="59"/>
      <c r="I17" s="45"/>
      <c r="J17" s="45"/>
      <c r="K17" s="33"/>
      <c r="L17" s="33"/>
    </row>
    <row r="18" spans="1:12" x14ac:dyDescent="0.3">
      <c r="A18" s="1"/>
      <c r="B18" s="33">
        <v>5</v>
      </c>
      <c r="C18" s="3">
        <v>2022</v>
      </c>
      <c r="D18" s="32">
        <f>+ER!$H$16</f>
        <v>11684055</v>
      </c>
      <c r="E18" s="58"/>
      <c r="F18" s="58"/>
      <c r="G18" s="59"/>
      <c r="H18" s="59"/>
      <c r="I18" s="45"/>
      <c r="J18" s="45"/>
    </row>
    <row r="19" spans="1:12" x14ac:dyDescent="0.3">
      <c r="A19" s="1"/>
      <c r="B19" s="33">
        <v>6</v>
      </c>
      <c r="C19" s="3">
        <v>2023</v>
      </c>
      <c r="D19" s="32">
        <f>$C$45+($C$46*B19)</f>
        <v>11905361.5</v>
      </c>
      <c r="E19" s="62"/>
      <c r="F19" s="61"/>
      <c r="G19" s="59"/>
      <c r="H19" s="59"/>
      <c r="I19" s="45"/>
      <c r="J19" s="45"/>
    </row>
    <row r="20" spans="1:12" x14ac:dyDescent="0.3">
      <c r="A20" s="1"/>
      <c r="B20" s="77">
        <v>7</v>
      </c>
      <c r="C20" s="3">
        <v>2024</v>
      </c>
      <c r="D20" s="32">
        <f>$C$45+($C$46*B20)</f>
        <v>12679769.300000001</v>
      </c>
      <c r="E20" s="58"/>
      <c r="F20" s="58"/>
      <c r="G20" s="59"/>
      <c r="H20" s="59"/>
      <c r="I20" s="45"/>
      <c r="J20" s="45"/>
    </row>
    <row r="21" spans="1:12" x14ac:dyDescent="0.3">
      <c r="A21" s="1"/>
      <c r="B21" s="33">
        <v>8</v>
      </c>
      <c r="C21" s="3">
        <v>2025</v>
      </c>
      <c r="D21" s="32">
        <f>$C$45+($C$46*B21)</f>
        <v>13454177.1</v>
      </c>
      <c r="E21" s="58"/>
      <c r="F21" s="58"/>
      <c r="G21" s="59"/>
      <c r="H21" s="59"/>
      <c r="I21" s="45"/>
      <c r="J21" s="45"/>
    </row>
    <row r="22" spans="1:12" x14ac:dyDescent="0.3">
      <c r="A22" s="1"/>
      <c r="B22" s="33">
        <v>9</v>
      </c>
      <c r="C22" s="3">
        <v>2026</v>
      </c>
      <c r="D22" s="32">
        <f>$C$45+($C$46*B22)</f>
        <v>14228584.899999999</v>
      </c>
      <c r="E22" s="58"/>
      <c r="F22" s="58"/>
      <c r="G22" s="59"/>
      <c r="H22" s="59"/>
      <c r="I22" s="45"/>
      <c r="J22" s="45"/>
    </row>
    <row r="23" spans="1:12" x14ac:dyDescent="0.3">
      <c r="A23" s="1"/>
      <c r="B23" s="77">
        <v>10</v>
      </c>
      <c r="C23" s="3">
        <v>2027</v>
      </c>
      <c r="D23" s="32">
        <f>$C$45+($C$46*B23)</f>
        <v>15002992.699999999</v>
      </c>
      <c r="E23" s="58"/>
      <c r="F23" s="58"/>
      <c r="G23" s="59"/>
      <c r="H23" s="59"/>
      <c r="I23" s="45"/>
      <c r="J23" s="45"/>
    </row>
    <row r="24" spans="1:12" x14ac:dyDescent="0.3">
      <c r="A24" s="1"/>
      <c r="B24" s="33">
        <v>11</v>
      </c>
      <c r="C24" s="3">
        <v>2028</v>
      </c>
      <c r="D24" s="32">
        <f t="shared" ref="D24" si="0">$C$45+($C$46*B24)</f>
        <v>15777400.5</v>
      </c>
      <c r="E24" s="58"/>
      <c r="F24" s="58"/>
      <c r="G24" s="59"/>
      <c r="H24" s="59"/>
      <c r="I24" s="45"/>
      <c r="J24" s="45"/>
    </row>
    <row r="25" spans="1:12" x14ac:dyDescent="0.3">
      <c r="A25" s="1"/>
      <c r="B25" s="1"/>
      <c r="C25" s="55"/>
      <c r="D25" s="58"/>
      <c r="E25" s="58"/>
      <c r="F25" s="58"/>
      <c r="G25" s="59"/>
      <c r="H25" s="59"/>
      <c r="I25" s="45"/>
      <c r="J25" s="45"/>
    </row>
    <row r="26" spans="1:12" x14ac:dyDescent="0.3">
      <c r="A26" s="1"/>
      <c r="B26" s="1"/>
      <c r="C26" s="11"/>
      <c r="D26" s="11"/>
      <c r="E26" s="11"/>
      <c r="F26" s="11"/>
      <c r="G26" s="45"/>
      <c r="H26" s="45"/>
      <c r="I26" s="45"/>
      <c r="J26" s="45"/>
    </row>
    <row r="27" spans="1:12" x14ac:dyDescent="0.3">
      <c r="A27" s="1"/>
      <c r="B27" s="12"/>
      <c r="C27" s="11"/>
      <c r="D27" s="11"/>
      <c r="E27" s="11"/>
      <c r="F27" s="11"/>
      <c r="G27" s="45"/>
      <c r="H27" s="45"/>
      <c r="I27" s="45"/>
      <c r="J27" s="45"/>
    </row>
    <row r="28" spans="1:12" x14ac:dyDescent="0.3">
      <c r="A28" s="1"/>
      <c r="B28" s="169" t="s">
        <v>19</v>
      </c>
      <c r="C28" s="169"/>
      <c r="D28" s="169"/>
      <c r="E28" s="169"/>
      <c r="F28" s="169"/>
      <c r="G28" s="169"/>
      <c r="H28" s="169"/>
      <c r="I28" s="45"/>
      <c r="J28" s="45"/>
    </row>
    <row r="29" spans="1:12" x14ac:dyDescent="0.3">
      <c r="A29" s="1"/>
      <c r="B29" s="169" t="s">
        <v>20</v>
      </c>
      <c r="C29" s="169"/>
      <c r="D29" s="169"/>
      <c r="E29" s="175"/>
      <c r="F29" s="175"/>
      <c r="G29" s="71"/>
      <c r="H29" s="71"/>
      <c r="I29" s="45"/>
      <c r="J29" s="45"/>
    </row>
    <row r="30" spans="1:12" ht="15" thickBot="1" x14ac:dyDescent="0.35">
      <c r="A30" s="1"/>
      <c r="B30" s="12"/>
      <c r="C30" s="11"/>
      <c r="D30" s="11"/>
      <c r="E30" s="11"/>
      <c r="F30" s="11"/>
      <c r="G30" s="45"/>
      <c r="H30" s="45"/>
      <c r="I30" s="45"/>
      <c r="J30" s="45"/>
    </row>
    <row r="31" spans="1:12" x14ac:dyDescent="0.3">
      <c r="A31" s="65"/>
      <c r="B31" s="80" t="s">
        <v>93</v>
      </c>
      <c r="C31" s="80"/>
      <c r="K31" s="65"/>
    </row>
    <row r="32" spans="1:12" x14ac:dyDescent="0.3">
      <c r="A32" s="65"/>
      <c r="B32" t="s">
        <v>94</v>
      </c>
      <c r="C32">
        <v>0.83947414933344722</v>
      </c>
      <c r="K32" s="65"/>
    </row>
    <row r="33" spans="1:11" x14ac:dyDescent="0.3">
      <c r="A33" s="65"/>
      <c r="B33" t="s">
        <v>95</v>
      </c>
      <c r="C33">
        <v>0.70471684739911478</v>
      </c>
      <c r="K33" s="65"/>
    </row>
    <row r="34" spans="1:11" x14ac:dyDescent="0.3">
      <c r="A34" s="65"/>
      <c r="B34" t="s">
        <v>96</v>
      </c>
      <c r="C34">
        <v>0.55707527109867216</v>
      </c>
      <c r="K34" s="65"/>
    </row>
    <row r="35" spans="1:11" x14ac:dyDescent="0.3">
      <c r="A35" s="65"/>
      <c r="B35" t="s">
        <v>97</v>
      </c>
      <c r="C35">
        <v>792595.7337968077</v>
      </c>
      <c r="K35" s="65"/>
    </row>
    <row r="36" spans="1:11" ht="15" thickBot="1" x14ac:dyDescent="0.35">
      <c r="A36" s="65"/>
      <c r="B36" s="78" t="s">
        <v>98</v>
      </c>
      <c r="C36" s="78">
        <v>4</v>
      </c>
      <c r="K36" s="65"/>
    </row>
    <row r="37" spans="1:11" x14ac:dyDescent="0.3">
      <c r="A37" s="65"/>
      <c r="K37" s="65"/>
    </row>
    <row r="38" spans="1:11" ht="15" thickBot="1" x14ac:dyDescent="0.35">
      <c r="A38" s="65"/>
      <c r="B38" t="s">
        <v>99</v>
      </c>
      <c r="K38" s="65"/>
    </row>
    <row r="39" spans="1:11" x14ac:dyDescent="0.3">
      <c r="A39" s="65"/>
      <c r="B39" s="79"/>
      <c r="C39" s="79" t="s">
        <v>103</v>
      </c>
      <c r="D39" s="79" t="s">
        <v>104</v>
      </c>
      <c r="E39" s="79" t="s">
        <v>105</v>
      </c>
      <c r="F39" s="79" t="s">
        <v>106</v>
      </c>
      <c r="G39" s="79" t="s">
        <v>107</v>
      </c>
      <c r="K39" s="65"/>
    </row>
    <row r="40" spans="1:11" x14ac:dyDescent="0.3">
      <c r="A40" s="65"/>
      <c r="B40" t="s">
        <v>100</v>
      </c>
      <c r="C40">
        <v>1</v>
      </c>
      <c r="D40">
        <v>2998537203504.1997</v>
      </c>
      <c r="E40">
        <v>2998537203504.1997</v>
      </c>
      <c r="F40">
        <v>4.7731598717494998</v>
      </c>
      <c r="G40">
        <v>0.16052585066655278</v>
      </c>
      <c r="K40" s="65"/>
    </row>
    <row r="41" spans="1:11" x14ac:dyDescent="0.3">
      <c r="A41" s="65"/>
      <c r="B41" t="s">
        <v>101</v>
      </c>
      <c r="C41">
        <v>2</v>
      </c>
      <c r="D41">
        <v>1256415994465.8003</v>
      </c>
      <c r="E41">
        <v>628207997232.90015</v>
      </c>
      <c r="K41" s="65"/>
    </row>
    <row r="42" spans="1:11" ht="15" thickBot="1" x14ac:dyDescent="0.35">
      <c r="A42" s="65"/>
      <c r="B42" s="78" t="s">
        <v>6</v>
      </c>
      <c r="C42" s="78">
        <v>3</v>
      </c>
      <c r="D42" s="78">
        <v>4254953197970</v>
      </c>
      <c r="E42" s="78"/>
      <c r="F42" s="78"/>
      <c r="G42" s="78"/>
      <c r="K42" s="65"/>
    </row>
    <row r="43" spans="1:11" ht="15" thickBot="1" x14ac:dyDescent="0.35">
      <c r="A43" s="65"/>
      <c r="K43" s="65"/>
    </row>
    <row r="44" spans="1:11" x14ac:dyDescent="0.3">
      <c r="A44" s="65"/>
      <c r="B44" s="79"/>
      <c r="C44" s="79" t="s">
        <v>108</v>
      </c>
      <c r="D44" s="79" t="s">
        <v>97</v>
      </c>
      <c r="E44" s="79" t="s">
        <v>109</v>
      </c>
      <c r="F44" s="79" t="s">
        <v>110</v>
      </c>
      <c r="G44" s="79" t="s">
        <v>111</v>
      </c>
      <c r="H44" s="79" t="s">
        <v>112</v>
      </c>
      <c r="I44" s="79" t="s">
        <v>113</v>
      </c>
      <c r="J44" s="79" t="s">
        <v>114</v>
      </c>
      <c r="K44" s="65"/>
    </row>
    <row r="45" spans="1:11" x14ac:dyDescent="0.3">
      <c r="A45" s="65"/>
      <c r="B45" t="s">
        <v>102</v>
      </c>
      <c r="C45">
        <v>7258914.6999999993</v>
      </c>
      <c r="D45">
        <v>1302367.6871486141</v>
      </c>
      <c r="E45">
        <v>5.5736292996431498</v>
      </c>
      <c r="F45">
        <v>3.071484650091099E-2</v>
      </c>
      <c r="G45">
        <v>1655278.8157525193</v>
      </c>
      <c r="H45">
        <v>12862550.584247479</v>
      </c>
      <c r="I45">
        <v>1655278.8157525193</v>
      </c>
      <c r="J45">
        <v>12862550.584247479</v>
      </c>
      <c r="K45" s="65"/>
    </row>
    <row r="46" spans="1:11" ht="15" thickBot="1" x14ac:dyDescent="0.35">
      <c r="B46" s="78">
        <v>1</v>
      </c>
      <c r="C46" s="78">
        <v>774407.8</v>
      </c>
      <c r="D46" s="78">
        <v>354459.58788919792</v>
      </c>
      <c r="E46" s="78">
        <v>2.1847562499623385</v>
      </c>
      <c r="F46" s="78">
        <v>0.16052585066655278</v>
      </c>
      <c r="G46" s="78">
        <v>-750708.71341732726</v>
      </c>
      <c r="H46" s="78">
        <v>2299524.3134173276</v>
      </c>
      <c r="I46" s="78">
        <v>-750708.71341732726</v>
      </c>
      <c r="J46" s="78">
        <v>2299524.3134173276</v>
      </c>
    </row>
  </sheetData>
  <mergeCells count="8">
    <mergeCell ref="B28:H28"/>
    <mergeCell ref="B29:D29"/>
    <mergeCell ref="E29:F29"/>
    <mergeCell ref="B4:M4"/>
    <mergeCell ref="B5:M5"/>
    <mergeCell ref="B6:M6"/>
    <mergeCell ref="B7:M7"/>
    <mergeCell ref="B8:M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8"/>
  <sheetViews>
    <sheetView showGridLines="0" topLeftCell="A4" zoomScale="87" zoomScaleNormal="87" workbookViewId="0">
      <selection activeCell="D28" sqref="D28"/>
    </sheetView>
  </sheetViews>
  <sheetFormatPr baseColWidth="10" defaultColWidth="11.44140625" defaultRowHeight="14.4" x14ac:dyDescent="0.3"/>
  <cols>
    <col min="1" max="1" width="21.6640625" style="97" customWidth="1"/>
    <col min="2" max="2" width="13.44140625" style="97" customWidth="1"/>
    <col min="3" max="3" width="18.44140625" style="97" customWidth="1"/>
    <col min="4" max="4" width="17.6640625" style="97" customWidth="1"/>
    <col min="5" max="5" width="20.33203125" style="97" customWidth="1"/>
    <col min="6" max="6" width="16.6640625" style="97" bestFit="1" customWidth="1"/>
    <col min="7" max="7" width="11.44140625" style="97"/>
    <col min="8" max="8" width="15.109375" style="97" bestFit="1" customWidth="1"/>
    <col min="9" max="16384" width="11.44140625" style="97"/>
  </cols>
  <sheetData>
    <row r="1" spans="1:8" ht="21" customHeight="1" x14ac:dyDescent="0.3">
      <c r="A1" s="179" t="s">
        <v>195</v>
      </c>
      <c r="B1" s="179"/>
      <c r="C1" s="179"/>
    </row>
    <row r="2" spans="1:8" x14ac:dyDescent="0.3">
      <c r="A2" s="179"/>
      <c r="B2" s="179"/>
      <c r="C2" s="179"/>
      <c r="E2" s="98" t="s">
        <v>4</v>
      </c>
    </row>
    <row r="3" spans="1:8" x14ac:dyDescent="0.3">
      <c r="E3" s="99">
        <f>ER!H16</f>
        <v>11684055</v>
      </c>
    </row>
    <row r="4" spans="1:8" x14ac:dyDescent="0.3">
      <c r="E4" s="98" t="s">
        <v>196</v>
      </c>
    </row>
    <row r="5" spans="1:8" x14ac:dyDescent="0.3">
      <c r="E5" s="99">
        <f>ER!H17</f>
        <v>-9627196</v>
      </c>
    </row>
    <row r="6" spans="1:8" x14ac:dyDescent="0.3">
      <c r="E6" s="98" t="s">
        <v>197</v>
      </c>
    </row>
    <row r="7" spans="1:8" x14ac:dyDescent="0.3">
      <c r="C7" s="100" t="s">
        <v>198</v>
      </c>
      <c r="E7" s="99">
        <f>ER!H21+ER!H22</f>
        <v>-1076953</v>
      </c>
    </row>
    <row r="8" spans="1:8" ht="27.75" customHeight="1" x14ac:dyDescent="0.3">
      <c r="C8" s="101">
        <f>+E3+E5+E7+E9</f>
        <v>614312</v>
      </c>
      <c r="E8" s="102" t="s">
        <v>199</v>
      </c>
    </row>
    <row r="9" spans="1:8" x14ac:dyDescent="0.3">
      <c r="E9" s="103">
        <f>ER!H35</f>
        <v>-365594</v>
      </c>
      <c r="F9" s="100" t="s">
        <v>200</v>
      </c>
    </row>
    <row r="10" spans="1:8" x14ac:dyDescent="0.3">
      <c r="B10" s="100" t="s">
        <v>201</v>
      </c>
      <c r="F10" s="99">
        <f>BG!H20</f>
        <v>1353453</v>
      </c>
    </row>
    <row r="11" spans="1:8" x14ac:dyDescent="0.3">
      <c r="B11" s="104">
        <f>+C8/C15</f>
        <v>4.0605526764950876E-2</v>
      </c>
      <c r="F11" s="100" t="s">
        <v>202</v>
      </c>
    </row>
    <row r="12" spans="1:8" x14ac:dyDescent="0.3">
      <c r="D12" s="100" t="s">
        <v>203</v>
      </c>
      <c r="F12" s="99">
        <f>BG!H22</f>
        <v>1502691</v>
      </c>
    </row>
    <row r="13" spans="1:8" x14ac:dyDescent="0.3">
      <c r="D13" s="101">
        <f>+F10+F12-F14</f>
        <v>1472643</v>
      </c>
      <c r="F13" s="105" t="s">
        <v>204</v>
      </c>
    </row>
    <row r="14" spans="1:8" ht="44.25" customHeight="1" x14ac:dyDescent="0.3">
      <c r="C14" s="102" t="s">
        <v>205</v>
      </c>
      <c r="F14" s="99">
        <f>BG!H48</f>
        <v>1383501</v>
      </c>
      <c r="H14" s="106"/>
    </row>
    <row r="15" spans="1:8" x14ac:dyDescent="0.3">
      <c r="A15" s="100" t="s">
        <v>24</v>
      </c>
      <c r="C15" s="101">
        <f>+D13+D17</f>
        <v>15128778</v>
      </c>
      <c r="F15" s="100" t="s">
        <v>206</v>
      </c>
    </row>
    <row r="16" spans="1:8" x14ac:dyDescent="0.3">
      <c r="A16" s="107">
        <f>+C15*(B11-B24)</f>
        <v>-524486.89340662316</v>
      </c>
      <c r="D16" s="100" t="s">
        <v>207</v>
      </c>
      <c r="F16" s="103">
        <f>BG!H23+BG!H39</f>
        <v>254676</v>
      </c>
    </row>
    <row r="17" spans="1:10" x14ac:dyDescent="0.3">
      <c r="A17" s="97" t="s">
        <v>208</v>
      </c>
      <c r="D17" s="101">
        <f>+F16+F18</f>
        <v>13656135</v>
      </c>
      <c r="F17" s="100" t="s">
        <v>209</v>
      </c>
      <c r="J17" s="108"/>
    </row>
    <row r="18" spans="1:10" x14ac:dyDescent="0.3">
      <c r="F18" s="103">
        <f>BG!H35</f>
        <v>13401459</v>
      </c>
    </row>
    <row r="20" spans="1:10" x14ac:dyDescent="0.3">
      <c r="E20" s="100" t="s">
        <v>210</v>
      </c>
    </row>
    <row r="21" spans="1:10" x14ac:dyDescent="0.3">
      <c r="C21" s="100" t="s">
        <v>211</v>
      </c>
      <c r="E21" s="109">
        <f>E24*(1-34%)</f>
        <v>5.9399999999999988E-2</v>
      </c>
    </row>
    <row r="22" spans="1:10" x14ac:dyDescent="0.3">
      <c r="C22" s="110">
        <f>BG!H69</f>
        <v>11196778</v>
      </c>
    </row>
    <row r="23" spans="1:10" x14ac:dyDescent="0.3">
      <c r="B23" s="100" t="s">
        <v>22</v>
      </c>
      <c r="C23" s="111">
        <f>+(C22/(C22+C25))</f>
        <v>0.48125207277318616</v>
      </c>
      <c r="E23" s="100" t="s">
        <v>212</v>
      </c>
    </row>
    <row r="24" spans="1:10" x14ac:dyDescent="0.3">
      <c r="B24" s="112">
        <f>+(C23*E21)+(C26*E24)</f>
        <v>7.5273686573140486E-2</v>
      </c>
      <c r="C24" s="100" t="s">
        <v>213</v>
      </c>
      <c r="E24" s="113">
        <v>0.09</v>
      </c>
    </row>
    <row r="25" spans="1:10" x14ac:dyDescent="0.3">
      <c r="C25" s="114">
        <f>BG!H79</f>
        <v>12069154</v>
      </c>
      <c r="E25" s="149">
        <f>+WACC!H4</f>
        <v>1.7999999999999999E-2</v>
      </c>
    </row>
    <row r="26" spans="1:10" x14ac:dyDescent="0.3">
      <c r="C26" s="111">
        <f>C25/C28</f>
        <v>0.51874792722681384</v>
      </c>
      <c r="E26" s="109">
        <v>0.05</v>
      </c>
    </row>
    <row r="27" spans="1:10" x14ac:dyDescent="0.3">
      <c r="C27" s="100" t="s">
        <v>214</v>
      </c>
    </row>
    <row r="28" spans="1:10" x14ac:dyDescent="0.3">
      <c r="C28" s="114">
        <f>BG!H80</f>
        <v>23265932</v>
      </c>
    </row>
  </sheetData>
  <mergeCells count="1">
    <mergeCell ref="A1:C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30"/>
  <sheetViews>
    <sheetView showGridLines="0" topLeftCell="F1" zoomScale="87" zoomScaleNormal="87" workbookViewId="0">
      <selection activeCell="J24" sqref="J24"/>
    </sheetView>
  </sheetViews>
  <sheetFormatPr baseColWidth="10" defaultColWidth="11.44140625" defaultRowHeight="14.4" x14ac:dyDescent="0.3"/>
  <cols>
    <col min="1" max="1" width="31.109375" style="116" bestFit="1" customWidth="1"/>
    <col min="2" max="3" width="11.44140625" style="116"/>
    <col min="4" max="4" width="44.109375" style="116" bestFit="1" customWidth="1"/>
    <col min="5" max="5" width="31.109375" style="116" bestFit="1" customWidth="1"/>
    <col min="6" max="6" width="11.44140625" style="116"/>
    <col min="7" max="7" width="31.109375" style="116" customWidth="1"/>
    <col min="8" max="16384" width="11.44140625" style="116"/>
  </cols>
  <sheetData>
    <row r="2" spans="1:8" x14ac:dyDescent="0.3">
      <c r="A2" s="115" t="s">
        <v>215</v>
      </c>
    </row>
    <row r="3" spans="1:8" x14ac:dyDescent="0.3">
      <c r="A3" s="116" t="s">
        <v>216</v>
      </c>
      <c r="B3" s="117">
        <f>EVA!C23</f>
        <v>0.48125207277318616</v>
      </c>
      <c r="G3" s="115" t="s">
        <v>217</v>
      </c>
    </row>
    <row r="4" spans="1:8" x14ac:dyDescent="0.3">
      <c r="A4" s="116" t="s">
        <v>218</v>
      </c>
      <c r="B4" s="117">
        <f>1-B3</f>
        <v>0.51874792722681384</v>
      </c>
      <c r="G4" s="116" t="s">
        <v>219</v>
      </c>
      <c r="H4" s="118">
        <v>1.7999999999999999E-2</v>
      </c>
    </row>
    <row r="5" spans="1:8" x14ac:dyDescent="0.3">
      <c r="G5" s="116" t="s">
        <v>220</v>
      </c>
      <c r="H5" s="118">
        <v>2.1600000000000001E-2</v>
      </c>
    </row>
    <row r="6" spans="1:8" x14ac:dyDescent="0.3">
      <c r="G6" s="116" t="s">
        <v>221</v>
      </c>
      <c r="H6" s="119">
        <v>2.5499999999999998</v>
      </c>
    </row>
    <row r="7" spans="1:8" x14ac:dyDescent="0.3">
      <c r="A7" s="115" t="s">
        <v>222</v>
      </c>
      <c r="G7" s="116" t="s">
        <v>223</v>
      </c>
      <c r="H7" s="118">
        <v>0.32</v>
      </c>
    </row>
    <row r="8" spans="1:8" x14ac:dyDescent="0.3">
      <c r="A8" s="116" t="s">
        <v>224</v>
      </c>
      <c r="B8" s="118">
        <v>0.1152</v>
      </c>
      <c r="G8" s="116" t="s">
        <v>225</v>
      </c>
      <c r="H8" s="120">
        <v>2.94</v>
      </c>
    </row>
    <row r="9" spans="1:8" x14ac:dyDescent="0.3">
      <c r="A9" s="116" t="s">
        <v>226</v>
      </c>
      <c r="B9" s="117">
        <v>0.1</v>
      </c>
      <c r="G9" s="116" t="s">
        <v>227</v>
      </c>
      <c r="H9" s="118">
        <v>7.8899999999999998E-2</v>
      </c>
    </row>
    <row r="10" spans="1:8" x14ac:dyDescent="0.3">
      <c r="A10" s="121" t="s">
        <v>228</v>
      </c>
      <c r="B10" s="122">
        <f>B8+B9</f>
        <v>0.2152</v>
      </c>
      <c r="G10" s="116" t="s">
        <v>229</v>
      </c>
      <c r="H10" s="118">
        <v>7.8899999999999998E-2</v>
      </c>
    </row>
    <row r="11" spans="1:8" ht="28.8" x14ac:dyDescent="0.3">
      <c r="G11" s="123" t="s">
        <v>230</v>
      </c>
      <c r="H11" s="122">
        <f>H4+H5*H8+H9+H10</f>
        <v>0.23930399999999999</v>
      </c>
    </row>
    <row r="18" spans="1:5" ht="31.5" customHeight="1" x14ac:dyDescent="0.3">
      <c r="A18" s="124" t="s">
        <v>231</v>
      </c>
      <c r="D18" s="125" t="s">
        <v>232</v>
      </c>
      <c r="E18" s="122">
        <f>B3*(B10*(1-H7))+(B4*H11)</f>
        <v>0.19456295729842243</v>
      </c>
    </row>
    <row r="19" spans="1:5" x14ac:dyDescent="0.3">
      <c r="D19" s="116" t="s">
        <v>233</v>
      </c>
      <c r="E19" s="118">
        <v>6.3500000000000001E-2</v>
      </c>
    </row>
    <row r="20" spans="1:5" x14ac:dyDescent="0.3">
      <c r="D20" s="116" t="s">
        <v>234</v>
      </c>
      <c r="E20" s="126">
        <f>(1+E18)/(1+E19)-1</f>
        <v>0.12323738344938651</v>
      </c>
    </row>
    <row r="21" spans="1:5" x14ac:dyDescent="0.3">
      <c r="D21" s="116" t="s">
        <v>235</v>
      </c>
      <c r="E21" s="118">
        <v>0.13250000000000001</v>
      </c>
    </row>
    <row r="22" spans="1:5" ht="27.75" customHeight="1" x14ac:dyDescent="0.3">
      <c r="A22" s="124" t="s">
        <v>236</v>
      </c>
      <c r="D22" s="121" t="s">
        <v>237</v>
      </c>
      <c r="E22" s="127">
        <f>(1+E20)*(1+E21)-1</f>
        <v>0.27206633675643022</v>
      </c>
    </row>
    <row r="26" spans="1:5" ht="18" x14ac:dyDescent="0.35">
      <c r="A26" s="128"/>
    </row>
    <row r="27" spans="1:5" x14ac:dyDescent="0.3">
      <c r="D27" s="148"/>
    </row>
    <row r="29" spans="1:5" x14ac:dyDescent="0.3">
      <c r="A29" s="129"/>
    </row>
    <row r="30" spans="1:5" x14ac:dyDescent="0.3">
      <c r="A30" s="12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Contenido</vt:lpstr>
      <vt:lpstr>BG</vt:lpstr>
      <vt:lpstr>ER</vt:lpstr>
      <vt:lpstr>FE</vt:lpstr>
      <vt:lpstr>IN</vt:lpstr>
      <vt:lpstr>FCP</vt:lpstr>
      <vt:lpstr>RL</vt:lpstr>
      <vt:lpstr>EVA</vt:lpstr>
      <vt:lpstr>WACC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Edinson Morales</dc:creator>
  <cp:lastModifiedBy>LENOVO</cp:lastModifiedBy>
  <dcterms:created xsi:type="dcterms:W3CDTF">2022-02-13T01:15:15Z</dcterms:created>
  <dcterms:modified xsi:type="dcterms:W3CDTF">2023-09-15T15:35:38Z</dcterms:modified>
</cp:coreProperties>
</file>