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Desktop\Documentos para subir a Biblioteca\Apéndices\"/>
    </mc:Choice>
  </mc:AlternateContent>
  <xr:revisionPtr revIDLastSave="0" documentId="13_ncr:1_{CAC7BFDD-B6EA-4A70-89F5-D999625411FC}" xr6:coauthVersionLast="47" xr6:coauthVersionMax="47" xr10:uidLastSave="{00000000-0000-0000-0000-000000000000}"/>
  <bookViews>
    <workbookView xWindow="-120" yWindow="-120" windowWidth="20730" windowHeight="11160" xr2:uid="{46C28EC9-9519-4C3D-BD07-F921BE811575}"/>
  </bookViews>
  <sheets>
    <sheet name="Diseño_Mezcla" sheetId="2" r:id="rId1"/>
    <sheet name="Propiedades_Grava" sheetId="3" r:id="rId2"/>
    <sheet name="Propiedades_Aren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1" i="2" l="1"/>
  <c r="Y42" i="2" s="1"/>
  <c r="X41" i="2"/>
  <c r="X42" i="2" s="1"/>
  <c r="W41" i="2"/>
  <c r="W38" i="2" s="1"/>
  <c r="X37" i="2"/>
  <c r="W42" i="2"/>
  <c r="W37" i="2"/>
  <c r="Y37" i="2" s="1"/>
  <c r="N38" i="2"/>
  <c r="O38" i="2" s="1"/>
  <c r="M36" i="2"/>
  <c r="M26" i="2"/>
  <c r="M27" i="2" s="1"/>
  <c r="O36" i="2" s="1"/>
  <c r="O23" i="2"/>
  <c r="O37" i="2" s="1"/>
  <c r="M7" i="2"/>
  <c r="L23" i="4"/>
  <c r="M19" i="2" s="1"/>
  <c r="O19" i="2" s="1"/>
  <c r="L16" i="4"/>
  <c r="L21" i="4" s="1"/>
  <c r="M17" i="2" s="1"/>
  <c r="L11" i="4"/>
  <c r="L10" i="4"/>
  <c r="L9" i="4"/>
  <c r="L24" i="3"/>
  <c r="M12" i="2" s="1"/>
  <c r="O12" i="2" s="1"/>
  <c r="L17" i="3"/>
  <c r="L22" i="3" s="1"/>
  <c r="M10" i="2" s="1"/>
  <c r="L8" i="3"/>
  <c r="L11" i="3" s="1"/>
  <c r="X38" i="2" l="1"/>
  <c r="N36" i="2"/>
  <c r="M18" i="2"/>
  <c r="L12" i="3"/>
  <c r="L21" i="3"/>
  <c r="M9" i="2" s="1"/>
  <c r="L20" i="4"/>
  <c r="M16" i="2" s="1"/>
  <c r="L10" i="3"/>
  <c r="Y38" i="2"/>
  <c r="M11" i="2" l="1"/>
  <c r="M39" i="2" s="1"/>
  <c r="L25" i="3"/>
  <c r="M40" i="2"/>
  <c r="L24" i="4"/>
  <c r="M30" i="2" l="1"/>
  <c r="M28" i="2" s="1"/>
  <c r="M32" i="2"/>
  <c r="O39" i="2"/>
  <c r="N39" i="2"/>
  <c r="O40" i="2" l="1"/>
  <c r="N40" i="2" s="1"/>
  <c r="M31" i="2"/>
  <c r="O41" i="2"/>
</calcChain>
</file>

<file path=xl/sharedStrings.xml><?xml version="1.0" encoding="utf-8"?>
<sst xmlns="http://schemas.openxmlformats.org/spreadsheetml/2006/main" count="196" uniqueCount="123">
  <si>
    <t>MPa</t>
  </si>
  <si>
    <t>RESISTENCIA A LOS 28 DIAS</t>
  </si>
  <si>
    <t>DENSIDAD DEL CEMENTO</t>
  </si>
  <si>
    <t>TAMAÑO MÁXIMO NOMINAL</t>
  </si>
  <si>
    <t xml:space="preserve">TAMAÑO MÁXIMO </t>
  </si>
  <si>
    <t>MASA UNITARIA COMPACTADA</t>
  </si>
  <si>
    <t>MASA UNITARIA SUELTA</t>
  </si>
  <si>
    <t xml:space="preserve">DENSIDAD APARENTE </t>
  </si>
  <si>
    <t>ABSORCIÓN</t>
  </si>
  <si>
    <t>TEXTURA</t>
  </si>
  <si>
    <t>MODULO DE FINURA</t>
  </si>
  <si>
    <t xml:space="preserve">ABSORCIÓN </t>
  </si>
  <si>
    <t>PORCENTAJE DE ARCILLA</t>
  </si>
  <si>
    <t xml:space="preserve">ASENTAMIENTO </t>
  </si>
  <si>
    <t>CONTENIDO DE AIRE</t>
  </si>
  <si>
    <t>CANTIDAD DE AGUA DE MEZCLADO</t>
  </si>
  <si>
    <t>RELACIÓN a/c</t>
  </si>
  <si>
    <t>CONTENIDO DE CEMENTO</t>
  </si>
  <si>
    <t xml:space="preserve">VOLÚMEN DE CEMENTO POR m3 DE CONCRETO </t>
  </si>
  <si>
    <t>CONTENIDO DE GRAVA, CONOCIENDO EL MODULO DE FINURA Y TAMAÑO MÁXIMO NOMINAL</t>
  </si>
  <si>
    <t>AGREGADO GRUESO</t>
  </si>
  <si>
    <t>DENSIDAD APARENTE</t>
  </si>
  <si>
    <t>AGREGADO FINO</t>
  </si>
  <si>
    <t>VOLÚMEN GRAVA POR m3</t>
  </si>
  <si>
    <t>CONTENIDO DE AGREGADO FINO</t>
  </si>
  <si>
    <t>VOLÚMEN DE AGREGADO FINO</t>
  </si>
  <si>
    <t>UNID</t>
  </si>
  <si>
    <t>PSI</t>
  </si>
  <si>
    <t>kg/m3</t>
  </si>
  <si>
    <t>DATOS PARA EL DISEÑO DE MEZCLA MÉTODO ACI 211</t>
  </si>
  <si>
    <t>mm</t>
  </si>
  <si>
    <t>pulg</t>
  </si>
  <si>
    <t>PESO DE LOS MATERIALES POR METRO CUBICO</t>
  </si>
  <si>
    <t>DESCRIPCIÓN</t>
  </si>
  <si>
    <t>CEMENTO</t>
  </si>
  <si>
    <t>AIRE</t>
  </si>
  <si>
    <t>AGUA</t>
  </si>
  <si>
    <t>GRAVA</t>
  </si>
  <si>
    <t>ARENA</t>
  </si>
  <si>
    <t>TOTAL</t>
  </si>
  <si>
    <t>Kg/m3</t>
  </si>
  <si>
    <t>%</t>
  </si>
  <si>
    <t>cm</t>
  </si>
  <si>
    <t>Adm</t>
  </si>
  <si>
    <t>m3/m3</t>
  </si>
  <si>
    <t>A</t>
  </si>
  <si>
    <t>Pa</t>
  </si>
  <si>
    <t>Pb</t>
  </si>
  <si>
    <t>B</t>
  </si>
  <si>
    <t>C</t>
  </si>
  <si>
    <t>PESO DE LA MUESTRA EN CONDICIÓN S.S.S. EN EL AIRE</t>
  </si>
  <si>
    <t>PESO DE LA CANASTA, SUMERGIDA EN AGUA</t>
  </si>
  <si>
    <t>PESO DE LA CANASTA+MUESTRA S.S.S SUMERGIDA EN EL AGUA</t>
  </si>
  <si>
    <t>PESO DE LA MUESTRA EN AGUA= Pb-Pa</t>
  </si>
  <si>
    <t>PESO DE LA MUESTRA SECADA AL HORNO, EN EL AIRE</t>
  </si>
  <si>
    <t>Gramos</t>
  </si>
  <si>
    <t>GRAVEDAD ESPECÍFICA REAL</t>
  </si>
  <si>
    <t>GRAVEDAD ESPECÍFICA APARENTE</t>
  </si>
  <si>
    <t>D</t>
  </si>
  <si>
    <t>GRAVEDAD ESPECÍFICA APARENTE S.S.S</t>
  </si>
  <si>
    <t>C/(C-B)</t>
  </si>
  <si>
    <t>C/(A-B)</t>
  </si>
  <si>
    <t>A/(A-B)</t>
  </si>
  <si>
    <t>GRAVEDADES ESPECÍFICAS</t>
  </si>
  <si>
    <t>PESO UNITARIO</t>
  </si>
  <si>
    <t>P1</t>
  </si>
  <si>
    <t>P2</t>
  </si>
  <si>
    <t>V</t>
  </si>
  <si>
    <t>Pm</t>
  </si>
  <si>
    <t>Pc</t>
  </si>
  <si>
    <t>Ps</t>
  </si>
  <si>
    <t>E</t>
  </si>
  <si>
    <t>PESO DEL MEDIDOR+VIDRIO</t>
  </si>
  <si>
    <t>PESO DEL MEDIDOR+VIDRIO+AGUA</t>
  </si>
  <si>
    <t>VOLÚMEN DEL MEDIDOR= (P2-P1)/1000</t>
  </si>
  <si>
    <t>PESO DEL MEDIDOR VACÍO</t>
  </si>
  <si>
    <t>PESO DEL MEDIDOR+MATERIAL S.S.S COMPACTADO</t>
  </si>
  <si>
    <t>PESO DEL MEDIDOR+MATERIAL S.S.S SUELTO</t>
  </si>
  <si>
    <t>PESO UNITARIO DEL AGREGADO S.S.S COMPACTADO</t>
  </si>
  <si>
    <t>(Pc-Pm)/V</t>
  </si>
  <si>
    <t>Adimensional</t>
  </si>
  <si>
    <t>Ka/m^3</t>
  </si>
  <si>
    <t>PESO UNITARIO DEL AGREGADO S.S.S. SUELTO</t>
  </si>
  <si>
    <t>(Ps-Pm)/V</t>
  </si>
  <si>
    <t>ABSORCIÓN EN %</t>
  </si>
  <si>
    <t>PORCENTAJE DE VACÍOS</t>
  </si>
  <si>
    <t>((A-C)*100)/C</t>
  </si>
  <si>
    <t>(D*1000-E)/(D*10)</t>
  </si>
  <si>
    <t>dem^3</t>
  </si>
  <si>
    <t>PESO DEL FRASCO+AGUA HASTA LA MARCA, EN EL AIRE</t>
  </si>
  <si>
    <t>PESO DE LA MUESTRA. FRASCO Y AGUA AGREAGADA HASTA LA MARCA, EN EL AIRE</t>
  </si>
  <si>
    <t>PESO DE LA MUESTRA SECADA AL HORNO</t>
  </si>
  <si>
    <t>GRAVEDAD ESPECÍFICA</t>
  </si>
  <si>
    <t xml:space="preserve">Adimensional </t>
  </si>
  <si>
    <t>GRAVEDAD ESPECÍFICA APARENTE S.S.S.</t>
  </si>
  <si>
    <t>D/(A+B-C)</t>
  </si>
  <si>
    <t>B/(A+B-C)</t>
  </si>
  <si>
    <t>F</t>
  </si>
  <si>
    <t>VOLÚMEN DEL MEDIDOR</t>
  </si>
  <si>
    <t>PESO DEL MEDIDOR+MATERIAL S.S.S. COMPACTADO</t>
  </si>
  <si>
    <t>PESO DEL MEDIDOR+MATERIAL S.S.S. SUELTO</t>
  </si>
  <si>
    <t>PESO UNITARIO DEL AGREGADO S.S.S. COMPACTADO</t>
  </si>
  <si>
    <t>(P2-P1)/1000</t>
  </si>
  <si>
    <t>dcm^3</t>
  </si>
  <si>
    <t>% DE ABSORCIÓN</t>
  </si>
  <si>
    <t>% DE VACÍOS</t>
  </si>
  <si>
    <t>((B-D)*100)/D</t>
  </si>
  <si>
    <t>(E*1000-F)/(E*10)</t>
  </si>
  <si>
    <t>D/(A-C+D)</t>
  </si>
  <si>
    <t>Rugosa y redonda</t>
  </si>
  <si>
    <t>8 a 10</t>
  </si>
  <si>
    <t>PESO (kg)</t>
  </si>
  <si>
    <t>VOLÚMEN (m3)</t>
  </si>
  <si>
    <t>DENSIDAD (kg/m3)</t>
  </si>
  <si>
    <t>BIOCIDA</t>
  </si>
  <si>
    <t>PESO SIN JUGO(kg)</t>
  </si>
  <si>
    <t>N/A</t>
  </si>
  <si>
    <t>-</t>
  </si>
  <si>
    <t>JUGO DE FIQUE</t>
  </si>
  <si>
    <t>CON JUGO AL 1% (kg)</t>
  </si>
  <si>
    <t>CON JUGO AL 2% (kg)</t>
  </si>
  <si>
    <t>CON JUGO AL 3% (kg)</t>
  </si>
  <si>
    <t xml:space="preserve">Cantidades para un metro cúbico de mezcla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</si>
</sst>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1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left" vertic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16" fontId="0" fillId="2" borderId="9" xfId="0" applyNumberFormat="1" applyFill="1" applyBorder="1" applyAlignment="1">
      <alignment horizontal="center"/>
    </xf>
    <xf numFmtId="12" fontId="0" fillId="2" borderId="9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164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152400</xdr:rowOff>
    </xdr:from>
    <xdr:to>
      <xdr:col>8</xdr:col>
      <xdr:colOff>324597</xdr:colOff>
      <xdr:row>18</xdr:row>
      <xdr:rowOff>38536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3D862F-606A-415B-A9AA-8ACD8DBF9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352425"/>
          <a:ext cx="5353797" cy="3124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5F66-29D4-40AD-8932-A4DA8413C0C9}">
  <dimension ref="B1:Y43"/>
  <sheetViews>
    <sheetView tabSelected="1" topLeftCell="J6" zoomScale="55" zoomScaleNormal="55" workbookViewId="0">
      <selection activeCell="V22" sqref="V22"/>
    </sheetView>
  </sheetViews>
  <sheetFormatPr baseColWidth="10" defaultRowHeight="15" x14ac:dyDescent="0.25"/>
  <cols>
    <col min="10" max="10" width="15.140625" customWidth="1"/>
    <col min="11" max="11" width="8.140625" customWidth="1"/>
    <col min="12" max="12" width="51.85546875" customWidth="1"/>
    <col min="13" max="13" width="26.140625" style="1" bestFit="1" customWidth="1"/>
    <col min="14" max="14" width="15" style="1" customWidth="1"/>
    <col min="15" max="15" width="27.5703125" style="1" customWidth="1"/>
    <col min="16" max="16" width="11.42578125" style="1"/>
    <col min="20" max="20" width="36.7109375" customWidth="1"/>
    <col min="21" max="21" width="26.140625" bestFit="1" customWidth="1"/>
    <col min="22" max="22" width="27" bestFit="1" customWidth="1"/>
    <col min="23" max="23" width="16.5703125" bestFit="1" customWidth="1"/>
    <col min="24" max="25" width="17" bestFit="1" customWidth="1"/>
  </cols>
  <sheetData>
    <row r="1" spans="2:18" ht="15.75" thickBot="1" x14ac:dyDescent="0.3">
      <c r="J1" s="2"/>
      <c r="K1" s="3"/>
      <c r="L1" s="3"/>
      <c r="M1" s="4"/>
      <c r="N1" s="4"/>
      <c r="O1" s="4"/>
      <c r="P1" s="4"/>
      <c r="Q1" s="3"/>
      <c r="R1" s="5"/>
    </row>
    <row r="2" spans="2:18" x14ac:dyDescent="0.25">
      <c r="B2" s="47"/>
      <c r="C2" s="48"/>
      <c r="D2" s="48"/>
      <c r="E2" s="48"/>
      <c r="F2" s="48"/>
      <c r="G2" s="48"/>
      <c r="H2" s="48"/>
      <c r="I2" s="48"/>
      <c r="J2" s="6"/>
      <c r="K2" s="34" t="s">
        <v>29</v>
      </c>
      <c r="L2" s="34"/>
      <c r="M2" s="34"/>
      <c r="N2" s="34"/>
      <c r="O2" s="34"/>
      <c r="P2" s="34"/>
      <c r="Q2" s="7"/>
      <c r="R2" s="8"/>
    </row>
    <row r="3" spans="2:18" x14ac:dyDescent="0.25">
      <c r="B3" s="49"/>
      <c r="C3" s="50"/>
      <c r="D3" s="50"/>
      <c r="E3" s="50"/>
      <c r="F3" s="50"/>
      <c r="G3" s="50"/>
      <c r="H3" s="50"/>
      <c r="I3" s="50"/>
      <c r="J3" s="6"/>
      <c r="K3" s="55"/>
      <c r="L3" s="56"/>
      <c r="M3" s="57"/>
      <c r="N3" s="9" t="s">
        <v>26</v>
      </c>
      <c r="O3" s="10"/>
      <c r="P3" s="9" t="s">
        <v>26</v>
      </c>
      <c r="Q3" s="7"/>
      <c r="R3" s="8"/>
    </row>
    <row r="4" spans="2:18" x14ac:dyDescent="0.25">
      <c r="B4" s="49"/>
      <c r="C4" s="50"/>
      <c r="D4" s="50"/>
      <c r="E4" s="50"/>
      <c r="F4" s="50"/>
      <c r="G4" s="50"/>
      <c r="H4" s="50"/>
      <c r="I4" s="50"/>
      <c r="J4" s="6"/>
      <c r="K4" s="45" t="s">
        <v>1</v>
      </c>
      <c r="L4" s="45"/>
      <c r="M4" s="10">
        <v>3626</v>
      </c>
      <c r="N4" s="10" t="s">
        <v>27</v>
      </c>
      <c r="O4" s="10">
        <v>25</v>
      </c>
      <c r="P4" s="10" t="s">
        <v>0</v>
      </c>
      <c r="Q4" s="7"/>
      <c r="R4" s="8"/>
    </row>
    <row r="5" spans="2:18" x14ac:dyDescent="0.25">
      <c r="B5" s="49"/>
      <c r="C5" s="50"/>
      <c r="D5" s="50"/>
      <c r="E5" s="50"/>
      <c r="F5" s="50"/>
      <c r="G5" s="50"/>
      <c r="H5" s="50"/>
      <c r="I5" s="50"/>
      <c r="J5" s="6"/>
      <c r="K5" s="45" t="s">
        <v>2</v>
      </c>
      <c r="L5" s="45"/>
      <c r="M5" s="10">
        <v>3020</v>
      </c>
      <c r="N5" s="10" t="s">
        <v>28</v>
      </c>
      <c r="O5" s="11"/>
      <c r="P5" s="11"/>
      <c r="Q5" s="7"/>
      <c r="R5" s="8"/>
    </row>
    <row r="6" spans="2:18" x14ac:dyDescent="0.25">
      <c r="B6" s="49"/>
      <c r="C6" s="50"/>
      <c r="D6" s="50"/>
      <c r="E6" s="50"/>
      <c r="F6" s="50"/>
      <c r="G6" s="50"/>
      <c r="H6" s="50"/>
      <c r="I6" s="50"/>
      <c r="J6" s="6"/>
      <c r="K6" s="7"/>
      <c r="L6" s="7"/>
      <c r="M6" s="11"/>
      <c r="N6" s="11"/>
      <c r="O6" s="11"/>
      <c r="P6" s="11"/>
      <c r="Q6" s="7"/>
      <c r="R6" s="8"/>
    </row>
    <row r="7" spans="2:18" x14ac:dyDescent="0.25">
      <c r="B7" s="49"/>
      <c r="C7" s="50"/>
      <c r="D7" s="50"/>
      <c r="E7" s="50"/>
      <c r="F7" s="50"/>
      <c r="G7" s="50"/>
      <c r="H7" s="50"/>
      <c r="I7" s="50"/>
      <c r="J7" s="6"/>
      <c r="K7" s="53" t="s">
        <v>20</v>
      </c>
      <c r="L7" s="12" t="s">
        <v>4</v>
      </c>
      <c r="M7" s="27">
        <f>25.4*O7</f>
        <v>9.5249999999999986</v>
      </c>
      <c r="N7" s="10" t="s">
        <v>30</v>
      </c>
      <c r="O7" s="25">
        <v>0.375</v>
      </c>
      <c r="P7" s="10" t="s">
        <v>31</v>
      </c>
      <c r="Q7" s="7"/>
      <c r="R7" s="8"/>
    </row>
    <row r="8" spans="2:18" x14ac:dyDescent="0.25">
      <c r="B8" s="49"/>
      <c r="C8" s="50"/>
      <c r="D8" s="50"/>
      <c r="E8" s="50"/>
      <c r="F8" s="50"/>
      <c r="G8" s="50"/>
      <c r="H8" s="50"/>
      <c r="I8" s="50"/>
      <c r="J8" s="6"/>
      <c r="K8" s="53"/>
      <c r="L8" s="12" t="s">
        <v>3</v>
      </c>
      <c r="M8" s="10">
        <v>10</v>
      </c>
      <c r="N8" s="10" t="s">
        <v>30</v>
      </c>
      <c r="O8" s="11"/>
      <c r="P8" s="11"/>
      <c r="Q8" s="7"/>
      <c r="R8" s="8"/>
    </row>
    <row r="9" spans="2:18" x14ac:dyDescent="0.25">
      <c r="B9" s="49"/>
      <c r="C9" s="50"/>
      <c r="D9" s="50"/>
      <c r="E9" s="50"/>
      <c r="F9" s="50"/>
      <c r="G9" s="50"/>
      <c r="H9" s="50"/>
      <c r="I9" s="50"/>
      <c r="J9" s="6"/>
      <c r="K9" s="53"/>
      <c r="L9" s="12" t="s">
        <v>5</v>
      </c>
      <c r="M9" s="10">
        <f>+Propiedades_Grava!L21</f>
        <v>1512</v>
      </c>
      <c r="N9" s="10" t="s">
        <v>40</v>
      </c>
      <c r="O9" s="11"/>
      <c r="P9" s="11"/>
      <c r="Q9" s="7"/>
      <c r="R9" s="8"/>
    </row>
    <row r="10" spans="2:18" x14ac:dyDescent="0.25">
      <c r="B10" s="49"/>
      <c r="C10" s="50"/>
      <c r="D10" s="50"/>
      <c r="E10" s="50"/>
      <c r="F10" s="50"/>
      <c r="G10" s="50"/>
      <c r="H10" s="50"/>
      <c r="I10" s="50"/>
      <c r="J10" s="6"/>
      <c r="K10" s="53"/>
      <c r="L10" s="12" t="s">
        <v>6</v>
      </c>
      <c r="M10" s="10">
        <f>+Propiedades_Grava!L22</f>
        <v>1462</v>
      </c>
      <c r="N10" s="10" t="s">
        <v>40</v>
      </c>
      <c r="O10" s="11"/>
      <c r="P10" s="11"/>
      <c r="Q10" s="7"/>
      <c r="R10" s="8"/>
    </row>
    <row r="11" spans="2:18" x14ac:dyDescent="0.25">
      <c r="B11" s="49"/>
      <c r="C11" s="50"/>
      <c r="D11" s="50"/>
      <c r="E11" s="50"/>
      <c r="F11" s="50"/>
      <c r="G11" s="50"/>
      <c r="H11" s="50"/>
      <c r="I11" s="50"/>
      <c r="J11" s="6"/>
      <c r="K11" s="53"/>
      <c r="L11" s="12" t="s">
        <v>7</v>
      </c>
      <c r="M11" s="10">
        <f>+Propiedades_Grava!L12*1000</f>
        <v>2650</v>
      </c>
      <c r="N11" s="10" t="s">
        <v>40</v>
      </c>
      <c r="O11" s="11"/>
      <c r="P11" s="11"/>
      <c r="Q11" s="7"/>
      <c r="R11" s="8"/>
    </row>
    <row r="12" spans="2:18" x14ac:dyDescent="0.25">
      <c r="B12" s="49"/>
      <c r="C12" s="50"/>
      <c r="D12" s="50"/>
      <c r="E12" s="50"/>
      <c r="F12" s="50"/>
      <c r="G12" s="50"/>
      <c r="H12" s="50"/>
      <c r="I12" s="50"/>
      <c r="J12" s="6"/>
      <c r="K12" s="53"/>
      <c r="L12" s="12" t="s">
        <v>8</v>
      </c>
      <c r="M12" s="10">
        <f>+Propiedades_Grava!L24</f>
        <v>0.95</v>
      </c>
      <c r="N12" s="10" t="s">
        <v>41</v>
      </c>
      <c r="O12" s="10">
        <f>+M12/100</f>
        <v>9.4999999999999998E-3</v>
      </c>
      <c r="P12" s="11"/>
      <c r="Q12" s="7"/>
      <c r="R12" s="8"/>
    </row>
    <row r="13" spans="2:18" ht="30" customHeight="1" x14ac:dyDescent="0.25">
      <c r="B13" s="49"/>
      <c r="C13" s="50"/>
      <c r="D13" s="50"/>
      <c r="E13" s="50"/>
      <c r="F13" s="50"/>
      <c r="G13" s="50"/>
      <c r="H13" s="50"/>
      <c r="I13" s="50"/>
      <c r="J13" s="6"/>
      <c r="K13" s="53"/>
      <c r="L13" s="13" t="s">
        <v>9</v>
      </c>
      <c r="M13" s="28" t="s">
        <v>109</v>
      </c>
      <c r="N13" s="14"/>
      <c r="O13" s="15"/>
      <c r="P13" s="11"/>
      <c r="Q13" s="7"/>
      <c r="R13" s="8"/>
    </row>
    <row r="14" spans="2:18" x14ac:dyDescent="0.25">
      <c r="B14" s="49"/>
      <c r="C14" s="50"/>
      <c r="D14" s="50"/>
      <c r="E14" s="50"/>
      <c r="F14" s="50"/>
      <c r="G14" s="50"/>
      <c r="H14" s="50"/>
      <c r="I14" s="50"/>
      <c r="J14" s="6"/>
      <c r="K14" s="7"/>
      <c r="L14" s="7"/>
      <c r="M14" s="11"/>
      <c r="N14" s="11"/>
      <c r="O14" s="11"/>
      <c r="P14" s="11"/>
      <c r="Q14" s="7"/>
      <c r="R14" s="8"/>
    </row>
    <row r="15" spans="2:18" x14ac:dyDescent="0.25">
      <c r="B15" s="49"/>
      <c r="C15" s="50"/>
      <c r="D15" s="50"/>
      <c r="E15" s="50"/>
      <c r="F15" s="50"/>
      <c r="G15" s="50"/>
      <c r="H15" s="50"/>
      <c r="I15" s="50"/>
      <c r="J15" s="6"/>
      <c r="K15" s="53" t="s">
        <v>22</v>
      </c>
      <c r="L15" s="12" t="s">
        <v>10</v>
      </c>
      <c r="M15" s="10">
        <v>3.7</v>
      </c>
      <c r="N15" s="11"/>
      <c r="O15" s="11"/>
      <c r="P15" s="11"/>
      <c r="Q15" s="7"/>
      <c r="R15" s="8"/>
    </row>
    <row r="16" spans="2:18" x14ac:dyDescent="0.25">
      <c r="B16" s="49"/>
      <c r="C16" s="50"/>
      <c r="D16" s="50"/>
      <c r="E16" s="50"/>
      <c r="F16" s="50"/>
      <c r="G16" s="50"/>
      <c r="H16" s="50"/>
      <c r="I16" s="50"/>
      <c r="J16" s="6"/>
      <c r="K16" s="53"/>
      <c r="L16" s="12" t="s">
        <v>5</v>
      </c>
      <c r="M16" s="26">
        <f>+Propiedades_Arena!L20</f>
        <v>1634.1379999999999</v>
      </c>
      <c r="N16" s="10" t="s">
        <v>40</v>
      </c>
      <c r="O16" s="11"/>
      <c r="P16" s="11"/>
      <c r="Q16" s="7"/>
      <c r="R16" s="8"/>
    </row>
    <row r="17" spans="2:25" x14ac:dyDescent="0.25">
      <c r="B17" s="49"/>
      <c r="C17" s="50"/>
      <c r="D17" s="50"/>
      <c r="E17" s="50"/>
      <c r="F17" s="50"/>
      <c r="G17" s="50"/>
      <c r="H17" s="50"/>
      <c r="I17" s="50"/>
      <c r="J17" s="6"/>
      <c r="K17" s="53"/>
      <c r="L17" s="12" t="s">
        <v>6</v>
      </c>
      <c r="M17" s="26">
        <f>+Propiedades_Arena!L21</f>
        <v>1485.096</v>
      </c>
      <c r="N17" s="10" t="s">
        <v>40</v>
      </c>
      <c r="O17" s="11"/>
      <c r="P17" s="11"/>
      <c r="Q17" s="7"/>
      <c r="R17" s="8"/>
    </row>
    <row r="18" spans="2:25" x14ac:dyDescent="0.25">
      <c r="B18" s="49"/>
      <c r="C18" s="50"/>
      <c r="D18" s="50"/>
      <c r="E18" s="50"/>
      <c r="F18" s="50"/>
      <c r="G18" s="50"/>
      <c r="H18" s="50"/>
      <c r="I18" s="50"/>
      <c r="J18" s="6"/>
      <c r="K18" s="53"/>
      <c r="L18" s="12" t="s">
        <v>21</v>
      </c>
      <c r="M18" s="10">
        <f>+Propiedades_Arena!L11*1000</f>
        <v>2600</v>
      </c>
      <c r="N18" s="10" t="s">
        <v>40</v>
      </c>
      <c r="O18" s="11"/>
      <c r="P18" s="11"/>
      <c r="Q18" s="7"/>
      <c r="R18" s="8"/>
    </row>
    <row r="19" spans="2:25" x14ac:dyDescent="0.25">
      <c r="B19" s="49"/>
      <c r="C19" s="50"/>
      <c r="D19" s="50"/>
      <c r="E19" s="50"/>
      <c r="F19" s="50"/>
      <c r="G19" s="50"/>
      <c r="H19" s="50"/>
      <c r="I19" s="50"/>
      <c r="J19" s="6"/>
      <c r="K19" s="53"/>
      <c r="L19" s="12" t="s">
        <v>11</v>
      </c>
      <c r="M19" s="10">
        <f>+Propiedades_Arena!L23</f>
        <v>0.62</v>
      </c>
      <c r="N19" s="10" t="s">
        <v>41</v>
      </c>
      <c r="O19" s="10">
        <f>+M19/100</f>
        <v>6.1999999999999998E-3</v>
      </c>
      <c r="P19" s="11"/>
      <c r="Q19" s="7"/>
      <c r="R19" s="8"/>
    </row>
    <row r="20" spans="2:25" ht="15.75" thickBot="1" x14ac:dyDescent="0.3">
      <c r="B20" s="51"/>
      <c r="C20" s="52"/>
      <c r="D20" s="52"/>
      <c r="E20" s="52"/>
      <c r="F20" s="52"/>
      <c r="G20" s="52"/>
      <c r="H20" s="52"/>
      <c r="I20" s="52"/>
      <c r="J20" s="6"/>
      <c r="K20" s="53"/>
      <c r="L20" s="12" t="s">
        <v>12</v>
      </c>
      <c r="M20" s="10">
        <v>0</v>
      </c>
      <c r="N20" s="10" t="s">
        <v>41</v>
      </c>
      <c r="O20" s="10">
        <v>0</v>
      </c>
      <c r="P20" s="11"/>
      <c r="Q20" s="7"/>
      <c r="R20" s="8"/>
    </row>
    <row r="21" spans="2:25" x14ac:dyDescent="0.25">
      <c r="J21" s="6"/>
      <c r="K21" s="7"/>
      <c r="L21" s="7"/>
      <c r="M21" s="11"/>
      <c r="N21" s="11"/>
      <c r="O21" s="11"/>
      <c r="P21" s="11"/>
      <c r="Q21" s="7"/>
      <c r="R21" s="8"/>
    </row>
    <row r="22" spans="2:25" x14ac:dyDescent="0.25">
      <c r="J22" s="6"/>
      <c r="K22" s="54" t="s">
        <v>13</v>
      </c>
      <c r="L22" s="54"/>
      <c r="M22" s="24" t="s">
        <v>110</v>
      </c>
      <c r="N22" s="10" t="s">
        <v>42</v>
      </c>
      <c r="O22" s="11"/>
      <c r="P22" s="11"/>
      <c r="Q22" s="7"/>
      <c r="R22" s="8"/>
    </row>
    <row r="23" spans="2:25" x14ac:dyDescent="0.25">
      <c r="J23" s="6"/>
      <c r="K23" s="45" t="s">
        <v>14</v>
      </c>
      <c r="L23" s="45"/>
      <c r="M23" s="1">
        <v>3</v>
      </c>
      <c r="N23" s="10" t="s">
        <v>41</v>
      </c>
      <c r="O23" s="10">
        <f>+M23/100</f>
        <v>0.03</v>
      </c>
      <c r="P23" s="11"/>
      <c r="Q23" s="7"/>
      <c r="R23" s="8"/>
    </row>
    <row r="24" spans="2:25" x14ac:dyDescent="0.25">
      <c r="J24" s="6"/>
      <c r="K24" s="45" t="s">
        <v>15</v>
      </c>
      <c r="L24" s="45"/>
      <c r="M24" s="10">
        <v>225</v>
      </c>
      <c r="N24" s="10" t="s">
        <v>40</v>
      </c>
      <c r="O24" s="11"/>
      <c r="P24" s="11"/>
      <c r="Q24" s="7"/>
      <c r="R24" s="8"/>
    </row>
    <row r="25" spans="2:25" x14ac:dyDescent="0.25">
      <c r="J25" s="6"/>
      <c r="K25" s="45" t="s">
        <v>16</v>
      </c>
      <c r="L25" s="45"/>
      <c r="M25" s="10">
        <v>0.5</v>
      </c>
      <c r="N25" s="10" t="s">
        <v>43</v>
      </c>
      <c r="O25" s="11"/>
      <c r="P25" s="11"/>
      <c r="Q25" s="7"/>
      <c r="R25" s="8"/>
    </row>
    <row r="26" spans="2:25" x14ac:dyDescent="0.25">
      <c r="J26" s="6"/>
      <c r="K26" s="45" t="s">
        <v>17</v>
      </c>
      <c r="L26" s="45"/>
      <c r="M26" s="10">
        <f>+M24/M25</f>
        <v>450</v>
      </c>
      <c r="N26" s="10" t="s">
        <v>40</v>
      </c>
      <c r="O26" s="11"/>
      <c r="P26" s="11"/>
      <c r="Q26" s="7"/>
      <c r="R26" s="8"/>
    </row>
    <row r="27" spans="2:25" x14ac:dyDescent="0.25">
      <c r="J27" s="6"/>
      <c r="K27" s="45" t="s">
        <v>18</v>
      </c>
      <c r="L27" s="45"/>
      <c r="M27" s="29">
        <f>+M26/M5</f>
        <v>0.1490066225165563</v>
      </c>
      <c r="N27" s="10" t="s">
        <v>44</v>
      </c>
      <c r="O27" s="11"/>
      <c r="P27" s="11"/>
      <c r="Q27" s="7"/>
      <c r="R27" s="8"/>
    </row>
    <row r="28" spans="2:25" ht="15" customHeight="1" x14ac:dyDescent="0.25">
      <c r="J28" s="6"/>
      <c r="K28" s="46" t="s">
        <v>19</v>
      </c>
      <c r="L28" s="46"/>
      <c r="M28" s="59">
        <f>+M9*M30</f>
        <v>379.58617358490568</v>
      </c>
      <c r="N28" s="61" t="s">
        <v>40</v>
      </c>
      <c r="O28" s="11"/>
      <c r="P28" s="11"/>
      <c r="Q28" s="7"/>
      <c r="R28" s="8"/>
    </row>
    <row r="29" spans="2:25" x14ac:dyDescent="0.25">
      <c r="J29" s="6"/>
      <c r="K29" s="46"/>
      <c r="L29" s="46"/>
      <c r="M29" s="60"/>
      <c r="N29" s="62"/>
      <c r="O29" s="11"/>
      <c r="P29" s="11"/>
      <c r="Q29" s="7"/>
      <c r="R29" s="8"/>
    </row>
    <row r="30" spans="2:25" x14ac:dyDescent="0.25">
      <c r="J30" s="6"/>
      <c r="K30" s="45" t="s">
        <v>23</v>
      </c>
      <c r="L30" s="45"/>
      <c r="M30" s="29">
        <f>0.44*(M9/M11)</f>
        <v>0.25104905660377358</v>
      </c>
      <c r="N30" s="10" t="s">
        <v>44</v>
      </c>
      <c r="O30" s="11"/>
      <c r="P30" s="11"/>
      <c r="Q30" s="7"/>
      <c r="R30" s="8"/>
    </row>
    <row r="31" spans="2:25" x14ac:dyDescent="0.25">
      <c r="J31" s="6"/>
      <c r="K31" s="45" t="s">
        <v>24</v>
      </c>
      <c r="L31" s="45"/>
      <c r="M31" s="26">
        <f>+M18*M32</f>
        <v>896.85523428714225</v>
      </c>
      <c r="N31" s="10" t="s">
        <v>40</v>
      </c>
      <c r="O31" s="11"/>
      <c r="P31" s="11"/>
      <c r="Q31" s="7"/>
      <c r="R31" s="8"/>
      <c r="T31" s="65" t="s">
        <v>122</v>
      </c>
      <c r="U31" s="65"/>
      <c r="V31" s="65"/>
      <c r="W31" s="65"/>
      <c r="X31" s="65"/>
      <c r="Y31" s="65"/>
    </row>
    <row r="32" spans="2:25" x14ac:dyDescent="0.25">
      <c r="J32" s="6"/>
      <c r="K32" s="45" t="s">
        <v>25</v>
      </c>
      <c r="L32" s="45"/>
      <c r="M32" s="29">
        <f>1-(O23+(M24/1000)+M27+M30)</f>
        <v>0.34494432087967009</v>
      </c>
      <c r="N32" s="10" t="s">
        <v>44</v>
      </c>
      <c r="O32" s="11"/>
      <c r="P32" s="11"/>
      <c r="Q32" s="7"/>
      <c r="R32" s="8"/>
      <c r="T32" s="65"/>
      <c r="U32" s="65"/>
      <c r="V32" s="65"/>
      <c r="W32" s="65"/>
      <c r="X32" s="65"/>
      <c r="Y32" s="65"/>
    </row>
    <row r="33" spans="10:25" x14ac:dyDescent="0.25">
      <c r="J33" s="6"/>
      <c r="K33" s="7"/>
      <c r="L33" s="7"/>
      <c r="M33" s="11"/>
      <c r="N33" s="11"/>
      <c r="O33" s="11"/>
      <c r="P33" s="11"/>
      <c r="Q33" s="7"/>
      <c r="R33" s="8"/>
    </row>
    <row r="34" spans="10:25" x14ac:dyDescent="0.25">
      <c r="J34" s="6"/>
      <c r="K34" s="34" t="s">
        <v>32</v>
      </c>
      <c r="L34" s="34"/>
      <c r="M34" s="34"/>
      <c r="N34" s="34"/>
      <c r="O34" s="34"/>
      <c r="P34" s="11"/>
      <c r="Q34" s="7"/>
      <c r="R34" s="8"/>
      <c r="T34" s="64" t="s">
        <v>33</v>
      </c>
      <c r="U34" s="64" t="s">
        <v>113</v>
      </c>
      <c r="V34" s="63" t="s">
        <v>115</v>
      </c>
      <c r="W34" s="63" t="s">
        <v>119</v>
      </c>
      <c r="X34" s="63" t="s">
        <v>120</v>
      </c>
      <c r="Y34" s="63" t="s">
        <v>121</v>
      </c>
    </row>
    <row r="35" spans="10:25" x14ac:dyDescent="0.25">
      <c r="J35" s="6"/>
      <c r="K35" s="34" t="s">
        <v>33</v>
      </c>
      <c r="L35" s="34"/>
      <c r="M35" s="9" t="s">
        <v>113</v>
      </c>
      <c r="N35" s="9" t="s">
        <v>111</v>
      </c>
      <c r="O35" s="9" t="s">
        <v>112</v>
      </c>
      <c r="P35" s="11"/>
      <c r="Q35" s="7"/>
      <c r="R35" s="8"/>
      <c r="T35" s="64"/>
      <c r="U35" s="64"/>
      <c r="V35" s="63"/>
      <c r="W35" s="63"/>
      <c r="X35" s="63"/>
      <c r="Y35" s="63"/>
    </row>
    <row r="36" spans="10:25" x14ac:dyDescent="0.25">
      <c r="J36" s="6"/>
      <c r="K36" s="35" t="s">
        <v>34</v>
      </c>
      <c r="L36" s="35"/>
      <c r="M36" s="10">
        <f>+M5</f>
        <v>3020</v>
      </c>
      <c r="N36" s="10">
        <f>+M36*O36</f>
        <v>450.00000000000006</v>
      </c>
      <c r="O36" s="29">
        <f>+M27</f>
        <v>0.1490066225165563</v>
      </c>
      <c r="P36" s="11"/>
      <c r="Q36" s="7"/>
      <c r="R36" s="8"/>
      <c r="T36" s="32" t="s">
        <v>34</v>
      </c>
      <c r="U36" s="32">
        <v>3020</v>
      </c>
      <c r="V36" s="32">
        <v>450.00000000000006</v>
      </c>
      <c r="W36" s="32">
        <v>450.00000000000006</v>
      </c>
      <c r="X36" s="32">
        <v>450.00000000000006</v>
      </c>
      <c r="Y36" s="32">
        <v>450.00000000000006</v>
      </c>
    </row>
    <row r="37" spans="10:25" x14ac:dyDescent="0.25">
      <c r="J37" s="6"/>
      <c r="K37" s="35" t="s">
        <v>35</v>
      </c>
      <c r="L37" s="35"/>
      <c r="M37" s="10">
        <v>0</v>
      </c>
      <c r="N37" s="10">
        <v>0</v>
      </c>
      <c r="O37" s="10">
        <f>+O23</f>
        <v>0.03</v>
      </c>
      <c r="P37" s="11"/>
      <c r="Q37" s="7"/>
      <c r="R37" s="8"/>
      <c r="T37" s="32" t="s">
        <v>35</v>
      </c>
      <c r="U37" s="32">
        <v>0</v>
      </c>
      <c r="V37" s="32">
        <v>0</v>
      </c>
      <c r="W37" s="32">
        <f t="shared" ref="W37" si="0">+U37</f>
        <v>0</v>
      </c>
      <c r="X37" s="32">
        <f t="shared" ref="X37" si="1">+V37</f>
        <v>0</v>
      </c>
      <c r="Y37" s="32">
        <f t="shared" ref="Y37" si="2">+W37</f>
        <v>0</v>
      </c>
    </row>
    <row r="38" spans="10:25" x14ac:dyDescent="0.25">
      <c r="J38" s="6"/>
      <c r="K38" s="35" t="s">
        <v>36</v>
      </c>
      <c r="L38" s="35"/>
      <c r="M38" s="10">
        <v>1000</v>
      </c>
      <c r="N38" s="10">
        <f>+M24</f>
        <v>225</v>
      </c>
      <c r="O38" s="10">
        <f>+N38/M38</f>
        <v>0.22500000000000001</v>
      </c>
      <c r="P38" s="11"/>
      <c r="Q38" s="7"/>
      <c r="R38" s="8"/>
      <c r="T38" s="32" t="s">
        <v>36</v>
      </c>
      <c r="U38" s="32">
        <v>1000</v>
      </c>
      <c r="V38" s="32">
        <v>225</v>
      </c>
      <c r="W38" s="32">
        <f>+$V$38-W41</f>
        <v>222.75</v>
      </c>
      <c r="X38" s="32">
        <f>+$V$38-X41</f>
        <v>220.5</v>
      </c>
      <c r="Y38" s="32">
        <f>+$V$38-Y41</f>
        <v>218.25</v>
      </c>
    </row>
    <row r="39" spans="10:25" x14ac:dyDescent="0.25">
      <c r="J39" s="6"/>
      <c r="K39" s="35" t="s">
        <v>37</v>
      </c>
      <c r="L39" s="35"/>
      <c r="M39" s="10">
        <f>+M11</f>
        <v>2650</v>
      </c>
      <c r="N39" s="26">
        <f>+M39*O39</f>
        <v>665.28</v>
      </c>
      <c r="O39" s="29">
        <f>+M30</f>
        <v>0.25104905660377358</v>
      </c>
      <c r="P39" s="11"/>
      <c r="Q39" s="7"/>
      <c r="R39" s="8"/>
      <c r="T39" s="32" t="s">
        <v>37</v>
      </c>
      <c r="U39" s="32">
        <v>2650</v>
      </c>
      <c r="V39" s="33">
        <v>665.28</v>
      </c>
      <c r="W39" s="33">
        <v>665.28</v>
      </c>
      <c r="X39" s="33">
        <v>665.28</v>
      </c>
      <c r="Y39" s="33">
        <v>665.28</v>
      </c>
    </row>
    <row r="40" spans="10:25" ht="16.5" customHeight="1" x14ac:dyDescent="0.25">
      <c r="J40" s="6"/>
      <c r="K40" s="43" t="s">
        <v>38</v>
      </c>
      <c r="L40" s="43"/>
      <c r="M40" s="16">
        <f>+M18</f>
        <v>2600</v>
      </c>
      <c r="N40" s="31">
        <f>+M40*O40</f>
        <v>896.85523428714225</v>
      </c>
      <c r="O40" s="30">
        <f>+M32</f>
        <v>0.34494432087967009</v>
      </c>
      <c r="P40" s="11"/>
      <c r="Q40" s="7"/>
      <c r="R40" s="8"/>
      <c r="T40" s="32" t="s">
        <v>38</v>
      </c>
      <c r="U40" s="32">
        <v>2600</v>
      </c>
      <c r="V40" s="33">
        <v>896.85523428714225</v>
      </c>
      <c r="W40" s="33">
        <v>896.85523428714225</v>
      </c>
      <c r="X40" s="33">
        <v>896.85523428714225</v>
      </c>
      <c r="Y40" s="33">
        <v>896.85523428714225</v>
      </c>
    </row>
    <row r="41" spans="10:25" x14ac:dyDescent="0.25">
      <c r="J41" s="6"/>
      <c r="K41" s="58"/>
      <c r="L41" s="58"/>
      <c r="M41" s="11"/>
      <c r="N41" s="10" t="s">
        <v>39</v>
      </c>
      <c r="O41" s="29">
        <f>+SUM(O36:O40)</f>
        <v>1</v>
      </c>
      <c r="P41" s="11"/>
      <c r="Q41" s="7"/>
      <c r="R41" s="8"/>
      <c r="T41" s="32" t="s">
        <v>118</v>
      </c>
      <c r="U41" s="32" t="s">
        <v>116</v>
      </c>
      <c r="V41" s="32" t="s">
        <v>117</v>
      </c>
      <c r="W41" s="32">
        <f>+V38*0.01</f>
        <v>2.25</v>
      </c>
      <c r="X41" s="32">
        <f>+V38*0.02</f>
        <v>4.5</v>
      </c>
      <c r="Y41" s="32">
        <f>+V38*0.03</f>
        <v>6.75</v>
      </c>
    </row>
    <row r="42" spans="10:25" x14ac:dyDescent="0.25">
      <c r="J42" s="6"/>
      <c r="K42" s="7"/>
      <c r="L42" s="7"/>
      <c r="M42" s="11"/>
      <c r="N42" s="11"/>
      <c r="O42" s="11"/>
      <c r="P42" s="11"/>
      <c r="Q42" s="7"/>
      <c r="R42" s="8"/>
      <c r="T42" s="32" t="s">
        <v>114</v>
      </c>
      <c r="U42" s="32" t="s">
        <v>116</v>
      </c>
      <c r="V42" s="32" t="s">
        <v>117</v>
      </c>
      <c r="W42" s="32">
        <f>+W41*0.1</f>
        <v>0.22500000000000001</v>
      </c>
      <c r="X42" s="32">
        <f t="shared" ref="X42:Y42" si="3">+X41*0.1</f>
        <v>0.45</v>
      </c>
      <c r="Y42" s="32">
        <f t="shared" si="3"/>
        <v>0.67500000000000004</v>
      </c>
    </row>
    <row r="43" spans="10:25" ht="15.75" thickBot="1" x14ac:dyDescent="0.3">
      <c r="J43" s="17"/>
      <c r="K43" s="18"/>
      <c r="L43" s="18"/>
      <c r="M43" s="19"/>
      <c r="N43" s="19"/>
      <c r="O43" s="19"/>
      <c r="P43" s="19"/>
      <c r="Q43" s="18"/>
      <c r="R43" s="20"/>
    </row>
  </sheetData>
  <mergeCells count="34">
    <mergeCell ref="X34:X35"/>
    <mergeCell ref="Y34:Y35"/>
    <mergeCell ref="T34:T35"/>
    <mergeCell ref="U34:U35"/>
    <mergeCell ref="V34:V35"/>
    <mergeCell ref="W34:W35"/>
    <mergeCell ref="K40:L40"/>
    <mergeCell ref="K41:L41"/>
    <mergeCell ref="M28:M29"/>
    <mergeCell ref="N28:N29"/>
    <mergeCell ref="K34:O34"/>
    <mergeCell ref="K35:L35"/>
    <mergeCell ref="K36:L36"/>
    <mergeCell ref="K37:L37"/>
    <mergeCell ref="K38:L38"/>
    <mergeCell ref="K39:L39"/>
    <mergeCell ref="K30:L30"/>
    <mergeCell ref="K31:L31"/>
    <mergeCell ref="K32:L32"/>
    <mergeCell ref="T31:Y32"/>
    <mergeCell ref="K26:L26"/>
    <mergeCell ref="K27:L27"/>
    <mergeCell ref="K28:L29"/>
    <mergeCell ref="B2:I20"/>
    <mergeCell ref="K4:L4"/>
    <mergeCell ref="K5:L5"/>
    <mergeCell ref="K7:K13"/>
    <mergeCell ref="K15:K20"/>
    <mergeCell ref="K22:L22"/>
    <mergeCell ref="K2:P2"/>
    <mergeCell ref="K3:M3"/>
    <mergeCell ref="K23:L23"/>
    <mergeCell ref="K24:L24"/>
    <mergeCell ref="K25:L2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58B1-98D8-4172-A9B0-F7AE05E2A1C3}">
  <dimension ref="D3:N27"/>
  <sheetViews>
    <sheetView topLeftCell="D1" zoomScale="70" zoomScaleNormal="70" workbookViewId="0">
      <selection activeCell="L24" sqref="L24"/>
    </sheetView>
  </sheetViews>
  <sheetFormatPr baseColWidth="10" defaultRowHeight="15" x14ac:dyDescent="0.25"/>
  <cols>
    <col min="4" max="4" width="22.85546875" customWidth="1"/>
    <col min="11" max="11" width="20.140625" customWidth="1"/>
    <col min="12" max="12" width="15.85546875" style="1" customWidth="1"/>
    <col min="13" max="13" width="16.5703125" style="1" customWidth="1"/>
  </cols>
  <sheetData>
    <row r="3" spans="4:14" x14ac:dyDescent="0.25">
      <c r="D3" s="7"/>
      <c r="E3" s="7"/>
      <c r="F3" s="7"/>
      <c r="G3" s="7"/>
      <c r="H3" s="7"/>
      <c r="I3" s="7"/>
      <c r="J3" s="7"/>
      <c r="K3" s="7"/>
      <c r="L3" s="11"/>
      <c r="M3" s="11"/>
      <c r="N3" s="7"/>
    </row>
    <row r="4" spans="4:14" x14ac:dyDescent="0.25">
      <c r="D4" s="7"/>
      <c r="E4" s="34" t="s">
        <v>63</v>
      </c>
      <c r="F4" s="34"/>
      <c r="G4" s="34"/>
      <c r="H4" s="34"/>
      <c r="I4" s="34"/>
      <c r="J4" s="34"/>
      <c r="K4" s="34"/>
      <c r="L4" s="34"/>
      <c r="M4" s="34"/>
      <c r="N4" s="7"/>
    </row>
    <row r="5" spans="4:14" x14ac:dyDescent="0.25">
      <c r="D5" s="7"/>
      <c r="E5" s="34" t="s">
        <v>45</v>
      </c>
      <c r="F5" s="34"/>
      <c r="G5" s="35" t="s">
        <v>50</v>
      </c>
      <c r="H5" s="35"/>
      <c r="I5" s="35"/>
      <c r="J5" s="35"/>
      <c r="K5" s="35"/>
      <c r="L5" s="10">
        <v>5000</v>
      </c>
      <c r="M5" s="10" t="s">
        <v>55</v>
      </c>
      <c r="N5" s="7"/>
    </row>
    <row r="6" spans="4:14" x14ac:dyDescent="0.25">
      <c r="D6" s="7"/>
      <c r="E6" s="34" t="s">
        <v>46</v>
      </c>
      <c r="F6" s="34"/>
      <c r="G6" s="35" t="s">
        <v>51</v>
      </c>
      <c r="H6" s="35"/>
      <c r="I6" s="35"/>
      <c r="J6" s="35"/>
      <c r="K6" s="35"/>
      <c r="L6" s="10">
        <v>1695</v>
      </c>
      <c r="M6" s="10" t="s">
        <v>55</v>
      </c>
      <c r="N6" s="7"/>
    </row>
    <row r="7" spans="4:14" x14ac:dyDescent="0.25">
      <c r="D7" s="7"/>
      <c r="E7" s="34" t="s">
        <v>47</v>
      </c>
      <c r="F7" s="34"/>
      <c r="G7" s="35" t="s">
        <v>52</v>
      </c>
      <c r="H7" s="35"/>
      <c r="I7" s="35"/>
      <c r="J7" s="35"/>
      <c r="K7" s="35"/>
      <c r="L7" s="10">
        <v>4806</v>
      </c>
      <c r="M7" s="10" t="s">
        <v>55</v>
      </c>
      <c r="N7" s="7"/>
    </row>
    <row r="8" spans="4:14" x14ac:dyDescent="0.25">
      <c r="D8" s="7"/>
      <c r="E8" s="34" t="s">
        <v>48</v>
      </c>
      <c r="F8" s="34"/>
      <c r="G8" s="35" t="s">
        <v>53</v>
      </c>
      <c r="H8" s="35"/>
      <c r="I8" s="35"/>
      <c r="J8" s="35"/>
      <c r="K8" s="35"/>
      <c r="L8" s="10">
        <f>+L7-L6</f>
        <v>3111</v>
      </c>
      <c r="M8" s="10" t="s">
        <v>55</v>
      </c>
      <c r="N8" s="7"/>
    </row>
    <row r="9" spans="4:14" x14ac:dyDescent="0.25">
      <c r="D9" s="7"/>
      <c r="E9" s="34" t="s">
        <v>49</v>
      </c>
      <c r="F9" s="34"/>
      <c r="G9" s="35" t="s">
        <v>54</v>
      </c>
      <c r="H9" s="35"/>
      <c r="I9" s="35"/>
      <c r="J9" s="35"/>
      <c r="K9" s="35"/>
      <c r="L9" s="10">
        <v>4953</v>
      </c>
      <c r="M9" s="10" t="s">
        <v>55</v>
      </c>
      <c r="N9" s="7"/>
    </row>
    <row r="10" spans="4:14" x14ac:dyDescent="0.25">
      <c r="D10" s="7"/>
      <c r="E10" s="34" t="s">
        <v>56</v>
      </c>
      <c r="F10" s="34"/>
      <c r="G10" s="34"/>
      <c r="H10" s="34"/>
      <c r="I10" s="34"/>
      <c r="J10" s="35" t="s">
        <v>60</v>
      </c>
      <c r="K10" s="35"/>
      <c r="L10" s="10">
        <f>+ROUNDUP(L9/(L9-L8),2)</f>
        <v>2.69</v>
      </c>
      <c r="M10" s="10" t="s">
        <v>80</v>
      </c>
      <c r="N10" s="7"/>
    </row>
    <row r="11" spans="4:14" x14ac:dyDescent="0.25">
      <c r="D11" s="7"/>
      <c r="E11" s="34" t="s">
        <v>57</v>
      </c>
      <c r="F11" s="34"/>
      <c r="G11" s="34"/>
      <c r="H11" s="34"/>
      <c r="I11" s="34"/>
      <c r="J11" s="35" t="s">
        <v>61</v>
      </c>
      <c r="K11" s="35"/>
      <c r="L11" s="10">
        <f>+ROUNDUP((L9/(L5-L8)),2)</f>
        <v>2.63</v>
      </c>
      <c r="M11" s="10" t="s">
        <v>80</v>
      </c>
      <c r="N11" s="7"/>
    </row>
    <row r="12" spans="4:14" ht="30.75" customHeight="1" x14ac:dyDescent="0.25">
      <c r="D12" s="7"/>
      <c r="E12" s="41" t="s">
        <v>58</v>
      </c>
      <c r="F12" s="41"/>
      <c r="G12" s="42" t="s">
        <v>59</v>
      </c>
      <c r="H12" s="42"/>
      <c r="I12" s="42"/>
      <c r="J12" s="43" t="s">
        <v>62</v>
      </c>
      <c r="K12" s="43"/>
      <c r="L12" s="16">
        <f>+ROUNDUP(L5/(L5-L8),2)</f>
        <v>2.65</v>
      </c>
      <c r="M12" s="16" t="s">
        <v>80</v>
      </c>
      <c r="N12" s="7"/>
    </row>
    <row r="13" spans="4:14" x14ac:dyDescent="0.25">
      <c r="D13" s="7"/>
      <c r="E13" s="7"/>
      <c r="F13" s="7"/>
      <c r="G13" s="7"/>
      <c r="H13" s="7"/>
      <c r="I13" s="7"/>
      <c r="J13" s="7"/>
      <c r="K13" s="7"/>
      <c r="L13" s="11"/>
      <c r="M13" s="11"/>
      <c r="N13" s="7"/>
    </row>
    <row r="14" spans="4:14" x14ac:dyDescent="0.25">
      <c r="D14" s="7"/>
      <c r="E14" s="34" t="s">
        <v>64</v>
      </c>
      <c r="F14" s="34"/>
      <c r="G14" s="34"/>
      <c r="H14" s="34"/>
      <c r="I14" s="34"/>
      <c r="J14" s="34"/>
      <c r="K14" s="34"/>
      <c r="L14" s="34"/>
      <c r="M14" s="34"/>
      <c r="N14" s="7"/>
    </row>
    <row r="15" spans="4:14" x14ac:dyDescent="0.25">
      <c r="D15" s="7"/>
      <c r="E15" s="34" t="s">
        <v>65</v>
      </c>
      <c r="F15" s="34"/>
      <c r="G15" s="35" t="s">
        <v>72</v>
      </c>
      <c r="H15" s="35"/>
      <c r="I15" s="35"/>
      <c r="J15" s="35"/>
      <c r="K15" s="35"/>
      <c r="L15" s="10">
        <v>2975</v>
      </c>
      <c r="M15" s="10" t="s">
        <v>55</v>
      </c>
      <c r="N15" s="7"/>
    </row>
    <row r="16" spans="4:14" x14ac:dyDescent="0.25">
      <c r="D16" s="7"/>
      <c r="E16" s="34" t="s">
        <v>66</v>
      </c>
      <c r="F16" s="34"/>
      <c r="G16" s="35" t="s">
        <v>73</v>
      </c>
      <c r="H16" s="35"/>
      <c r="I16" s="35"/>
      <c r="J16" s="35"/>
      <c r="K16" s="35"/>
      <c r="L16" s="10">
        <v>5793</v>
      </c>
      <c r="M16" s="10" t="s">
        <v>55</v>
      </c>
      <c r="N16" s="7"/>
    </row>
    <row r="17" spans="4:14" x14ac:dyDescent="0.25">
      <c r="D17" s="7"/>
      <c r="E17" s="34" t="s">
        <v>67</v>
      </c>
      <c r="F17" s="34"/>
      <c r="G17" s="35" t="s">
        <v>74</v>
      </c>
      <c r="H17" s="35"/>
      <c r="I17" s="35"/>
      <c r="J17" s="35"/>
      <c r="K17" s="35"/>
      <c r="L17" s="10">
        <f>+(L16-L15)/1000</f>
        <v>2.8180000000000001</v>
      </c>
      <c r="M17" s="10" t="s">
        <v>88</v>
      </c>
      <c r="N17" s="7"/>
    </row>
    <row r="18" spans="4:14" x14ac:dyDescent="0.25">
      <c r="D18" s="7"/>
      <c r="E18" s="34" t="s">
        <v>68</v>
      </c>
      <c r="F18" s="34"/>
      <c r="G18" s="35" t="s">
        <v>75</v>
      </c>
      <c r="H18" s="35"/>
      <c r="I18" s="35"/>
      <c r="J18" s="35"/>
      <c r="K18" s="35"/>
      <c r="L18" s="10">
        <v>2552</v>
      </c>
      <c r="M18" s="10" t="s">
        <v>55</v>
      </c>
      <c r="N18" s="7"/>
    </row>
    <row r="19" spans="4:14" x14ac:dyDescent="0.25">
      <c r="D19" s="7"/>
      <c r="E19" s="34" t="s">
        <v>69</v>
      </c>
      <c r="F19" s="34"/>
      <c r="G19" s="35" t="s">
        <v>76</v>
      </c>
      <c r="H19" s="35"/>
      <c r="I19" s="35"/>
      <c r="J19" s="35"/>
      <c r="K19" s="35"/>
      <c r="L19" s="10">
        <v>6813</v>
      </c>
      <c r="M19" s="10" t="s">
        <v>55</v>
      </c>
      <c r="N19" s="7"/>
    </row>
    <row r="20" spans="4:14" x14ac:dyDescent="0.25">
      <c r="D20" s="7"/>
      <c r="E20" s="34" t="s">
        <v>70</v>
      </c>
      <c r="F20" s="34"/>
      <c r="G20" s="35" t="s">
        <v>77</v>
      </c>
      <c r="H20" s="35"/>
      <c r="I20" s="35"/>
      <c r="J20" s="35"/>
      <c r="K20" s="35"/>
      <c r="L20" s="10">
        <v>6673</v>
      </c>
      <c r="M20" s="10" t="s">
        <v>55</v>
      </c>
      <c r="N20" s="7"/>
    </row>
    <row r="21" spans="4:14" ht="40.5" customHeight="1" x14ac:dyDescent="0.25">
      <c r="D21" s="7"/>
      <c r="E21" s="41" t="s">
        <v>71</v>
      </c>
      <c r="F21" s="41"/>
      <c r="G21" s="36" t="s">
        <v>78</v>
      </c>
      <c r="H21" s="37"/>
      <c r="I21" s="38"/>
      <c r="J21" s="39" t="s">
        <v>79</v>
      </c>
      <c r="K21" s="40"/>
      <c r="L21" s="16">
        <f>+ROUND((L19-L18)/L17,0)</f>
        <v>1512</v>
      </c>
      <c r="M21" s="16" t="s">
        <v>81</v>
      </c>
      <c r="N21" s="7"/>
    </row>
    <row r="22" spans="4:14" x14ac:dyDescent="0.25">
      <c r="D22" s="7"/>
      <c r="E22" s="34" t="s">
        <v>82</v>
      </c>
      <c r="F22" s="34"/>
      <c r="G22" s="34"/>
      <c r="H22" s="34"/>
      <c r="I22" s="34"/>
      <c r="J22" s="35" t="s">
        <v>83</v>
      </c>
      <c r="K22" s="35"/>
      <c r="L22" s="10">
        <f>+ROUND((L20-L18)/L17,0)</f>
        <v>1462</v>
      </c>
      <c r="M22" s="10" t="s">
        <v>81</v>
      </c>
      <c r="N22" s="7"/>
    </row>
    <row r="23" spans="4:14" x14ac:dyDescent="0.25">
      <c r="D23" s="7"/>
      <c r="E23" s="7"/>
      <c r="F23" s="7"/>
      <c r="G23" s="7"/>
      <c r="H23" s="7"/>
      <c r="I23" s="7"/>
      <c r="J23" s="7"/>
      <c r="K23" s="7"/>
      <c r="L23" s="11"/>
      <c r="M23" s="11"/>
      <c r="N23" s="7"/>
    </row>
    <row r="24" spans="4:14" x14ac:dyDescent="0.25">
      <c r="D24" s="7"/>
      <c r="E24" s="34" t="s">
        <v>84</v>
      </c>
      <c r="F24" s="34"/>
      <c r="G24" s="34"/>
      <c r="H24" s="34"/>
      <c r="I24" s="34"/>
      <c r="J24" s="35" t="s">
        <v>86</v>
      </c>
      <c r="K24" s="35"/>
      <c r="L24" s="10">
        <f>+ROUND(((L5-L9)*100/L9),2)</f>
        <v>0.95</v>
      </c>
      <c r="M24" s="11"/>
      <c r="N24" s="7"/>
    </row>
    <row r="25" spans="4:14" x14ac:dyDescent="0.25">
      <c r="D25" s="7"/>
      <c r="E25" s="34" t="s">
        <v>85</v>
      </c>
      <c r="F25" s="34"/>
      <c r="G25" s="34"/>
      <c r="H25" s="34"/>
      <c r="I25" s="34"/>
      <c r="J25" s="35" t="s">
        <v>87</v>
      </c>
      <c r="K25" s="35"/>
      <c r="L25" s="10">
        <f>+ROUND((L12*1000-L21)/(L12*10),2)</f>
        <v>42.94</v>
      </c>
      <c r="M25" s="11"/>
      <c r="N25" s="7"/>
    </row>
    <row r="26" spans="4:14" x14ac:dyDescent="0.25">
      <c r="D26" s="7"/>
      <c r="E26" s="7"/>
      <c r="F26" s="7"/>
      <c r="G26" s="7"/>
      <c r="H26" s="7"/>
      <c r="I26" s="7"/>
      <c r="J26" s="7"/>
      <c r="K26" s="7"/>
      <c r="L26" s="11"/>
      <c r="M26" s="11"/>
      <c r="N26" s="7"/>
    </row>
    <row r="27" spans="4:14" x14ac:dyDescent="0.25">
      <c r="D27" s="7"/>
      <c r="E27" s="7"/>
      <c r="F27" s="7"/>
      <c r="G27" s="7"/>
      <c r="H27" s="7"/>
      <c r="I27" s="7"/>
      <c r="J27" s="7"/>
      <c r="K27" s="7"/>
      <c r="L27" s="11"/>
      <c r="M27" s="11"/>
      <c r="N27" s="7"/>
    </row>
  </sheetData>
  <mergeCells count="40">
    <mergeCell ref="E15:F15"/>
    <mergeCell ref="G15:K15"/>
    <mergeCell ref="E12:F12"/>
    <mergeCell ref="E10:I10"/>
    <mergeCell ref="E11:I11"/>
    <mergeCell ref="G12:I12"/>
    <mergeCell ref="J12:K12"/>
    <mergeCell ref="J10:K10"/>
    <mergeCell ref="J11:K11"/>
    <mergeCell ref="E4:M4"/>
    <mergeCell ref="E14:M14"/>
    <mergeCell ref="E5:F5"/>
    <mergeCell ref="E6:F6"/>
    <mergeCell ref="E7:F7"/>
    <mergeCell ref="E8:F8"/>
    <mergeCell ref="E9:F9"/>
    <mergeCell ref="G5:K5"/>
    <mergeCell ref="G6:K6"/>
    <mergeCell ref="G7:K7"/>
    <mergeCell ref="G8:K8"/>
    <mergeCell ref="G9:K9"/>
    <mergeCell ref="G21:I21"/>
    <mergeCell ref="J21:K21"/>
    <mergeCell ref="E16:F16"/>
    <mergeCell ref="E17:F17"/>
    <mergeCell ref="E18:F18"/>
    <mergeCell ref="E19:F19"/>
    <mergeCell ref="E20:F20"/>
    <mergeCell ref="E21:F21"/>
    <mergeCell ref="G16:K16"/>
    <mergeCell ref="G17:K17"/>
    <mergeCell ref="G18:K18"/>
    <mergeCell ref="G19:K19"/>
    <mergeCell ref="G20:K20"/>
    <mergeCell ref="E22:I22"/>
    <mergeCell ref="J22:K22"/>
    <mergeCell ref="E24:I24"/>
    <mergeCell ref="E25:I25"/>
    <mergeCell ref="J24:K24"/>
    <mergeCell ref="J25:K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FEA5-E7B4-4044-A049-B4DBC4935A16}">
  <dimension ref="D2:M25"/>
  <sheetViews>
    <sheetView topLeftCell="B1" zoomScale="90" zoomScaleNormal="90" workbookViewId="0">
      <selection activeCell="C5" sqref="C5"/>
    </sheetView>
  </sheetViews>
  <sheetFormatPr baseColWidth="10" defaultRowHeight="15" x14ac:dyDescent="0.25"/>
  <cols>
    <col min="5" max="5" width="11.42578125" style="1"/>
    <col min="12" max="12" width="11.85546875" style="1" bestFit="1" customWidth="1"/>
    <col min="13" max="13" width="15.140625" style="1" customWidth="1"/>
  </cols>
  <sheetData>
    <row r="2" spans="4:13" x14ac:dyDescent="0.25">
      <c r="D2" s="7"/>
      <c r="E2" s="11"/>
      <c r="F2" s="7"/>
      <c r="G2" s="7"/>
      <c r="H2" s="7"/>
      <c r="I2" s="7"/>
      <c r="J2" s="7"/>
      <c r="K2" s="7"/>
      <c r="L2" s="11"/>
      <c r="M2" s="11"/>
    </row>
    <row r="3" spans="4:13" x14ac:dyDescent="0.25">
      <c r="D3" s="7"/>
      <c r="E3" s="34" t="s">
        <v>92</v>
      </c>
      <c r="F3" s="34"/>
      <c r="G3" s="34"/>
      <c r="H3" s="34"/>
      <c r="I3" s="34"/>
      <c r="J3" s="34"/>
      <c r="K3" s="34"/>
      <c r="L3" s="34"/>
      <c r="M3" s="34"/>
    </row>
    <row r="4" spans="4:13" x14ac:dyDescent="0.25">
      <c r="D4" s="7"/>
      <c r="E4" s="9" t="s">
        <v>45</v>
      </c>
      <c r="F4" s="35" t="s">
        <v>89</v>
      </c>
      <c r="G4" s="35"/>
      <c r="H4" s="35"/>
      <c r="I4" s="35"/>
      <c r="J4" s="35"/>
      <c r="K4" s="35"/>
      <c r="L4" s="10">
        <v>608.6</v>
      </c>
      <c r="M4" s="10" t="s">
        <v>55</v>
      </c>
    </row>
    <row r="5" spans="4:13" x14ac:dyDescent="0.25">
      <c r="D5" s="7"/>
      <c r="E5" s="9" t="s">
        <v>48</v>
      </c>
      <c r="F5" s="35" t="s">
        <v>50</v>
      </c>
      <c r="G5" s="35"/>
      <c r="H5" s="35"/>
      <c r="I5" s="35"/>
      <c r="J5" s="35"/>
      <c r="K5" s="35"/>
      <c r="L5" s="10">
        <v>500</v>
      </c>
      <c r="M5" s="10" t="s">
        <v>55</v>
      </c>
    </row>
    <row r="6" spans="4:13" ht="28.5" customHeight="1" x14ac:dyDescent="0.25">
      <c r="D6" s="7"/>
      <c r="E6" s="21" t="s">
        <v>49</v>
      </c>
      <c r="F6" s="44" t="s">
        <v>90</v>
      </c>
      <c r="G6" s="44"/>
      <c r="H6" s="44"/>
      <c r="I6" s="44"/>
      <c r="J6" s="44"/>
      <c r="K6" s="44"/>
      <c r="L6" s="16">
        <v>916.5</v>
      </c>
      <c r="M6" s="16" t="s">
        <v>55</v>
      </c>
    </row>
    <row r="7" spans="4:13" x14ac:dyDescent="0.25">
      <c r="D7" s="7"/>
      <c r="E7" s="9" t="s">
        <v>58</v>
      </c>
      <c r="F7" s="35" t="s">
        <v>91</v>
      </c>
      <c r="G7" s="35"/>
      <c r="H7" s="35"/>
      <c r="I7" s="35"/>
      <c r="J7" s="35"/>
      <c r="K7" s="35"/>
      <c r="L7" s="10">
        <v>494.3</v>
      </c>
      <c r="M7" s="10" t="s">
        <v>55</v>
      </c>
    </row>
    <row r="8" spans="4:13" x14ac:dyDescent="0.25">
      <c r="D8" s="7"/>
      <c r="E8" s="11"/>
      <c r="F8" s="7"/>
      <c r="G8" s="7"/>
      <c r="H8" s="7"/>
      <c r="I8" s="7"/>
      <c r="J8" s="7"/>
      <c r="K8" s="7"/>
      <c r="L8" s="11"/>
      <c r="M8" s="11"/>
    </row>
    <row r="9" spans="4:13" x14ac:dyDescent="0.25">
      <c r="D9" s="7"/>
      <c r="E9" s="35" t="s">
        <v>56</v>
      </c>
      <c r="F9" s="35"/>
      <c r="G9" s="35"/>
      <c r="H9" s="35"/>
      <c r="I9" s="35"/>
      <c r="J9" s="35" t="s">
        <v>108</v>
      </c>
      <c r="K9" s="35"/>
      <c r="L9" s="10">
        <f>ROUND(+L7/(L4-L6+L7),2)</f>
        <v>2.65</v>
      </c>
      <c r="M9" s="10" t="s">
        <v>93</v>
      </c>
    </row>
    <row r="10" spans="4:13" x14ac:dyDescent="0.25">
      <c r="D10" s="7"/>
      <c r="E10" s="35" t="s">
        <v>57</v>
      </c>
      <c r="F10" s="35"/>
      <c r="G10" s="35"/>
      <c r="H10" s="35"/>
      <c r="I10" s="35"/>
      <c r="J10" s="35" t="s">
        <v>95</v>
      </c>
      <c r="K10" s="35"/>
      <c r="L10" s="10">
        <f>+ROUND(L7/(L4+L5-L6),2)</f>
        <v>2.57</v>
      </c>
      <c r="M10" s="10" t="s">
        <v>93</v>
      </c>
    </row>
    <row r="11" spans="4:13" x14ac:dyDescent="0.25">
      <c r="D11" s="7"/>
      <c r="E11" s="9" t="s">
        <v>71</v>
      </c>
      <c r="F11" s="35" t="s">
        <v>94</v>
      </c>
      <c r="G11" s="35"/>
      <c r="H11" s="35"/>
      <c r="I11" s="35"/>
      <c r="J11" s="35" t="s">
        <v>96</v>
      </c>
      <c r="K11" s="35"/>
      <c r="L11" s="10">
        <f>+ROUND(L5/(L4+L5-L6),2)</f>
        <v>2.6</v>
      </c>
      <c r="M11" s="10" t="s">
        <v>93</v>
      </c>
    </row>
    <row r="12" spans="4:13" x14ac:dyDescent="0.25">
      <c r="D12" s="7"/>
      <c r="E12" s="11"/>
      <c r="F12" s="7"/>
      <c r="G12" s="7"/>
      <c r="H12" s="7"/>
      <c r="I12" s="7"/>
      <c r="J12" s="7"/>
      <c r="K12" s="7"/>
      <c r="L12" s="11"/>
      <c r="M12" s="11"/>
    </row>
    <row r="13" spans="4:13" x14ac:dyDescent="0.25">
      <c r="D13" s="7"/>
      <c r="E13" s="34" t="s">
        <v>64</v>
      </c>
      <c r="F13" s="34"/>
      <c r="G13" s="34"/>
      <c r="H13" s="34"/>
      <c r="I13" s="34"/>
      <c r="J13" s="34"/>
      <c r="K13" s="34"/>
      <c r="L13" s="34"/>
      <c r="M13" s="34"/>
    </row>
    <row r="14" spans="4:13" x14ac:dyDescent="0.25">
      <c r="D14" s="7"/>
      <c r="E14" s="22" t="s">
        <v>65</v>
      </c>
      <c r="F14" s="35" t="s">
        <v>72</v>
      </c>
      <c r="G14" s="35"/>
      <c r="H14" s="35"/>
      <c r="I14" s="35"/>
      <c r="J14" s="35"/>
      <c r="K14" s="35"/>
      <c r="L14" s="10">
        <v>2975</v>
      </c>
      <c r="M14" s="10" t="s">
        <v>55</v>
      </c>
    </row>
    <row r="15" spans="4:13" x14ac:dyDescent="0.25">
      <c r="D15" s="7"/>
      <c r="E15" s="10" t="s">
        <v>66</v>
      </c>
      <c r="F15" s="35" t="s">
        <v>73</v>
      </c>
      <c r="G15" s="35"/>
      <c r="H15" s="35"/>
      <c r="I15" s="35"/>
      <c r="J15" s="35"/>
      <c r="K15" s="35"/>
      <c r="L15" s="10">
        <v>5793</v>
      </c>
      <c r="M15" s="10" t="s">
        <v>55</v>
      </c>
    </row>
    <row r="16" spans="4:13" x14ac:dyDescent="0.25">
      <c r="D16" s="7"/>
      <c r="E16" s="10" t="s">
        <v>67</v>
      </c>
      <c r="F16" s="35" t="s">
        <v>98</v>
      </c>
      <c r="G16" s="35"/>
      <c r="H16" s="35"/>
      <c r="I16" s="35"/>
      <c r="J16" s="35" t="s">
        <v>102</v>
      </c>
      <c r="K16" s="35"/>
      <c r="L16" s="10">
        <f>+(L15-L14)/1000</f>
        <v>2.8180000000000001</v>
      </c>
      <c r="M16" s="10" t="s">
        <v>103</v>
      </c>
    </row>
    <row r="17" spans="4:13" x14ac:dyDescent="0.25">
      <c r="D17" s="7"/>
      <c r="E17" s="10" t="s">
        <v>68</v>
      </c>
      <c r="F17" s="35" t="s">
        <v>75</v>
      </c>
      <c r="G17" s="35"/>
      <c r="H17" s="35"/>
      <c r="I17" s="35"/>
      <c r="J17" s="35"/>
      <c r="K17" s="35"/>
      <c r="L17" s="10">
        <v>2552</v>
      </c>
      <c r="M17" s="10" t="s">
        <v>55</v>
      </c>
    </row>
    <row r="18" spans="4:13" x14ac:dyDescent="0.25">
      <c r="D18" s="7"/>
      <c r="E18" s="10" t="s">
        <v>69</v>
      </c>
      <c r="F18" s="35" t="s">
        <v>99</v>
      </c>
      <c r="G18" s="35"/>
      <c r="H18" s="35"/>
      <c r="I18" s="35"/>
      <c r="J18" s="35"/>
      <c r="K18" s="35"/>
      <c r="L18" s="10">
        <v>7157</v>
      </c>
      <c r="M18" s="10" t="s">
        <v>55</v>
      </c>
    </row>
    <row r="19" spans="4:13" x14ac:dyDescent="0.25">
      <c r="D19" s="7"/>
      <c r="E19" s="10" t="s">
        <v>70</v>
      </c>
      <c r="F19" s="35" t="s">
        <v>100</v>
      </c>
      <c r="G19" s="35"/>
      <c r="H19" s="35"/>
      <c r="I19" s="35"/>
      <c r="J19" s="35"/>
      <c r="K19" s="35"/>
      <c r="L19" s="10">
        <v>6737</v>
      </c>
      <c r="M19" s="10" t="s">
        <v>55</v>
      </c>
    </row>
    <row r="20" spans="4:13" ht="30" customHeight="1" x14ac:dyDescent="0.25">
      <c r="D20" s="7"/>
      <c r="E20" s="16" t="s">
        <v>97</v>
      </c>
      <c r="F20" s="44" t="s">
        <v>101</v>
      </c>
      <c r="G20" s="44"/>
      <c r="H20" s="44"/>
      <c r="I20" s="44"/>
      <c r="J20" s="43" t="s">
        <v>79</v>
      </c>
      <c r="K20" s="43"/>
      <c r="L20" s="16">
        <f>+ROUND((L18-L17)/L16,3)</f>
        <v>1634.1379999999999</v>
      </c>
      <c r="M20" s="16" t="s">
        <v>81</v>
      </c>
    </row>
    <row r="21" spans="4:13" x14ac:dyDescent="0.25">
      <c r="D21" s="7"/>
      <c r="E21" s="35" t="s">
        <v>82</v>
      </c>
      <c r="F21" s="35"/>
      <c r="G21" s="35"/>
      <c r="H21" s="35"/>
      <c r="I21" s="35"/>
      <c r="J21" s="35" t="s">
        <v>83</v>
      </c>
      <c r="K21" s="35"/>
      <c r="L21" s="10">
        <f>+ROUND((L19-L17)/L16,3)</f>
        <v>1485.096</v>
      </c>
      <c r="M21" s="10" t="s">
        <v>81</v>
      </c>
    </row>
    <row r="22" spans="4:13" x14ac:dyDescent="0.25">
      <c r="D22" s="7"/>
      <c r="E22" s="11"/>
      <c r="F22" s="7"/>
      <c r="G22" s="7"/>
      <c r="H22" s="7"/>
      <c r="I22" s="7"/>
      <c r="J22" s="7"/>
      <c r="K22" s="7"/>
      <c r="L22" s="11"/>
      <c r="M22" s="15"/>
    </row>
    <row r="23" spans="4:13" ht="27" customHeight="1" x14ac:dyDescent="0.25">
      <c r="D23" s="7"/>
      <c r="E23" s="41" t="s">
        <v>104</v>
      </c>
      <c r="F23" s="41"/>
      <c r="G23" s="41"/>
      <c r="H23" s="41"/>
      <c r="I23" s="41"/>
      <c r="J23" s="43" t="s">
        <v>106</v>
      </c>
      <c r="K23" s="43"/>
      <c r="L23" s="16">
        <f>+ROUND((L5-L7)*100/L6,2)</f>
        <v>0.62</v>
      </c>
      <c r="M23" s="23"/>
    </row>
    <row r="24" spans="4:13" ht="27" customHeight="1" x14ac:dyDescent="0.25">
      <c r="D24" s="7"/>
      <c r="E24" s="41" t="s">
        <v>105</v>
      </c>
      <c r="F24" s="41"/>
      <c r="G24" s="41"/>
      <c r="H24" s="41"/>
      <c r="I24" s="41"/>
      <c r="J24" s="43" t="s">
        <v>107</v>
      </c>
      <c r="K24" s="43"/>
      <c r="L24" s="16">
        <f>+ROUND((L11*1000-L20)/(L11*10),2)</f>
        <v>37.15</v>
      </c>
      <c r="M24" s="23"/>
    </row>
    <row r="25" spans="4:13" x14ac:dyDescent="0.25">
      <c r="D25" s="7"/>
      <c r="E25" s="11"/>
      <c r="F25" s="7"/>
      <c r="G25" s="7"/>
      <c r="H25" s="7"/>
      <c r="I25" s="7"/>
      <c r="J25" s="7"/>
      <c r="K25" s="7"/>
      <c r="L25" s="11"/>
      <c r="M25" s="11"/>
    </row>
  </sheetData>
  <mergeCells count="27">
    <mergeCell ref="F4:K4"/>
    <mergeCell ref="F5:K5"/>
    <mergeCell ref="F6:K6"/>
    <mergeCell ref="F7:K7"/>
    <mergeCell ref="E3:M3"/>
    <mergeCell ref="F18:K18"/>
    <mergeCell ref="E10:I10"/>
    <mergeCell ref="F11:I11"/>
    <mergeCell ref="J9:K9"/>
    <mergeCell ref="J10:K10"/>
    <mergeCell ref="J11:K11"/>
    <mergeCell ref="E13:M13"/>
    <mergeCell ref="E9:I9"/>
    <mergeCell ref="F14:K14"/>
    <mergeCell ref="F15:K15"/>
    <mergeCell ref="F16:I16"/>
    <mergeCell ref="J16:K16"/>
    <mergeCell ref="F17:K17"/>
    <mergeCell ref="E24:I24"/>
    <mergeCell ref="J23:K23"/>
    <mergeCell ref="J24:K24"/>
    <mergeCell ref="F19:K19"/>
    <mergeCell ref="F20:I20"/>
    <mergeCell ref="J20:K20"/>
    <mergeCell ref="E21:I21"/>
    <mergeCell ref="J21:K21"/>
    <mergeCell ref="E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Diseño_Mezcla</vt:lpstr>
      <vt:lpstr>Propiedades_Grava</vt:lpstr>
      <vt:lpstr>Propiedades_Arena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KEVIN</cp:lastModifiedBy>
  <dcterms:created xsi:type="dcterms:W3CDTF">2022-10-05T00:11:33Z</dcterms:created>
  <dcterms:modified xsi:type="dcterms:W3CDTF">2023-05-17T01:26:29Z</dcterms:modified>
</cp:coreProperties>
</file>