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IS 2024 VF\"/>
    </mc:Choice>
  </mc:AlternateContent>
  <xr:revisionPtr revIDLastSave="0" documentId="13_ncr:1_{A595B914-8793-4822-9A89-A00EADEAB52E}" xr6:coauthVersionLast="47" xr6:coauthVersionMax="47" xr10:uidLastSave="{00000000-0000-0000-0000-000000000000}"/>
  <bookViews>
    <workbookView xWindow="-108" yWindow="-108" windowWidth="23256" windowHeight="12576" firstSheet="3" activeTab="8" xr2:uid="{1262413D-3065-443B-9386-9FDC3025A9A6}"/>
  </bookViews>
  <sheets>
    <sheet name="Matrices" sheetId="2" r:id="rId1"/>
    <sheet name="6. Tortas" sheetId="13" r:id="rId2"/>
    <sheet name="5. Hamburguesas" sheetId="12" r:id="rId3"/>
    <sheet name="4. Granolitas" sheetId="10" r:id="rId4"/>
    <sheet name="3. Pinchos" sheetId="9" r:id="rId5"/>
    <sheet name="2. Galletas" sheetId="8" r:id="rId6"/>
    <sheet name="1. Brigadeiros" sheetId="1" r:id="rId7"/>
    <sheet name="ACTV" sheetId="11" r:id="rId8"/>
    <sheet name="Hoja1" sheetId="14" r:id="rId9"/>
    <sheet name="Frecuencias" sheetId="3" r:id="rId10"/>
    <sheet name="Reputación" sheetId="4" r:id="rId11"/>
    <sheet name="Impacto E" sheetId="6" r:id="rId12"/>
    <sheet name="Severidad" sheetId="5" r:id="rId13"/>
  </sheets>
  <definedNames>
    <definedName name="_xlnm._FilterDatabase" localSheetId="6" hidden="1">'1. Brigadeiros'!$A$2:$W$35</definedName>
    <definedName name="_xlnm._FilterDatabase" localSheetId="5" hidden="1">'2. Galletas'!$A$2:$W$35</definedName>
    <definedName name="_xlnm._FilterDatabase" localSheetId="4" hidden="1">'3. Pinchos'!$A$2:$W$35</definedName>
    <definedName name="_xlnm._FilterDatabase" localSheetId="3" hidden="1">'4. Granolitas'!$A$2:$W$35</definedName>
    <definedName name="_xlnm._FilterDatabase" localSheetId="2" hidden="1">'5. Hamburguesas'!$A$2:$W$35</definedName>
    <definedName name="_xlnm._FilterDatabase" localSheetId="1" hidden="1">'6. Tortas'!$A$2:$W$35</definedName>
    <definedName name="_xlnm._FilterDatabase" localSheetId="7" hidden="1">ACTV!$B$2:$T$35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11" l="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R4" i="11"/>
  <c r="R5" i="11"/>
  <c r="R6" i="11"/>
  <c r="R7" i="11"/>
  <c r="R8" i="11"/>
  <c r="R9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" i="11"/>
  <c r="U3" i="11"/>
  <c r="O4" i="11"/>
  <c r="O5" i="11"/>
  <c r="O6" i="11"/>
  <c r="O7" i="11"/>
  <c r="O8" i="11"/>
  <c r="O9" i="11"/>
  <c r="O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" i="11"/>
  <c r="L4" i="1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" i="11"/>
  <c r="I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4" i="11"/>
  <c r="F5" i="11"/>
  <c r="F6" i="11"/>
  <c r="F7" i="11"/>
  <c r="F8" i="11"/>
  <c r="F9" i="11"/>
  <c r="F10" i="11"/>
  <c r="F3" i="11"/>
  <c r="S4" i="11"/>
  <c r="T4" i="11"/>
  <c r="S5" i="11"/>
  <c r="T5" i="11"/>
  <c r="S6" i="11"/>
  <c r="T6" i="11"/>
  <c r="S7" i="11"/>
  <c r="T7" i="11"/>
  <c r="S8" i="11"/>
  <c r="T8" i="11"/>
  <c r="S9" i="11"/>
  <c r="T9" i="11"/>
  <c r="S10" i="11"/>
  <c r="T10" i="11"/>
  <c r="S11" i="11"/>
  <c r="T11" i="11"/>
  <c r="S12" i="11"/>
  <c r="T12" i="11"/>
  <c r="S13" i="11"/>
  <c r="T13" i="11"/>
  <c r="S14" i="11"/>
  <c r="T14" i="11"/>
  <c r="S15" i="11"/>
  <c r="T15" i="11"/>
  <c r="S16" i="11"/>
  <c r="T16" i="11"/>
  <c r="S17" i="11"/>
  <c r="T17" i="11"/>
  <c r="S18" i="11"/>
  <c r="T18" i="11"/>
  <c r="S19" i="11"/>
  <c r="T19" i="11"/>
  <c r="S20" i="11"/>
  <c r="T20" i="11"/>
  <c r="S21" i="11"/>
  <c r="T21" i="11"/>
  <c r="S22" i="11"/>
  <c r="T22" i="11"/>
  <c r="S23" i="11"/>
  <c r="T23" i="11"/>
  <c r="S24" i="11"/>
  <c r="T24" i="11"/>
  <c r="S25" i="11"/>
  <c r="T25" i="11"/>
  <c r="S26" i="11"/>
  <c r="T26" i="11"/>
  <c r="S27" i="11"/>
  <c r="T27" i="11"/>
  <c r="S28" i="11"/>
  <c r="T28" i="11"/>
  <c r="S29" i="11"/>
  <c r="T29" i="11"/>
  <c r="S30" i="11"/>
  <c r="T30" i="11"/>
  <c r="S31" i="11"/>
  <c r="T31" i="11"/>
  <c r="S32" i="11"/>
  <c r="T32" i="11"/>
  <c r="S33" i="11"/>
  <c r="T33" i="11"/>
  <c r="S34" i="11"/>
  <c r="T34" i="11"/>
  <c r="S35" i="11"/>
  <c r="T35" i="11"/>
  <c r="T3" i="11"/>
  <c r="S3" i="11"/>
  <c r="Q4" i="11"/>
  <c r="Q5" i="11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" i="11"/>
  <c r="P4" i="11"/>
  <c r="P5" i="11"/>
  <c r="P6" i="11"/>
  <c r="P7" i="11"/>
  <c r="P8" i="11"/>
  <c r="P9" i="11"/>
  <c r="P10" i="11"/>
  <c r="P11" i="11"/>
  <c r="P12" i="11"/>
  <c r="P13" i="11"/>
  <c r="P14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" i="11"/>
  <c r="K78" i="2"/>
  <c r="K77" i="2"/>
  <c r="K76" i="2"/>
  <c r="K75" i="2"/>
  <c r="I72" i="2"/>
  <c r="L4" i="13"/>
  <c r="L5" i="13"/>
  <c r="L6" i="13"/>
  <c r="L7" i="13"/>
  <c r="L8" i="13"/>
  <c r="L9" i="13"/>
  <c r="L10" i="13"/>
  <c r="M10" i="13" s="1"/>
  <c r="N10" i="13" s="1"/>
  <c r="L11" i="13"/>
  <c r="L12" i="13"/>
  <c r="M12" i="13" s="1"/>
  <c r="N12" i="13" s="1"/>
  <c r="L13" i="13"/>
  <c r="L14" i="13"/>
  <c r="L15" i="13"/>
  <c r="L16" i="13"/>
  <c r="M16" i="13" s="1"/>
  <c r="N16" i="13" s="1"/>
  <c r="L17" i="13"/>
  <c r="L18" i="13"/>
  <c r="M18" i="13" s="1"/>
  <c r="N18" i="13" s="1"/>
  <c r="L19" i="13"/>
  <c r="L20" i="13"/>
  <c r="L21" i="13"/>
  <c r="L22" i="13"/>
  <c r="L23" i="13"/>
  <c r="L24" i="13"/>
  <c r="L25" i="13"/>
  <c r="L26" i="13"/>
  <c r="L27" i="13"/>
  <c r="L28" i="13"/>
  <c r="L29" i="13"/>
  <c r="L30" i="13"/>
  <c r="L31" i="13"/>
  <c r="L32" i="13"/>
  <c r="M32" i="13" s="1"/>
  <c r="N32" i="13" s="1"/>
  <c r="L33" i="13"/>
  <c r="L34" i="13"/>
  <c r="L35" i="13"/>
  <c r="L3" i="13"/>
  <c r="K34" i="13"/>
  <c r="K33" i="13"/>
  <c r="M33" i="13" s="1"/>
  <c r="N33" i="13" s="1"/>
  <c r="H33" i="13"/>
  <c r="K32" i="13"/>
  <c r="H32" i="13"/>
  <c r="I32" i="13" s="1"/>
  <c r="J32" i="13" s="1"/>
  <c r="K31" i="13"/>
  <c r="K30" i="13"/>
  <c r="K29" i="13"/>
  <c r="H29" i="13"/>
  <c r="K28" i="13"/>
  <c r="K27" i="13"/>
  <c r="H27" i="13"/>
  <c r="I27" i="13"/>
  <c r="J27" i="13" s="1"/>
  <c r="K26" i="13"/>
  <c r="M26" i="13" s="1"/>
  <c r="N26" i="13" s="1"/>
  <c r="H26" i="13"/>
  <c r="K25" i="13"/>
  <c r="M25" i="13"/>
  <c r="N25" i="13" s="1"/>
  <c r="K24" i="13"/>
  <c r="K23" i="13"/>
  <c r="K22" i="13"/>
  <c r="M22" i="13" s="1"/>
  <c r="N22" i="13" s="1"/>
  <c r="K21" i="13"/>
  <c r="M21" i="13"/>
  <c r="N21" i="13" s="1"/>
  <c r="K20" i="13"/>
  <c r="K19" i="13"/>
  <c r="M19" i="13" s="1"/>
  <c r="N19" i="13" s="1"/>
  <c r="K17" i="13"/>
  <c r="M17" i="13" s="1"/>
  <c r="N17" i="13" s="1"/>
  <c r="K16" i="13"/>
  <c r="K15" i="13"/>
  <c r="K14" i="13"/>
  <c r="K13" i="13"/>
  <c r="K12" i="13"/>
  <c r="M13" i="13"/>
  <c r="N13" i="13" s="1"/>
  <c r="K11" i="13"/>
  <c r="M11" i="13" s="1"/>
  <c r="N11" i="13" s="1"/>
  <c r="K10" i="13"/>
  <c r="K8" i="13"/>
  <c r="M8" i="13" s="1"/>
  <c r="N8" i="13" s="1"/>
  <c r="K7" i="13"/>
  <c r="M7" i="13" s="1"/>
  <c r="N7" i="13" s="1"/>
  <c r="K6" i="13"/>
  <c r="M6" i="13" s="1"/>
  <c r="N6" i="13" s="1"/>
  <c r="K5" i="13"/>
  <c r="R35" i="13"/>
  <c r="P35" i="13"/>
  <c r="M35" i="13"/>
  <c r="N35" i="13" s="1"/>
  <c r="I35" i="13"/>
  <c r="J35" i="13" s="1"/>
  <c r="R34" i="13"/>
  <c r="P34" i="13"/>
  <c r="I34" i="13"/>
  <c r="J34" i="13" s="1"/>
  <c r="R33" i="13"/>
  <c r="P33" i="13"/>
  <c r="I33" i="13"/>
  <c r="J33" i="13" s="1"/>
  <c r="R32" i="13"/>
  <c r="P32" i="13"/>
  <c r="R31" i="13"/>
  <c r="P31" i="13"/>
  <c r="M31" i="13"/>
  <c r="N31" i="13" s="1"/>
  <c r="I31" i="13"/>
  <c r="J31" i="13" s="1"/>
  <c r="R30" i="13"/>
  <c r="P30" i="13"/>
  <c r="I30" i="13"/>
  <c r="J30" i="13" s="1"/>
  <c r="R29" i="13"/>
  <c r="P29" i="13"/>
  <c r="M29" i="13"/>
  <c r="N29" i="13" s="1"/>
  <c r="I29" i="13"/>
  <c r="J29" i="13" s="1"/>
  <c r="R28" i="13"/>
  <c r="P28" i="13"/>
  <c r="M28" i="13"/>
  <c r="N28" i="13" s="1"/>
  <c r="I28" i="13"/>
  <c r="J28" i="13" s="1"/>
  <c r="R27" i="13"/>
  <c r="P27" i="13"/>
  <c r="M27" i="13"/>
  <c r="N27" i="13" s="1"/>
  <c r="R26" i="13"/>
  <c r="P26" i="13"/>
  <c r="I26" i="13"/>
  <c r="J26" i="13" s="1"/>
  <c r="R25" i="13"/>
  <c r="P25" i="13"/>
  <c r="I25" i="13"/>
  <c r="J25" i="13" s="1"/>
  <c r="R24" i="13"/>
  <c r="P24" i="13"/>
  <c r="I24" i="13"/>
  <c r="J24" i="13" s="1"/>
  <c r="R23" i="13"/>
  <c r="P23" i="13"/>
  <c r="M23" i="13"/>
  <c r="N23" i="13" s="1"/>
  <c r="I23" i="13"/>
  <c r="J23" i="13" s="1"/>
  <c r="R22" i="13"/>
  <c r="P22" i="13"/>
  <c r="I22" i="13"/>
  <c r="J22" i="13" s="1"/>
  <c r="R21" i="13"/>
  <c r="P21" i="13"/>
  <c r="I21" i="13"/>
  <c r="J21" i="13" s="1"/>
  <c r="R20" i="13"/>
  <c r="P20" i="13"/>
  <c r="M20" i="13"/>
  <c r="N20" i="13" s="1"/>
  <c r="I20" i="13"/>
  <c r="J20" i="13" s="1"/>
  <c r="R19" i="13"/>
  <c r="P19" i="13"/>
  <c r="I19" i="13"/>
  <c r="J19" i="13" s="1"/>
  <c r="R18" i="13"/>
  <c r="P18" i="13"/>
  <c r="I18" i="13"/>
  <c r="J18" i="13" s="1"/>
  <c r="R17" i="13"/>
  <c r="P17" i="13"/>
  <c r="I17" i="13"/>
  <c r="J17" i="13" s="1"/>
  <c r="R16" i="13"/>
  <c r="P16" i="13"/>
  <c r="I16" i="13"/>
  <c r="J16" i="13" s="1"/>
  <c r="R15" i="13"/>
  <c r="P15" i="13"/>
  <c r="M15" i="13"/>
  <c r="N15" i="13" s="1"/>
  <c r="I15" i="13"/>
  <c r="J15" i="13" s="1"/>
  <c r="R14" i="13"/>
  <c r="P14" i="13"/>
  <c r="I14" i="13"/>
  <c r="J14" i="13" s="1"/>
  <c r="R13" i="13"/>
  <c r="P13" i="13"/>
  <c r="I13" i="13"/>
  <c r="J13" i="13" s="1"/>
  <c r="R12" i="13"/>
  <c r="P12" i="13"/>
  <c r="I12" i="13"/>
  <c r="J12" i="13" s="1"/>
  <c r="R11" i="13"/>
  <c r="P11" i="13"/>
  <c r="I11" i="13"/>
  <c r="J11" i="13" s="1"/>
  <c r="R10" i="13"/>
  <c r="P10" i="13"/>
  <c r="I10" i="13"/>
  <c r="J10" i="13" s="1"/>
  <c r="R9" i="13"/>
  <c r="P9" i="13"/>
  <c r="M9" i="13"/>
  <c r="N9" i="13" s="1"/>
  <c r="I9" i="13"/>
  <c r="J9" i="13" s="1"/>
  <c r="R8" i="13"/>
  <c r="P8" i="13"/>
  <c r="I8" i="13"/>
  <c r="J8" i="13" s="1"/>
  <c r="R7" i="13"/>
  <c r="P7" i="13"/>
  <c r="I7" i="13"/>
  <c r="J7" i="13" s="1"/>
  <c r="R6" i="13"/>
  <c r="P6" i="13"/>
  <c r="I6" i="13"/>
  <c r="J6" i="13" s="1"/>
  <c r="R5" i="13"/>
  <c r="P5" i="13"/>
  <c r="M5" i="13"/>
  <c r="N5" i="13" s="1"/>
  <c r="I5" i="13"/>
  <c r="J5" i="13" s="1"/>
  <c r="R4" i="13"/>
  <c r="P4" i="13"/>
  <c r="M4" i="13"/>
  <c r="N4" i="13" s="1"/>
  <c r="I4" i="13"/>
  <c r="J4" i="13" s="1"/>
  <c r="R3" i="13"/>
  <c r="P3" i="13"/>
  <c r="M3" i="13"/>
  <c r="N3" i="13" s="1"/>
  <c r="I3" i="13"/>
  <c r="J3" i="13" s="1"/>
  <c r="K64" i="2"/>
  <c r="K63" i="2"/>
  <c r="K62" i="2"/>
  <c r="K61" i="2"/>
  <c r="I58" i="2"/>
  <c r="G32" i="12"/>
  <c r="G33" i="12"/>
  <c r="I29" i="12"/>
  <c r="J29" i="12" s="1"/>
  <c r="R35" i="12"/>
  <c r="P35" i="12"/>
  <c r="M35" i="12"/>
  <c r="N35" i="12" s="1"/>
  <c r="I35" i="12"/>
  <c r="J35" i="12" s="1"/>
  <c r="G35" i="12"/>
  <c r="R34" i="12"/>
  <c r="P34" i="12"/>
  <c r="M34" i="12"/>
  <c r="N34" i="12" s="1"/>
  <c r="I34" i="12"/>
  <c r="J34" i="12" s="1"/>
  <c r="R33" i="12"/>
  <c r="P33" i="12"/>
  <c r="M33" i="12"/>
  <c r="N33" i="12" s="1"/>
  <c r="I33" i="12"/>
  <c r="J33" i="12" s="1"/>
  <c r="R32" i="12"/>
  <c r="P32" i="12"/>
  <c r="M32" i="12"/>
  <c r="N32" i="12" s="1"/>
  <c r="I32" i="12"/>
  <c r="J32" i="12" s="1"/>
  <c r="R31" i="12"/>
  <c r="P31" i="12"/>
  <c r="M31" i="12"/>
  <c r="N31" i="12" s="1"/>
  <c r="I31" i="12"/>
  <c r="J31" i="12" s="1"/>
  <c r="G31" i="12"/>
  <c r="R30" i="12"/>
  <c r="P30" i="12"/>
  <c r="M30" i="12"/>
  <c r="N30" i="12" s="1"/>
  <c r="I30" i="12"/>
  <c r="J30" i="12" s="1"/>
  <c r="G30" i="12"/>
  <c r="R29" i="12"/>
  <c r="P29" i="12"/>
  <c r="M29" i="12"/>
  <c r="N29" i="12" s="1"/>
  <c r="R28" i="12"/>
  <c r="P28" i="12"/>
  <c r="M28" i="12"/>
  <c r="N28" i="12" s="1"/>
  <c r="I28" i="12"/>
  <c r="J28" i="12" s="1"/>
  <c r="G28" i="12"/>
  <c r="R27" i="12"/>
  <c r="P27" i="12"/>
  <c r="M27" i="12"/>
  <c r="N27" i="12" s="1"/>
  <c r="I27" i="12"/>
  <c r="J27" i="12" s="1"/>
  <c r="G27" i="12"/>
  <c r="R26" i="12"/>
  <c r="P26" i="12"/>
  <c r="M26" i="12"/>
  <c r="N26" i="12" s="1"/>
  <c r="I26" i="12"/>
  <c r="J26" i="12" s="1"/>
  <c r="G26" i="12"/>
  <c r="R25" i="12"/>
  <c r="P25" i="12"/>
  <c r="M25" i="12"/>
  <c r="N25" i="12" s="1"/>
  <c r="I25" i="12"/>
  <c r="J25" i="12" s="1"/>
  <c r="R24" i="12"/>
  <c r="P24" i="12"/>
  <c r="M24" i="12"/>
  <c r="N24" i="12" s="1"/>
  <c r="I24" i="12"/>
  <c r="J24" i="12" s="1"/>
  <c r="G24" i="12"/>
  <c r="R23" i="12"/>
  <c r="P23" i="12"/>
  <c r="M23" i="12"/>
  <c r="N23" i="12" s="1"/>
  <c r="I23" i="12"/>
  <c r="J23" i="12" s="1"/>
  <c r="R22" i="12"/>
  <c r="P22" i="12"/>
  <c r="M22" i="12"/>
  <c r="N22" i="12" s="1"/>
  <c r="I22" i="12"/>
  <c r="J22" i="12" s="1"/>
  <c r="R21" i="12"/>
  <c r="P21" i="12"/>
  <c r="M21" i="12"/>
  <c r="N21" i="12" s="1"/>
  <c r="I21" i="12"/>
  <c r="J21" i="12" s="1"/>
  <c r="G21" i="12"/>
  <c r="R20" i="12"/>
  <c r="P20" i="12"/>
  <c r="M20" i="12"/>
  <c r="N20" i="12" s="1"/>
  <c r="I20" i="12"/>
  <c r="J20" i="12" s="1"/>
  <c r="G20" i="12"/>
  <c r="R19" i="12"/>
  <c r="P19" i="12"/>
  <c r="M19" i="12"/>
  <c r="N19" i="12" s="1"/>
  <c r="I19" i="12"/>
  <c r="J19" i="12" s="1"/>
  <c r="R18" i="12"/>
  <c r="P18" i="12"/>
  <c r="M18" i="12"/>
  <c r="N18" i="12" s="1"/>
  <c r="I18" i="12"/>
  <c r="J18" i="12" s="1"/>
  <c r="G18" i="12"/>
  <c r="R17" i="12"/>
  <c r="P17" i="12"/>
  <c r="M17" i="12"/>
  <c r="N17" i="12" s="1"/>
  <c r="I17" i="12"/>
  <c r="J17" i="12" s="1"/>
  <c r="R16" i="12"/>
  <c r="P16" i="12"/>
  <c r="M16" i="12"/>
  <c r="N16" i="12" s="1"/>
  <c r="I16" i="12"/>
  <c r="J16" i="12" s="1"/>
  <c r="R15" i="12"/>
  <c r="P15" i="12"/>
  <c r="M15" i="12"/>
  <c r="N15" i="12" s="1"/>
  <c r="I15" i="12"/>
  <c r="J15" i="12" s="1"/>
  <c r="R14" i="12"/>
  <c r="P14" i="12"/>
  <c r="M14" i="12"/>
  <c r="N14" i="12" s="1"/>
  <c r="I14" i="12"/>
  <c r="J14" i="12" s="1"/>
  <c r="R13" i="12"/>
  <c r="P13" i="12"/>
  <c r="M13" i="12"/>
  <c r="N13" i="12" s="1"/>
  <c r="I13" i="12"/>
  <c r="J13" i="12" s="1"/>
  <c r="R12" i="12"/>
  <c r="P12" i="12"/>
  <c r="M12" i="12"/>
  <c r="N12" i="12" s="1"/>
  <c r="I12" i="12"/>
  <c r="J12" i="12" s="1"/>
  <c r="R11" i="12"/>
  <c r="P11" i="12"/>
  <c r="M11" i="12"/>
  <c r="N11" i="12" s="1"/>
  <c r="I11" i="12"/>
  <c r="J11" i="12" s="1"/>
  <c r="R10" i="12"/>
  <c r="P10" i="12"/>
  <c r="M10" i="12"/>
  <c r="N10" i="12" s="1"/>
  <c r="I10" i="12"/>
  <c r="J10" i="12" s="1"/>
  <c r="R9" i="12"/>
  <c r="P9" i="12"/>
  <c r="M9" i="12"/>
  <c r="N9" i="12" s="1"/>
  <c r="I9" i="12"/>
  <c r="J9" i="12" s="1"/>
  <c r="R8" i="12"/>
  <c r="P8" i="12"/>
  <c r="M8" i="12"/>
  <c r="N8" i="12" s="1"/>
  <c r="I8" i="12"/>
  <c r="J8" i="12" s="1"/>
  <c r="R7" i="12"/>
  <c r="P7" i="12"/>
  <c r="M7" i="12"/>
  <c r="N7" i="12" s="1"/>
  <c r="I7" i="12"/>
  <c r="J7" i="12" s="1"/>
  <c r="R6" i="12"/>
  <c r="P6" i="12"/>
  <c r="M6" i="12"/>
  <c r="N6" i="12" s="1"/>
  <c r="I6" i="12"/>
  <c r="J6" i="12" s="1"/>
  <c r="R5" i="12"/>
  <c r="P5" i="12"/>
  <c r="M5" i="12"/>
  <c r="N5" i="12" s="1"/>
  <c r="I5" i="12"/>
  <c r="J5" i="12" s="1"/>
  <c r="R4" i="12"/>
  <c r="P4" i="12"/>
  <c r="M4" i="12"/>
  <c r="N4" i="12" s="1"/>
  <c r="I4" i="12"/>
  <c r="J4" i="12" s="1"/>
  <c r="R3" i="12"/>
  <c r="P3" i="12"/>
  <c r="M3" i="12"/>
  <c r="N3" i="12" s="1"/>
  <c r="I3" i="12"/>
  <c r="J3" i="12" s="1"/>
  <c r="K51" i="2"/>
  <c r="K50" i="2"/>
  <c r="K49" i="2"/>
  <c r="K48" i="2"/>
  <c r="I45" i="2"/>
  <c r="K38" i="2"/>
  <c r="K37" i="2"/>
  <c r="K36" i="2"/>
  <c r="K35" i="2"/>
  <c r="I32" i="2"/>
  <c r="K24" i="2"/>
  <c r="K23" i="2"/>
  <c r="K22" i="2"/>
  <c r="K21" i="2"/>
  <c r="I18" i="2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" i="10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" i="9"/>
  <c r="G4" i="8"/>
  <c r="G5" i="8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" i="8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" i="1"/>
  <c r="M4" i="11"/>
  <c r="M5" i="11"/>
  <c r="M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G4" i="11"/>
  <c r="G5" i="11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M3" i="11"/>
  <c r="J3" i="11"/>
  <c r="G3" i="11"/>
  <c r="D3" i="11"/>
  <c r="R35" i="10"/>
  <c r="P35" i="10"/>
  <c r="M35" i="10"/>
  <c r="N35" i="10" s="1"/>
  <c r="I35" i="10"/>
  <c r="J35" i="10" s="1"/>
  <c r="R34" i="10"/>
  <c r="P34" i="10"/>
  <c r="M34" i="10"/>
  <c r="N34" i="10" s="1"/>
  <c r="I34" i="10"/>
  <c r="J34" i="10" s="1"/>
  <c r="R33" i="10"/>
  <c r="P33" i="10"/>
  <c r="M33" i="10"/>
  <c r="N33" i="10" s="1"/>
  <c r="I33" i="10"/>
  <c r="J33" i="10" s="1"/>
  <c r="R32" i="10"/>
  <c r="P32" i="10"/>
  <c r="M32" i="10"/>
  <c r="N32" i="10" s="1"/>
  <c r="I32" i="10"/>
  <c r="J32" i="10" s="1"/>
  <c r="R31" i="10"/>
  <c r="P31" i="10"/>
  <c r="M31" i="10"/>
  <c r="N31" i="10" s="1"/>
  <c r="I31" i="10"/>
  <c r="J31" i="10" s="1"/>
  <c r="R30" i="10"/>
  <c r="P30" i="10"/>
  <c r="M30" i="10"/>
  <c r="N30" i="10" s="1"/>
  <c r="I30" i="10"/>
  <c r="J30" i="10" s="1"/>
  <c r="R29" i="10"/>
  <c r="P29" i="10"/>
  <c r="M29" i="10"/>
  <c r="N29" i="10" s="1"/>
  <c r="I29" i="10"/>
  <c r="J29" i="10" s="1"/>
  <c r="R28" i="10"/>
  <c r="P28" i="10"/>
  <c r="M28" i="10"/>
  <c r="N28" i="10" s="1"/>
  <c r="I28" i="10"/>
  <c r="J28" i="10" s="1"/>
  <c r="R27" i="10"/>
  <c r="P27" i="10"/>
  <c r="M27" i="10"/>
  <c r="N27" i="10" s="1"/>
  <c r="I27" i="10"/>
  <c r="J27" i="10" s="1"/>
  <c r="R26" i="10"/>
  <c r="P26" i="10"/>
  <c r="M26" i="10"/>
  <c r="N26" i="10" s="1"/>
  <c r="I26" i="10"/>
  <c r="J26" i="10" s="1"/>
  <c r="R25" i="10"/>
  <c r="P25" i="10"/>
  <c r="M25" i="10"/>
  <c r="N25" i="10" s="1"/>
  <c r="I25" i="10"/>
  <c r="J25" i="10" s="1"/>
  <c r="R24" i="10"/>
  <c r="P24" i="10"/>
  <c r="M24" i="10"/>
  <c r="N24" i="10" s="1"/>
  <c r="I24" i="10"/>
  <c r="J24" i="10" s="1"/>
  <c r="R23" i="10"/>
  <c r="P23" i="10"/>
  <c r="M23" i="10"/>
  <c r="N23" i="10" s="1"/>
  <c r="I23" i="10"/>
  <c r="J23" i="10" s="1"/>
  <c r="R22" i="10"/>
  <c r="P22" i="10"/>
  <c r="M22" i="10"/>
  <c r="N22" i="10" s="1"/>
  <c r="I22" i="10"/>
  <c r="J22" i="10" s="1"/>
  <c r="R21" i="10"/>
  <c r="P21" i="10"/>
  <c r="M21" i="10"/>
  <c r="N21" i="10" s="1"/>
  <c r="I21" i="10"/>
  <c r="J21" i="10" s="1"/>
  <c r="R20" i="10"/>
  <c r="P20" i="10"/>
  <c r="M20" i="10"/>
  <c r="N20" i="10" s="1"/>
  <c r="I20" i="10"/>
  <c r="J20" i="10" s="1"/>
  <c r="R19" i="10"/>
  <c r="P19" i="10"/>
  <c r="M19" i="10"/>
  <c r="N19" i="10" s="1"/>
  <c r="I19" i="10"/>
  <c r="J19" i="10" s="1"/>
  <c r="R18" i="10"/>
  <c r="P18" i="10"/>
  <c r="M18" i="10"/>
  <c r="N18" i="10" s="1"/>
  <c r="I18" i="10"/>
  <c r="J18" i="10" s="1"/>
  <c r="R17" i="10"/>
  <c r="P17" i="10"/>
  <c r="M17" i="10"/>
  <c r="N17" i="10" s="1"/>
  <c r="I17" i="10"/>
  <c r="J17" i="10" s="1"/>
  <c r="R16" i="10"/>
  <c r="P16" i="10"/>
  <c r="M16" i="10"/>
  <c r="N16" i="10" s="1"/>
  <c r="I16" i="10"/>
  <c r="J16" i="10" s="1"/>
  <c r="R15" i="10"/>
  <c r="P15" i="10"/>
  <c r="M15" i="10"/>
  <c r="N15" i="10" s="1"/>
  <c r="I15" i="10"/>
  <c r="J15" i="10" s="1"/>
  <c r="R14" i="10"/>
  <c r="P14" i="10"/>
  <c r="M14" i="10"/>
  <c r="N14" i="10" s="1"/>
  <c r="I14" i="10"/>
  <c r="J14" i="10" s="1"/>
  <c r="R13" i="10"/>
  <c r="P13" i="10"/>
  <c r="M13" i="10"/>
  <c r="N13" i="10" s="1"/>
  <c r="I13" i="10"/>
  <c r="J13" i="10" s="1"/>
  <c r="R12" i="10"/>
  <c r="P12" i="10"/>
  <c r="M12" i="10"/>
  <c r="N12" i="10" s="1"/>
  <c r="I12" i="10"/>
  <c r="J12" i="10" s="1"/>
  <c r="R11" i="10"/>
  <c r="P11" i="10"/>
  <c r="M11" i="10"/>
  <c r="N11" i="10" s="1"/>
  <c r="I11" i="10"/>
  <c r="J11" i="10" s="1"/>
  <c r="R10" i="10"/>
  <c r="P10" i="10"/>
  <c r="M10" i="10"/>
  <c r="N10" i="10" s="1"/>
  <c r="I10" i="10"/>
  <c r="J10" i="10" s="1"/>
  <c r="R9" i="10"/>
  <c r="P9" i="10"/>
  <c r="M9" i="10"/>
  <c r="N9" i="10" s="1"/>
  <c r="I9" i="10"/>
  <c r="J9" i="10" s="1"/>
  <c r="R8" i="10"/>
  <c r="P8" i="10"/>
  <c r="M8" i="10"/>
  <c r="N8" i="10" s="1"/>
  <c r="I8" i="10"/>
  <c r="J8" i="10" s="1"/>
  <c r="R7" i="10"/>
  <c r="P7" i="10"/>
  <c r="M7" i="10"/>
  <c r="N7" i="10" s="1"/>
  <c r="I7" i="10"/>
  <c r="J7" i="10" s="1"/>
  <c r="R6" i="10"/>
  <c r="P6" i="10"/>
  <c r="M6" i="10"/>
  <c r="N6" i="10" s="1"/>
  <c r="I6" i="10"/>
  <c r="J6" i="10" s="1"/>
  <c r="R5" i="10"/>
  <c r="P5" i="10"/>
  <c r="M5" i="10"/>
  <c r="N5" i="10" s="1"/>
  <c r="I5" i="10"/>
  <c r="J5" i="10" s="1"/>
  <c r="R4" i="10"/>
  <c r="P4" i="10"/>
  <c r="M4" i="10"/>
  <c r="N4" i="10" s="1"/>
  <c r="I4" i="10"/>
  <c r="J4" i="10" s="1"/>
  <c r="R3" i="10"/>
  <c r="P3" i="10"/>
  <c r="M3" i="10"/>
  <c r="N3" i="10" s="1"/>
  <c r="I3" i="10"/>
  <c r="J3" i="10" s="1"/>
  <c r="R35" i="9"/>
  <c r="P35" i="9"/>
  <c r="M35" i="9"/>
  <c r="N35" i="9" s="1"/>
  <c r="I35" i="9"/>
  <c r="J35" i="9" s="1"/>
  <c r="R34" i="9"/>
  <c r="P34" i="9"/>
  <c r="M34" i="9"/>
  <c r="N34" i="9" s="1"/>
  <c r="I34" i="9"/>
  <c r="J34" i="9" s="1"/>
  <c r="R33" i="9"/>
  <c r="P33" i="9"/>
  <c r="M33" i="9"/>
  <c r="N33" i="9" s="1"/>
  <c r="I33" i="9"/>
  <c r="J33" i="9" s="1"/>
  <c r="R32" i="9"/>
  <c r="P32" i="9"/>
  <c r="M32" i="9"/>
  <c r="N32" i="9" s="1"/>
  <c r="I32" i="9"/>
  <c r="J32" i="9" s="1"/>
  <c r="R31" i="9"/>
  <c r="P31" i="9"/>
  <c r="M31" i="9"/>
  <c r="N31" i="9" s="1"/>
  <c r="I31" i="9"/>
  <c r="J31" i="9" s="1"/>
  <c r="R30" i="9"/>
  <c r="P30" i="9"/>
  <c r="M30" i="9"/>
  <c r="N30" i="9" s="1"/>
  <c r="I30" i="9"/>
  <c r="J30" i="9" s="1"/>
  <c r="R29" i="9"/>
  <c r="P29" i="9"/>
  <c r="M29" i="9"/>
  <c r="N29" i="9" s="1"/>
  <c r="I29" i="9"/>
  <c r="J29" i="9" s="1"/>
  <c r="R28" i="9"/>
  <c r="P28" i="9"/>
  <c r="M28" i="9"/>
  <c r="N28" i="9" s="1"/>
  <c r="I28" i="9"/>
  <c r="J28" i="9" s="1"/>
  <c r="R27" i="9"/>
  <c r="P27" i="9"/>
  <c r="M27" i="9"/>
  <c r="N27" i="9" s="1"/>
  <c r="I27" i="9"/>
  <c r="J27" i="9" s="1"/>
  <c r="R26" i="9"/>
  <c r="P26" i="9"/>
  <c r="M26" i="9"/>
  <c r="N26" i="9" s="1"/>
  <c r="I26" i="9"/>
  <c r="J26" i="9" s="1"/>
  <c r="R25" i="9"/>
  <c r="P25" i="9"/>
  <c r="M25" i="9"/>
  <c r="N25" i="9" s="1"/>
  <c r="I25" i="9"/>
  <c r="J25" i="9" s="1"/>
  <c r="R24" i="9"/>
  <c r="P24" i="9"/>
  <c r="M24" i="9"/>
  <c r="N24" i="9" s="1"/>
  <c r="I24" i="9"/>
  <c r="J24" i="9" s="1"/>
  <c r="R23" i="9"/>
  <c r="P23" i="9"/>
  <c r="M23" i="9"/>
  <c r="N23" i="9" s="1"/>
  <c r="I23" i="9"/>
  <c r="J23" i="9" s="1"/>
  <c r="R22" i="9"/>
  <c r="P22" i="9"/>
  <c r="M22" i="9"/>
  <c r="N22" i="9" s="1"/>
  <c r="I22" i="9"/>
  <c r="J22" i="9" s="1"/>
  <c r="R21" i="9"/>
  <c r="P21" i="9"/>
  <c r="M21" i="9"/>
  <c r="N21" i="9" s="1"/>
  <c r="I21" i="9"/>
  <c r="J21" i="9" s="1"/>
  <c r="R20" i="9"/>
  <c r="P20" i="9"/>
  <c r="M20" i="9"/>
  <c r="N20" i="9" s="1"/>
  <c r="I20" i="9"/>
  <c r="J20" i="9" s="1"/>
  <c r="R19" i="9"/>
  <c r="P19" i="9"/>
  <c r="M19" i="9"/>
  <c r="N19" i="9" s="1"/>
  <c r="I19" i="9"/>
  <c r="J19" i="9" s="1"/>
  <c r="R18" i="9"/>
  <c r="P18" i="9"/>
  <c r="M18" i="9"/>
  <c r="N18" i="9" s="1"/>
  <c r="I18" i="9"/>
  <c r="J18" i="9" s="1"/>
  <c r="R17" i="9"/>
  <c r="P17" i="9"/>
  <c r="M17" i="9"/>
  <c r="N17" i="9" s="1"/>
  <c r="I17" i="9"/>
  <c r="J17" i="9" s="1"/>
  <c r="R16" i="9"/>
  <c r="P16" i="9"/>
  <c r="M16" i="9"/>
  <c r="N16" i="9" s="1"/>
  <c r="I16" i="9"/>
  <c r="J16" i="9" s="1"/>
  <c r="R15" i="9"/>
  <c r="P15" i="9"/>
  <c r="M15" i="9"/>
  <c r="N15" i="9" s="1"/>
  <c r="I15" i="9"/>
  <c r="J15" i="9" s="1"/>
  <c r="R14" i="9"/>
  <c r="P14" i="9"/>
  <c r="M14" i="9"/>
  <c r="N14" i="9" s="1"/>
  <c r="I14" i="9"/>
  <c r="J14" i="9" s="1"/>
  <c r="R13" i="9"/>
  <c r="P13" i="9"/>
  <c r="M13" i="9"/>
  <c r="N13" i="9" s="1"/>
  <c r="I13" i="9"/>
  <c r="J13" i="9" s="1"/>
  <c r="R12" i="9"/>
  <c r="P12" i="9"/>
  <c r="M12" i="9"/>
  <c r="N12" i="9" s="1"/>
  <c r="I12" i="9"/>
  <c r="J12" i="9" s="1"/>
  <c r="R11" i="9"/>
  <c r="P11" i="9"/>
  <c r="M11" i="9"/>
  <c r="N11" i="9" s="1"/>
  <c r="I11" i="9"/>
  <c r="J11" i="9" s="1"/>
  <c r="R10" i="9"/>
  <c r="P10" i="9"/>
  <c r="M10" i="9"/>
  <c r="N10" i="9" s="1"/>
  <c r="I10" i="9"/>
  <c r="J10" i="9" s="1"/>
  <c r="R9" i="9"/>
  <c r="P9" i="9"/>
  <c r="M9" i="9"/>
  <c r="N9" i="9" s="1"/>
  <c r="I9" i="9"/>
  <c r="J9" i="9" s="1"/>
  <c r="R8" i="9"/>
  <c r="P8" i="9"/>
  <c r="M8" i="9"/>
  <c r="N8" i="9" s="1"/>
  <c r="I8" i="9"/>
  <c r="J8" i="9" s="1"/>
  <c r="R7" i="9"/>
  <c r="P7" i="9"/>
  <c r="M7" i="9"/>
  <c r="N7" i="9" s="1"/>
  <c r="I7" i="9"/>
  <c r="J7" i="9" s="1"/>
  <c r="R6" i="9"/>
  <c r="P6" i="9"/>
  <c r="M6" i="9"/>
  <c r="N6" i="9" s="1"/>
  <c r="I6" i="9"/>
  <c r="J6" i="9" s="1"/>
  <c r="R5" i="9"/>
  <c r="P5" i="9"/>
  <c r="M5" i="9"/>
  <c r="N5" i="9" s="1"/>
  <c r="I5" i="9"/>
  <c r="J5" i="9" s="1"/>
  <c r="R4" i="9"/>
  <c r="P4" i="9"/>
  <c r="M4" i="9"/>
  <c r="N4" i="9" s="1"/>
  <c r="I4" i="9"/>
  <c r="J4" i="9" s="1"/>
  <c r="R3" i="9"/>
  <c r="P3" i="9"/>
  <c r="M3" i="9"/>
  <c r="N3" i="9" s="1"/>
  <c r="I3" i="9"/>
  <c r="J3" i="9" s="1"/>
  <c r="R35" i="8"/>
  <c r="P35" i="8"/>
  <c r="M35" i="8"/>
  <c r="N35" i="8" s="1"/>
  <c r="I35" i="8"/>
  <c r="J35" i="8" s="1"/>
  <c r="R34" i="8"/>
  <c r="P34" i="8"/>
  <c r="M34" i="8"/>
  <c r="N34" i="8" s="1"/>
  <c r="I34" i="8"/>
  <c r="J34" i="8" s="1"/>
  <c r="R33" i="8"/>
  <c r="P33" i="8"/>
  <c r="M33" i="8"/>
  <c r="N33" i="8" s="1"/>
  <c r="I33" i="8"/>
  <c r="J33" i="8" s="1"/>
  <c r="R32" i="8"/>
  <c r="P32" i="8"/>
  <c r="M32" i="8"/>
  <c r="N32" i="8" s="1"/>
  <c r="I32" i="8"/>
  <c r="J32" i="8" s="1"/>
  <c r="R31" i="8"/>
  <c r="P31" i="8"/>
  <c r="M31" i="8"/>
  <c r="N31" i="8" s="1"/>
  <c r="I31" i="8"/>
  <c r="J31" i="8" s="1"/>
  <c r="R30" i="8"/>
  <c r="P30" i="8"/>
  <c r="M30" i="8"/>
  <c r="N30" i="8" s="1"/>
  <c r="I30" i="8"/>
  <c r="J30" i="8" s="1"/>
  <c r="R29" i="8"/>
  <c r="P29" i="8"/>
  <c r="M29" i="8"/>
  <c r="N29" i="8" s="1"/>
  <c r="I29" i="8"/>
  <c r="J29" i="8" s="1"/>
  <c r="R28" i="8"/>
  <c r="P28" i="8"/>
  <c r="M28" i="8"/>
  <c r="N28" i="8" s="1"/>
  <c r="I28" i="8"/>
  <c r="J28" i="8" s="1"/>
  <c r="R27" i="8"/>
  <c r="P27" i="8"/>
  <c r="M27" i="8"/>
  <c r="N27" i="8" s="1"/>
  <c r="I27" i="8"/>
  <c r="J27" i="8" s="1"/>
  <c r="R26" i="8"/>
  <c r="P26" i="8"/>
  <c r="M26" i="8"/>
  <c r="N26" i="8" s="1"/>
  <c r="I26" i="8"/>
  <c r="J26" i="8" s="1"/>
  <c r="R25" i="8"/>
  <c r="P25" i="8"/>
  <c r="M25" i="8"/>
  <c r="N25" i="8" s="1"/>
  <c r="I25" i="8"/>
  <c r="J25" i="8" s="1"/>
  <c r="R24" i="8"/>
  <c r="P24" i="8"/>
  <c r="M24" i="8"/>
  <c r="N24" i="8" s="1"/>
  <c r="I24" i="8"/>
  <c r="J24" i="8" s="1"/>
  <c r="R23" i="8"/>
  <c r="P23" i="8"/>
  <c r="M23" i="8"/>
  <c r="N23" i="8" s="1"/>
  <c r="I23" i="8"/>
  <c r="J23" i="8" s="1"/>
  <c r="R22" i="8"/>
  <c r="P22" i="8"/>
  <c r="M22" i="8"/>
  <c r="N22" i="8" s="1"/>
  <c r="I22" i="8"/>
  <c r="J22" i="8" s="1"/>
  <c r="R21" i="8"/>
  <c r="P21" i="8"/>
  <c r="M21" i="8"/>
  <c r="N21" i="8" s="1"/>
  <c r="I21" i="8"/>
  <c r="J21" i="8" s="1"/>
  <c r="R20" i="8"/>
  <c r="P20" i="8"/>
  <c r="M20" i="8"/>
  <c r="N20" i="8" s="1"/>
  <c r="I20" i="8"/>
  <c r="J20" i="8" s="1"/>
  <c r="R19" i="8"/>
  <c r="P19" i="8"/>
  <c r="M19" i="8"/>
  <c r="N19" i="8" s="1"/>
  <c r="I19" i="8"/>
  <c r="J19" i="8" s="1"/>
  <c r="R18" i="8"/>
  <c r="P18" i="8"/>
  <c r="M18" i="8"/>
  <c r="N18" i="8" s="1"/>
  <c r="I18" i="8"/>
  <c r="J18" i="8" s="1"/>
  <c r="R17" i="8"/>
  <c r="P17" i="8"/>
  <c r="M17" i="8"/>
  <c r="N17" i="8" s="1"/>
  <c r="I17" i="8"/>
  <c r="J17" i="8" s="1"/>
  <c r="R16" i="8"/>
  <c r="P16" i="8"/>
  <c r="M16" i="8"/>
  <c r="N16" i="8" s="1"/>
  <c r="I16" i="8"/>
  <c r="J16" i="8" s="1"/>
  <c r="R15" i="8"/>
  <c r="P15" i="8"/>
  <c r="M15" i="8"/>
  <c r="N15" i="8" s="1"/>
  <c r="I15" i="8"/>
  <c r="J15" i="8" s="1"/>
  <c r="R14" i="8"/>
  <c r="P14" i="8"/>
  <c r="M14" i="8"/>
  <c r="N14" i="8" s="1"/>
  <c r="I14" i="8"/>
  <c r="J14" i="8" s="1"/>
  <c r="R13" i="8"/>
  <c r="P13" i="8"/>
  <c r="M13" i="8"/>
  <c r="N13" i="8" s="1"/>
  <c r="I13" i="8"/>
  <c r="J13" i="8" s="1"/>
  <c r="R12" i="8"/>
  <c r="P12" i="8"/>
  <c r="M12" i="8"/>
  <c r="N12" i="8" s="1"/>
  <c r="I12" i="8"/>
  <c r="J12" i="8" s="1"/>
  <c r="R11" i="8"/>
  <c r="P11" i="8"/>
  <c r="M11" i="8"/>
  <c r="N11" i="8" s="1"/>
  <c r="I11" i="8"/>
  <c r="J11" i="8" s="1"/>
  <c r="R10" i="8"/>
  <c r="P10" i="8"/>
  <c r="M10" i="8"/>
  <c r="N10" i="8" s="1"/>
  <c r="I10" i="8"/>
  <c r="J10" i="8" s="1"/>
  <c r="R9" i="8"/>
  <c r="P9" i="8"/>
  <c r="M9" i="8"/>
  <c r="N9" i="8" s="1"/>
  <c r="I9" i="8"/>
  <c r="J9" i="8" s="1"/>
  <c r="R8" i="8"/>
  <c r="P8" i="8"/>
  <c r="M8" i="8"/>
  <c r="N8" i="8" s="1"/>
  <c r="I8" i="8"/>
  <c r="J8" i="8" s="1"/>
  <c r="R7" i="8"/>
  <c r="P7" i="8"/>
  <c r="M7" i="8"/>
  <c r="N7" i="8" s="1"/>
  <c r="I7" i="8"/>
  <c r="J7" i="8" s="1"/>
  <c r="R6" i="8"/>
  <c r="P6" i="8"/>
  <c r="M6" i="8"/>
  <c r="N6" i="8" s="1"/>
  <c r="I6" i="8"/>
  <c r="J6" i="8" s="1"/>
  <c r="R5" i="8"/>
  <c r="P5" i="8"/>
  <c r="M5" i="8"/>
  <c r="N5" i="8" s="1"/>
  <c r="I5" i="8"/>
  <c r="J5" i="8" s="1"/>
  <c r="R4" i="8"/>
  <c r="P4" i="8"/>
  <c r="M4" i="8"/>
  <c r="N4" i="8" s="1"/>
  <c r="I4" i="8"/>
  <c r="J4" i="8" s="1"/>
  <c r="R3" i="8"/>
  <c r="P3" i="8"/>
  <c r="M3" i="8"/>
  <c r="N3" i="8" s="1"/>
  <c r="I3" i="8"/>
  <c r="J3" i="8" s="1"/>
  <c r="K9" i="1"/>
  <c r="M9" i="1" s="1"/>
  <c r="N9" i="1" s="1"/>
  <c r="K7" i="1"/>
  <c r="M7" i="1" s="1"/>
  <c r="N7" i="1" s="1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15" i="5"/>
  <c r="I4" i="1"/>
  <c r="J4" i="1" s="1"/>
  <c r="I5" i="1"/>
  <c r="J5" i="1" s="1"/>
  <c r="I6" i="1"/>
  <c r="J6" i="1" s="1"/>
  <c r="I7" i="1"/>
  <c r="J7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" i="1"/>
  <c r="J3" i="1" s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" i="1"/>
  <c r="M4" i="1"/>
  <c r="N4" i="1" s="1"/>
  <c r="M5" i="1"/>
  <c r="N5" i="1" s="1"/>
  <c r="M6" i="1"/>
  <c r="N6" i="1" s="1"/>
  <c r="M8" i="1"/>
  <c r="N8" i="1" s="1"/>
  <c r="M10" i="1"/>
  <c r="N10" i="1" s="1"/>
  <c r="M11" i="1"/>
  <c r="N11" i="1" s="1"/>
  <c r="M12" i="1"/>
  <c r="N12" i="1" s="1"/>
  <c r="M13" i="1"/>
  <c r="N13" i="1" s="1"/>
  <c r="M14" i="1"/>
  <c r="N14" i="1" s="1"/>
  <c r="M15" i="1"/>
  <c r="N15" i="1" s="1"/>
  <c r="M16" i="1"/>
  <c r="N16" i="1" s="1"/>
  <c r="M17" i="1"/>
  <c r="N17" i="1" s="1"/>
  <c r="M18" i="1"/>
  <c r="N18" i="1" s="1"/>
  <c r="M19" i="1"/>
  <c r="N19" i="1" s="1"/>
  <c r="M20" i="1"/>
  <c r="N20" i="1" s="1"/>
  <c r="M21" i="1"/>
  <c r="N21" i="1" s="1"/>
  <c r="M22" i="1"/>
  <c r="N22" i="1" s="1"/>
  <c r="M23" i="1"/>
  <c r="N23" i="1" s="1"/>
  <c r="M24" i="1"/>
  <c r="N24" i="1" s="1"/>
  <c r="M25" i="1"/>
  <c r="N25" i="1" s="1"/>
  <c r="M26" i="1"/>
  <c r="N26" i="1" s="1"/>
  <c r="M27" i="1"/>
  <c r="N27" i="1" s="1"/>
  <c r="M28" i="1"/>
  <c r="N28" i="1" s="1"/>
  <c r="M29" i="1"/>
  <c r="N29" i="1" s="1"/>
  <c r="M30" i="1"/>
  <c r="N30" i="1" s="1"/>
  <c r="M31" i="1"/>
  <c r="N31" i="1" s="1"/>
  <c r="M32" i="1"/>
  <c r="N32" i="1" s="1"/>
  <c r="M33" i="1"/>
  <c r="N33" i="1" s="1"/>
  <c r="M34" i="1"/>
  <c r="N34" i="1" s="1"/>
  <c r="M35" i="1"/>
  <c r="N35" i="1" s="1"/>
  <c r="M3" i="1"/>
  <c r="N3" i="1" s="1"/>
  <c r="M30" i="13" l="1"/>
  <c r="N30" i="13" s="1"/>
  <c r="M14" i="13"/>
  <c r="N14" i="13" s="1"/>
  <c r="M24" i="13"/>
  <c r="N24" i="13" s="1"/>
  <c r="M34" i="13"/>
  <c r="N34" i="13" s="1"/>
  <c r="S11" i="13"/>
  <c r="T11" i="13" s="1"/>
  <c r="U11" i="13" s="1"/>
  <c r="V11" i="13" s="1"/>
  <c r="W11" i="13" s="1"/>
  <c r="S9" i="13"/>
  <c r="T9" i="13" s="1"/>
  <c r="U9" i="13" s="1"/>
  <c r="V9" i="13" s="1"/>
  <c r="W9" i="13" s="1"/>
  <c r="S35" i="13"/>
  <c r="T35" i="13" s="1"/>
  <c r="U35" i="13" s="1"/>
  <c r="V35" i="13" s="1"/>
  <c r="W35" i="13" s="1"/>
  <c r="S34" i="13"/>
  <c r="S29" i="13"/>
  <c r="T29" i="13" s="1"/>
  <c r="U29" i="13" s="1"/>
  <c r="V29" i="13" s="1"/>
  <c r="W29" i="13" s="1"/>
  <c r="S24" i="13"/>
  <c r="S22" i="13"/>
  <c r="T22" i="13" s="1"/>
  <c r="U22" i="13" s="1"/>
  <c r="V22" i="13" s="1"/>
  <c r="W22" i="13" s="1"/>
  <c r="S21" i="13"/>
  <c r="T21" i="13" s="1"/>
  <c r="U21" i="13" s="1"/>
  <c r="V21" i="13" s="1"/>
  <c r="W21" i="13" s="1"/>
  <c r="S19" i="13"/>
  <c r="T19" i="13" s="1"/>
  <c r="U19" i="13" s="1"/>
  <c r="V19" i="13" s="1"/>
  <c r="W19" i="13" s="1"/>
  <c r="S18" i="13"/>
  <c r="S17" i="13"/>
  <c r="T17" i="13" s="1"/>
  <c r="U17" i="13" s="1"/>
  <c r="V17" i="13" s="1"/>
  <c r="W17" i="13" s="1"/>
  <c r="S6" i="13"/>
  <c r="T6" i="13" s="1"/>
  <c r="U6" i="13" s="1"/>
  <c r="V6" i="13" s="1"/>
  <c r="W6" i="13" s="1"/>
  <c r="S4" i="13"/>
  <c r="T4" i="13" s="1"/>
  <c r="U4" i="13" s="1"/>
  <c r="V4" i="13" s="1"/>
  <c r="W4" i="13" s="1"/>
  <c r="S8" i="13"/>
  <c r="T8" i="13" s="1"/>
  <c r="U8" i="13" s="1"/>
  <c r="V8" i="13" s="1"/>
  <c r="W8" i="13" s="1"/>
  <c r="S23" i="13"/>
  <c r="T23" i="13" s="1"/>
  <c r="U23" i="13" s="1"/>
  <c r="V23" i="13" s="1"/>
  <c r="W23" i="13" s="1"/>
  <c r="S16" i="13"/>
  <c r="T16" i="13" s="1"/>
  <c r="U16" i="13" s="1"/>
  <c r="V16" i="13" s="1"/>
  <c r="W16" i="13" s="1"/>
  <c r="S33" i="13"/>
  <c r="T33" i="13" s="1"/>
  <c r="U33" i="13" s="1"/>
  <c r="V33" i="13" s="1"/>
  <c r="W33" i="13" s="1"/>
  <c r="S3" i="13"/>
  <c r="T3" i="13" s="1"/>
  <c r="U3" i="13" s="1"/>
  <c r="V3" i="13" s="1"/>
  <c r="W3" i="13" s="1"/>
  <c r="S5" i="13"/>
  <c r="T5" i="13" s="1"/>
  <c r="U5" i="13" s="1"/>
  <c r="V5" i="13" s="1"/>
  <c r="W5" i="13" s="1"/>
  <c r="S20" i="13"/>
  <c r="T20" i="13" s="1"/>
  <c r="U20" i="13" s="1"/>
  <c r="V20" i="13" s="1"/>
  <c r="W20" i="13" s="1"/>
  <c r="S27" i="13"/>
  <c r="T27" i="13" s="1"/>
  <c r="U27" i="13" s="1"/>
  <c r="V27" i="13" s="1"/>
  <c r="W27" i="13" s="1"/>
  <c r="S14" i="13"/>
  <c r="S13" i="13"/>
  <c r="T13" i="13" s="1"/>
  <c r="U13" i="13" s="1"/>
  <c r="V13" i="13" s="1"/>
  <c r="W13" i="13" s="1"/>
  <c r="S26" i="13"/>
  <c r="T26" i="13" s="1"/>
  <c r="U26" i="13" s="1"/>
  <c r="V26" i="13" s="1"/>
  <c r="W26" i="13" s="1"/>
  <c r="S30" i="13"/>
  <c r="S7" i="13"/>
  <c r="T7" i="13" s="1"/>
  <c r="U7" i="13" s="1"/>
  <c r="V7" i="13" s="1"/>
  <c r="W7" i="13" s="1"/>
  <c r="S10" i="13"/>
  <c r="T10" i="13" s="1"/>
  <c r="U10" i="13" s="1"/>
  <c r="V10" i="13" s="1"/>
  <c r="W10" i="13" s="1"/>
  <c r="S15" i="13"/>
  <c r="T15" i="13" s="1"/>
  <c r="U15" i="13" s="1"/>
  <c r="V15" i="13" s="1"/>
  <c r="W15" i="13" s="1"/>
  <c r="S25" i="13"/>
  <c r="T25" i="13" s="1"/>
  <c r="U25" i="13" s="1"/>
  <c r="V25" i="13" s="1"/>
  <c r="W25" i="13" s="1"/>
  <c r="S28" i="13"/>
  <c r="T28" i="13" s="1"/>
  <c r="U28" i="13" s="1"/>
  <c r="V28" i="13" s="1"/>
  <c r="W28" i="13" s="1"/>
  <c r="S12" i="13"/>
  <c r="T12" i="13" s="1"/>
  <c r="U12" i="13" s="1"/>
  <c r="V12" i="13" s="1"/>
  <c r="W12" i="13" s="1"/>
  <c r="S31" i="13"/>
  <c r="T31" i="13" s="1"/>
  <c r="U31" i="13" s="1"/>
  <c r="V31" i="13" s="1"/>
  <c r="W31" i="13" s="1"/>
  <c r="S32" i="13"/>
  <c r="T32" i="13" s="1"/>
  <c r="U32" i="13" s="1"/>
  <c r="V32" i="13" s="1"/>
  <c r="W32" i="13" s="1"/>
  <c r="T18" i="13"/>
  <c r="U18" i="13" s="1"/>
  <c r="V18" i="13" s="1"/>
  <c r="W18" i="13" s="1"/>
  <c r="S14" i="12"/>
  <c r="T14" i="12" s="1"/>
  <c r="U14" i="12" s="1"/>
  <c r="V14" i="12" s="1"/>
  <c r="W14" i="12" s="1"/>
  <c r="S34" i="12"/>
  <c r="S22" i="12"/>
  <c r="T22" i="12" s="1"/>
  <c r="U22" i="12" s="1"/>
  <c r="V22" i="12" s="1"/>
  <c r="W22" i="12" s="1"/>
  <c r="S10" i="12"/>
  <c r="T10" i="12" s="1"/>
  <c r="U10" i="12" s="1"/>
  <c r="V10" i="12" s="1"/>
  <c r="W10" i="12" s="1"/>
  <c r="S30" i="12"/>
  <c r="T30" i="12" s="1"/>
  <c r="U30" i="12" s="1"/>
  <c r="V30" i="12" s="1"/>
  <c r="W30" i="12" s="1"/>
  <c r="S6" i="12"/>
  <c r="T6" i="12" s="1"/>
  <c r="U6" i="12" s="1"/>
  <c r="V6" i="12" s="1"/>
  <c r="W6" i="12" s="1"/>
  <c r="S18" i="12"/>
  <c r="T18" i="12" s="1"/>
  <c r="U18" i="12" s="1"/>
  <c r="V18" i="12" s="1"/>
  <c r="W18" i="12" s="1"/>
  <c r="S35" i="12"/>
  <c r="T35" i="12" s="1"/>
  <c r="U35" i="12" s="1"/>
  <c r="V35" i="12" s="1"/>
  <c r="W35" i="12" s="1"/>
  <c r="S26" i="12"/>
  <c r="T26" i="12" s="1"/>
  <c r="U26" i="12" s="1"/>
  <c r="V26" i="12" s="1"/>
  <c r="W26" i="12" s="1"/>
  <c r="S5" i="12"/>
  <c r="T5" i="12" s="1"/>
  <c r="U5" i="12" s="1"/>
  <c r="V5" i="12" s="1"/>
  <c r="W5" i="12" s="1"/>
  <c r="S9" i="12"/>
  <c r="T9" i="12" s="1"/>
  <c r="U9" i="12" s="1"/>
  <c r="V9" i="12" s="1"/>
  <c r="W9" i="12" s="1"/>
  <c r="S13" i="12"/>
  <c r="T13" i="12" s="1"/>
  <c r="U13" i="12" s="1"/>
  <c r="V13" i="12" s="1"/>
  <c r="W13" i="12" s="1"/>
  <c r="S17" i="12"/>
  <c r="T17" i="12" s="1"/>
  <c r="U17" i="12" s="1"/>
  <c r="V17" i="12" s="1"/>
  <c r="W17" i="12" s="1"/>
  <c r="S21" i="12"/>
  <c r="T21" i="12" s="1"/>
  <c r="U21" i="12" s="1"/>
  <c r="V21" i="12" s="1"/>
  <c r="W21" i="12" s="1"/>
  <c r="S25" i="12"/>
  <c r="T25" i="12" s="1"/>
  <c r="U25" i="12" s="1"/>
  <c r="V25" i="12" s="1"/>
  <c r="W25" i="12" s="1"/>
  <c r="S29" i="12"/>
  <c r="T29" i="12" s="1"/>
  <c r="U29" i="12" s="1"/>
  <c r="V29" i="12" s="1"/>
  <c r="W29" i="12" s="1"/>
  <c r="S33" i="12"/>
  <c r="T33" i="12" s="1"/>
  <c r="U33" i="12" s="1"/>
  <c r="V33" i="12" s="1"/>
  <c r="W33" i="12" s="1"/>
  <c r="S4" i="12"/>
  <c r="T4" i="12" s="1"/>
  <c r="U4" i="12" s="1"/>
  <c r="V4" i="12" s="1"/>
  <c r="W4" i="12" s="1"/>
  <c r="S8" i="12"/>
  <c r="T8" i="12" s="1"/>
  <c r="U8" i="12" s="1"/>
  <c r="V8" i="12" s="1"/>
  <c r="W8" i="12" s="1"/>
  <c r="S12" i="12"/>
  <c r="T12" i="12" s="1"/>
  <c r="U12" i="12" s="1"/>
  <c r="V12" i="12" s="1"/>
  <c r="W12" i="12" s="1"/>
  <c r="S16" i="12"/>
  <c r="T16" i="12" s="1"/>
  <c r="U16" i="12" s="1"/>
  <c r="V16" i="12" s="1"/>
  <c r="W16" i="12" s="1"/>
  <c r="S20" i="12"/>
  <c r="T20" i="12" s="1"/>
  <c r="U20" i="12" s="1"/>
  <c r="V20" i="12" s="1"/>
  <c r="W20" i="12" s="1"/>
  <c r="S24" i="12"/>
  <c r="T24" i="12" s="1"/>
  <c r="U24" i="12" s="1"/>
  <c r="V24" i="12" s="1"/>
  <c r="W24" i="12" s="1"/>
  <c r="S28" i="12"/>
  <c r="T28" i="12" s="1"/>
  <c r="U28" i="12" s="1"/>
  <c r="V28" i="12" s="1"/>
  <c r="W28" i="12" s="1"/>
  <c r="S32" i="12"/>
  <c r="T32" i="12" s="1"/>
  <c r="U32" i="12" s="1"/>
  <c r="V32" i="12" s="1"/>
  <c r="W32" i="12" s="1"/>
  <c r="S3" i="12"/>
  <c r="T3" i="12" s="1"/>
  <c r="U3" i="12" s="1"/>
  <c r="V3" i="12" s="1"/>
  <c r="W3" i="12" s="1"/>
  <c r="S7" i="12"/>
  <c r="T7" i="12" s="1"/>
  <c r="U7" i="12" s="1"/>
  <c r="V7" i="12" s="1"/>
  <c r="W7" i="12" s="1"/>
  <c r="S11" i="12"/>
  <c r="T11" i="12" s="1"/>
  <c r="U11" i="12" s="1"/>
  <c r="V11" i="12" s="1"/>
  <c r="W11" i="12" s="1"/>
  <c r="S15" i="12"/>
  <c r="T15" i="12" s="1"/>
  <c r="U15" i="12" s="1"/>
  <c r="V15" i="12" s="1"/>
  <c r="W15" i="12" s="1"/>
  <c r="S19" i="12"/>
  <c r="T19" i="12" s="1"/>
  <c r="U19" i="12" s="1"/>
  <c r="V19" i="12" s="1"/>
  <c r="W19" i="12" s="1"/>
  <c r="S23" i="12"/>
  <c r="T23" i="12" s="1"/>
  <c r="U23" i="12" s="1"/>
  <c r="V23" i="12" s="1"/>
  <c r="W23" i="12" s="1"/>
  <c r="S27" i="12"/>
  <c r="T27" i="12" s="1"/>
  <c r="U27" i="12" s="1"/>
  <c r="V27" i="12" s="1"/>
  <c r="W27" i="12" s="1"/>
  <c r="S31" i="12"/>
  <c r="T31" i="12" s="1"/>
  <c r="U31" i="12" s="1"/>
  <c r="V31" i="12" s="1"/>
  <c r="W31" i="12" s="1"/>
  <c r="T34" i="12"/>
  <c r="U34" i="12" s="1"/>
  <c r="V34" i="12" s="1"/>
  <c r="W34" i="12" s="1"/>
  <c r="S6" i="8"/>
  <c r="T6" i="8" s="1"/>
  <c r="U6" i="8" s="1"/>
  <c r="V6" i="8" s="1"/>
  <c r="W6" i="8" s="1"/>
  <c r="H6" i="11" s="1"/>
  <c r="S18" i="10"/>
  <c r="T18" i="10" s="1"/>
  <c r="U18" i="10" s="1"/>
  <c r="V18" i="10" s="1"/>
  <c r="W18" i="10" s="1"/>
  <c r="S26" i="10"/>
  <c r="T26" i="10" s="1"/>
  <c r="U26" i="10" s="1"/>
  <c r="V26" i="10" s="1"/>
  <c r="W26" i="10" s="1"/>
  <c r="N26" i="11" s="1"/>
  <c r="S30" i="10"/>
  <c r="T30" i="10" s="1"/>
  <c r="U30" i="10" s="1"/>
  <c r="V30" i="10" s="1"/>
  <c r="W30" i="10" s="1"/>
  <c r="S32" i="10"/>
  <c r="T32" i="10" s="1"/>
  <c r="U32" i="10" s="1"/>
  <c r="V32" i="10" s="1"/>
  <c r="W32" i="10" s="1"/>
  <c r="N32" i="11" s="1"/>
  <c r="S24" i="10"/>
  <c r="T24" i="10" s="1"/>
  <c r="U24" i="10" s="1"/>
  <c r="V24" i="10" s="1"/>
  <c r="W24" i="10" s="1"/>
  <c r="N24" i="11" s="1"/>
  <c r="S22" i="10"/>
  <c r="T22" i="10" s="1"/>
  <c r="U22" i="10" s="1"/>
  <c r="V22" i="10" s="1"/>
  <c r="W22" i="10" s="1"/>
  <c r="N22" i="11" s="1"/>
  <c r="S17" i="10"/>
  <c r="T17" i="10" s="1"/>
  <c r="U17" i="10" s="1"/>
  <c r="V17" i="10" s="1"/>
  <c r="W17" i="10" s="1"/>
  <c r="N17" i="11" s="1"/>
  <c r="S4" i="10"/>
  <c r="T4" i="10" s="1"/>
  <c r="U4" i="10" s="1"/>
  <c r="V4" i="10" s="1"/>
  <c r="W4" i="10" s="1"/>
  <c r="N4" i="11" s="1"/>
  <c r="S12" i="10"/>
  <c r="T12" i="10" s="1"/>
  <c r="U12" i="10" s="1"/>
  <c r="V12" i="10" s="1"/>
  <c r="W12" i="10" s="1"/>
  <c r="S16" i="10"/>
  <c r="T16" i="10" s="1"/>
  <c r="U16" i="10" s="1"/>
  <c r="V16" i="10" s="1"/>
  <c r="W16" i="10" s="1"/>
  <c r="S25" i="10"/>
  <c r="T25" i="10" s="1"/>
  <c r="U25" i="10" s="1"/>
  <c r="V25" i="10" s="1"/>
  <c r="W25" i="10" s="1"/>
  <c r="S5" i="10"/>
  <c r="T5" i="10" s="1"/>
  <c r="U5" i="10" s="1"/>
  <c r="V5" i="10" s="1"/>
  <c r="W5" i="10" s="1"/>
  <c r="N5" i="11" s="1"/>
  <c r="S7" i="10"/>
  <c r="T7" i="10" s="1"/>
  <c r="U7" i="10" s="1"/>
  <c r="V7" i="10" s="1"/>
  <c r="W7" i="10" s="1"/>
  <c r="S13" i="10"/>
  <c r="T13" i="10" s="1"/>
  <c r="U13" i="10" s="1"/>
  <c r="V13" i="10" s="1"/>
  <c r="W13" i="10" s="1"/>
  <c r="S33" i="10"/>
  <c r="T33" i="10" s="1"/>
  <c r="U33" i="10" s="1"/>
  <c r="V33" i="10" s="1"/>
  <c r="W33" i="10" s="1"/>
  <c r="N33" i="11" s="1"/>
  <c r="S19" i="10"/>
  <c r="T19" i="10" s="1"/>
  <c r="U19" i="10" s="1"/>
  <c r="V19" i="10" s="1"/>
  <c r="W19" i="10" s="1"/>
  <c r="N19" i="11" s="1"/>
  <c r="S15" i="10"/>
  <c r="T15" i="10" s="1"/>
  <c r="U15" i="10" s="1"/>
  <c r="V15" i="10" s="1"/>
  <c r="W15" i="10" s="1"/>
  <c r="N15" i="11" s="1"/>
  <c r="S9" i="10"/>
  <c r="T9" i="10" s="1"/>
  <c r="U9" i="10" s="1"/>
  <c r="V9" i="10" s="1"/>
  <c r="W9" i="10" s="1"/>
  <c r="N9" i="11" s="1"/>
  <c r="S23" i="10"/>
  <c r="T23" i="10" s="1"/>
  <c r="U23" i="10" s="1"/>
  <c r="V23" i="10" s="1"/>
  <c r="W23" i="10" s="1"/>
  <c r="N23" i="11" s="1"/>
  <c r="S27" i="10"/>
  <c r="T27" i="10" s="1"/>
  <c r="U27" i="10" s="1"/>
  <c r="V27" i="10" s="1"/>
  <c r="W27" i="10" s="1"/>
  <c r="S8" i="10"/>
  <c r="T8" i="10" s="1"/>
  <c r="U8" i="10" s="1"/>
  <c r="V8" i="10" s="1"/>
  <c r="W8" i="10" s="1"/>
  <c r="N8" i="11" s="1"/>
  <c r="S28" i="10"/>
  <c r="T28" i="10" s="1"/>
  <c r="U28" i="10" s="1"/>
  <c r="V28" i="10" s="1"/>
  <c r="W28" i="10" s="1"/>
  <c r="N28" i="11" s="1"/>
  <c r="S34" i="10"/>
  <c r="T34" i="10" s="1"/>
  <c r="U34" i="10" s="1"/>
  <c r="V34" i="10" s="1"/>
  <c r="W34" i="10" s="1"/>
  <c r="N34" i="11" s="1"/>
  <c r="S20" i="10"/>
  <c r="T20" i="10" s="1"/>
  <c r="U20" i="10" s="1"/>
  <c r="V20" i="10" s="1"/>
  <c r="W20" i="10" s="1"/>
  <c r="N20" i="11" s="1"/>
  <c r="S3" i="10"/>
  <c r="T3" i="10" s="1"/>
  <c r="U3" i="10" s="1"/>
  <c r="V3" i="10" s="1"/>
  <c r="W3" i="10" s="1"/>
  <c r="N3" i="11" s="1"/>
  <c r="S11" i="10"/>
  <c r="T11" i="10" s="1"/>
  <c r="U11" i="10" s="1"/>
  <c r="V11" i="10" s="1"/>
  <c r="W11" i="10" s="1"/>
  <c r="N11" i="11" s="1"/>
  <c r="S10" i="10"/>
  <c r="T10" i="10" s="1"/>
  <c r="U10" i="10" s="1"/>
  <c r="V10" i="10" s="1"/>
  <c r="W10" i="10" s="1"/>
  <c r="S14" i="10"/>
  <c r="T14" i="10" s="1"/>
  <c r="U14" i="10" s="1"/>
  <c r="V14" i="10" s="1"/>
  <c r="W14" i="10" s="1"/>
  <c r="N14" i="11" s="1"/>
  <c r="S6" i="10"/>
  <c r="T6" i="10" s="1"/>
  <c r="U6" i="10" s="1"/>
  <c r="V6" i="10" s="1"/>
  <c r="W6" i="10" s="1"/>
  <c r="N6" i="11" s="1"/>
  <c r="S29" i="10"/>
  <c r="T29" i="10" s="1"/>
  <c r="U29" i="10" s="1"/>
  <c r="V29" i="10" s="1"/>
  <c r="W29" i="10" s="1"/>
  <c r="N29" i="11" s="1"/>
  <c r="S35" i="10"/>
  <c r="T35" i="10" s="1"/>
  <c r="U35" i="10" s="1"/>
  <c r="V35" i="10" s="1"/>
  <c r="W35" i="10" s="1"/>
  <c r="S21" i="10"/>
  <c r="T21" i="10" s="1"/>
  <c r="U21" i="10" s="1"/>
  <c r="V21" i="10" s="1"/>
  <c r="W21" i="10" s="1"/>
  <c r="N21" i="11" s="1"/>
  <c r="S31" i="10"/>
  <c r="T31" i="10" s="1"/>
  <c r="U31" i="10" s="1"/>
  <c r="V31" i="10" s="1"/>
  <c r="W31" i="10" s="1"/>
  <c r="N31" i="11" s="1"/>
  <c r="S6" i="9"/>
  <c r="T6" i="9" s="1"/>
  <c r="U6" i="9" s="1"/>
  <c r="V6" i="9" s="1"/>
  <c r="W6" i="9" s="1"/>
  <c r="K6" i="11" s="1"/>
  <c r="S5" i="9"/>
  <c r="T5" i="9" s="1"/>
  <c r="U5" i="9" s="1"/>
  <c r="V5" i="9" s="1"/>
  <c r="W5" i="9" s="1"/>
  <c r="S15" i="9"/>
  <c r="T15" i="9" s="1"/>
  <c r="U15" i="9" s="1"/>
  <c r="V15" i="9" s="1"/>
  <c r="W15" i="9" s="1"/>
  <c r="S17" i="9"/>
  <c r="T17" i="9" s="1"/>
  <c r="U17" i="9" s="1"/>
  <c r="V17" i="9" s="1"/>
  <c r="W17" i="9" s="1"/>
  <c r="S21" i="9"/>
  <c r="T21" i="9" s="1"/>
  <c r="U21" i="9" s="1"/>
  <c r="V21" i="9" s="1"/>
  <c r="W21" i="9" s="1"/>
  <c r="S35" i="9"/>
  <c r="T35" i="9" s="1"/>
  <c r="U35" i="9" s="1"/>
  <c r="V35" i="9" s="1"/>
  <c r="W35" i="9" s="1"/>
  <c r="S34" i="9"/>
  <c r="T34" i="9" s="1"/>
  <c r="U34" i="9" s="1"/>
  <c r="V34" i="9" s="1"/>
  <c r="W34" i="9" s="1"/>
  <c r="K34" i="11" s="1"/>
  <c r="S32" i="9"/>
  <c r="T32" i="9" s="1"/>
  <c r="U32" i="9" s="1"/>
  <c r="V32" i="9" s="1"/>
  <c r="W32" i="9" s="1"/>
  <c r="K32" i="11" s="1"/>
  <c r="S30" i="9"/>
  <c r="T30" i="9" s="1"/>
  <c r="U30" i="9" s="1"/>
  <c r="V30" i="9" s="1"/>
  <c r="W30" i="9" s="1"/>
  <c r="K30" i="11" s="1"/>
  <c r="S26" i="9"/>
  <c r="T26" i="9" s="1"/>
  <c r="U26" i="9" s="1"/>
  <c r="V26" i="9" s="1"/>
  <c r="W26" i="9" s="1"/>
  <c r="K26" i="11" s="1"/>
  <c r="S14" i="9"/>
  <c r="T14" i="9" s="1"/>
  <c r="U14" i="9" s="1"/>
  <c r="V14" i="9" s="1"/>
  <c r="W14" i="9" s="1"/>
  <c r="K14" i="11" s="1"/>
  <c r="S10" i="9"/>
  <c r="T10" i="9" s="1"/>
  <c r="U10" i="9" s="1"/>
  <c r="V10" i="9" s="1"/>
  <c r="W10" i="9" s="1"/>
  <c r="K10" i="11" s="1"/>
  <c r="S9" i="9"/>
  <c r="T9" i="9" s="1"/>
  <c r="U9" i="9" s="1"/>
  <c r="V9" i="9" s="1"/>
  <c r="W9" i="9" s="1"/>
  <c r="K9" i="11" s="1"/>
  <c r="S19" i="9"/>
  <c r="T19" i="9" s="1"/>
  <c r="U19" i="9" s="1"/>
  <c r="V19" i="9" s="1"/>
  <c r="W19" i="9" s="1"/>
  <c r="K19" i="11" s="1"/>
  <c r="S23" i="9"/>
  <c r="T23" i="9" s="1"/>
  <c r="U23" i="9" s="1"/>
  <c r="V23" i="9" s="1"/>
  <c r="W23" i="9" s="1"/>
  <c r="K23" i="11" s="1"/>
  <c r="S25" i="9"/>
  <c r="T25" i="9" s="1"/>
  <c r="U25" i="9" s="1"/>
  <c r="V25" i="9" s="1"/>
  <c r="W25" i="9" s="1"/>
  <c r="K25" i="11" s="1"/>
  <c r="S33" i="9"/>
  <c r="T33" i="9" s="1"/>
  <c r="U33" i="9" s="1"/>
  <c r="V33" i="9" s="1"/>
  <c r="W33" i="9" s="1"/>
  <c r="K33" i="11" s="1"/>
  <c r="S20" i="9"/>
  <c r="T20" i="9" s="1"/>
  <c r="U20" i="9" s="1"/>
  <c r="V20" i="9" s="1"/>
  <c r="W20" i="9" s="1"/>
  <c r="K20" i="11" s="1"/>
  <c r="S3" i="9"/>
  <c r="T3" i="9" s="1"/>
  <c r="U3" i="9" s="1"/>
  <c r="V3" i="9" s="1"/>
  <c r="W3" i="9" s="1"/>
  <c r="K3" i="11" s="1"/>
  <c r="S24" i="9"/>
  <c r="T24" i="9" s="1"/>
  <c r="U24" i="9" s="1"/>
  <c r="V24" i="9" s="1"/>
  <c r="W24" i="9" s="1"/>
  <c r="K24" i="11" s="1"/>
  <c r="S28" i="9"/>
  <c r="T28" i="9" s="1"/>
  <c r="U28" i="9" s="1"/>
  <c r="V28" i="9" s="1"/>
  <c r="W28" i="9" s="1"/>
  <c r="K28" i="11" s="1"/>
  <c r="S7" i="9"/>
  <c r="T7" i="9" s="1"/>
  <c r="U7" i="9" s="1"/>
  <c r="V7" i="9" s="1"/>
  <c r="W7" i="9" s="1"/>
  <c r="S16" i="9"/>
  <c r="T16" i="9" s="1"/>
  <c r="U16" i="9" s="1"/>
  <c r="V16" i="9" s="1"/>
  <c r="W16" i="9" s="1"/>
  <c r="S27" i="9"/>
  <c r="T27" i="9" s="1"/>
  <c r="U27" i="9" s="1"/>
  <c r="V27" i="9" s="1"/>
  <c r="W27" i="9" s="1"/>
  <c r="S29" i="9"/>
  <c r="T29" i="9" s="1"/>
  <c r="U29" i="9" s="1"/>
  <c r="V29" i="9" s="1"/>
  <c r="W29" i="9" s="1"/>
  <c r="K29" i="11" s="1"/>
  <c r="S4" i="9"/>
  <c r="T4" i="9" s="1"/>
  <c r="U4" i="9" s="1"/>
  <c r="V4" i="9" s="1"/>
  <c r="W4" i="9" s="1"/>
  <c r="S8" i="9"/>
  <c r="T8" i="9" s="1"/>
  <c r="U8" i="9" s="1"/>
  <c r="V8" i="9" s="1"/>
  <c r="W8" i="9" s="1"/>
  <c r="K8" i="11" s="1"/>
  <c r="S12" i="9"/>
  <c r="T12" i="9" s="1"/>
  <c r="U12" i="9" s="1"/>
  <c r="V12" i="9" s="1"/>
  <c r="W12" i="9" s="1"/>
  <c r="S11" i="9"/>
  <c r="T11" i="9" s="1"/>
  <c r="U11" i="9" s="1"/>
  <c r="V11" i="9" s="1"/>
  <c r="W11" i="9" s="1"/>
  <c r="K11" i="11" s="1"/>
  <c r="S13" i="9"/>
  <c r="T13" i="9" s="1"/>
  <c r="U13" i="9" s="1"/>
  <c r="V13" i="9" s="1"/>
  <c r="W13" i="9" s="1"/>
  <c r="K13" i="11" s="1"/>
  <c r="S18" i="9"/>
  <c r="T18" i="9" s="1"/>
  <c r="U18" i="9" s="1"/>
  <c r="V18" i="9" s="1"/>
  <c r="W18" i="9" s="1"/>
  <c r="K18" i="11" s="1"/>
  <c r="S22" i="9"/>
  <c r="T22" i="9" s="1"/>
  <c r="U22" i="9" s="1"/>
  <c r="V22" i="9" s="1"/>
  <c r="W22" i="9" s="1"/>
  <c r="K22" i="11" s="1"/>
  <c r="S31" i="9"/>
  <c r="T31" i="9" s="1"/>
  <c r="U31" i="9" s="1"/>
  <c r="V31" i="9" s="1"/>
  <c r="W31" i="9" s="1"/>
  <c r="S34" i="8"/>
  <c r="T34" i="8" s="1"/>
  <c r="U34" i="8" s="1"/>
  <c r="V34" i="8" s="1"/>
  <c r="W34" i="8" s="1"/>
  <c r="H34" i="11" s="1"/>
  <c r="S7" i="8"/>
  <c r="T7" i="8" s="1"/>
  <c r="U7" i="8" s="1"/>
  <c r="V7" i="8" s="1"/>
  <c r="W7" i="8" s="1"/>
  <c r="H7" i="11" s="1"/>
  <c r="S5" i="8"/>
  <c r="T5" i="8" s="1"/>
  <c r="U5" i="8" s="1"/>
  <c r="V5" i="8" s="1"/>
  <c r="W5" i="8" s="1"/>
  <c r="H5" i="11" s="1"/>
  <c r="S31" i="8"/>
  <c r="T31" i="8" s="1"/>
  <c r="U31" i="8" s="1"/>
  <c r="V31" i="8" s="1"/>
  <c r="W31" i="8" s="1"/>
  <c r="H31" i="11" s="1"/>
  <c r="S33" i="8"/>
  <c r="T33" i="8" s="1"/>
  <c r="U33" i="8" s="1"/>
  <c r="V33" i="8" s="1"/>
  <c r="W33" i="8" s="1"/>
  <c r="H33" i="11" s="1"/>
  <c r="S16" i="8"/>
  <c r="T16" i="8" s="1"/>
  <c r="U16" i="8" s="1"/>
  <c r="V16" i="8" s="1"/>
  <c r="W16" i="8" s="1"/>
  <c r="S20" i="8"/>
  <c r="T20" i="8" s="1"/>
  <c r="U20" i="8" s="1"/>
  <c r="V20" i="8" s="1"/>
  <c r="W20" i="8" s="1"/>
  <c r="H20" i="11" s="1"/>
  <c r="S22" i="8"/>
  <c r="T22" i="8" s="1"/>
  <c r="U22" i="8" s="1"/>
  <c r="V22" i="8" s="1"/>
  <c r="W22" i="8" s="1"/>
  <c r="H22" i="11" s="1"/>
  <c r="S26" i="8"/>
  <c r="T26" i="8" s="1"/>
  <c r="U26" i="8" s="1"/>
  <c r="V26" i="8" s="1"/>
  <c r="W26" i="8" s="1"/>
  <c r="H26" i="11" s="1"/>
  <c r="S15" i="8"/>
  <c r="T15" i="8" s="1"/>
  <c r="U15" i="8" s="1"/>
  <c r="V15" i="8" s="1"/>
  <c r="W15" i="8" s="1"/>
  <c r="H15" i="11" s="1"/>
  <c r="S27" i="8"/>
  <c r="T27" i="8" s="1"/>
  <c r="U27" i="8" s="1"/>
  <c r="V27" i="8" s="1"/>
  <c r="W27" i="8" s="1"/>
  <c r="H27" i="11" s="1"/>
  <c r="S9" i="8"/>
  <c r="T9" i="8" s="1"/>
  <c r="U9" i="8" s="1"/>
  <c r="V9" i="8" s="1"/>
  <c r="W9" i="8" s="1"/>
  <c r="H9" i="11" s="1"/>
  <c r="S30" i="8"/>
  <c r="T30" i="8" s="1"/>
  <c r="U30" i="8" s="1"/>
  <c r="V30" i="8" s="1"/>
  <c r="W30" i="8" s="1"/>
  <c r="H30" i="11" s="1"/>
  <c r="S17" i="8"/>
  <c r="T17" i="8" s="1"/>
  <c r="U17" i="8" s="1"/>
  <c r="V17" i="8" s="1"/>
  <c r="W17" i="8" s="1"/>
  <c r="H17" i="11" s="1"/>
  <c r="S21" i="8"/>
  <c r="T21" i="8" s="1"/>
  <c r="U21" i="8" s="1"/>
  <c r="V21" i="8" s="1"/>
  <c r="W21" i="8" s="1"/>
  <c r="H21" i="11" s="1"/>
  <c r="S12" i="8"/>
  <c r="T12" i="8" s="1"/>
  <c r="U12" i="8" s="1"/>
  <c r="V12" i="8" s="1"/>
  <c r="W12" i="8" s="1"/>
  <c r="H12" i="11" s="1"/>
  <c r="S23" i="8"/>
  <c r="T23" i="8" s="1"/>
  <c r="U23" i="8" s="1"/>
  <c r="V23" i="8" s="1"/>
  <c r="W23" i="8" s="1"/>
  <c r="H23" i="11" s="1"/>
  <c r="S3" i="8"/>
  <c r="T3" i="8" s="1"/>
  <c r="U3" i="8" s="1"/>
  <c r="V3" i="8" s="1"/>
  <c r="W3" i="8" s="1"/>
  <c r="H3" i="11" s="1"/>
  <c r="S19" i="8"/>
  <c r="T19" i="8" s="1"/>
  <c r="U19" i="8" s="1"/>
  <c r="V19" i="8" s="1"/>
  <c r="W19" i="8" s="1"/>
  <c r="H19" i="11" s="1"/>
  <c r="S14" i="8"/>
  <c r="T14" i="8" s="1"/>
  <c r="U14" i="8" s="1"/>
  <c r="V14" i="8" s="1"/>
  <c r="W14" i="8" s="1"/>
  <c r="H14" i="11" s="1"/>
  <c r="S25" i="8"/>
  <c r="T25" i="8" s="1"/>
  <c r="U25" i="8" s="1"/>
  <c r="V25" i="8" s="1"/>
  <c r="W25" i="8" s="1"/>
  <c r="H25" i="11" s="1"/>
  <c r="S29" i="8"/>
  <c r="T29" i="8" s="1"/>
  <c r="U29" i="8" s="1"/>
  <c r="V29" i="8" s="1"/>
  <c r="W29" i="8" s="1"/>
  <c r="H29" i="11" s="1"/>
  <c r="S4" i="8"/>
  <c r="T4" i="8" s="1"/>
  <c r="U4" i="8" s="1"/>
  <c r="V4" i="8" s="1"/>
  <c r="W4" i="8" s="1"/>
  <c r="H4" i="11" s="1"/>
  <c r="S24" i="8"/>
  <c r="T24" i="8" s="1"/>
  <c r="U24" i="8" s="1"/>
  <c r="V24" i="8" s="1"/>
  <c r="W24" i="8" s="1"/>
  <c r="H24" i="11" s="1"/>
  <c r="S28" i="8"/>
  <c r="T28" i="8" s="1"/>
  <c r="U28" i="8" s="1"/>
  <c r="V28" i="8" s="1"/>
  <c r="W28" i="8" s="1"/>
  <c r="H28" i="11" s="1"/>
  <c r="S35" i="8"/>
  <c r="T35" i="8" s="1"/>
  <c r="U35" i="8" s="1"/>
  <c r="V35" i="8" s="1"/>
  <c r="W35" i="8" s="1"/>
  <c r="H35" i="11" s="1"/>
  <c r="S11" i="8"/>
  <c r="T11" i="8" s="1"/>
  <c r="U11" i="8" s="1"/>
  <c r="V11" i="8" s="1"/>
  <c r="W11" i="8" s="1"/>
  <c r="H11" i="11" s="1"/>
  <c r="S8" i="8"/>
  <c r="T8" i="8" s="1"/>
  <c r="U8" i="8" s="1"/>
  <c r="V8" i="8" s="1"/>
  <c r="W8" i="8" s="1"/>
  <c r="H8" i="11" s="1"/>
  <c r="S13" i="8"/>
  <c r="T13" i="8" s="1"/>
  <c r="U13" i="8" s="1"/>
  <c r="V13" i="8" s="1"/>
  <c r="W13" i="8" s="1"/>
  <c r="H13" i="11" s="1"/>
  <c r="S32" i="8"/>
  <c r="T32" i="8" s="1"/>
  <c r="U32" i="8" s="1"/>
  <c r="V32" i="8" s="1"/>
  <c r="W32" i="8" s="1"/>
  <c r="H32" i="11" s="1"/>
  <c r="S10" i="8"/>
  <c r="T10" i="8" s="1"/>
  <c r="U10" i="8" s="1"/>
  <c r="V10" i="8" s="1"/>
  <c r="W10" i="8" s="1"/>
  <c r="H10" i="11" s="1"/>
  <c r="S18" i="8"/>
  <c r="T18" i="8" s="1"/>
  <c r="U18" i="8" s="1"/>
  <c r="V18" i="8" s="1"/>
  <c r="W18" i="8" s="1"/>
  <c r="H18" i="11" s="1"/>
  <c r="K9" i="2"/>
  <c r="S34" i="1"/>
  <c r="T34" i="1" s="1"/>
  <c r="U34" i="1" s="1"/>
  <c r="V34" i="1" s="1"/>
  <c r="W34" i="1" s="1"/>
  <c r="E34" i="11" s="1"/>
  <c r="S26" i="1"/>
  <c r="T26" i="1" s="1"/>
  <c r="U26" i="1" s="1"/>
  <c r="V26" i="1" s="1"/>
  <c r="W26" i="1" s="1"/>
  <c r="E26" i="11" s="1"/>
  <c r="S18" i="1"/>
  <c r="T18" i="1" s="1"/>
  <c r="U18" i="1" s="1"/>
  <c r="V18" i="1" s="1"/>
  <c r="W18" i="1" s="1"/>
  <c r="E18" i="11" s="1"/>
  <c r="S10" i="1"/>
  <c r="T10" i="1" s="1"/>
  <c r="U10" i="1" s="1"/>
  <c r="V10" i="1" s="1"/>
  <c r="W10" i="1" s="1"/>
  <c r="E10" i="11" s="1"/>
  <c r="S28" i="1"/>
  <c r="T28" i="1" s="1"/>
  <c r="U28" i="1" s="1"/>
  <c r="V28" i="1" s="1"/>
  <c r="W28" i="1" s="1"/>
  <c r="E28" i="11" s="1"/>
  <c r="S20" i="1"/>
  <c r="T20" i="1" s="1"/>
  <c r="U20" i="1" s="1"/>
  <c r="V20" i="1" s="1"/>
  <c r="W20" i="1" s="1"/>
  <c r="E20" i="11" s="1"/>
  <c r="S12" i="1"/>
  <c r="T12" i="1" s="1"/>
  <c r="U12" i="1" s="1"/>
  <c r="V12" i="1" s="1"/>
  <c r="W12" i="1" s="1"/>
  <c r="S32" i="1"/>
  <c r="T32" i="1" s="1"/>
  <c r="U32" i="1" s="1"/>
  <c r="V32" i="1" s="1"/>
  <c r="W32" i="1" s="1"/>
  <c r="E32" i="11" s="1"/>
  <c r="S24" i="1"/>
  <c r="T24" i="1" s="1"/>
  <c r="U24" i="1" s="1"/>
  <c r="V24" i="1" s="1"/>
  <c r="W24" i="1" s="1"/>
  <c r="E24" i="11" s="1"/>
  <c r="S16" i="1"/>
  <c r="T16" i="1" s="1"/>
  <c r="U16" i="1" s="1"/>
  <c r="V16" i="1" s="1"/>
  <c r="W16" i="1" s="1"/>
  <c r="S8" i="1"/>
  <c r="T8" i="1" s="1"/>
  <c r="U8" i="1" s="1"/>
  <c r="V8" i="1" s="1"/>
  <c r="W8" i="1" s="1"/>
  <c r="S31" i="1"/>
  <c r="T31" i="1" s="1"/>
  <c r="U31" i="1" s="1"/>
  <c r="V31" i="1" s="1"/>
  <c r="W31" i="1" s="1"/>
  <c r="E31" i="11" s="1"/>
  <c r="S23" i="1"/>
  <c r="T23" i="1" s="1"/>
  <c r="U23" i="1" s="1"/>
  <c r="V23" i="1" s="1"/>
  <c r="W23" i="1" s="1"/>
  <c r="E23" i="11" s="1"/>
  <c r="S15" i="1"/>
  <c r="T15" i="1" s="1"/>
  <c r="U15" i="1" s="1"/>
  <c r="V15" i="1" s="1"/>
  <c r="W15" i="1" s="1"/>
  <c r="E15" i="11" s="1"/>
  <c r="S7" i="1"/>
  <c r="T7" i="1" s="1"/>
  <c r="U7" i="1" s="1"/>
  <c r="V7" i="1" s="1"/>
  <c r="W7" i="1" s="1"/>
  <c r="E7" i="11" s="1"/>
  <c r="S4" i="1"/>
  <c r="T4" i="1" s="1"/>
  <c r="U4" i="1" s="1"/>
  <c r="V4" i="1" s="1"/>
  <c r="W4" i="1" s="1"/>
  <c r="E4" i="11" s="1"/>
  <c r="K8" i="2"/>
  <c r="K7" i="2"/>
  <c r="S30" i="1"/>
  <c r="T30" i="1" s="1"/>
  <c r="U30" i="1" s="1"/>
  <c r="V30" i="1" s="1"/>
  <c r="W30" i="1" s="1"/>
  <c r="E30" i="11" s="1"/>
  <c r="S22" i="1"/>
  <c r="T22" i="1" s="1"/>
  <c r="U22" i="1" s="1"/>
  <c r="V22" i="1" s="1"/>
  <c r="W22" i="1" s="1"/>
  <c r="E22" i="11" s="1"/>
  <c r="S14" i="1"/>
  <c r="T14" i="1" s="1"/>
  <c r="U14" i="1" s="1"/>
  <c r="V14" i="1" s="1"/>
  <c r="W14" i="1" s="1"/>
  <c r="E14" i="11" s="1"/>
  <c r="S35" i="1"/>
  <c r="T35" i="1" s="1"/>
  <c r="U35" i="1" s="1"/>
  <c r="V35" i="1" s="1"/>
  <c r="W35" i="1" s="1"/>
  <c r="S27" i="1"/>
  <c r="T27" i="1" s="1"/>
  <c r="U27" i="1" s="1"/>
  <c r="V27" i="1" s="1"/>
  <c r="W27" i="1" s="1"/>
  <c r="S19" i="1"/>
  <c r="T19" i="1" s="1"/>
  <c r="U19" i="1" s="1"/>
  <c r="V19" i="1" s="1"/>
  <c r="W19" i="1" s="1"/>
  <c r="E19" i="11" s="1"/>
  <c r="S11" i="1"/>
  <c r="T11" i="1" s="1"/>
  <c r="U11" i="1" s="1"/>
  <c r="V11" i="1" s="1"/>
  <c r="W11" i="1" s="1"/>
  <c r="E11" i="11" s="1"/>
  <c r="S33" i="1"/>
  <c r="T33" i="1" s="1"/>
  <c r="U33" i="1" s="1"/>
  <c r="V33" i="1" s="1"/>
  <c r="W33" i="1" s="1"/>
  <c r="E33" i="11" s="1"/>
  <c r="S25" i="1"/>
  <c r="T25" i="1" s="1"/>
  <c r="U25" i="1" s="1"/>
  <c r="V25" i="1" s="1"/>
  <c r="W25" i="1" s="1"/>
  <c r="E25" i="11" s="1"/>
  <c r="S17" i="1"/>
  <c r="T17" i="1" s="1"/>
  <c r="U17" i="1" s="1"/>
  <c r="V17" i="1" s="1"/>
  <c r="W17" i="1" s="1"/>
  <c r="E17" i="11" s="1"/>
  <c r="S9" i="1"/>
  <c r="T9" i="1" s="1"/>
  <c r="U9" i="1" s="1"/>
  <c r="V9" i="1" s="1"/>
  <c r="W9" i="1" s="1"/>
  <c r="E9" i="11" s="1"/>
  <c r="S29" i="1"/>
  <c r="T29" i="1" s="1"/>
  <c r="U29" i="1" s="1"/>
  <c r="V29" i="1" s="1"/>
  <c r="W29" i="1" s="1"/>
  <c r="E29" i="11" s="1"/>
  <c r="S21" i="1"/>
  <c r="T21" i="1" s="1"/>
  <c r="U21" i="1" s="1"/>
  <c r="V21" i="1" s="1"/>
  <c r="W21" i="1" s="1"/>
  <c r="E21" i="11" s="1"/>
  <c r="S13" i="1"/>
  <c r="T13" i="1" s="1"/>
  <c r="U13" i="1" s="1"/>
  <c r="V13" i="1" s="1"/>
  <c r="W13" i="1" s="1"/>
  <c r="E13" i="11" s="1"/>
  <c r="S6" i="1"/>
  <c r="T6" i="1" s="1"/>
  <c r="U6" i="1" s="1"/>
  <c r="V6" i="1" s="1"/>
  <c r="W6" i="1" s="1"/>
  <c r="S5" i="1"/>
  <c r="T5" i="1" s="1"/>
  <c r="U5" i="1" s="1"/>
  <c r="V5" i="1" s="1"/>
  <c r="W5" i="1" s="1"/>
  <c r="S3" i="1"/>
  <c r="T3" i="1" s="1"/>
  <c r="U3" i="1" s="1"/>
  <c r="V3" i="1" s="1"/>
  <c r="W3" i="1" s="1"/>
  <c r="E3" i="11" s="1"/>
  <c r="K6" i="2"/>
  <c r="I3" i="2"/>
  <c r="T14" i="13" l="1"/>
  <c r="U14" i="13" s="1"/>
  <c r="V14" i="13" s="1"/>
  <c r="W14" i="13" s="1"/>
  <c r="T34" i="13"/>
  <c r="U34" i="13" s="1"/>
  <c r="V34" i="13" s="1"/>
  <c r="W34" i="13" s="1"/>
  <c r="T24" i="13"/>
  <c r="U24" i="13" s="1"/>
  <c r="V24" i="13" s="1"/>
  <c r="W24" i="13" s="1"/>
  <c r="T30" i="13"/>
  <c r="U30" i="13" s="1"/>
  <c r="V30" i="13" s="1"/>
  <c r="W30" i="1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L3" authorId="0" shapeId="0" xr:uid="{F5D16B37-740B-4BC5-BCDD-B085A928B9D2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SMLV 2025 = $1.423.500</t>
        </r>
      </text>
    </comment>
  </commentList>
</comments>
</file>

<file path=xl/sharedStrings.xml><?xml version="1.0" encoding="utf-8"?>
<sst xmlns="http://schemas.openxmlformats.org/spreadsheetml/2006/main" count="2390" uniqueCount="328">
  <si>
    <t>No. Riesgo</t>
  </si>
  <si>
    <t>Actividad</t>
  </si>
  <si>
    <t>Identificar todas las características de quién necesita o desea DESESPERADAMENTE tu idea de producto alimenticio.
Análisis del consumidor</t>
  </si>
  <si>
    <t>Identificar todas las características del nicho de MERCADO.
Estudio del Mercado</t>
  </si>
  <si>
    <t>Analizar las tendencias y comportamientos del nicho de mercado en el pasado, presente y futuro.
Análisis prospectivo.</t>
  </si>
  <si>
    <t>Identificar y analizar los productos sustitutos con los que satisfacen tus clientes potenciales su necesidad o deseo.
Análisis de la competencia.</t>
  </si>
  <si>
    <t xml:space="preserve"> Verificar y validar si la idea es realmente NOVEDOSA  </t>
  </si>
  <si>
    <t>Diseñar y Desarrollar la marca de tu emprendimiento y producto(s)</t>
  </si>
  <si>
    <t>Definir los canales de ventas y la cobertura geográfica que tendrás</t>
  </si>
  <si>
    <t xml:space="preserve">Buscar, seleccionar y validar VARIOS proveedores potenciales aliados   </t>
  </si>
  <si>
    <t xml:space="preserve"> Desarrollar el modelo de negocio</t>
  </si>
  <si>
    <t xml:space="preserve"> Elaborar los cuadros de costos asociados al desarrollo, fabricación y comercialización de tu producto  </t>
  </si>
  <si>
    <t xml:space="preserve">Comercializar tu producto en muestras pequeñas del nicho de mercado (familiares, amigos y referidos)      </t>
  </si>
  <si>
    <t xml:space="preserve">Recibir FEEDBACK  de tus primeros consumidores   </t>
  </si>
  <si>
    <t>Realizar ciclos de mejoramiento continuo consecutivos orientados a la mejora incremental de la calidad del producto</t>
  </si>
  <si>
    <t>Validar recompras, FANS de tus productos y si tus clientes te recomiendan sin que se lo pidas</t>
  </si>
  <si>
    <t>Ejecutar estrategias de mercadeo según canal de ventas</t>
  </si>
  <si>
    <t>Recibir todos los pedidos y la confirmación del pago</t>
  </si>
  <si>
    <t>Diseñar el andamiaje de administración de pedidos y logística (adquisición materias primas)</t>
  </si>
  <si>
    <t xml:space="preserve"> Enviar y entregar el pedido</t>
  </si>
  <si>
    <t xml:space="preserve">Recibir FEEDBACK  de tu mercado </t>
  </si>
  <si>
    <t>Evaluar los KPI del negocio y analizar las lecciones aprendidas</t>
  </si>
  <si>
    <t>Descripción del riesgo</t>
  </si>
  <si>
    <t xml:space="preserve">Posibilidad de pérdida económica, reputacional y de oportunidad, por  factores personales, emocionales y contextuales que afectan tu confianza, liderazgo y planificación    </t>
  </si>
  <si>
    <t>Área de impacto</t>
  </si>
  <si>
    <t>Pérdida económica, reputacional y de oportunidad</t>
  </si>
  <si>
    <t>Posibilidad de pérdida económica y de oportunidad, por  no tener una GRAN IDEA que realmente te apasione</t>
  </si>
  <si>
    <t>Posibilidad de pérdida económica y de oportunidad, al no identificar adecuadamente quién necesita el producto alimenticio, no comprender las necesidades y motivaciones de los consumidores, no adaptarse a los cambios en sus preferencias, y no construir relaciones sólidas.</t>
  </si>
  <si>
    <t>Posibilidad de pérdida económica y de oportunidad, por no identificar un mercado en crecimiento, seleccionar inadecuadamente el mercado meta, no entender sus necesidades y no adaptarse ante los cambios del entorno.</t>
  </si>
  <si>
    <t>Posibilidad de pérdida económica y de oportunidad, por no cambiar antes de que sea obligatorio y no aprovechar las tendencias del entorno.</t>
  </si>
  <si>
    <t>Posibilidad de pérdida de oportunidad, por no identificar y analizar los productos sustitutos que satisfacen las necesidades o deseos de tus clientes potenciales.</t>
  </si>
  <si>
    <t>Posibilidad de pérdida económica y de oportunidad, por desarrollar productos con bajo nivel de novedad y no enfocarse en la creación de nuevos productos.</t>
  </si>
  <si>
    <t>Posibilidad de pérdida económica, reputacional y de oportunidad, por la complejidad de las recetas, ingredientes difíciles de conseguir, incumplimiento de normas, baja calidad nutricional y falta de innovación</t>
  </si>
  <si>
    <t>Posibilidad de pérdida económica y de oportunidad, por no realizar paneles sensoriales donde puedas verificar que tus productos realmente les encantan a tus consumidores</t>
  </si>
  <si>
    <t>Posibilidad de pérdida económica y de oportunidad, por tener poca visibilidad del negocio  debido a la mala escogencia del canal de ventas</t>
  </si>
  <si>
    <t>Posibilidad de pérdida económica, reputacional y de oportunidad, por la dependencia de algunos proveedores</t>
  </si>
  <si>
    <t>Posibilidad de pérdida económica, reputacional y de oportunidad, por no mantener una ventaja competitiva y diversificar</t>
  </si>
  <si>
    <t>Posibilidad de pérdida económica, y de oportunidad, por no ajustar y mejorar el producto</t>
  </si>
  <si>
    <t>Posibilidad de pérdida económica, reputacional y de oportunidad, por no iterar y mejorar el producto y su experiencia constantemente</t>
  </si>
  <si>
    <t>Posibilidad de pérdida económica y de oportunidad, por no reflexionar sobre las recompras, fans del producto y sobre el dolor que causaría a los clientes un eventual fracaso</t>
  </si>
  <si>
    <t>Posibilidad de pérdida económica y de oportunidad, por no ejecutar estrategias de mercadeo según el canal de ventas</t>
  </si>
  <si>
    <t>Posibilidad de pérdida económica y de oportunidad, por factores externos que afecten los precios y disponibilidad de las materias primas y la logística</t>
  </si>
  <si>
    <t>Posibilidad de pérdida económica, reputacional y de oportunidad, debido a la incapacidad de garantizar la buena presentación, el estado del producto, y el fraude alimentario</t>
  </si>
  <si>
    <t>Pérdida económica y de oportunidad</t>
  </si>
  <si>
    <t>Pérdida de oportunidad</t>
  </si>
  <si>
    <t>Pérdida económica</t>
  </si>
  <si>
    <t>Probabilidad</t>
  </si>
  <si>
    <t>Muy alta</t>
  </si>
  <si>
    <t>Alta</t>
  </si>
  <si>
    <t>Media</t>
  </si>
  <si>
    <t>Baja</t>
  </si>
  <si>
    <t>Muy baja</t>
  </si>
  <si>
    <t>Insignificante</t>
  </si>
  <si>
    <t>Menor</t>
  </si>
  <si>
    <t>Moderado</t>
  </si>
  <si>
    <t>Importante</t>
  </si>
  <si>
    <t>Mayor</t>
  </si>
  <si>
    <t>Impacto</t>
  </si>
  <si>
    <t>Total Riesgos</t>
  </si>
  <si>
    <t># Veces/ Año</t>
  </si>
  <si>
    <t>=SI(A1&lt;=4, "20%", SI(A1&lt;=12, "40%", SI(A1&lt;=365, "60%", SI(A1&lt;=3660, "80%", "100%"))))</t>
  </si>
  <si>
    <t>Frecuencia</t>
  </si>
  <si>
    <t>%</t>
  </si>
  <si>
    <t>SMLMV</t>
  </si>
  <si>
    <t>Pérdida/SMLMV</t>
  </si>
  <si>
    <t>Conocimiento</t>
  </si>
  <si>
    <t>Cumplimiento</t>
  </si>
  <si>
    <t>Sólo de conocimiento de la emprendedora</t>
  </si>
  <si>
    <t>No se registra incumplimiento regulatorio</t>
  </si>
  <si>
    <t>De conocimiento de algunos familiares, amigos y proveedores</t>
  </si>
  <si>
    <t>Genera recomendación de organismo regulatorio</t>
  </si>
  <si>
    <t>Requerimiento del organismo regulatorio</t>
  </si>
  <si>
    <t>Deterioro de la imagen a nivel regional</t>
  </si>
  <si>
    <t>Llamado de atención del organismo regulatorio</t>
  </si>
  <si>
    <t>Deterioro de la imagen a nivel nacional</t>
  </si>
  <si>
    <t>Sanción de organismo regulatorio</t>
  </si>
  <si>
    <t>Escala impacto económico</t>
  </si>
  <si>
    <t>Escala impacto reputacional</t>
  </si>
  <si>
    <t>CONOCIMIENTO</t>
  </si>
  <si>
    <t>CUMPLIMIENTO</t>
  </si>
  <si>
    <t>Escala impacto conocimiento</t>
  </si>
  <si>
    <t>Escala impacto cumplimiento</t>
  </si>
  <si>
    <t>Afecta la imagen con algunos clientes</t>
  </si>
  <si>
    <t>Crítica</t>
  </si>
  <si>
    <t>Severidad</t>
  </si>
  <si>
    <t>Menor o igual a 20%</t>
  </si>
  <si>
    <t>Mayor a 20% y menor o igual a 40%</t>
  </si>
  <si>
    <t>Mayor a 40% y menor o igual a 60%</t>
  </si>
  <si>
    <t>Mayor a 60% y menor o igual a 80%</t>
  </si>
  <si>
    <t>Mayor al 80%</t>
  </si>
  <si>
    <t>Escala impacto mayor</t>
  </si>
  <si>
    <t>Probabilidad &amp; Impacto mayor</t>
  </si>
  <si>
    <t>Muy baja Insignificante</t>
  </si>
  <si>
    <t>Baja Insignificante</t>
  </si>
  <si>
    <t>Media Insignificante</t>
  </si>
  <si>
    <t>Alta Insignificante</t>
  </si>
  <si>
    <t>Muy alta Insignificante</t>
  </si>
  <si>
    <t>Muy baja Menor</t>
  </si>
  <si>
    <t>Baja Menor</t>
  </si>
  <si>
    <t>Media Menor</t>
  </si>
  <si>
    <t>Alta Menor</t>
  </si>
  <si>
    <t>Muy alta Menor</t>
  </si>
  <si>
    <t>Muy baja Moderado</t>
  </si>
  <si>
    <t>Baja Moderado</t>
  </si>
  <si>
    <t>Media Moderado</t>
  </si>
  <si>
    <t>Alta Moderado</t>
  </si>
  <si>
    <t>Muy alta Moderado</t>
  </si>
  <si>
    <t>Muy baja Importante</t>
  </si>
  <si>
    <t>Baja Importante</t>
  </si>
  <si>
    <t>Media Importante</t>
  </si>
  <si>
    <t>Alta Importante</t>
  </si>
  <si>
    <t>Muy alta Importante</t>
  </si>
  <si>
    <t>Muy baja Mayor</t>
  </si>
  <si>
    <t>Baja Mayor</t>
  </si>
  <si>
    <t>Media Mayor</t>
  </si>
  <si>
    <t>Alta Mayor</t>
  </si>
  <si>
    <t>Muy alta Mayor</t>
  </si>
  <si>
    <t>Conca</t>
  </si>
  <si>
    <t>SEVERIDAD</t>
  </si>
  <si>
    <t>Sacar las actividades que las emprendedoras no hacen</t>
  </si>
  <si>
    <t>LAS ACTIVIDADES QUE NO HACEN</t>
  </si>
  <si>
    <t>MARCARLAS EN AMARILLO</t>
  </si>
  <si>
    <t>LAS ACTIVIDADES QUE SI HACEN</t>
  </si>
  <si>
    <t>A ESTAS ACTIVIDADES LES SACO LOS RIESGOS</t>
  </si>
  <si>
    <t>Regulación normativa del negocio alimenticio</t>
  </si>
  <si>
    <t>Analisis de Mercado</t>
  </si>
  <si>
    <t>Análisis y estudio de los consumidores y sus necesidades</t>
  </si>
  <si>
    <t>Analisis de Producto</t>
  </si>
  <si>
    <t>Definición de producto</t>
  </si>
  <si>
    <t>Estudio y definición de marca</t>
  </si>
  <si>
    <t>Analisis de Proveedores</t>
  </si>
  <si>
    <t>Definición de precios y costeos</t>
  </si>
  <si>
    <t>Publicidad de redes sociales de producto</t>
  </si>
  <si>
    <t>Continuidad del negocio</t>
  </si>
  <si>
    <t>Documentación politicas del emprendiemiento, visión, misión,</t>
  </si>
  <si>
    <t>Documentación y procedimientos de la generación del producto</t>
  </si>
  <si>
    <t>Politicas de confidencialidad de información de la empresa "Receta de negocio"</t>
  </si>
  <si>
    <t>Contratación de personal</t>
  </si>
  <si>
    <t>Cumplimiento de cadena de conservación de alimentos con el Transporte de alimentos</t>
  </si>
  <si>
    <t>Revisar estrategías comerciales para hacer mas atractiva la marca</t>
  </si>
  <si>
    <t>Definir medios de pago</t>
  </si>
  <si>
    <t>Seguimiento a la calidad de los productos</t>
  </si>
  <si>
    <t>Seguimiento al cumplimiento de los clientes</t>
  </si>
  <si>
    <t>Revisión y atención de pedidos de clientes</t>
  </si>
  <si>
    <t>Incumplir con la regulación normativa</t>
  </si>
  <si>
    <t>Identificar inadecuadamente el mercado</t>
  </si>
  <si>
    <t>analizar y estudiar inadecuadamente las necesidades de los consumidores</t>
  </si>
  <si>
    <t>Definir inadecuademente, tener errores, omisiones o inoportunidad de la marca</t>
  </si>
  <si>
    <t>contratar y definir inadecuadamente de acuerdo con el objeto del negocio</t>
  </si>
  <si>
    <t xml:space="preserve">Hacer indacuada publicidad del negocio </t>
  </si>
  <si>
    <t>Si no está la hermana, no pueden parar, definir un backup(produccion, operar, vender y publicidad)</t>
  </si>
  <si>
    <t>Idoneidad de la persona es que tenga las competencias y los conocimientos</t>
  </si>
  <si>
    <t>Incumplir</t>
  </si>
  <si>
    <t>E1</t>
  </si>
  <si>
    <t>E2</t>
  </si>
  <si>
    <t>E3</t>
  </si>
  <si>
    <t>E4</t>
  </si>
  <si>
    <t>E5</t>
  </si>
  <si>
    <t>E6</t>
  </si>
  <si>
    <t>E1: ¿Por qué?</t>
  </si>
  <si>
    <t>D</t>
  </si>
  <si>
    <t>N</t>
  </si>
  <si>
    <t>S</t>
  </si>
  <si>
    <t>Comercializar el producto a un público más amplio</t>
  </si>
  <si>
    <t xml:space="preserve">Análisis de valores nutricionales; Análisis de valores culturales y sociales;  Análisis microbiológicos;  Análisis oxidación; Sostenibilidad     </t>
  </si>
  <si>
    <t>Propósito; valores; principios</t>
  </si>
  <si>
    <t>No para todas las materias primas</t>
  </si>
  <si>
    <t>No diseñaron completa la estrategia de captura de valor</t>
  </si>
  <si>
    <t>No validaron FANS</t>
  </si>
  <si>
    <t>No es una idea que se ajuste a las pasiones</t>
  </si>
  <si>
    <t>Ser emprendedora</t>
  </si>
  <si>
    <t>No sabía que se debía hacer</t>
  </si>
  <si>
    <t>No sabía cómo hacerlo</t>
  </si>
  <si>
    <t xml:space="preserve">MATRIZ RIESGO INHERENTE </t>
  </si>
  <si>
    <t>inversión inicial 2millones | SE REVISA EL PATRIMONIO DE LA EMPRESA</t>
  </si>
  <si>
    <t xml:space="preserve"> Identificar una GRAN IDEA que esté alineada con tus pasiones e intereses</t>
  </si>
  <si>
    <t xml:space="preserve"> Definir, preparar y documentar la propuesta de valor
Prototipo Mínimo Viable</t>
  </si>
  <si>
    <t xml:space="preserve">  Realizar el panel sensorial y verificar que el Prototipo Mínimo Viable se ajuste a las expectativas del nicho de mercado</t>
  </si>
  <si>
    <t xml:space="preserve"> Diseñar estrategias ganadoras de Mercadeo </t>
  </si>
  <si>
    <t xml:space="preserve">Posibilidad de pérdida económica y de oportunidad, por no diseñar estrategias de mercadeo ganadoras e incapaces de captar y retener a los clientes  </t>
  </si>
  <si>
    <t xml:space="preserve">Diseñar la estrategia de captura de valor y posicionamiento.  </t>
  </si>
  <si>
    <t>Posibilidad de pérdida económica, reputacional y de oportunidad, por no posicionar y capturar valor adecuadamente</t>
  </si>
  <si>
    <t>Posibilidad de pérdida económica y de oportunidad, por no diseñar y desarrollar un modelo de negocio ganador</t>
  </si>
  <si>
    <t>Posibilidad de pérdida económica y de oportunidad, por ofrecer a los clientes limitados medios y formas de pago</t>
  </si>
  <si>
    <t>Definir los medios y formas de pago</t>
  </si>
  <si>
    <t>Solo los medios y formas de pago más comunes</t>
  </si>
  <si>
    <t>Diseñar y definir a detalle tu producto (Identificar insumos, materias prima y procesos de transformación) Diseño para la manufactura.</t>
  </si>
  <si>
    <t>Desarrollar la producción de una preserie y fabricar tu producto ajustado y mejorado</t>
  </si>
  <si>
    <t>Posibilidad de pérdida de oportunidad, por no vender en muestras pequeñas el producto</t>
  </si>
  <si>
    <t>Posibilidad de pérdida de oportunidad, por no recibir retroalmentación sobre el producto</t>
  </si>
  <si>
    <t xml:space="preserve">Posibilidad de pérdida económica, reputacional y de oportunidad, por no comprender muy bien las motivaciones, reacciones, sensaciones, sentimientos y relaciones del producto </t>
  </si>
  <si>
    <t>Identificar las motivaciones, reacciones, sensaciones, sentimientos y relaciones que se produjeron frente al consumo del producto.</t>
  </si>
  <si>
    <t>Posibilidad de pérdida económica y de oportunidad, por no saber vender, crecer y adaptar el producto a un público más amplio</t>
  </si>
  <si>
    <t>Posibilidad de pérdida económica, reputacional y de oportunidad, por escaso conocimiento en tecnología, fallos en los sitemas, obsolescencia tecnológica, ciberataques y acceso al servicio de confirmación de pago del pedido realizado</t>
  </si>
  <si>
    <t>Preparar, etiquetar y empacar el producto alimenticio de forma estandarizada</t>
  </si>
  <si>
    <t xml:space="preserve">Posibilidad de  pérdida económica, reputacional y de oportunidades debido a la falta de garantía en la calidad del producto, la ausencia de estandarización, ineficiencias operativas, problemas de almacenamiento, fallos en la maquinaria e incumplimiento de las normas sanitarias  </t>
  </si>
  <si>
    <t>Embalar el producto alimenticio verificando que esté seguro y protegido</t>
  </si>
  <si>
    <t>Posibilidad de pérdida económica, reputacional y de oportunidad, por no entregar el pedido a tiempo e incurrir en errores en la cadena de suministro</t>
  </si>
  <si>
    <t>Posibilidad de pérdida económica, reputacional y de oportunidad, por no escuchar la voz del cliente y ajustar el producto a sus necesidades y deseos</t>
  </si>
  <si>
    <t>Posibilidad de pérdida económica, reputacional y de oportunidad, por no generar un emprendimiento rentable</t>
  </si>
  <si>
    <t>De acuerdo con las 32 actividades: S. Sí las ejecutaron | D. Sí, pero deficientemente | N. No las ejecutaron</t>
  </si>
  <si>
    <t>Emprendedora No.1</t>
  </si>
  <si>
    <t>por desconocimiento sobre el tema</t>
  </si>
  <si>
    <t>Dificultad en crecer, corta de ideas para crecer</t>
  </si>
  <si>
    <t>No son novedosas</t>
  </si>
  <si>
    <t>Hay variables que no contempló</t>
  </si>
  <si>
    <t>No lo vio necesario</t>
  </si>
  <si>
    <t xml:space="preserve">No sabe materializar las estrategias </t>
  </si>
  <si>
    <t>Se casó con un solo proveedor</t>
  </si>
  <si>
    <t>No le vio importancia al inicio, ahora está aprendiendo y modificando</t>
  </si>
  <si>
    <t>No lo vio importante al principio</t>
  </si>
  <si>
    <t xml:space="preserve">No sabe materializar las estrategias, se queda en ideas </t>
  </si>
  <si>
    <t>Lo ha visto x encima, por desconocimiento y no saber</t>
  </si>
  <si>
    <t>Posibilidad de pérdida económica, reputacional y de oportunidad, por no diseñar,  desarrollar y posicionar la marca</t>
  </si>
  <si>
    <t>Porque emprendió por necesidad económica</t>
  </si>
  <si>
    <t>Por desconocimiento</t>
  </si>
  <si>
    <t>Solo con precios y algunos productos de la zona</t>
  </si>
  <si>
    <t>Desconocimiento</t>
  </si>
  <si>
    <t>No lo vió necesario</t>
  </si>
  <si>
    <t>Falta de tiempo</t>
  </si>
  <si>
    <t>Negocio informal</t>
  </si>
  <si>
    <t>Temor, y por falta de inversión</t>
  </si>
  <si>
    <t>No consideró importante</t>
  </si>
  <si>
    <t>OPORTUNIDAD</t>
  </si>
  <si>
    <t>FALTA DE TIEMPO Y DESCONOCIMIENTO</t>
  </si>
  <si>
    <t>DESCONOCIMIENTO</t>
  </si>
  <si>
    <t>DEDICACIÓN</t>
  </si>
  <si>
    <t>NO LO VIO IMPORTANTE</t>
  </si>
  <si>
    <t>S1</t>
  </si>
  <si>
    <t>S2</t>
  </si>
  <si>
    <t>S3</t>
  </si>
  <si>
    <t>S4</t>
  </si>
  <si>
    <t>S5</t>
  </si>
  <si>
    <t>S6</t>
  </si>
  <si>
    <t>YO</t>
  </si>
  <si>
    <t>Emprendedora No.2</t>
  </si>
  <si>
    <t>Emprendedora No.3</t>
  </si>
  <si>
    <t>Emprendedora No.4</t>
  </si>
  <si>
    <t>Considera q se hizo a un 40%</t>
  </si>
  <si>
    <t>Nunca se analizó la propuesta de valor</t>
  </si>
  <si>
    <t>Faltó incoporar valores y propósito</t>
  </si>
  <si>
    <t>Si se diseñaron pero no ganadora. DESCONOCIMIENTO</t>
  </si>
  <si>
    <t>Si posicionamiento, pero no captura de valor</t>
  </si>
  <si>
    <t>Si sacaron costos, pero no formal</t>
  </si>
  <si>
    <t>Emprendedora No.5</t>
  </si>
  <si>
    <t>Porque empezó a conocer a medida de la evolución del negocio, no estaba tan claro a quién iba dirigido</t>
  </si>
  <si>
    <t>Pérdida total: 300 millones anuales</t>
  </si>
  <si>
    <t>Porque todo el proceso ha ido evolucionando a medida que van conociendo el entorno</t>
  </si>
  <si>
    <t>Se hizo en un primer momento pero luego no se continuó</t>
  </si>
  <si>
    <t>Porque todo el proceso ha ido evolucionando a medida que van conociendo el entorno, pero no se planeó así</t>
  </si>
  <si>
    <t>Se hizo tiempo después y no desde el inicio</t>
  </si>
  <si>
    <t>Por no priorizarlo dentro de las actividades del negocio</t>
  </si>
  <si>
    <t>No se ha aplicado hasta el momento</t>
  </si>
  <si>
    <t>Por la forma de costear, por mantener precio bajo y uso de ingredientes premium</t>
  </si>
  <si>
    <t>No se hizo completo, ni se actualizó al nuevo negocio (Abierto café)</t>
  </si>
  <si>
    <t>No se ha hecho de forma periódica, solo al inicio.</t>
  </si>
  <si>
    <t>Gestión inadecuada porque no hay un esquema de administración de los pedidos de los domicilios</t>
  </si>
  <si>
    <t>Escuchar y no hacer</t>
  </si>
  <si>
    <t>No se ha hecho de forma rigurosa</t>
  </si>
  <si>
    <t>E5: ¿Por qué?</t>
  </si>
  <si>
    <t>Emprendedora No.6</t>
  </si>
  <si>
    <t>Por qué 1</t>
  </si>
  <si>
    <t>Por qué 2</t>
  </si>
  <si>
    <t>Por qué 3</t>
  </si>
  <si>
    <t>Por qué 5</t>
  </si>
  <si>
    <t>Por qué 4</t>
  </si>
  <si>
    <t>Por qué 6</t>
  </si>
  <si>
    <t>#</t>
  </si>
  <si>
    <t>No Realizada</t>
  </si>
  <si>
    <t>Razones Comunes</t>
  </si>
  <si>
    <t>Identificar una gran idea alineada con pasiones</t>
  </si>
  <si>
    <t>Sí</t>
  </si>
  <si>
    <t>No se ajusta a las pasiones; necesidad económica</t>
  </si>
  <si>
    <t>Identificar características del consumidor</t>
  </si>
  <si>
    <t>Desconocimiento; falta de tiempo</t>
  </si>
  <si>
    <t>Estudio del mercado</t>
  </si>
  <si>
    <t>Desconocimiento; evolución sin planificación</t>
  </si>
  <si>
    <t>Análisis prospectivo</t>
  </si>
  <si>
    <t>Análisis de la competencia</t>
  </si>
  <si>
    <t>Desconocimiento; no realizado de manera continua</t>
  </si>
  <si>
    <t>Validar novedad de la idea</t>
  </si>
  <si>
    <t>No son novedosas; falta de continuidad</t>
  </si>
  <si>
    <t>Propuesta de valor y prototipo mínimo viable</t>
  </si>
  <si>
    <t>Panel sensorial y ajuste del prototipo</t>
  </si>
  <si>
    <t>Desarrollo de la marca</t>
  </si>
  <si>
    <t>No considerado importante; falta de valores y propósito</t>
  </si>
  <si>
    <t>Estrategias de mercadeo</t>
  </si>
  <si>
    <t>Desconocimiento; falta de materialización de ideas</t>
  </si>
  <si>
    <t>Definir canales de ventas</t>
  </si>
  <si>
    <t>No se ha aplicado aún</t>
  </si>
  <si>
    <t>Proveedores potenciales</t>
  </si>
  <si>
    <t>No considerado importante; falta de diversidad</t>
  </si>
  <si>
    <t>Estrategia de captura de valor</t>
  </si>
  <si>
    <t>Desconocimiento; solo posicionamiento</t>
  </si>
  <si>
    <t>Cuadros de costos</t>
  </si>
  <si>
    <t>No formal; falta de importancia al inicio</t>
  </si>
  <si>
    <t>Modelo de negocio</t>
  </si>
  <si>
    <t>Desconocimiento; no considerado importante</t>
  </si>
  <si>
    <t>Medios y formas de pago</t>
  </si>
  <si>
    <t>Solo los más comunes; desconocimiento</t>
  </si>
  <si>
    <t>Diseño detallado del producto</t>
  </si>
  <si>
    <t>No considerado importante; no periódico</t>
  </si>
  <si>
    <t>Producción de preserie</t>
  </si>
  <si>
    <t>No realizado de manera continua</t>
  </si>
  <si>
    <t>Comercialización en muestras pequeñas</t>
  </si>
  <si>
    <t>No</t>
  </si>
  <si>
    <t>Todas las emprendedoras hicieron esta actividad efectivamente</t>
  </si>
  <si>
    <t>Feedback de primeros consumidores</t>
  </si>
  <si>
    <t>Identificar motivaciones y reacciones</t>
  </si>
  <si>
    <t>Mejoramiento continuo</t>
  </si>
  <si>
    <t>Validación de recompras y fans</t>
  </si>
  <si>
    <t>No validaron fans</t>
  </si>
  <si>
    <t>Estrategias de mercadeo por canal</t>
  </si>
  <si>
    <t>Desconocimiento; falta de materialización</t>
  </si>
  <si>
    <t>Comercialización a público amplio</t>
  </si>
  <si>
    <t>Dificultad en crecer; falta de inversión</t>
  </si>
  <si>
    <t>Recepción de pedidos y confirmación de pago</t>
  </si>
  <si>
    <t>Administración de pedidos y logística</t>
  </si>
  <si>
    <t>Empaque y etiquetado</t>
  </si>
  <si>
    <t>No considerado importante</t>
  </si>
  <si>
    <t>Embalaje seguro</t>
  </si>
  <si>
    <t>Envío y entrega</t>
  </si>
  <si>
    <t>Gestión inadecuada; falta de esquema</t>
  </si>
  <si>
    <t>Feedback del mercado</t>
  </si>
  <si>
    <t>Desconocimiento; escuchar y no hacer</t>
  </si>
  <si>
    <t>Evaluación de KPIs</t>
  </si>
  <si>
    <t>Desconocimiento; falta de rigor</t>
  </si>
  <si>
    <t>Deficiente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</si>
</sst>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sz val="10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2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3399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FF3399"/>
      <name val="Calibri"/>
      <family val="2"/>
      <scheme val="minor"/>
    </font>
    <font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rgb="FFC99A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784F4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85DE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0C0F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C784F4"/>
      </right>
      <top/>
      <bottom/>
      <diagonal/>
    </border>
    <border>
      <left/>
      <right style="medium">
        <color rgb="FFC784F4"/>
      </right>
      <top style="medium">
        <color rgb="FFC784F4"/>
      </top>
      <bottom style="medium">
        <color rgb="FFC784F4"/>
      </bottom>
      <diagonal/>
    </border>
    <border>
      <left/>
      <right/>
      <top style="medium">
        <color rgb="FFC784F4"/>
      </top>
      <bottom style="medium">
        <color rgb="FFC784F4"/>
      </bottom>
      <diagonal/>
    </border>
    <border>
      <left/>
      <right/>
      <top/>
      <bottom style="medium">
        <color rgb="FFC784F4"/>
      </bottom>
      <diagonal/>
    </border>
    <border>
      <left/>
      <right style="medium">
        <color rgb="FFC784F4"/>
      </right>
      <top/>
      <bottom style="medium">
        <color rgb="FFC784F4"/>
      </bottom>
      <diagonal/>
    </border>
    <border>
      <left style="medium">
        <color rgb="FFC784F4"/>
      </left>
      <right style="medium">
        <color rgb="FFC784F4"/>
      </right>
      <top/>
      <bottom style="medium">
        <color rgb="FFC784F4"/>
      </bottom>
      <diagonal/>
    </border>
    <border>
      <left style="medium">
        <color rgb="FFC784F4"/>
      </left>
      <right style="medium">
        <color rgb="FFC784F4"/>
      </right>
      <top/>
      <bottom/>
      <diagonal/>
    </border>
    <border>
      <left style="medium">
        <color rgb="FFC784F4"/>
      </left>
      <right/>
      <top style="medium">
        <color rgb="FFC784F4"/>
      </top>
      <bottom style="medium">
        <color rgb="FFC784F4"/>
      </bottom>
      <diagonal/>
    </border>
    <border>
      <left style="medium">
        <color rgb="FFC784F4"/>
      </left>
      <right style="medium">
        <color rgb="FFC784F4"/>
      </right>
      <top style="medium">
        <color rgb="FFC784F4"/>
      </top>
      <bottom/>
      <diagonal/>
    </border>
    <border>
      <left style="medium">
        <color rgb="FFC784F4"/>
      </left>
      <right style="medium">
        <color rgb="FFC784F4"/>
      </right>
      <top style="medium">
        <color rgb="FFC784F4"/>
      </top>
      <bottom style="medium">
        <color rgb="FFC784F4"/>
      </bottom>
      <diagonal/>
    </border>
    <border>
      <left style="medium">
        <color rgb="FFC784F4"/>
      </left>
      <right style="medium">
        <color rgb="FFC784F4"/>
      </right>
      <top style="medium">
        <color rgb="FFC784F4"/>
      </top>
      <bottom style="medium">
        <color indexed="64"/>
      </bottom>
      <diagonal/>
    </border>
    <border>
      <left/>
      <right style="medium">
        <color rgb="FFC784F4"/>
      </right>
      <top style="medium">
        <color rgb="FFC784F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medium">
        <color rgb="FFC784F4"/>
      </top>
      <bottom style="medium">
        <color indexed="64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249977111117893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249977111117893"/>
      </right>
      <top/>
      <bottom/>
      <diagonal/>
    </border>
    <border>
      <left style="thin">
        <color theme="0" tint="-0.14999847407452621"/>
      </left>
      <right style="thin">
        <color theme="0" tint="-0.249977111117893"/>
      </right>
      <top style="thin">
        <color indexed="64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18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4" fillId="0" borderId="0" xfId="4" applyFont="1"/>
    <xf numFmtId="3" fontId="6" fillId="0" borderId="0" xfId="4" applyNumberFormat="1" applyFont="1"/>
    <xf numFmtId="0" fontId="7" fillId="3" borderId="0" xfId="4" applyFont="1" applyFill="1" applyAlignment="1">
      <alignment horizontal="center" vertical="center"/>
    </xf>
    <xf numFmtId="0" fontId="5" fillId="0" borderId="0" xfId="4" applyFont="1"/>
    <xf numFmtId="0" fontId="7" fillId="3" borderId="0" xfId="4" applyFont="1" applyFill="1" applyAlignment="1">
      <alignment horizontal="right" vertical="center"/>
    </xf>
    <xf numFmtId="0" fontId="5" fillId="3" borderId="0" xfId="4" applyFont="1" applyFill="1"/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2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4" fillId="0" borderId="0" xfId="2" applyNumberFormat="1" applyFont="1"/>
    <xf numFmtId="2" fontId="4" fillId="0" borderId="1" xfId="0" applyNumberFormat="1" applyFon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/>
    <xf numFmtId="9" fontId="0" fillId="0" borderId="1" xfId="3" applyFont="1" applyBorder="1" applyAlignment="1">
      <alignment horizontal="center" vertical="center"/>
    </xf>
    <xf numFmtId="9" fontId="4" fillId="0" borderId="1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8" borderId="13" xfId="0" applyFont="1" applyFill="1" applyBorder="1" applyAlignment="1">
      <alignment horizontal="left" vertical="center" wrapText="1"/>
    </xf>
    <xf numFmtId="0" fontId="10" fillId="8" borderId="14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3" fillId="10" borderId="14" xfId="0" applyFont="1" applyFill="1" applyBorder="1" applyAlignment="1">
      <alignment horizontal="center" vertical="center" wrapText="1"/>
    </xf>
    <xf numFmtId="0" fontId="13" fillId="11" borderId="14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9" fontId="13" fillId="8" borderId="1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4" fillId="9" borderId="19" xfId="0" applyFont="1" applyFill="1" applyBorder="1" applyAlignment="1">
      <alignment horizontal="center" vertical="center" wrapText="1"/>
    </xf>
    <xf numFmtId="0" fontId="15" fillId="9" borderId="11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left" vertical="center" wrapText="1"/>
    </xf>
    <xf numFmtId="9" fontId="13" fillId="3" borderId="14" xfId="0" applyNumberFormat="1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left" vertical="center" wrapText="1"/>
    </xf>
    <xf numFmtId="9" fontId="13" fillId="12" borderId="14" xfId="0" applyNumberFormat="1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left" vertical="center" wrapText="1"/>
    </xf>
    <xf numFmtId="9" fontId="4" fillId="0" borderId="0" xfId="3" applyFont="1" applyAlignment="1">
      <alignment horizontal="center"/>
    </xf>
    <xf numFmtId="0" fontId="3" fillId="13" borderId="2" xfId="0" applyFont="1" applyFill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9" fontId="2" fillId="0" borderId="1" xfId="3" applyFont="1" applyBorder="1" applyAlignment="1">
      <alignment horizontal="center" vertical="center"/>
    </xf>
    <xf numFmtId="9" fontId="17" fillId="0" borderId="1" xfId="3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9" fontId="17" fillId="0" borderId="24" xfId="3" applyFont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165" fontId="4" fillId="0" borderId="26" xfId="2" applyNumberFormat="1" applyFont="1" applyBorder="1" applyAlignment="1">
      <alignment vertical="center"/>
    </xf>
    <xf numFmtId="0" fontId="3" fillId="2" borderId="23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left" vertical="center" wrapText="1"/>
    </xf>
    <xf numFmtId="0" fontId="16" fillId="14" borderId="25" xfId="0" applyFont="1" applyFill="1" applyBorder="1" applyAlignment="1">
      <alignment horizontal="center" vertical="center" wrapText="1"/>
    </xf>
    <xf numFmtId="9" fontId="17" fillId="0" borderId="26" xfId="3" applyFont="1" applyBorder="1" applyAlignment="1">
      <alignment horizontal="center" vertical="center"/>
    </xf>
    <xf numFmtId="165" fontId="4" fillId="15" borderId="22" xfId="2" applyNumberFormat="1" applyFont="1" applyFill="1" applyBorder="1" applyAlignment="1">
      <alignment vertical="center"/>
    </xf>
    <xf numFmtId="165" fontId="16" fillId="16" borderId="22" xfId="2" applyNumberFormat="1" applyFont="1" applyFill="1" applyBorder="1" applyAlignment="1">
      <alignment horizontal="center" vertical="center"/>
    </xf>
    <xf numFmtId="9" fontId="0" fillId="0" borderId="24" xfId="3" applyFont="1" applyBorder="1" applyAlignment="1">
      <alignment horizontal="center" vertical="center"/>
    </xf>
    <xf numFmtId="9" fontId="0" fillId="0" borderId="26" xfId="0" applyNumberFormat="1" applyBorder="1" applyAlignment="1">
      <alignment horizontal="center" vertical="center"/>
    </xf>
    <xf numFmtId="0" fontId="4" fillId="15" borderId="22" xfId="0" applyFont="1" applyFill="1" applyBorder="1" applyAlignment="1">
      <alignment vertical="center"/>
    </xf>
    <xf numFmtId="9" fontId="0" fillId="0" borderId="27" xfId="0" applyNumberFormat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10" borderId="28" xfId="0" applyFont="1" applyFill="1" applyBorder="1" applyAlignment="1">
      <alignment horizontal="center" vertical="center" wrapText="1"/>
    </xf>
    <xf numFmtId="0" fontId="13" fillId="10" borderId="13" xfId="0" applyFont="1" applyFill="1" applyBorder="1" applyAlignment="1">
      <alignment horizontal="center" vertical="center" wrapText="1"/>
    </xf>
    <xf numFmtId="0" fontId="13" fillId="11" borderId="13" xfId="0" applyFont="1" applyFill="1" applyBorder="1" applyAlignment="1">
      <alignment horizontal="center" vertical="center" wrapText="1"/>
    </xf>
    <xf numFmtId="0" fontId="13" fillId="11" borderId="28" xfId="0" applyFont="1" applyFill="1" applyBorder="1" applyAlignment="1">
      <alignment horizontal="center" vertical="center" wrapText="1"/>
    </xf>
    <xf numFmtId="0" fontId="0" fillId="0" borderId="22" xfId="0" applyBorder="1"/>
    <xf numFmtId="9" fontId="19" fillId="0" borderId="29" xfId="3" applyFont="1" applyBorder="1" applyAlignment="1">
      <alignment horizontal="center" vertical="center"/>
    </xf>
    <xf numFmtId="0" fontId="20" fillId="15" borderId="22" xfId="0" applyFont="1" applyFill="1" applyBorder="1" applyAlignment="1">
      <alignment horizontal="center" vertical="center"/>
    </xf>
    <xf numFmtId="9" fontId="21" fillId="0" borderId="24" xfId="3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10" fillId="8" borderId="22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12" borderId="22" xfId="0" applyFont="1" applyFill="1" applyBorder="1" applyAlignment="1">
      <alignment horizontal="left" vertical="center" wrapText="1"/>
    </xf>
    <xf numFmtId="0" fontId="13" fillId="10" borderId="22" xfId="0" applyFont="1" applyFill="1" applyBorder="1" applyAlignment="1">
      <alignment horizontal="center" vertical="center" wrapText="1"/>
    </xf>
    <xf numFmtId="0" fontId="13" fillId="11" borderId="2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 wrapText="1"/>
    </xf>
    <xf numFmtId="0" fontId="23" fillId="12" borderId="0" xfId="5" applyFont="1" applyFill="1" applyAlignment="1">
      <alignment vertical="center"/>
    </xf>
    <xf numFmtId="0" fontId="18" fillId="12" borderId="0" xfId="4" applyFont="1" applyFill="1"/>
    <xf numFmtId="0" fontId="4" fillId="4" borderId="0" xfId="0" applyFont="1" applyFill="1" applyAlignment="1">
      <alignment wrapText="1"/>
    </xf>
    <xf numFmtId="0" fontId="0" fillId="0" borderId="22" xfId="0" applyBorder="1" applyAlignment="1">
      <alignment vertical="center" wrapText="1"/>
    </xf>
    <xf numFmtId="0" fontId="6" fillId="0" borderId="22" xfId="0" applyFont="1" applyBorder="1" applyAlignment="1">
      <alignment wrapText="1"/>
    </xf>
    <xf numFmtId="0" fontId="4" fillId="0" borderId="22" xfId="0" applyFont="1" applyBorder="1" applyAlignment="1">
      <alignment wrapText="1"/>
    </xf>
    <xf numFmtId="0" fontId="16" fillId="16" borderId="31" xfId="0" applyFont="1" applyFill="1" applyBorder="1" applyAlignment="1">
      <alignment horizontal="center" vertical="center"/>
    </xf>
    <xf numFmtId="0" fontId="3" fillId="18" borderId="3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15" borderId="31" xfId="0" applyFont="1" applyFill="1" applyBorder="1" applyAlignment="1">
      <alignment horizontal="center" vertical="center"/>
    </xf>
    <xf numFmtId="0" fontId="5" fillId="0" borderId="30" xfId="0" applyFont="1" applyBorder="1" applyAlignment="1">
      <alignment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18" fillId="0" borderId="0" xfId="0" applyFont="1"/>
    <xf numFmtId="0" fontId="25" fillId="0" borderId="0" xfId="0" applyFont="1"/>
    <xf numFmtId="3" fontId="26" fillId="17" borderId="0" xfId="4" applyNumberFormat="1" applyFont="1" applyFill="1" applyAlignment="1">
      <alignment horizontal="center" vertical="center"/>
    </xf>
    <xf numFmtId="3" fontId="26" fillId="11" borderId="0" xfId="4" applyNumberFormat="1" applyFont="1" applyFill="1" applyAlignment="1">
      <alignment horizontal="center" vertical="center"/>
    </xf>
    <xf numFmtId="0" fontId="27" fillId="0" borderId="0" xfId="0" applyFont="1"/>
    <xf numFmtId="3" fontId="26" fillId="4" borderId="0" xfId="4" applyNumberFormat="1" applyFont="1" applyFill="1" applyAlignment="1">
      <alignment horizontal="center" vertical="center"/>
    </xf>
    <xf numFmtId="3" fontId="26" fillId="5" borderId="0" xfId="4" applyNumberFormat="1" applyFont="1" applyFill="1" applyAlignment="1">
      <alignment horizontal="center" vertical="center"/>
    </xf>
    <xf numFmtId="0" fontId="6" fillId="15" borderId="31" xfId="0" applyFont="1" applyFill="1" applyBorder="1" applyAlignment="1">
      <alignment horizontal="center" vertical="center"/>
    </xf>
    <xf numFmtId="165" fontId="6" fillId="15" borderId="22" xfId="2" applyNumberFormat="1" applyFont="1" applyFill="1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29" fillId="14" borderId="30" xfId="0" applyFont="1" applyFill="1" applyBorder="1" applyAlignment="1">
      <alignment vertical="center"/>
    </xf>
    <xf numFmtId="0" fontId="28" fillId="14" borderId="30" xfId="0" applyFont="1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9" fontId="0" fillId="4" borderId="30" xfId="0" applyNumberFormat="1" applyFill="1" applyBorder="1" applyAlignment="1">
      <alignment horizontal="center" vertical="center"/>
    </xf>
    <xf numFmtId="0" fontId="28" fillId="14" borderId="36" xfId="0" applyFont="1" applyFill="1" applyBorder="1" applyAlignment="1">
      <alignment horizontal="center"/>
    </xf>
    <xf numFmtId="0" fontId="28" fillId="14" borderId="37" xfId="0" applyFont="1" applyFill="1" applyBorder="1" applyAlignment="1">
      <alignment horizontal="center"/>
    </xf>
    <xf numFmtId="0" fontId="0" fillId="0" borderId="30" xfId="0" applyBorder="1"/>
    <xf numFmtId="9" fontId="30" fillId="3" borderId="30" xfId="0" applyNumberFormat="1" applyFont="1" applyFill="1" applyBorder="1" applyAlignment="1">
      <alignment horizontal="center" vertical="center"/>
    </xf>
    <xf numFmtId="0" fontId="28" fillId="14" borderId="0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/>
    </xf>
    <xf numFmtId="0" fontId="0" fillId="19" borderId="30" xfId="0" applyFill="1" applyBorder="1" applyAlignment="1">
      <alignment horizontal="center" vertical="center"/>
    </xf>
    <xf numFmtId="9" fontId="0" fillId="19" borderId="30" xfId="0" applyNumberFormat="1" applyFill="1" applyBorder="1" applyAlignment="1">
      <alignment horizontal="center" vertical="center"/>
    </xf>
    <xf numFmtId="0" fontId="0" fillId="20" borderId="30" xfId="0" applyFill="1" applyBorder="1" applyAlignment="1">
      <alignment horizontal="center" vertical="center"/>
    </xf>
    <xf numFmtId="9" fontId="0" fillId="20" borderId="30" xfId="0" applyNumberFormat="1" applyFill="1" applyBorder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9" fontId="0" fillId="12" borderId="30" xfId="0" applyNumberFormat="1" applyFill="1" applyBorder="1" applyAlignment="1">
      <alignment horizontal="center" vertical="center"/>
    </xf>
    <xf numFmtId="0" fontId="20" fillId="18" borderId="0" xfId="0" applyFont="1" applyFill="1" applyBorder="1" applyAlignment="1">
      <alignment horizontal="center" vertical="center" wrapText="1"/>
    </xf>
    <xf numFmtId="0" fontId="3" fillId="18" borderId="0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19" fillId="18" borderId="0" xfId="0" applyFont="1" applyFill="1" applyBorder="1" applyAlignment="1">
      <alignment horizontal="center" vertical="center" wrapText="1"/>
    </xf>
    <xf numFmtId="0" fontId="32" fillId="15" borderId="31" xfId="0" applyFont="1" applyFill="1" applyBorder="1" applyAlignment="1">
      <alignment horizontal="center" vertical="center"/>
    </xf>
    <xf numFmtId="165" fontId="32" fillId="15" borderId="22" xfId="2" applyNumberFormat="1" applyFont="1" applyFill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33" fillId="15" borderId="31" xfId="0" applyFont="1" applyFill="1" applyBorder="1" applyAlignment="1">
      <alignment horizontal="center" vertical="center"/>
    </xf>
    <xf numFmtId="165" fontId="33" fillId="15" borderId="22" xfId="2" applyNumberFormat="1" applyFont="1" applyFill="1" applyBorder="1" applyAlignment="1">
      <alignment vertical="center"/>
    </xf>
    <xf numFmtId="0" fontId="34" fillId="0" borderId="30" xfId="0" applyFont="1" applyBorder="1" applyAlignment="1">
      <alignment vertical="center" wrapText="1"/>
    </xf>
    <xf numFmtId="0" fontId="34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vertical="center" wrapText="1"/>
    </xf>
    <xf numFmtId="0" fontId="7" fillId="0" borderId="30" xfId="0" applyFont="1" applyBorder="1" applyAlignment="1">
      <alignment horizontal="center" vertical="center" wrapText="1"/>
    </xf>
    <xf numFmtId="1" fontId="33" fillId="15" borderId="31" xfId="0" applyNumberFormat="1" applyFont="1" applyFill="1" applyBorder="1" applyAlignment="1">
      <alignment horizontal="center" vertical="center"/>
    </xf>
    <xf numFmtId="0" fontId="20" fillId="18" borderId="3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8" fillId="12" borderId="4" xfId="4" applyFont="1" applyFill="1" applyBorder="1" applyAlignment="1">
      <alignment horizontal="center" vertical="center" textRotation="90"/>
    </xf>
    <xf numFmtId="0" fontId="8" fillId="12" borderId="5" xfId="4" applyFont="1" applyFill="1" applyBorder="1" applyAlignment="1">
      <alignment horizontal="center" vertical="center" textRotation="90"/>
    </xf>
    <xf numFmtId="0" fontId="8" fillId="12" borderId="6" xfId="4" applyFont="1" applyFill="1" applyBorder="1" applyAlignment="1">
      <alignment horizontal="center" vertical="center" textRotation="90"/>
    </xf>
    <xf numFmtId="0" fontId="8" fillId="12" borderId="7" xfId="4" applyFont="1" applyFill="1" applyBorder="1" applyAlignment="1">
      <alignment horizontal="center" vertical="center"/>
    </xf>
    <xf numFmtId="0" fontId="8" fillId="12" borderId="8" xfId="4" applyFont="1" applyFill="1" applyBorder="1" applyAlignment="1">
      <alignment horizontal="center" vertical="center"/>
    </xf>
    <xf numFmtId="0" fontId="8" fillId="12" borderId="9" xfId="4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left" vertical="center" textRotation="90" wrapText="1"/>
    </xf>
    <xf numFmtId="0" fontId="12" fillId="9" borderId="16" xfId="0" applyFont="1" applyFill="1" applyBorder="1" applyAlignment="1">
      <alignment horizontal="left" vertical="center" textRotation="90" wrapText="1"/>
    </xf>
    <xf numFmtId="0" fontId="12" fillId="9" borderId="15" xfId="0" applyFont="1" applyFill="1" applyBorder="1" applyAlignment="1">
      <alignment horizontal="left" vertical="center" textRotation="90" wrapText="1"/>
    </xf>
    <xf numFmtId="0" fontId="0" fillId="13" borderId="30" xfId="0" applyFill="1" applyBorder="1" applyAlignment="1">
      <alignment horizontal="center" vertical="center"/>
    </xf>
    <xf numFmtId="9" fontId="0" fillId="13" borderId="30" xfId="0" applyNumberFormat="1" applyFill="1" applyBorder="1" applyAlignment="1">
      <alignment horizontal="center" vertical="center"/>
    </xf>
    <xf numFmtId="0" fontId="0" fillId="22" borderId="30" xfId="0" applyFill="1" applyBorder="1" applyAlignment="1">
      <alignment horizontal="center" vertical="center"/>
    </xf>
    <xf numFmtId="9" fontId="0" fillId="22" borderId="30" xfId="0" applyNumberFormat="1" applyFill="1" applyBorder="1" applyAlignment="1">
      <alignment horizontal="center" vertical="center"/>
    </xf>
    <xf numFmtId="0" fontId="0" fillId="19" borderId="30" xfId="0" applyFill="1" applyBorder="1" applyAlignment="1">
      <alignment horizontal="left" vertical="center" wrapText="1"/>
    </xf>
    <xf numFmtId="0" fontId="0" fillId="20" borderId="30" xfId="0" applyFill="1" applyBorder="1" applyAlignment="1">
      <alignment horizontal="center" vertical="center" wrapText="1"/>
    </xf>
    <xf numFmtId="0" fontId="0" fillId="12" borderId="30" xfId="0" applyFill="1" applyBorder="1" applyAlignment="1">
      <alignment horizontal="center" vertical="center" wrapText="1"/>
    </xf>
    <xf numFmtId="0" fontId="0" fillId="13" borderId="30" xfId="0" applyFill="1" applyBorder="1" applyAlignment="1">
      <alignment horizontal="center" vertical="center" wrapText="1"/>
    </xf>
    <xf numFmtId="0" fontId="0" fillId="22" borderId="30" xfId="0" applyFill="1" applyBorder="1" applyAlignment="1">
      <alignment horizontal="center" vertical="center" wrapText="1"/>
    </xf>
    <xf numFmtId="0" fontId="2" fillId="12" borderId="22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28" fillId="21" borderId="22" xfId="0" applyFont="1" applyFill="1" applyBorder="1" applyAlignment="1">
      <alignment horizontal="center"/>
    </xf>
    <xf numFmtId="0" fontId="2" fillId="23" borderId="22" xfId="0" applyFont="1" applyFill="1" applyBorder="1" applyAlignment="1">
      <alignment horizontal="center"/>
    </xf>
    <xf numFmtId="0" fontId="2" fillId="22" borderId="22" xfId="0" applyFont="1" applyFill="1" applyBorder="1" applyAlignment="1">
      <alignment horizontal="center"/>
    </xf>
  </cellXfs>
  <cellStyles count="6">
    <cellStyle name="Millares" xfId="1" builtinId="3"/>
    <cellStyle name="Moneda" xfId="2" builtinId="4"/>
    <cellStyle name="Normal" xfId="0" builtinId="0"/>
    <cellStyle name="Normal 2 3" xfId="5" xr:uid="{AC284623-4D56-47A2-A41D-7D295CB92651}"/>
    <cellStyle name="Normal 4 3" xfId="4" xr:uid="{2ACF5139-C59F-4792-8578-B92018B84CC2}"/>
    <cellStyle name="Porcentaje" xfId="3" builtinId="5"/>
  </cellStyles>
  <dxfs count="148"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99FF66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3399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  <dxf>
      <fill>
        <patternFill>
          <bgColor rgb="FFFF3399"/>
        </patternFill>
      </fill>
    </dxf>
    <dxf>
      <fill>
        <patternFill>
          <bgColor theme="5" tint="0.39994506668294322"/>
        </patternFill>
      </fill>
    </dxf>
    <dxf>
      <fill>
        <patternFill>
          <bgColor rgb="FFFFFF00"/>
        </patternFill>
      </fill>
    </dxf>
    <dxf>
      <fill>
        <patternFill>
          <bgColor rgb="FFCCFFCC"/>
        </patternFill>
      </fill>
    </dxf>
    <dxf>
      <fill>
        <patternFill>
          <bgColor rgb="FF99FF66"/>
        </patternFill>
      </fill>
    </dxf>
  </dxfs>
  <tableStyles count="0" defaultTableStyle="TableStyleMedium2" defaultPivotStyle="PivotStyleLight16"/>
  <colors>
    <mruColors>
      <color rgb="FF99FF66"/>
      <color rgb="FFFF3399"/>
      <color rgb="FFA85DED"/>
      <color rgb="FF90C0F0"/>
      <color rgb="FFFF0066"/>
      <color rgb="FF99FFCC"/>
      <color rgb="FFCCFFCC"/>
      <color rgb="FF66FF99"/>
      <color rgb="FFFF33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213361</xdr:colOff>
      <xdr:row>0</xdr:row>
      <xdr:rowOff>30480</xdr:rowOff>
    </xdr:from>
    <xdr:to>
      <xdr:col>3</xdr:col>
      <xdr:colOff>609601</xdr:colOff>
      <xdr:row>0</xdr:row>
      <xdr:rowOff>429995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354375-36B3-4EDD-BA8D-A2727D5D1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9121" y="30480"/>
          <a:ext cx="396240" cy="399515"/>
        </a:xfrm>
        <a:prstGeom prst="rect">
          <a:avLst/>
        </a:prstGeom>
      </xdr:spPr>
    </xdr:pic>
    <xdr:clientData/>
  </xdr:twoCellAnchor>
  <xdr:twoCellAnchor editAs="oneCell">
    <xdr:from>
      <xdr:col>6</xdr:col>
      <xdr:colOff>212200</xdr:colOff>
      <xdr:row>0</xdr:row>
      <xdr:rowOff>45720</xdr:rowOff>
    </xdr:from>
    <xdr:to>
      <xdr:col>6</xdr:col>
      <xdr:colOff>580919</xdr:colOff>
      <xdr:row>0</xdr:row>
      <xdr:rowOff>472440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721B21-0AB8-42AC-93DD-F5C3AD0A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72920" y="45720"/>
          <a:ext cx="368719" cy="426720"/>
        </a:xfrm>
        <a:prstGeom prst="rect">
          <a:avLst/>
        </a:prstGeom>
      </xdr:spPr>
    </xdr:pic>
    <xdr:clientData/>
  </xdr:twoCellAnchor>
  <xdr:twoCellAnchor editAs="oneCell">
    <xdr:from>
      <xdr:col>9</xdr:col>
      <xdr:colOff>214848</xdr:colOff>
      <xdr:row>0</xdr:row>
      <xdr:rowOff>68580</xdr:rowOff>
    </xdr:from>
    <xdr:to>
      <xdr:col>9</xdr:col>
      <xdr:colOff>577091</xdr:colOff>
      <xdr:row>1</xdr:row>
      <xdr:rowOff>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11B13F1-E992-42F6-8B94-A912AF672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560528" y="68580"/>
          <a:ext cx="362243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182880</xdr:colOff>
      <xdr:row>0</xdr:row>
      <xdr:rowOff>7620</xdr:rowOff>
    </xdr:from>
    <xdr:to>
      <xdr:col>12</xdr:col>
      <xdr:colOff>592347</xdr:colOff>
      <xdr:row>0</xdr:row>
      <xdr:rowOff>516079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A237DAE-CE9C-4CBC-9202-D547E9E1B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13520" y="7620"/>
          <a:ext cx="409467" cy="508459"/>
        </a:xfrm>
        <a:prstGeom prst="rect">
          <a:avLst/>
        </a:prstGeom>
      </xdr:spPr>
    </xdr:pic>
    <xdr:clientData/>
  </xdr:twoCellAnchor>
  <xdr:twoCellAnchor editAs="oneCell">
    <xdr:from>
      <xdr:col>15</xdr:col>
      <xdr:colOff>167640</xdr:colOff>
      <xdr:row>0</xdr:row>
      <xdr:rowOff>68580</xdr:rowOff>
    </xdr:from>
    <xdr:to>
      <xdr:col>15</xdr:col>
      <xdr:colOff>653354</xdr:colOff>
      <xdr:row>0</xdr:row>
      <xdr:rowOff>468580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E1EAC7D-E76B-4CCE-8BEF-BF919E78C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83240" y="68580"/>
          <a:ext cx="485714" cy="400000"/>
        </a:xfrm>
        <a:prstGeom prst="rect">
          <a:avLst/>
        </a:prstGeom>
      </xdr:spPr>
    </xdr:pic>
    <xdr:clientData/>
  </xdr:twoCellAnchor>
  <xdr:twoCellAnchor editAs="oneCell">
    <xdr:from>
      <xdr:col>18</xdr:col>
      <xdr:colOff>251460</xdr:colOff>
      <xdr:row>0</xdr:row>
      <xdr:rowOff>45720</xdr:rowOff>
    </xdr:from>
    <xdr:to>
      <xdr:col>18</xdr:col>
      <xdr:colOff>638110</xdr:colOff>
      <xdr:row>0</xdr:row>
      <xdr:rowOff>495640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97D26E-4895-4AD7-B289-CFB81693B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352020" y="45720"/>
          <a:ext cx="386650" cy="4499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701040</xdr:colOff>
      <xdr:row>35</xdr:row>
      <xdr:rowOff>144780</xdr:rowOff>
    </xdr:from>
    <xdr:to>
      <xdr:col>2</xdr:col>
      <xdr:colOff>2651760</xdr:colOff>
      <xdr:row>40</xdr:row>
      <xdr:rowOff>15240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3CD438-5560-4549-9296-3DD7D6606C6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7812" b="54459"/>
        <a:stretch/>
      </xdr:blipFill>
      <xdr:spPr bwMode="auto">
        <a:xfrm>
          <a:off x="2286000" y="6545580"/>
          <a:ext cx="1950720" cy="78486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640080</xdr:colOff>
      <xdr:row>40</xdr:row>
      <xdr:rowOff>114300</xdr:rowOff>
    </xdr:from>
    <xdr:to>
      <xdr:col>2</xdr:col>
      <xdr:colOff>2682240</xdr:colOff>
      <xdr:row>45</xdr:row>
      <xdr:rowOff>22860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30A36A-EA72-4828-B1FF-A6BF40171E9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39" r="33864" b="52248"/>
        <a:stretch/>
      </xdr:blipFill>
      <xdr:spPr bwMode="auto">
        <a:xfrm>
          <a:off x="2225040" y="7429500"/>
          <a:ext cx="2042160" cy="82296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640080</xdr:colOff>
      <xdr:row>45</xdr:row>
      <xdr:rowOff>137160</xdr:rowOff>
    </xdr:from>
    <xdr:to>
      <xdr:col>2</xdr:col>
      <xdr:colOff>2692400</xdr:colOff>
      <xdr:row>50</xdr:row>
      <xdr:rowOff>45720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AFF0A04-0000-4970-A23E-E789718C06A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136" b="52248"/>
        <a:stretch/>
      </xdr:blipFill>
      <xdr:spPr bwMode="auto">
        <a:xfrm>
          <a:off x="2225040" y="8366760"/>
          <a:ext cx="2052320" cy="82296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693420</xdr:colOff>
      <xdr:row>50</xdr:row>
      <xdr:rowOff>91440</xdr:rowOff>
    </xdr:from>
    <xdr:to>
      <xdr:col>2</xdr:col>
      <xdr:colOff>2659380</xdr:colOff>
      <xdr:row>55</xdr:row>
      <xdr:rowOff>62230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D4C4107-70B2-45CB-AEB0-F94F647E928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637" r="67561"/>
        <a:stretch/>
      </xdr:blipFill>
      <xdr:spPr bwMode="auto">
        <a:xfrm>
          <a:off x="2278380" y="9235440"/>
          <a:ext cx="1965960" cy="885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647700</xdr:colOff>
      <xdr:row>55</xdr:row>
      <xdr:rowOff>83820</xdr:rowOff>
    </xdr:from>
    <xdr:to>
      <xdr:col>2</xdr:col>
      <xdr:colOff>2674620</xdr:colOff>
      <xdr:row>60</xdr:row>
      <xdr:rowOff>54610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F984E8C-4D10-4375-8742-B2D9FAEC1C4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64" t="48637" r="33991"/>
        <a:stretch/>
      </xdr:blipFill>
      <xdr:spPr bwMode="auto">
        <a:xfrm>
          <a:off x="2232660" y="10142220"/>
          <a:ext cx="2026920" cy="88519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662940</xdr:colOff>
      <xdr:row>60</xdr:row>
      <xdr:rowOff>91440</xdr:rowOff>
    </xdr:from>
    <xdr:to>
      <xdr:col>2</xdr:col>
      <xdr:colOff>2707640</xdr:colOff>
      <xdr:row>65</xdr:row>
      <xdr:rowOff>62230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1F06423-039D-43B9-A735-39DAADE61F6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262" t="48637"/>
        <a:stretch/>
      </xdr:blipFill>
      <xdr:spPr bwMode="auto">
        <a:xfrm>
          <a:off x="2247900" y="11064240"/>
          <a:ext cx="2044700" cy="8851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22068-BA43-45E2-A778-D9C57552B6A9}">
  <dimension ref="C2:U80"/>
  <sheetViews>
    <sheetView showGridLines="0" topLeftCell="A64" zoomScale="60" zoomScaleNormal="60" workbookViewId="0">
      <selection activeCell="B70" sqref="B70:L81"/>
    </sheetView>
  </sheetViews>
  <sheetFormatPr baseColWidth="10" defaultColWidth="11.5546875" defaultRowHeight="13.8" x14ac:dyDescent="0.3"/>
  <cols>
    <col min="1" max="2" width="11.5546875" style="10"/>
    <col min="3" max="3" width="4.109375" style="10" customWidth="1"/>
    <col min="4" max="4" width="11.5546875" style="20"/>
    <col min="5" max="9" width="11.77734375" style="10" customWidth="1"/>
    <col min="10" max="13" width="11.5546875" style="10"/>
    <col min="14" max="14" width="6" style="10" customWidth="1"/>
    <col min="15" max="15" width="7" style="10" customWidth="1"/>
    <col min="16" max="16" width="11.5546875" style="10"/>
    <col min="17" max="17" width="13" style="10" customWidth="1"/>
    <col min="18" max="16384" width="11.5546875" style="10"/>
  </cols>
  <sheetData>
    <row r="2" spans="3:21" ht="15.6" x14ac:dyDescent="0.3">
      <c r="C2" s="115" t="s">
        <v>201</v>
      </c>
      <c r="I2" s="114" t="s">
        <v>58</v>
      </c>
    </row>
    <row r="3" spans="3:21" ht="24" customHeight="1" x14ac:dyDescent="0.3">
      <c r="C3" s="14"/>
      <c r="D3" s="17"/>
      <c r="E3" s="98" t="s">
        <v>173</v>
      </c>
      <c r="F3" s="99"/>
      <c r="G3" s="99"/>
      <c r="H3" s="14"/>
      <c r="I3" s="15">
        <f>SUM(E5:I9)</f>
        <v>33</v>
      </c>
      <c r="J3" s="9">
        <v>32</v>
      </c>
    </row>
    <row r="4" spans="3:21" ht="25.8" customHeight="1" thickBot="1" x14ac:dyDescent="0.35">
      <c r="C4" s="14"/>
      <c r="D4" s="17"/>
      <c r="E4" s="14"/>
      <c r="F4" s="14"/>
      <c r="G4" s="14"/>
      <c r="H4" s="14"/>
      <c r="I4" s="14"/>
      <c r="P4" s="90"/>
      <c r="Q4" s="91" t="s">
        <v>52</v>
      </c>
      <c r="R4" s="91" t="s">
        <v>53</v>
      </c>
      <c r="S4" s="91" t="s">
        <v>54</v>
      </c>
      <c r="T4" s="91" t="s">
        <v>55</v>
      </c>
      <c r="U4" s="91" t="s">
        <v>56</v>
      </c>
    </row>
    <row r="5" spans="3:21" ht="60" customHeight="1" x14ac:dyDescent="0.35">
      <c r="C5" s="160" t="s">
        <v>46</v>
      </c>
      <c r="D5" s="18" t="s">
        <v>47</v>
      </c>
      <c r="E5" s="116"/>
      <c r="F5" s="116"/>
      <c r="G5" s="116"/>
      <c r="H5" s="116"/>
      <c r="I5" s="117">
        <v>1</v>
      </c>
      <c r="J5" s="118"/>
      <c r="K5" s="147" t="s">
        <v>84</v>
      </c>
      <c r="N5" s="160" t="s">
        <v>46</v>
      </c>
      <c r="P5" s="92" t="s">
        <v>47</v>
      </c>
      <c r="Q5" s="93" t="s">
        <v>48</v>
      </c>
      <c r="R5" s="93" t="s">
        <v>48</v>
      </c>
      <c r="S5" s="93" t="s">
        <v>48</v>
      </c>
      <c r="T5" s="93" t="s">
        <v>48</v>
      </c>
      <c r="U5" s="94" t="s">
        <v>83</v>
      </c>
    </row>
    <row r="6" spans="3:21" ht="60" customHeight="1" x14ac:dyDescent="0.35">
      <c r="C6" s="161"/>
      <c r="D6" s="18" t="s">
        <v>48</v>
      </c>
      <c r="E6" s="119"/>
      <c r="F6" s="119"/>
      <c r="G6" s="116"/>
      <c r="H6" s="116"/>
      <c r="I6" s="117"/>
      <c r="J6" s="118"/>
      <c r="K6" s="117">
        <f>+I5+I6+I7+I8+I9</f>
        <v>25</v>
      </c>
      <c r="L6" s="7" t="s">
        <v>83</v>
      </c>
      <c r="N6" s="161"/>
      <c r="P6" s="95" t="s">
        <v>48</v>
      </c>
      <c r="Q6" s="96" t="s">
        <v>49</v>
      </c>
      <c r="R6" s="96" t="s">
        <v>49</v>
      </c>
      <c r="S6" s="93" t="s">
        <v>48</v>
      </c>
      <c r="T6" s="93" t="s">
        <v>48</v>
      </c>
      <c r="U6" s="94" t="s">
        <v>83</v>
      </c>
    </row>
    <row r="7" spans="3:21" ht="60" customHeight="1" x14ac:dyDescent="0.35">
      <c r="C7" s="161"/>
      <c r="D7" s="18" t="s">
        <v>49</v>
      </c>
      <c r="E7" s="119"/>
      <c r="F7" s="119"/>
      <c r="G7" s="119"/>
      <c r="H7" s="116"/>
      <c r="I7" s="117">
        <v>8</v>
      </c>
      <c r="J7" s="118"/>
      <c r="K7" s="116">
        <f>E5+F5+G5+H5+G6+H6+H7+H8+H9</f>
        <v>1</v>
      </c>
      <c r="L7" s="7" t="s">
        <v>48</v>
      </c>
      <c r="N7" s="161"/>
      <c r="P7" s="92" t="s">
        <v>49</v>
      </c>
      <c r="Q7" s="96" t="s">
        <v>49</v>
      </c>
      <c r="R7" s="96" t="s">
        <v>49</v>
      </c>
      <c r="S7" s="96" t="s">
        <v>49</v>
      </c>
      <c r="T7" s="93" t="s">
        <v>48</v>
      </c>
      <c r="U7" s="94" t="s">
        <v>83</v>
      </c>
    </row>
    <row r="8" spans="3:21" ht="60" customHeight="1" x14ac:dyDescent="0.35">
      <c r="C8" s="161"/>
      <c r="D8" s="18" t="s">
        <v>50</v>
      </c>
      <c r="E8" s="120"/>
      <c r="F8" s="119"/>
      <c r="G8" s="119">
        <v>1</v>
      </c>
      <c r="H8" s="116">
        <v>1</v>
      </c>
      <c r="I8" s="117">
        <v>9</v>
      </c>
      <c r="J8" s="118"/>
      <c r="K8" s="119">
        <f>+F6+E6+G7+E7+F7+G8+F8+G9</f>
        <v>7</v>
      </c>
      <c r="L8" s="7" t="s">
        <v>49</v>
      </c>
      <c r="N8" s="161"/>
      <c r="P8" s="95" t="s">
        <v>50</v>
      </c>
      <c r="Q8" s="97" t="s">
        <v>50</v>
      </c>
      <c r="R8" s="96" t="s">
        <v>49</v>
      </c>
      <c r="S8" s="96" t="s">
        <v>49</v>
      </c>
      <c r="T8" s="93" t="s">
        <v>48</v>
      </c>
      <c r="U8" s="94" t="s">
        <v>83</v>
      </c>
    </row>
    <row r="9" spans="3:21" ht="60" customHeight="1" thickBot="1" x14ac:dyDescent="0.4">
      <c r="C9" s="162"/>
      <c r="D9" s="18" t="s">
        <v>51</v>
      </c>
      <c r="E9" s="120"/>
      <c r="F9" s="120"/>
      <c r="G9" s="119">
        <v>6</v>
      </c>
      <c r="H9" s="116"/>
      <c r="I9" s="117">
        <v>7</v>
      </c>
      <c r="J9" s="118"/>
      <c r="K9" s="120">
        <f>+E8+F9+E9</f>
        <v>0</v>
      </c>
      <c r="L9" s="7" t="s">
        <v>50</v>
      </c>
      <c r="N9" s="162"/>
      <c r="P9" s="92" t="s">
        <v>51</v>
      </c>
      <c r="Q9" s="97" t="s">
        <v>50</v>
      </c>
      <c r="R9" s="97" t="s">
        <v>50</v>
      </c>
      <c r="S9" s="96" t="s">
        <v>49</v>
      </c>
      <c r="T9" s="93" t="s">
        <v>48</v>
      </c>
      <c r="U9" s="94" t="s">
        <v>83</v>
      </c>
    </row>
    <row r="10" spans="3:21" ht="49.95" customHeight="1" thickBot="1" x14ac:dyDescent="0.35">
      <c r="C10" s="14"/>
      <c r="D10" s="19"/>
      <c r="E10" s="16" t="s">
        <v>52</v>
      </c>
      <c r="F10" s="16" t="s">
        <v>53</v>
      </c>
      <c r="G10" s="16" t="s">
        <v>54</v>
      </c>
      <c r="H10" s="16" t="s">
        <v>55</v>
      </c>
      <c r="I10" s="16" t="s">
        <v>56</v>
      </c>
    </row>
    <row r="11" spans="3:21" ht="23.4" customHeight="1" thickBot="1" x14ac:dyDescent="0.35">
      <c r="C11" s="14"/>
      <c r="D11" s="19"/>
      <c r="E11" s="163" t="s">
        <v>57</v>
      </c>
      <c r="F11" s="164"/>
      <c r="G11" s="164"/>
      <c r="H11" s="164"/>
      <c r="I11" s="165"/>
      <c r="Q11" s="163" t="s">
        <v>57</v>
      </c>
      <c r="R11" s="164"/>
      <c r="S11" s="164"/>
      <c r="T11" s="164"/>
      <c r="U11" s="165"/>
    </row>
    <row r="17" spans="3:21" ht="15.6" x14ac:dyDescent="0.3">
      <c r="C17" s="115" t="s">
        <v>235</v>
      </c>
      <c r="I17" s="114" t="s">
        <v>58</v>
      </c>
    </row>
    <row r="18" spans="3:21" ht="24" customHeight="1" x14ac:dyDescent="0.3">
      <c r="C18" s="14"/>
      <c r="D18" s="17"/>
      <c r="E18" s="98" t="s">
        <v>173</v>
      </c>
      <c r="F18" s="99"/>
      <c r="G18" s="99"/>
      <c r="H18" s="14"/>
      <c r="I18" s="15">
        <f>SUM(E20:I24)</f>
        <v>33</v>
      </c>
      <c r="J18" s="9">
        <v>32</v>
      </c>
    </row>
    <row r="19" spans="3:21" ht="25.8" customHeight="1" thickBot="1" x14ac:dyDescent="0.35">
      <c r="C19" s="14"/>
      <c r="D19" s="17"/>
      <c r="E19" s="14"/>
      <c r="F19" s="14"/>
      <c r="G19" s="14"/>
      <c r="H19" s="14"/>
      <c r="I19" s="14"/>
      <c r="P19" s="90"/>
      <c r="Q19" s="91" t="s">
        <v>52</v>
      </c>
      <c r="R19" s="91" t="s">
        <v>53</v>
      </c>
      <c r="S19" s="91" t="s">
        <v>54</v>
      </c>
      <c r="T19" s="91" t="s">
        <v>55</v>
      </c>
      <c r="U19" s="91" t="s">
        <v>56</v>
      </c>
    </row>
    <row r="20" spans="3:21" ht="60" customHeight="1" x14ac:dyDescent="0.35">
      <c r="C20" s="160" t="s">
        <v>46</v>
      </c>
      <c r="D20" s="18" t="s">
        <v>47</v>
      </c>
      <c r="E20" s="116"/>
      <c r="F20" s="116"/>
      <c r="G20" s="116"/>
      <c r="H20" s="116"/>
      <c r="I20" s="117"/>
      <c r="J20" s="118"/>
      <c r="K20" s="147" t="s">
        <v>84</v>
      </c>
      <c r="N20" s="160" t="s">
        <v>46</v>
      </c>
      <c r="P20" s="92" t="s">
        <v>47</v>
      </c>
      <c r="Q20" s="93" t="s">
        <v>48</v>
      </c>
      <c r="R20" s="93" t="s">
        <v>48</v>
      </c>
      <c r="S20" s="93" t="s">
        <v>48</v>
      </c>
      <c r="T20" s="93" t="s">
        <v>48</v>
      </c>
      <c r="U20" s="94" t="s">
        <v>83</v>
      </c>
    </row>
    <row r="21" spans="3:21" ht="60" customHeight="1" x14ac:dyDescent="0.35">
      <c r="C21" s="161"/>
      <c r="D21" s="18" t="s">
        <v>48</v>
      </c>
      <c r="E21" s="119"/>
      <c r="F21" s="119"/>
      <c r="G21" s="116"/>
      <c r="H21" s="116"/>
      <c r="I21" s="117">
        <v>8</v>
      </c>
      <c r="J21" s="118"/>
      <c r="K21" s="117">
        <f>+I20+I21+I22+I23+I24</f>
        <v>15</v>
      </c>
      <c r="L21" s="7" t="s">
        <v>83</v>
      </c>
      <c r="N21" s="161"/>
      <c r="P21" s="95" t="s">
        <v>48</v>
      </c>
      <c r="Q21" s="96" t="s">
        <v>49</v>
      </c>
      <c r="R21" s="96" t="s">
        <v>49</v>
      </c>
      <c r="S21" s="93" t="s">
        <v>48</v>
      </c>
      <c r="T21" s="93" t="s">
        <v>48</v>
      </c>
      <c r="U21" s="94" t="s">
        <v>83</v>
      </c>
    </row>
    <row r="22" spans="3:21" ht="60" customHeight="1" x14ac:dyDescent="0.35">
      <c r="C22" s="161"/>
      <c r="D22" s="18" t="s">
        <v>49</v>
      </c>
      <c r="E22" s="119"/>
      <c r="F22" s="119">
        <v>6</v>
      </c>
      <c r="G22" s="119">
        <v>3</v>
      </c>
      <c r="H22" s="116"/>
      <c r="I22" s="117">
        <v>3</v>
      </c>
      <c r="J22" s="118"/>
      <c r="K22" s="116">
        <f>E20+F20+G20+H20+G21+H21+H22+H23+H24</f>
        <v>1</v>
      </c>
      <c r="L22" s="7" t="s">
        <v>48</v>
      </c>
      <c r="N22" s="161"/>
      <c r="P22" s="92" t="s">
        <v>49</v>
      </c>
      <c r="Q22" s="96" t="s">
        <v>49</v>
      </c>
      <c r="R22" s="96" t="s">
        <v>49</v>
      </c>
      <c r="S22" s="96" t="s">
        <v>49</v>
      </c>
      <c r="T22" s="93" t="s">
        <v>48</v>
      </c>
      <c r="U22" s="94" t="s">
        <v>83</v>
      </c>
    </row>
    <row r="23" spans="3:21" ht="60" customHeight="1" x14ac:dyDescent="0.35">
      <c r="C23" s="161"/>
      <c r="D23" s="18" t="s">
        <v>50</v>
      </c>
      <c r="E23" s="120"/>
      <c r="F23" s="119">
        <v>4</v>
      </c>
      <c r="G23" s="119">
        <v>1</v>
      </c>
      <c r="H23" s="116">
        <v>1</v>
      </c>
      <c r="I23" s="117">
        <v>2</v>
      </c>
      <c r="J23" s="118"/>
      <c r="K23" s="119">
        <f>+F21+E21+G22+E22+F22+G23+F23+G24</f>
        <v>14</v>
      </c>
      <c r="L23" s="7" t="s">
        <v>49</v>
      </c>
      <c r="N23" s="161"/>
      <c r="P23" s="95" t="s">
        <v>50</v>
      </c>
      <c r="Q23" s="97" t="s">
        <v>50</v>
      </c>
      <c r="R23" s="96" t="s">
        <v>49</v>
      </c>
      <c r="S23" s="96" t="s">
        <v>49</v>
      </c>
      <c r="T23" s="93" t="s">
        <v>48</v>
      </c>
      <c r="U23" s="94" t="s">
        <v>83</v>
      </c>
    </row>
    <row r="24" spans="3:21" ht="60" customHeight="1" thickBot="1" x14ac:dyDescent="0.4">
      <c r="C24" s="162"/>
      <c r="D24" s="18" t="s">
        <v>51</v>
      </c>
      <c r="E24" s="120"/>
      <c r="F24" s="120">
        <v>3</v>
      </c>
      <c r="G24" s="119"/>
      <c r="H24" s="116"/>
      <c r="I24" s="117">
        <v>2</v>
      </c>
      <c r="J24" s="118"/>
      <c r="K24" s="120">
        <f>+E23+F24+E24</f>
        <v>3</v>
      </c>
      <c r="L24" s="7" t="s">
        <v>50</v>
      </c>
      <c r="N24" s="162"/>
      <c r="P24" s="92" t="s">
        <v>51</v>
      </c>
      <c r="Q24" s="97" t="s">
        <v>50</v>
      </c>
      <c r="R24" s="97" t="s">
        <v>50</v>
      </c>
      <c r="S24" s="96" t="s">
        <v>49</v>
      </c>
      <c r="T24" s="93" t="s">
        <v>48</v>
      </c>
      <c r="U24" s="94" t="s">
        <v>83</v>
      </c>
    </row>
    <row r="25" spans="3:21" ht="49.95" customHeight="1" thickBot="1" x14ac:dyDescent="0.35">
      <c r="C25" s="14"/>
      <c r="D25" s="19"/>
      <c r="E25" s="16" t="s">
        <v>52</v>
      </c>
      <c r="F25" s="16" t="s">
        <v>53</v>
      </c>
      <c r="G25" s="16" t="s">
        <v>54</v>
      </c>
      <c r="H25" s="16" t="s">
        <v>55</v>
      </c>
      <c r="I25" s="16" t="s">
        <v>56</v>
      </c>
    </row>
    <row r="26" spans="3:21" ht="23.4" customHeight="1" thickBot="1" x14ac:dyDescent="0.35">
      <c r="C26" s="14"/>
      <c r="D26" s="19"/>
      <c r="E26" s="163" t="s">
        <v>57</v>
      </c>
      <c r="F26" s="164"/>
      <c r="G26" s="164"/>
      <c r="H26" s="164"/>
      <c r="I26" s="165"/>
      <c r="Q26" s="163" t="s">
        <v>57</v>
      </c>
      <c r="R26" s="164"/>
      <c r="S26" s="164"/>
      <c r="T26" s="164"/>
      <c r="U26" s="165"/>
    </row>
    <row r="31" spans="3:21" ht="15.6" x14ac:dyDescent="0.3">
      <c r="C31" s="115" t="s">
        <v>236</v>
      </c>
      <c r="I31" s="114" t="s">
        <v>58</v>
      </c>
    </row>
    <row r="32" spans="3:21" ht="24" customHeight="1" x14ac:dyDescent="0.3">
      <c r="C32" s="14"/>
      <c r="D32" s="17"/>
      <c r="E32" s="98" t="s">
        <v>173</v>
      </c>
      <c r="F32" s="99"/>
      <c r="G32" s="99"/>
      <c r="H32" s="14"/>
      <c r="I32" s="15">
        <f>SUM(E34:I38)</f>
        <v>33</v>
      </c>
      <c r="J32" s="9">
        <v>32</v>
      </c>
    </row>
    <row r="33" spans="3:21" ht="25.8" customHeight="1" thickBot="1" x14ac:dyDescent="0.35">
      <c r="C33" s="14"/>
      <c r="D33" s="17"/>
      <c r="E33" s="14"/>
      <c r="F33" s="14"/>
      <c r="G33" s="14"/>
      <c r="H33" s="14"/>
      <c r="I33" s="14"/>
      <c r="P33" s="90"/>
      <c r="Q33" s="91" t="s">
        <v>52</v>
      </c>
      <c r="R33" s="91" t="s">
        <v>53</v>
      </c>
      <c r="S33" s="91" t="s">
        <v>54</v>
      </c>
      <c r="T33" s="91" t="s">
        <v>55</v>
      </c>
      <c r="U33" s="91" t="s">
        <v>56</v>
      </c>
    </row>
    <row r="34" spans="3:21" ht="60" customHeight="1" x14ac:dyDescent="0.35">
      <c r="C34" s="160" t="s">
        <v>46</v>
      </c>
      <c r="D34" s="18" t="s">
        <v>47</v>
      </c>
      <c r="E34" s="116"/>
      <c r="F34" s="116"/>
      <c r="G34" s="116"/>
      <c r="H34" s="116"/>
      <c r="I34" s="117"/>
      <c r="J34" s="118"/>
      <c r="K34" s="147" t="s">
        <v>84</v>
      </c>
      <c r="N34" s="160" t="s">
        <v>46</v>
      </c>
      <c r="P34" s="92" t="s">
        <v>47</v>
      </c>
      <c r="Q34" s="93" t="s">
        <v>48</v>
      </c>
      <c r="R34" s="93" t="s">
        <v>48</v>
      </c>
      <c r="S34" s="93" t="s">
        <v>48</v>
      </c>
      <c r="T34" s="93" t="s">
        <v>48</v>
      </c>
      <c r="U34" s="94" t="s">
        <v>83</v>
      </c>
    </row>
    <row r="35" spans="3:21" ht="60" customHeight="1" x14ac:dyDescent="0.35">
      <c r="C35" s="161"/>
      <c r="D35" s="18" t="s">
        <v>48</v>
      </c>
      <c r="E35" s="119">
        <v>2</v>
      </c>
      <c r="F35" s="119">
        <v>1</v>
      </c>
      <c r="G35" s="116"/>
      <c r="H35" s="116"/>
      <c r="I35" s="117"/>
      <c r="J35" s="118"/>
      <c r="K35" s="117">
        <f>+I34+I35+I36+I37+I38</f>
        <v>15</v>
      </c>
      <c r="L35" s="7" t="s">
        <v>83</v>
      </c>
      <c r="N35" s="161"/>
      <c r="P35" s="95" t="s">
        <v>48</v>
      </c>
      <c r="Q35" s="96" t="s">
        <v>49</v>
      </c>
      <c r="R35" s="96" t="s">
        <v>49</v>
      </c>
      <c r="S35" s="93" t="s">
        <v>48</v>
      </c>
      <c r="T35" s="93" t="s">
        <v>48</v>
      </c>
      <c r="U35" s="94" t="s">
        <v>83</v>
      </c>
    </row>
    <row r="36" spans="3:21" ht="60" customHeight="1" x14ac:dyDescent="0.35">
      <c r="C36" s="161"/>
      <c r="D36" s="18" t="s">
        <v>49</v>
      </c>
      <c r="E36" s="119">
        <v>3</v>
      </c>
      <c r="F36" s="119">
        <v>1</v>
      </c>
      <c r="G36" s="119"/>
      <c r="H36" s="116"/>
      <c r="I36" s="117">
        <v>1</v>
      </c>
      <c r="J36" s="118"/>
      <c r="K36" s="116">
        <f>E34+F34+G34+H34+G35+H35+H36+H37+H38</f>
        <v>1</v>
      </c>
      <c r="L36" s="7" t="s">
        <v>48</v>
      </c>
      <c r="N36" s="161"/>
      <c r="P36" s="92" t="s">
        <v>49</v>
      </c>
      <c r="Q36" s="96" t="s">
        <v>49</v>
      </c>
      <c r="R36" s="96" t="s">
        <v>49</v>
      </c>
      <c r="S36" s="96" t="s">
        <v>49</v>
      </c>
      <c r="T36" s="93" t="s">
        <v>48</v>
      </c>
      <c r="U36" s="94" t="s">
        <v>83</v>
      </c>
    </row>
    <row r="37" spans="3:21" ht="60" customHeight="1" x14ac:dyDescent="0.35">
      <c r="C37" s="161"/>
      <c r="D37" s="18" t="s">
        <v>50</v>
      </c>
      <c r="E37" s="120">
        <v>1</v>
      </c>
      <c r="F37" s="119">
        <v>1</v>
      </c>
      <c r="G37" s="119">
        <v>1</v>
      </c>
      <c r="H37" s="116">
        <v>1</v>
      </c>
      <c r="I37" s="117">
        <v>10</v>
      </c>
      <c r="J37" s="118"/>
      <c r="K37" s="119">
        <f>+F35+E35+G36+E36+F36+G37+F37+G38</f>
        <v>9</v>
      </c>
      <c r="L37" s="7" t="s">
        <v>49</v>
      </c>
      <c r="N37" s="161"/>
      <c r="P37" s="95" t="s">
        <v>50</v>
      </c>
      <c r="Q37" s="97" t="s">
        <v>50</v>
      </c>
      <c r="R37" s="96" t="s">
        <v>49</v>
      </c>
      <c r="S37" s="96" t="s">
        <v>49</v>
      </c>
      <c r="T37" s="93" t="s">
        <v>48</v>
      </c>
      <c r="U37" s="94" t="s">
        <v>83</v>
      </c>
    </row>
    <row r="38" spans="3:21" ht="60" customHeight="1" thickBot="1" x14ac:dyDescent="0.4">
      <c r="C38" s="162"/>
      <c r="D38" s="18" t="s">
        <v>51</v>
      </c>
      <c r="E38" s="120">
        <v>4</v>
      </c>
      <c r="F38" s="120">
        <v>3</v>
      </c>
      <c r="G38" s="119"/>
      <c r="H38" s="116"/>
      <c r="I38" s="117">
        <v>4</v>
      </c>
      <c r="J38" s="118"/>
      <c r="K38" s="120">
        <f>+E37+F38+E38</f>
        <v>8</v>
      </c>
      <c r="L38" s="7" t="s">
        <v>50</v>
      </c>
      <c r="N38" s="162"/>
      <c r="P38" s="92" t="s">
        <v>51</v>
      </c>
      <c r="Q38" s="97" t="s">
        <v>50</v>
      </c>
      <c r="R38" s="97" t="s">
        <v>50</v>
      </c>
      <c r="S38" s="96" t="s">
        <v>49</v>
      </c>
      <c r="T38" s="93" t="s">
        <v>48</v>
      </c>
      <c r="U38" s="94" t="s">
        <v>83</v>
      </c>
    </row>
    <row r="39" spans="3:21" ht="49.95" customHeight="1" thickBot="1" x14ac:dyDescent="0.35">
      <c r="C39" s="14"/>
      <c r="D39" s="19"/>
      <c r="E39" s="16" t="s">
        <v>52</v>
      </c>
      <c r="F39" s="16" t="s">
        <v>53</v>
      </c>
      <c r="G39" s="16" t="s">
        <v>54</v>
      </c>
      <c r="H39" s="16" t="s">
        <v>55</v>
      </c>
      <c r="I39" s="16" t="s">
        <v>56</v>
      </c>
    </row>
    <row r="40" spans="3:21" ht="23.4" customHeight="1" thickBot="1" x14ac:dyDescent="0.35">
      <c r="C40" s="14"/>
      <c r="D40" s="19"/>
      <c r="E40" s="163" t="s">
        <v>57</v>
      </c>
      <c r="F40" s="164"/>
      <c r="G40" s="164"/>
      <c r="H40" s="164"/>
      <c r="I40" s="165"/>
      <c r="Q40" s="163" t="s">
        <v>57</v>
      </c>
      <c r="R40" s="164"/>
      <c r="S40" s="164"/>
      <c r="T40" s="164"/>
      <c r="U40" s="165"/>
    </row>
    <row r="44" spans="3:21" ht="15.6" x14ac:dyDescent="0.3">
      <c r="C44" s="115" t="s">
        <v>237</v>
      </c>
      <c r="I44" s="114" t="s">
        <v>58</v>
      </c>
    </row>
    <row r="45" spans="3:21" ht="24" customHeight="1" x14ac:dyDescent="0.3">
      <c r="C45" s="14"/>
      <c r="D45" s="17"/>
      <c r="E45" s="98" t="s">
        <v>173</v>
      </c>
      <c r="F45" s="99"/>
      <c r="G45" s="99"/>
      <c r="H45" s="14"/>
      <c r="I45" s="15">
        <f>SUM(E47:I51)</f>
        <v>33</v>
      </c>
      <c r="J45" s="9">
        <v>32</v>
      </c>
    </row>
    <row r="46" spans="3:21" ht="25.8" customHeight="1" thickBot="1" x14ac:dyDescent="0.35">
      <c r="C46" s="14"/>
      <c r="D46" s="17"/>
      <c r="E46" s="14"/>
      <c r="F46" s="14"/>
      <c r="G46" s="14"/>
      <c r="H46" s="14"/>
      <c r="I46" s="14"/>
      <c r="P46" s="90"/>
      <c r="Q46" s="91" t="s">
        <v>52</v>
      </c>
      <c r="R46" s="91" t="s">
        <v>53</v>
      </c>
      <c r="S46" s="91" t="s">
        <v>54</v>
      </c>
      <c r="T46" s="91" t="s">
        <v>55</v>
      </c>
      <c r="U46" s="91" t="s">
        <v>56</v>
      </c>
    </row>
    <row r="47" spans="3:21" ht="60" customHeight="1" x14ac:dyDescent="0.35">
      <c r="C47" s="160" t="s">
        <v>46</v>
      </c>
      <c r="D47" s="18" t="s">
        <v>47</v>
      </c>
      <c r="E47" s="116"/>
      <c r="F47" s="116"/>
      <c r="G47" s="116"/>
      <c r="H47" s="116"/>
      <c r="I47" s="117"/>
      <c r="J47" s="118"/>
      <c r="K47" s="147" t="s">
        <v>84</v>
      </c>
      <c r="N47" s="160" t="s">
        <v>46</v>
      </c>
      <c r="P47" s="92" t="s">
        <v>47</v>
      </c>
      <c r="Q47" s="93" t="s">
        <v>48</v>
      </c>
      <c r="R47" s="93" t="s">
        <v>48</v>
      </c>
      <c r="S47" s="93" t="s">
        <v>48</v>
      </c>
      <c r="T47" s="93" t="s">
        <v>48</v>
      </c>
      <c r="U47" s="94" t="s">
        <v>83</v>
      </c>
    </row>
    <row r="48" spans="3:21" ht="60" customHeight="1" x14ac:dyDescent="0.35">
      <c r="C48" s="161"/>
      <c r="D48" s="18" t="s">
        <v>48</v>
      </c>
      <c r="E48" s="119"/>
      <c r="F48" s="119">
        <v>1</v>
      </c>
      <c r="G48" s="116"/>
      <c r="H48" s="116"/>
      <c r="I48" s="117"/>
      <c r="J48" s="118"/>
      <c r="K48" s="117">
        <f>+I47+I48+I49+I50+I51</f>
        <v>7</v>
      </c>
      <c r="L48" s="7" t="s">
        <v>83</v>
      </c>
      <c r="N48" s="161"/>
      <c r="P48" s="95" t="s">
        <v>48</v>
      </c>
      <c r="Q48" s="96" t="s">
        <v>49</v>
      </c>
      <c r="R48" s="96" t="s">
        <v>49</v>
      </c>
      <c r="S48" s="93" t="s">
        <v>48</v>
      </c>
      <c r="T48" s="93" t="s">
        <v>48</v>
      </c>
      <c r="U48" s="94" t="s">
        <v>83</v>
      </c>
    </row>
    <row r="49" spans="3:21" ht="60" customHeight="1" x14ac:dyDescent="0.35">
      <c r="C49" s="161"/>
      <c r="D49" s="18" t="s">
        <v>49</v>
      </c>
      <c r="E49" s="119"/>
      <c r="F49" s="119"/>
      <c r="G49" s="119"/>
      <c r="H49" s="116"/>
      <c r="I49" s="117"/>
      <c r="J49" s="118"/>
      <c r="K49" s="116">
        <f>E47+F47+G47+H47+G48+H48+H49+H50+H51</f>
        <v>4</v>
      </c>
      <c r="L49" s="7" t="s">
        <v>48</v>
      </c>
      <c r="N49" s="161"/>
      <c r="P49" s="92" t="s">
        <v>49</v>
      </c>
      <c r="Q49" s="96" t="s">
        <v>49</v>
      </c>
      <c r="R49" s="96" t="s">
        <v>49</v>
      </c>
      <c r="S49" s="96" t="s">
        <v>49</v>
      </c>
      <c r="T49" s="93" t="s">
        <v>48</v>
      </c>
      <c r="U49" s="94" t="s">
        <v>83</v>
      </c>
    </row>
    <row r="50" spans="3:21" ht="60" customHeight="1" x14ac:dyDescent="0.35">
      <c r="C50" s="161"/>
      <c r="D50" s="18" t="s">
        <v>50</v>
      </c>
      <c r="E50" s="120"/>
      <c r="F50" s="119"/>
      <c r="G50" s="119"/>
      <c r="H50" s="116">
        <v>2</v>
      </c>
      <c r="I50" s="117">
        <v>7</v>
      </c>
      <c r="J50" s="118"/>
      <c r="K50" s="119">
        <f>+F48+E48+G49+E49+F49+G50+F50+G51</f>
        <v>6</v>
      </c>
      <c r="L50" s="7" t="s">
        <v>49</v>
      </c>
      <c r="N50" s="161"/>
      <c r="P50" s="95" t="s">
        <v>50</v>
      </c>
      <c r="Q50" s="97" t="s">
        <v>50</v>
      </c>
      <c r="R50" s="96" t="s">
        <v>49</v>
      </c>
      <c r="S50" s="96" t="s">
        <v>49</v>
      </c>
      <c r="T50" s="93" t="s">
        <v>48</v>
      </c>
      <c r="U50" s="94" t="s">
        <v>83</v>
      </c>
    </row>
    <row r="51" spans="3:21" ht="60" customHeight="1" thickBot="1" x14ac:dyDescent="0.4">
      <c r="C51" s="162"/>
      <c r="D51" s="18" t="s">
        <v>51</v>
      </c>
      <c r="E51" s="120">
        <v>2</v>
      </c>
      <c r="F51" s="120">
        <v>14</v>
      </c>
      <c r="G51" s="119">
        <v>5</v>
      </c>
      <c r="H51" s="116">
        <v>2</v>
      </c>
      <c r="I51" s="117"/>
      <c r="J51" s="118"/>
      <c r="K51" s="120">
        <f>+E50+F51+E51</f>
        <v>16</v>
      </c>
      <c r="L51" s="7" t="s">
        <v>50</v>
      </c>
      <c r="N51" s="162"/>
      <c r="P51" s="92" t="s">
        <v>51</v>
      </c>
      <c r="Q51" s="97" t="s">
        <v>50</v>
      </c>
      <c r="R51" s="97" t="s">
        <v>50</v>
      </c>
      <c r="S51" s="96" t="s">
        <v>49</v>
      </c>
      <c r="T51" s="93" t="s">
        <v>48</v>
      </c>
      <c r="U51" s="94" t="s">
        <v>83</v>
      </c>
    </row>
    <row r="52" spans="3:21" ht="49.95" customHeight="1" thickBot="1" x14ac:dyDescent="0.35">
      <c r="C52" s="14"/>
      <c r="D52" s="19"/>
      <c r="E52" s="16" t="s">
        <v>52</v>
      </c>
      <c r="F52" s="16" t="s">
        <v>53</v>
      </c>
      <c r="G52" s="16" t="s">
        <v>54</v>
      </c>
      <c r="H52" s="16" t="s">
        <v>55</v>
      </c>
      <c r="I52" s="16" t="s">
        <v>56</v>
      </c>
    </row>
    <row r="53" spans="3:21" ht="23.4" customHeight="1" thickBot="1" x14ac:dyDescent="0.35">
      <c r="C53" s="14"/>
      <c r="D53" s="19"/>
      <c r="E53" s="163" t="s">
        <v>57</v>
      </c>
      <c r="F53" s="164"/>
      <c r="G53" s="164"/>
      <c r="H53" s="164"/>
      <c r="I53" s="165"/>
      <c r="Q53" s="163" t="s">
        <v>57</v>
      </c>
      <c r="R53" s="164"/>
      <c r="S53" s="164"/>
      <c r="T53" s="164"/>
      <c r="U53" s="165"/>
    </row>
    <row r="57" spans="3:21" ht="15.6" x14ac:dyDescent="0.3">
      <c r="C57" s="115" t="s">
        <v>244</v>
      </c>
      <c r="I57" s="114" t="s">
        <v>58</v>
      </c>
    </row>
    <row r="58" spans="3:21" ht="24" customHeight="1" x14ac:dyDescent="0.3">
      <c r="C58" s="14"/>
      <c r="D58" s="17"/>
      <c r="E58" s="98" t="s">
        <v>173</v>
      </c>
      <c r="F58" s="99"/>
      <c r="G58" s="99"/>
      <c r="H58" s="14"/>
      <c r="I58" s="15">
        <f>SUM(E60:I64)</f>
        <v>33</v>
      </c>
      <c r="J58" s="9">
        <v>32</v>
      </c>
    </row>
    <row r="59" spans="3:21" ht="25.8" customHeight="1" thickBot="1" x14ac:dyDescent="0.35">
      <c r="C59" s="14"/>
      <c r="D59" s="17"/>
      <c r="E59" s="14"/>
      <c r="F59" s="14"/>
      <c r="G59" s="14"/>
      <c r="H59" s="14"/>
      <c r="I59" s="14"/>
      <c r="P59" s="90"/>
      <c r="Q59" s="91" t="s">
        <v>52</v>
      </c>
      <c r="R59" s="91" t="s">
        <v>53</v>
      </c>
      <c r="S59" s="91" t="s">
        <v>54</v>
      </c>
      <c r="T59" s="91" t="s">
        <v>55</v>
      </c>
      <c r="U59" s="91" t="s">
        <v>56</v>
      </c>
    </row>
    <row r="60" spans="3:21" ht="60" customHeight="1" x14ac:dyDescent="0.35">
      <c r="C60" s="160" t="s">
        <v>46</v>
      </c>
      <c r="D60" s="18" t="s">
        <v>47</v>
      </c>
      <c r="E60" s="116"/>
      <c r="F60" s="116"/>
      <c r="G60" s="116"/>
      <c r="H60" s="116"/>
      <c r="I60" s="117"/>
      <c r="J60" s="118"/>
      <c r="K60" s="147" t="s">
        <v>84</v>
      </c>
      <c r="N60" s="160" t="s">
        <v>46</v>
      </c>
      <c r="P60" s="92" t="s">
        <v>47</v>
      </c>
      <c r="Q60" s="93" t="s">
        <v>48</v>
      </c>
      <c r="R60" s="93" t="s">
        <v>48</v>
      </c>
      <c r="S60" s="93" t="s">
        <v>48</v>
      </c>
      <c r="T60" s="93" t="s">
        <v>48</v>
      </c>
      <c r="U60" s="94" t="s">
        <v>83</v>
      </c>
    </row>
    <row r="61" spans="3:21" ht="60" customHeight="1" x14ac:dyDescent="0.35">
      <c r="C61" s="161"/>
      <c r="D61" s="18" t="s">
        <v>48</v>
      </c>
      <c r="E61" s="119"/>
      <c r="F61" s="119"/>
      <c r="G61" s="116"/>
      <c r="H61" s="116"/>
      <c r="I61" s="117"/>
      <c r="J61" s="118"/>
      <c r="K61" s="117">
        <f>+I60+I61+I62+I63+I64</f>
        <v>28</v>
      </c>
      <c r="L61" s="7" t="s">
        <v>83</v>
      </c>
      <c r="N61" s="161"/>
      <c r="P61" s="95" t="s">
        <v>48</v>
      </c>
      <c r="Q61" s="96" t="s">
        <v>49</v>
      </c>
      <c r="R61" s="96" t="s">
        <v>49</v>
      </c>
      <c r="S61" s="93" t="s">
        <v>48</v>
      </c>
      <c r="T61" s="93" t="s">
        <v>48</v>
      </c>
      <c r="U61" s="94" t="s">
        <v>83</v>
      </c>
    </row>
    <row r="62" spans="3:21" ht="60" customHeight="1" x14ac:dyDescent="0.35">
      <c r="C62" s="161"/>
      <c r="D62" s="18" t="s">
        <v>49</v>
      </c>
      <c r="E62" s="119"/>
      <c r="F62" s="119"/>
      <c r="G62" s="119">
        <v>1</v>
      </c>
      <c r="H62" s="116"/>
      <c r="I62" s="117">
        <v>14</v>
      </c>
      <c r="J62" s="118"/>
      <c r="K62" s="116">
        <f>E60+F60+G60+H60+G61+H61+H62+H63+H64</f>
        <v>2</v>
      </c>
      <c r="L62" s="7" t="s">
        <v>48</v>
      </c>
      <c r="N62" s="161"/>
      <c r="P62" s="92" t="s">
        <v>49</v>
      </c>
      <c r="Q62" s="96" t="s">
        <v>49</v>
      </c>
      <c r="R62" s="96" t="s">
        <v>49</v>
      </c>
      <c r="S62" s="96" t="s">
        <v>49</v>
      </c>
      <c r="T62" s="93" t="s">
        <v>48</v>
      </c>
      <c r="U62" s="94" t="s">
        <v>83</v>
      </c>
    </row>
    <row r="63" spans="3:21" ht="60" customHeight="1" x14ac:dyDescent="0.35">
      <c r="C63" s="161"/>
      <c r="D63" s="18" t="s">
        <v>50</v>
      </c>
      <c r="E63" s="120"/>
      <c r="F63" s="119">
        <v>1</v>
      </c>
      <c r="G63" s="119"/>
      <c r="H63" s="116">
        <v>1</v>
      </c>
      <c r="I63" s="117">
        <v>14</v>
      </c>
      <c r="J63" s="118"/>
      <c r="K63" s="119">
        <f>+F61+E61+G62+E62+F62+G63+F63+G64</f>
        <v>2</v>
      </c>
      <c r="L63" s="7" t="s">
        <v>49</v>
      </c>
      <c r="N63" s="161"/>
      <c r="P63" s="95" t="s">
        <v>50</v>
      </c>
      <c r="Q63" s="97" t="s">
        <v>50</v>
      </c>
      <c r="R63" s="96" t="s">
        <v>49</v>
      </c>
      <c r="S63" s="96" t="s">
        <v>49</v>
      </c>
      <c r="T63" s="93" t="s">
        <v>48</v>
      </c>
      <c r="U63" s="94" t="s">
        <v>83</v>
      </c>
    </row>
    <row r="64" spans="3:21" ht="60" customHeight="1" thickBot="1" x14ac:dyDescent="0.4">
      <c r="C64" s="162"/>
      <c r="D64" s="18" t="s">
        <v>51</v>
      </c>
      <c r="E64" s="120"/>
      <c r="F64" s="120">
        <v>1</v>
      </c>
      <c r="G64" s="119"/>
      <c r="H64" s="116">
        <v>1</v>
      </c>
      <c r="I64" s="117"/>
      <c r="J64" s="118"/>
      <c r="K64" s="120">
        <f>+E63+F64+E64</f>
        <v>1</v>
      </c>
      <c r="L64" s="7" t="s">
        <v>50</v>
      </c>
      <c r="N64" s="162"/>
      <c r="P64" s="92" t="s">
        <v>51</v>
      </c>
      <c r="Q64" s="97" t="s">
        <v>50</v>
      </c>
      <c r="R64" s="97" t="s">
        <v>50</v>
      </c>
      <c r="S64" s="96" t="s">
        <v>49</v>
      </c>
      <c r="T64" s="93" t="s">
        <v>48</v>
      </c>
      <c r="U64" s="94" t="s">
        <v>83</v>
      </c>
    </row>
    <row r="65" spans="3:21" ht="49.95" customHeight="1" thickBot="1" x14ac:dyDescent="0.35">
      <c r="C65" s="14"/>
      <c r="D65" s="19"/>
      <c r="E65" s="16" t="s">
        <v>52</v>
      </c>
      <c r="F65" s="16" t="s">
        <v>53</v>
      </c>
      <c r="G65" s="16" t="s">
        <v>54</v>
      </c>
      <c r="H65" s="16" t="s">
        <v>55</v>
      </c>
      <c r="I65" s="16" t="s">
        <v>56</v>
      </c>
    </row>
    <row r="66" spans="3:21" ht="23.4" customHeight="1" thickBot="1" x14ac:dyDescent="0.35">
      <c r="C66" s="14"/>
      <c r="D66" s="19"/>
      <c r="E66" s="163" t="s">
        <v>57</v>
      </c>
      <c r="F66" s="164"/>
      <c r="G66" s="164"/>
      <c r="H66" s="164"/>
      <c r="I66" s="165"/>
      <c r="Q66" s="163" t="s">
        <v>57</v>
      </c>
      <c r="R66" s="164"/>
      <c r="S66" s="164"/>
      <c r="T66" s="164"/>
      <c r="U66" s="165"/>
    </row>
    <row r="71" spans="3:21" ht="15.6" x14ac:dyDescent="0.3">
      <c r="C71" s="115" t="s">
        <v>260</v>
      </c>
      <c r="I71" s="114" t="s">
        <v>58</v>
      </c>
    </row>
    <row r="72" spans="3:21" ht="15.6" x14ac:dyDescent="0.3">
      <c r="C72" s="14"/>
      <c r="D72" s="17"/>
      <c r="E72" s="98" t="s">
        <v>173</v>
      </c>
      <c r="F72" s="99"/>
      <c r="G72" s="99"/>
      <c r="H72" s="14"/>
      <c r="I72" s="15">
        <f>SUM(E74:I78)</f>
        <v>33</v>
      </c>
      <c r="J72" s="9">
        <v>32</v>
      </c>
    </row>
    <row r="73" spans="3:21" ht="14.4" thickBot="1" x14ac:dyDescent="0.35">
      <c r="C73" s="14"/>
      <c r="D73" s="17"/>
      <c r="E73" s="14"/>
      <c r="F73" s="14"/>
      <c r="G73" s="14"/>
      <c r="H73" s="14"/>
      <c r="I73" s="14"/>
      <c r="P73" s="90"/>
      <c r="Q73" s="91" t="s">
        <v>52</v>
      </c>
      <c r="R73" s="91" t="s">
        <v>53</v>
      </c>
      <c r="S73" s="91" t="s">
        <v>54</v>
      </c>
      <c r="T73" s="91" t="s">
        <v>55</v>
      </c>
      <c r="U73" s="91" t="s">
        <v>56</v>
      </c>
    </row>
    <row r="74" spans="3:21" ht="60" customHeight="1" x14ac:dyDescent="0.35">
      <c r="C74" s="160" t="s">
        <v>46</v>
      </c>
      <c r="D74" s="18" t="s">
        <v>47</v>
      </c>
      <c r="E74" s="116"/>
      <c r="F74" s="116"/>
      <c r="G74" s="116"/>
      <c r="H74" s="116"/>
      <c r="I74" s="117">
        <v>1</v>
      </c>
      <c r="J74" s="118"/>
      <c r="K74" s="147" t="s">
        <v>84</v>
      </c>
      <c r="N74" s="160" t="s">
        <v>46</v>
      </c>
      <c r="P74" s="92" t="s">
        <v>47</v>
      </c>
      <c r="Q74" s="93" t="s">
        <v>48</v>
      </c>
      <c r="R74" s="93" t="s">
        <v>48</v>
      </c>
      <c r="S74" s="93" t="s">
        <v>48</v>
      </c>
      <c r="T74" s="93" t="s">
        <v>48</v>
      </c>
      <c r="U74" s="94" t="s">
        <v>83</v>
      </c>
    </row>
    <row r="75" spans="3:21" ht="60" customHeight="1" x14ac:dyDescent="0.35">
      <c r="C75" s="161"/>
      <c r="D75" s="18" t="s">
        <v>48</v>
      </c>
      <c r="E75" s="119"/>
      <c r="F75" s="119">
        <v>1</v>
      </c>
      <c r="G75" s="116"/>
      <c r="H75" s="116"/>
      <c r="I75" s="117"/>
      <c r="J75" s="118"/>
      <c r="K75" s="117">
        <f>+I74+I75+I76+I77+I78</f>
        <v>25</v>
      </c>
      <c r="L75" s="7" t="s">
        <v>83</v>
      </c>
      <c r="N75" s="161"/>
      <c r="P75" s="95" t="s">
        <v>48</v>
      </c>
      <c r="Q75" s="96" t="s">
        <v>49</v>
      </c>
      <c r="R75" s="96" t="s">
        <v>49</v>
      </c>
      <c r="S75" s="93" t="s">
        <v>48</v>
      </c>
      <c r="T75" s="93" t="s">
        <v>48</v>
      </c>
      <c r="U75" s="94" t="s">
        <v>83</v>
      </c>
    </row>
    <row r="76" spans="3:21" ht="60" customHeight="1" x14ac:dyDescent="0.35">
      <c r="C76" s="161"/>
      <c r="D76" s="18" t="s">
        <v>49</v>
      </c>
      <c r="E76" s="119"/>
      <c r="F76" s="119"/>
      <c r="G76" s="119">
        <v>2</v>
      </c>
      <c r="H76" s="116"/>
      <c r="I76" s="117">
        <v>2</v>
      </c>
      <c r="J76" s="118"/>
      <c r="K76" s="116">
        <f>E74+F74+G74+H74+G75+H75+H76+H77+H78</f>
        <v>1</v>
      </c>
      <c r="L76" s="7" t="s">
        <v>48</v>
      </c>
      <c r="N76" s="161"/>
      <c r="P76" s="92" t="s">
        <v>49</v>
      </c>
      <c r="Q76" s="96" t="s">
        <v>49</v>
      </c>
      <c r="R76" s="96" t="s">
        <v>49</v>
      </c>
      <c r="S76" s="96" t="s">
        <v>49</v>
      </c>
      <c r="T76" s="93" t="s">
        <v>48</v>
      </c>
      <c r="U76" s="94" t="s">
        <v>83</v>
      </c>
    </row>
    <row r="77" spans="3:21" ht="60" customHeight="1" x14ac:dyDescent="0.35">
      <c r="C77" s="161"/>
      <c r="D77" s="18" t="s">
        <v>50</v>
      </c>
      <c r="E77" s="120">
        <v>1</v>
      </c>
      <c r="F77" s="119"/>
      <c r="G77" s="119"/>
      <c r="H77" s="116">
        <v>1</v>
      </c>
      <c r="I77" s="117">
        <v>11</v>
      </c>
      <c r="J77" s="118"/>
      <c r="K77" s="119">
        <f>+F75+E75+G76+E76+F76+G77+F77+G78</f>
        <v>3</v>
      </c>
      <c r="L77" s="7" t="s">
        <v>49</v>
      </c>
      <c r="N77" s="161"/>
      <c r="P77" s="95" t="s">
        <v>50</v>
      </c>
      <c r="Q77" s="97" t="s">
        <v>50</v>
      </c>
      <c r="R77" s="96" t="s">
        <v>49</v>
      </c>
      <c r="S77" s="96" t="s">
        <v>49</v>
      </c>
      <c r="T77" s="93" t="s">
        <v>48</v>
      </c>
      <c r="U77" s="94" t="s">
        <v>83</v>
      </c>
    </row>
    <row r="78" spans="3:21" ht="60" customHeight="1" thickBot="1" x14ac:dyDescent="0.4">
      <c r="C78" s="162"/>
      <c r="D78" s="18" t="s">
        <v>51</v>
      </c>
      <c r="E78" s="120">
        <v>1</v>
      </c>
      <c r="F78" s="120">
        <v>2</v>
      </c>
      <c r="G78" s="119"/>
      <c r="H78" s="116"/>
      <c r="I78" s="117">
        <v>11</v>
      </c>
      <c r="J78" s="118"/>
      <c r="K78" s="120">
        <f>+E77+F78+E78</f>
        <v>4</v>
      </c>
      <c r="L78" s="7" t="s">
        <v>50</v>
      </c>
      <c r="N78" s="162"/>
      <c r="P78" s="92" t="s">
        <v>51</v>
      </c>
      <c r="Q78" s="97" t="s">
        <v>50</v>
      </c>
      <c r="R78" s="97" t="s">
        <v>50</v>
      </c>
      <c r="S78" s="96" t="s">
        <v>49</v>
      </c>
      <c r="T78" s="93" t="s">
        <v>48</v>
      </c>
      <c r="U78" s="94" t="s">
        <v>83</v>
      </c>
    </row>
    <row r="79" spans="3:21" ht="49.95" customHeight="1" thickBot="1" x14ac:dyDescent="0.35">
      <c r="C79" s="14"/>
      <c r="D79" s="19"/>
      <c r="E79" s="16" t="s">
        <v>52</v>
      </c>
      <c r="F79" s="16" t="s">
        <v>53</v>
      </c>
      <c r="G79" s="16" t="s">
        <v>54</v>
      </c>
      <c r="H79" s="16" t="s">
        <v>55</v>
      </c>
      <c r="I79" s="16" t="s">
        <v>56</v>
      </c>
    </row>
    <row r="80" spans="3:21" ht="23.4" customHeight="1" thickBot="1" x14ac:dyDescent="0.35">
      <c r="C80" s="14"/>
      <c r="D80" s="19"/>
      <c r="E80" s="163" t="s">
        <v>57</v>
      </c>
      <c r="F80" s="164"/>
      <c r="G80" s="164"/>
      <c r="H80" s="164"/>
      <c r="I80" s="165"/>
      <c r="Q80" s="163" t="s">
        <v>57</v>
      </c>
      <c r="R80" s="164"/>
      <c r="S80" s="164"/>
      <c r="T80" s="164"/>
      <c r="U80" s="165"/>
    </row>
  </sheetData>
  <mergeCells count="24">
    <mergeCell ref="C74:C78"/>
    <mergeCell ref="N74:N78"/>
    <mergeCell ref="E80:I80"/>
    <mergeCell ref="Q80:U80"/>
    <mergeCell ref="C60:C64"/>
    <mergeCell ref="N60:N64"/>
    <mergeCell ref="E66:I66"/>
    <mergeCell ref="Q66:U66"/>
    <mergeCell ref="E26:I26"/>
    <mergeCell ref="Q26:U26"/>
    <mergeCell ref="C34:C38"/>
    <mergeCell ref="N34:N38"/>
    <mergeCell ref="E40:I40"/>
    <mergeCell ref="Q40:U40"/>
    <mergeCell ref="C47:C51"/>
    <mergeCell ref="N47:N51"/>
    <mergeCell ref="E53:I53"/>
    <mergeCell ref="Q53:U53"/>
    <mergeCell ref="C5:C9"/>
    <mergeCell ref="E11:I11"/>
    <mergeCell ref="N5:N9"/>
    <mergeCell ref="Q11:U11"/>
    <mergeCell ref="C20:C24"/>
    <mergeCell ref="N20:N2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126C2-0A86-4D65-9F2D-2EBA9AC8A9EF}">
  <dimension ref="C4:D9"/>
  <sheetViews>
    <sheetView showGridLines="0" workbookViewId="0">
      <selection activeCell="D6" sqref="D6"/>
    </sheetView>
  </sheetViews>
  <sheetFormatPr baseColWidth="10" defaultRowHeight="14.4" x14ac:dyDescent="0.3"/>
  <cols>
    <col min="3" max="4" width="11.5546875" style="2"/>
  </cols>
  <sheetData>
    <row r="4" spans="3:4" x14ac:dyDescent="0.3">
      <c r="C4" s="22" t="s">
        <v>60</v>
      </c>
    </row>
    <row r="8" spans="3:4" x14ac:dyDescent="0.3">
      <c r="C8" s="23" t="s">
        <v>61</v>
      </c>
      <c r="D8" s="24" t="s">
        <v>62</v>
      </c>
    </row>
    <row r="9" spans="3:4" x14ac:dyDescent="0.3">
      <c r="C9" s="2">
        <v>3</v>
      </c>
      <c r="D9" s="22" t="s">
        <v>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236C9-E0C1-4593-9607-CEC42A9B90B8}">
  <dimension ref="C3:E15"/>
  <sheetViews>
    <sheetView showGridLines="0" workbookViewId="0">
      <selection activeCell="C22" sqref="C22"/>
    </sheetView>
  </sheetViews>
  <sheetFormatPr baseColWidth="10" defaultRowHeight="14.4" x14ac:dyDescent="0.3"/>
  <cols>
    <col min="3" max="3" width="52.6640625" customWidth="1"/>
    <col min="4" max="5" width="11.5546875" style="3"/>
  </cols>
  <sheetData>
    <row r="3" spans="3:5" x14ac:dyDescent="0.3">
      <c r="C3" s="29" t="s">
        <v>78</v>
      </c>
    </row>
    <row r="4" spans="3:5" x14ac:dyDescent="0.3">
      <c r="C4" s="1" t="s">
        <v>67</v>
      </c>
      <c r="D4" s="28">
        <v>0.1</v>
      </c>
      <c r="E4" s="27"/>
    </row>
    <row r="5" spans="3:5" x14ac:dyDescent="0.3">
      <c r="C5" s="1" t="s">
        <v>69</v>
      </c>
      <c r="D5" s="28">
        <v>0.2</v>
      </c>
    </row>
    <row r="6" spans="3:5" x14ac:dyDescent="0.3">
      <c r="C6" s="1" t="s">
        <v>82</v>
      </c>
      <c r="D6" s="28">
        <v>0.3</v>
      </c>
    </row>
    <row r="7" spans="3:5" x14ac:dyDescent="0.3">
      <c r="C7" s="1" t="s">
        <v>72</v>
      </c>
      <c r="D7" s="28">
        <v>0.4</v>
      </c>
    </row>
    <row r="8" spans="3:5" x14ac:dyDescent="0.3">
      <c r="C8" s="1" t="s">
        <v>74</v>
      </c>
      <c r="D8" s="28">
        <v>0.5</v>
      </c>
    </row>
    <row r="10" spans="3:5" x14ac:dyDescent="0.3">
      <c r="C10" s="29" t="s">
        <v>79</v>
      </c>
    </row>
    <row r="11" spans="3:5" x14ac:dyDescent="0.3">
      <c r="C11" s="1" t="s">
        <v>68</v>
      </c>
      <c r="D11" s="28">
        <v>0.1</v>
      </c>
    </row>
    <row r="12" spans="3:5" x14ac:dyDescent="0.3">
      <c r="C12" s="1" t="s">
        <v>70</v>
      </c>
      <c r="D12" s="28">
        <v>0.2</v>
      </c>
    </row>
    <row r="13" spans="3:5" x14ac:dyDescent="0.3">
      <c r="C13" s="1" t="s">
        <v>71</v>
      </c>
      <c r="D13" s="28">
        <v>0.3</v>
      </c>
    </row>
    <row r="14" spans="3:5" x14ac:dyDescent="0.3">
      <c r="C14" s="1" t="s">
        <v>73</v>
      </c>
      <c r="D14" s="28">
        <v>0.4</v>
      </c>
    </row>
    <row r="15" spans="3:5" x14ac:dyDescent="0.3">
      <c r="C15" s="1" t="s">
        <v>75</v>
      </c>
      <c r="D15" s="28">
        <v>0.5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D37B-40A0-4020-91A5-A90FDE328BD4}">
  <dimension ref="A1"/>
  <sheetViews>
    <sheetView workbookViewId="0">
      <selection activeCell="C5" sqref="C5"/>
    </sheetView>
  </sheetViews>
  <sheetFormatPr baseColWidth="10" defaultRowHeight="14.4" x14ac:dyDescent="0.3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0875C-6388-4B9D-8288-A4F14B903A24}">
  <dimension ref="C3:J39"/>
  <sheetViews>
    <sheetView showGridLines="0" topLeftCell="A7" workbookViewId="0">
      <selection activeCell="I15" sqref="I15"/>
    </sheetView>
  </sheetViews>
  <sheetFormatPr baseColWidth="10" defaultRowHeight="14.4" x14ac:dyDescent="0.3"/>
  <cols>
    <col min="3" max="3" width="3.5546875" style="42" customWidth="1"/>
    <col min="4" max="4" width="31.6640625" style="8" customWidth="1"/>
    <col min="6" max="6" width="19.77734375" bestFit="1" customWidth="1"/>
    <col min="7" max="8" width="20" customWidth="1"/>
    <col min="9" max="10" width="18.77734375" customWidth="1"/>
  </cols>
  <sheetData>
    <row r="3" spans="3:10" ht="15" thickBot="1" x14ac:dyDescent="0.35"/>
    <row r="4" spans="3:10" ht="15" thickBot="1" x14ac:dyDescent="0.35">
      <c r="C4" s="32"/>
      <c r="D4" s="44"/>
      <c r="E4" s="33"/>
      <c r="F4" s="166" t="s">
        <v>57</v>
      </c>
      <c r="G4" s="167"/>
      <c r="H4" s="167"/>
      <c r="I4" s="167"/>
      <c r="J4" s="168"/>
    </row>
    <row r="5" spans="3:10" s="10" customFormat="1" ht="42" customHeight="1" thickBot="1" x14ac:dyDescent="0.35">
      <c r="C5" s="44"/>
      <c r="D5" s="44"/>
      <c r="E5" s="52"/>
      <c r="F5" s="43" t="s">
        <v>85</v>
      </c>
      <c r="G5" s="43" t="s">
        <v>86</v>
      </c>
      <c r="H5" s="43" t="s">
        <v>87</v>
      </c>
      <c r="I5" s="43" t="s">
        <v>88</v>
      </c>
      <c r="J5" s="43" t="s">
        <v>89</v>
      </c>
    </row>
    <row r="6" spans="3:10" ht="15" thickBot="1" x14ac:dyDescent="0.35">
      <c r="C6" s="34"/>
      <c r="D6" s="54"/>
      <c r="E6" s="35"/>
      <c r="F6" s="36" t="s">
        <v>52</v>
      </c>
      <c r="G6" s="37" t="s">
        <v>53</v>
      </c>
      <c r="H6" s="37" t="s">
        <v>54</v>
      </c>
      <c r="I6" s="37" t="s">
        <v>55</v>
      </c>
      <c r="J6" s="37" t="s">
        <v>56</v>
      </c>
    </row>
    <row r="7" spans="3:10" ht="15" thickBot="1" x14ac:dyDescent="0.35">
      <c r="C7" s="169" t="s">
        <v>46</v>
      </c>
      <c r="D7" s="57" t="s">
        <v>89</v>
      </c>
      <c r="E7" s="58" t="s">
        <v>47</v>
      </c>
      <c r="F7" s="38" t="s">
        <v>48</v>
      </c>
      <c r="G7" s="38" t="s">
        <v>48</v>
      </c>
      <c r="H7" s="38" t="s">
        <v>48</v>
      </c>
      <c r="I7" s="38" t="s">
        <v>48</v>
      </c>
      <c r="J7" s="39" t="s">
        <v>83</v>
      </c>
    </row>
    <row r="8" spans="3:10" ht="15" thickBot="1" x14ac:dyDescent="0.35">
      <c r="C8" s="170"/>
      <c r="D8" s="55" t="s">
        <v>88</v>
      </c>
      <c r="E8" s="56" t="s">
        <v>48</v>
      </c>
      <c r="F8" s="40" t="s">
        <v>49</v>
      </c>
      <c r="G8" s="40" t="s">
        <v>49</v>
      </c>
      <c r="H8" s="38" t="s">
        <v>48</v>
      </c>
      <c r="I8" s="38" t="s">
        <v>48</v>
      </c>
      <c r="J8" s="39" t="s">
        <v>83</v>
      </c>
    </row>
    <row r="9" spans="3:10" ht="15" thickBot="1" x14ac:dyDescent="0.35">
      <c r="C9" s="170"/>
      <c r="D9" s="57" t="s">
        <v>87</v>
      </c>
      <c r="E9" s="58" t="s">
        <v>49</v>
      </c>
      <c r="F9" s="40" t="s">
        <v>49</v>
      </c>
      <c r="G9" s="40" t="s">
        <v>49</v>
      </c>
      <c r="H9" s="40" t="s">
        <v>49</v>
      </c>
      <c r="I9" s="38" t="s">
        <v>48</v>
      </c>
      <c r="J9" s="39" t="s">
        <v>83</v>
      </c>
    </row>
    <row r="10" spans="3:10" ht="15" thickBot="1" x14ac:dyDescent="0.35">
      <c r="C10" s="170"/>
      <c r="D10" s="55" t="s">
        <v>86</v>
      </c>
      <c r="E10" s="56" t="s">
        <v>50</v>
      </c>
      <c r="F10" s="41" t="s">
        <v>50</v>
      </c>
      <c r="G10" s="40" t="s">
        <v>49</v>
      </c>
      <c r="H10" s="40" t="s">
        <v>49</v>
      </c>
      <c r="I10" s="38" t="s">
        <v>48</v>
      </c>
      <c r="J10" s="39" t="s">
        <v>83</v>
      </c>
    </row>
    <row r="11" spans="3:10" ht="15" thickBot="1" x14ac:dyDescent="0.35">
      <c r="C11" s="171"/>
      <c r="D11" s="57" t="s">
        <v>85</v>
      </c>
      <c r="E11" s="58" t="s">
        <v>51</v>
      </c>
      <c r="F11" s="41" t="s">
        <v>50</v>
      </c>
      <c r="G11" s="41" t="s">
        <v>50</v>
      </c>
      <c r="H11" s="40" t="s">
        <v>49</v>
      </c>
      <c r="I11" s="38" t="s">
        <v>48</v>
      </c>
      <c r="J11" s="39" t="s">
        <v>83</v>
      </c>
    </row>
    <row r="13" spans="3:10" ht="15" thickBot="1" x14ac:dyDescent="0.35"/>
    <row r="14" spans="3:10" s="46" customFormat="1" ht="12.6" thickBot="1" x14ac:dyDescent="0.35">
      <c r="D14" s="48" t="s">
        <v>46</v>
      </c>
      <c r="E14" s="47" t="s">
        <v>57</v>
      </c>
      <c r="F14" s="46" t="s">
        <v>117</v>
      </c>
      <c r="G14" s="48" t="s">
        <v>84</v>
      </c>
      <c r="J14" s="87" t="s">
        <v>84</v>
      </c>
    </row>
    <row r="15" spans="3:10" ht="18.600000000000001" thickBot="1" x14ac:dyDescent="0.35">
      <c r="D15" s="45" t="s">
        <v>51</v>
      </c>
      <c r="E15" s="49" t="s">
        <v>52</v>
      </c>
      <c r="F15" s="85" t="str">
        <f t="shared" ref="F15:F39" si="0">CONCATENATE(D15, " ", E15)</f>
        <v>Muy baja Insignificante</v>
      </c>
      <c r="G15" s="79" t="s">
        <v>50</v>
      </c>
      <c r="H15" s="85" t="s">
        <v>92</v>
      </c>
      <c r="J15" s="86" t="str">
        <f>IF(F15="Muy baja Insignificante","Baja",
 IF(F15="Baja Insignificante","Baja",
 IF(F15="Media Insignificante","Media",
 IF(F15="Alta Insignificante","Media",
 IF(F15="Muy alta Insignificante","Alta",
 IF(F15="Muy baja Menor","Baja",
 IF(F15="Baja Menor","Media",
 IF(F15="Media Menor","Media",
 IF(F15="Alta Menor","Media",
 IF(F15="Muy alta Menor","Alta",
 IF(F15="Muy baja Moderado","Media",
 IF(F15="Baja Moderado","Media",
 IF(F15="Media Moderado","Media",
 IF(F15="Alta Moderado","Alta",
 IF(F15="Muy alta Moderado","Alta",
 IF(F15="Muy baja Importante","Alta",
 IF(F15="Baja Importante","Alta",
 IF(F15="Media Importante","Alta",
 IF(F15="Alta Importante","Alta",
 IF(F15="Muy alta Importante","Alta",
 IF(F15="Muy baja Mayor","Crítica",
 IF(F15="Baja Mayor","Crítica",
 IF(F15="Media Mayor","Crítica",
 IF(F15="Alta Mayor","Crítica",
 IF(F15="Muy alta Mayor","Crítica","")))))))))))))))))))))))))</f>
        <v>Baja</v>
      </c>
    </row>
    <row r="16" spans="3:10" ht="18.600000000000001" thickBot="1" x14ac:dyDescent="0.35">
      <c r="D16" s="45" t="s">
        <v>50</v>
      </c>
      <c r="E16" s="49" t="s">
        <v>52</v>
      </c>
      <c r="F16" s="85" t="str">
        <f t="shared" si="0"/>
        <v>Baja Insignificante</v>
      </c>
      <c r="G16" s="79" t="s">
        <v>50</v>
      </c>
      <c r="H16" s="85" t="s">
        <v>93</v>
      </c>
      <c r="J16" s="86" t="str">
        <f t="shared" ref="J16:J39" si="1">IF(F16="Muy baja Insignificante","Baja",
 IF(F16="Baja Insignificante","Baja",
 IF(F16="Media Insignificante","Media",
 IF(F16="Alta Insignificante","Media",
 IF(F16="Muy alta Insignificante","Alta",
 IF(F16="Muy baja Menor","Baja",
 IF(F16="Baja Menor","Media",
 IF(F16="Media Menor","Media",
 IF(F16="Alta Menor","Media",
 IF(F16="Muy alta Menor","Alta",
 IF(F16="Muy baja Moderado","Media",
 IF(F16="Baja Moderado","Media",
 IF(F16="Media Moderado","Media",
 IF(F16="Alta Moderado","Alta",
 IF(F16="Muy alta Moderado","Alta",
 IF(F16="Muy baja Importante","Alta",
 IF(F16="Baja Importante","Alta",
 IF(F16="Media Importante","Alta",
 IF(F16="Alta Importante","Alta",
 IF(F16="Muy alta Importante","Alta",
 IF(F16="Muy baja Mayor","Crítica",
 IF(F16="Baja Mayor","Crítica",
 IF(F16="Media Mayor","Crítica",
 IF(F16="Alta Mayor","Crítica",
 IF(F16="Muy alta Mayor","Crítica","")))))))))))))))))))))))))</f>
        <v>Baja</v>
      </c>
    </row>
    <row r="17" spans="4:10" ht="18.600000000000001" thickBot="1" x14ac:dyDescent="0.35">
      <c r="D17" s="45" t="s">
        <v>49</v>
      </c>
      <c r="E17" s="49" t="s">
        <v>52</v>
      </c>
      <c r="F17" s="85" t="str">
        <f t="shared" si="0"/>
        <v>Media Insignificante</v>
      </c>
      <c r="G17" s="80" t="s">
        <v>49</v>
      </c>
      <c r="H17" s="85" t="s">
        <v>94</v>
      </c>
      <c r="J17" s="86" t="str">
        <f t="shared" si="1"/>
        <v>Media</v>
      </c>
    </row>
    <row r="18" spans="4:10" ht="18.600000000000001" thickBot="1" x14ac:dyDescent="0.35">
      <c r="D18" s="45" t="s">
        <v>48</v>
      </c>
      <c r="E18" s="49" t="s">
        <v>52</v>
      </c>
      <c r="F18" s="85" t="str">
        <f t="shared" si="0"/>
        <v>Alta Insignificante</v>
      </c>
      <c r="G18" s="80" t="s">
        <v>49</v>
      </c>
      <c r="H18" s="85" t="s">
        <v>95</v>
      </c>
      <c r="J18" s="86" t="str">
        <f t="shared" si="1"/>
        <v>Media</v>
      </c>
    </row>
    <row r="19" spans="4:10" ht="18.600000000000001" thickBot="1" x14ac:dyDescent="0.35">
      <c r="D19" s="53" t="s">
        <v>47</v>
      </c>
      <c r="E19" s="51" t="s">
        <v>52</v>
      </c>
      <c r="F19" s="85" t="str">
        <f t="shared" si="0"/>
        <v>Muy alta Insignificante</v>
      </c>
      <c r="G19" s="81" t="s">
        <v>48</v>
      </c>
      <c r="H19" s="85" t="s">
        <v>96</v>
      </c>
      <c r="J19" s="86" t="str">
        <f t="shared" si="1"/>
        <v>Alta</v>
      </c>
    </row>
    <row r="20" spans="4:10" ht="18.600000000000001" thickBot="1" x14ac:dyDescent="0.35">
      <c r="D20" s="45" t="s">
        <v>51</v>
      </c>
      <c r="E20" s="50" t="s">
        <v>53</v>
      </c>
      <c r="F20" s="85" t="str">
        <f t="shared" si="0"/>
        <v>Muy baja Menor</v>
      </c>
      <c r="G20" s="79" t="s">
        <v>50</v>
      </c>
      <c r="H20" s="85" t="s">
        <v>97</v>
      </c>
      <c r="J20" s="86" t="str">
        <f t="shared" si="1"/>
        <v>Baja</v>
      </c>
    </row>
    <row r="21" spans="4:10" ht="18.600000000000001" thickBot="1" x14ac:dyDescent="0.35">
      <c r="D21" s="45" t="s">
        <v>50</v>
      </c>
      <c r="E21" s="49" t="s">
        <v>53</v>
      </c>
      <c r="F21" s="85" t="str">
        <f t="shared" si="0"/>
        <v>Baja Menor</v>
      </c>
      <c r="G21" s="80" t="s">
        <v>49</v>
      </c>
      <c r="H21" s="85" t="s">
        <v>98</v>
      </c>
      <c r="J21" s="86" t="str">
        <f t="shared" si="1"/>
        <v>Media</v>
      </c>
    </row>
    <row r="22" spans="4:10" ht="18.600000000000001" thickBot="1" x14ac:dyDescent="0.35">
      <c r="D22" s="45" t="s">
        <v>49</v>
      </c>
      <c r="E22" s="49" t="s">
        <v>53</v>
      </c>
      <c r="F22" s="85" t="str">
        <f t="shared" si="0"/>
        <v>Media Menor</v>
      </c>
      <c r="G22" s="80" t="s">
        <v>49</v>
      </c>
      <c r="H22" s="85" t="s">
        <v>99</v>
      </c>
      <c r="J22" s="86" t="str">
        <f t="shared" si="1"/>
        <v>Media</v>
      </c>
    </row>
    <row r="23" spans="4:10" ht="18.600000000000001" thickBot="1" x14ac:dyDescent="0.35">
      <c r="D23" s="45" t="s">
        <v>48</v>
      </c>
      <c r="E23" s="49" t="s">
        <v>53</v>
      </c>
      <c r="F23" s="85" t="str">
        <f t="shared" si="0"/>
        <v>Alta Menor</v>
      </c>
      <c r="G23" s="80" t="s">
        <v>49</v>
      </c>
      <c r="H23" s="85" t="s">
        <v>100</v>
      </c>
      <c r="J23" s="86" t="str">
        <f t="shared" si="1"/>
        <v>Media</v>
      </c>
    </row>
    <row r="24" spans="4:10" ht="18.600000000000001" thickBot="1" x14ac:dyDescent="0.35">
      <c r="D24" s="53" t="s">
        <v>47</v>
      </c>
      <c r="E24" s="51" t="s">
        <v>53</v>
      </c>
      <c r="F24" s="85" t="str">
        <f t="shared" si="0"/>
        <v>Muy alta Menor</v>
      </c>
      <c r="G24" s="81" t="s">
        <v>48</v>
      </c>
      <c r="H24" s="85" t="s">
        <v>101</v>
      </c>
      <c r="J24" s="86" t="str">
        <f t="shared" si="1"/>
        <v>Alta</v>
      </c>
    </row>
    <row r="25" spans="4:10" ht="18.600000000000001" thickBot="1" x14ac:dyDescent="0.35">
      <c r="D25" s="45" t="s">
        <v>51</v>
      </c>
      <c r="E25" s="50" t="s">
        <v>54</v>
      </c>
      <c r="F25" s="85" t="str">
        <f t="shared" si="0"/>
        <v>Muy baja Moderado</v>
      </c>
      <c r="G25" s="80" t="s">
        <v>49</v>
      </c>
      <c r="H25" s="85" t="s">
        <v>102</v>
      </c>
      <c r="J25" s="86" t="str">
        <f t="shared" si="1"/>
        <v>Media</v>
      </c>
    </row>
    <row r="26" spans="4:10" ht="18.600000000000001" thickBot="1" x14ac:dyDescent="0.35">
      <c r="D26" s="45" t="s">
        <v>50</v>
      </c>
      <c r="E26" s="49" t="s">
        <v>54</v>
      </c>
      <c r="F26" s="85" t="str">
        <f t="shared" si="0"/>
        <v>Baja Moderado</v>
      </c>
      <c r="G26" s="80" t="s">
        <v>49</v>
      </c>
      <c r="H26" s="85" t="s">
        <v>103</v>
      </c>
      <c r="J26" s="86" t="str">
        <f t="shared" si="1"/>
        <v>Media</v>
      </c>
    </row>
    <row r="27" spans="4:10" ht="18.600000000000001" thickBot="1" x14ac:dyDescent="0.35">
      <c r="D27" s="45" t="s">
        <v>49</v>
      </c>
      <c r="E27" s="49" t="s">
        <v>54</v>
      </c>
      <c r="F27" s="85" t="str">
        <f t="shared" si="0"/>
        <v>Media Moderado</v>
      </c>
      <c r="G27" s="80" t="s">
        <v>49</v>
      </c>
      <c r="H27" s="85" t="s">
        <v>104</v>
      </c>
      <c r="J27" s="86" t="str">
        <f t="shared" si="1"/>
        <v>Media</v>
      </c>
    </row>
    <row r="28" spans="4:10" ht="18.600000000000001" thickBot="1" x14ac:dyDescent="0.35">
      <c r="D28" s="45" t="s">
        <v>48</v>
      </c>
      <c r="E28" s="49" t="s">
        <v>54</v>
      </c>
      <c r="F28" s="85" t="str">
        <f t="shared" si="0"/>
        <v>Alta Moderado</v>
      </c>
      <c r="G28" s="82" t="s">
        <v>48</v>
      </c>
      <c r="H28" s="85" t="s">
        <v>105</v>
      </c>
      <c r="J28" s="86" t="str">
        <f t="shared" si="1"/>
        <v>Alta</v>
      </c>
    </row>
    <row r="29" spans="4:10" ht="18.600000000000001" thickBot="1" x14ac:dyDescent="0.35">
      <c r="D29" s="53" t="s">
        <v>47</v>
      </c>
      <c r="E29" s="51" t="s">
        <v>54</v>
      </c>
      <c r="F29" s="85" t="str">
        <f t="shared" si="0"/>
        <v>Muy alta Moderado</v>
      </c>
      <c r="G29" s="81" t="s">
        <v>48</v>
      </c>
      <c r="H29" s="85" t="s">
        <v>106</v>
      </c>
      <c r="J29" s="86" t="str">
        <f t="shared" si="1"/>
        <v>Alta</v>
      </c>
    </row>
    <row r="30" spans="4:10" ht="18.600000000000001" thickBot="1" x14ac:dyDescent="0.35">
      <c r="D30" s="45" t="s">
        <v>51</v>
      </c>
      <c r="E30" s="50" t="s">
        <v>55</v>
      </c>
      <c r="F30" s="85" t="str">
        <f t="shared" si="0"/>
        <v>Muy baja Importante</v>
      </c>
      <c r="G30" s="82" t="s">
        <v>48</v>
      </c>
      <c r="H30" s="85" t="s">
        <v>107</v>
      </c>
      <c r="J30" s="86" t="str">
        <f t="shared" si="1"/>
        <v>Alta</v>
      </c>
    </row>
    <row r="31" spans="4:10" ht="18.600000000000001" thickBot="1" x14ac:dyDescent="0.35">
      <c r="D31" s="45" t="s">
        <v>50</v>
      </c>
      <c r="E31" s="49" t="s">
        <v>55</v>
      </c>
      <c r="F31" s="85" t="str">
        <f t="shared" si="0"/>
        <v>Baja Importante</v>
      </c>
      <c r="G31" s="82" t="s">
        <v>48</v>
      </c>
      <c r="H31" s="85" t="s">
        <v>108</v>
      </c>
      <c r="J31" s="86" t="str">
        <f t="shared" si="1"/>
        <v>Alta</v>
      </c>
    </row>
    <row r="32" spans="4:10" ht="18.600000000000001" thickBot="1" x14ac:dyDescent="0.35">
      <c r="D32" s="45" t="s">
        <v>49</v>
      </c>
      <c r="E32" s="49" t="s">
        <v>55</v>
      </c>
      <c r="F32" s="85" t="str">
        <f t="shared" si="0"/>
        <v>Media Importante</v>
      </c>
      <c r="G32" s="82" t="s">
        <v>48</v>
      </c>
      <c r="H32" s="85" t="s">
        <v>109</v>
      </c>
      <c r="J32" s="86" t="str">
        <f t="shared" si="1"/>
        <v>Alta</v>
      </c>
    </row>
    <row r="33" spans="4:10" ht="18.600000000000001" thickBot="1" x14ac:dyDescent="0.35">
      <c r="D33" s="45" t="s">
        <v>48</v>
      </c>
      <c r="E33" s="49" t="s">
        <v>55</v>
      </c>
      <c r="F33" s="85" t="str">
        <f t="shared" si="0"/>
        <v>Alta Importante</v>
      </c>
      <c r="G33" s="82" t="s">
        <v>48</v>
      </c>
      <c r="H33" s="85" t="s">
        <v>110</v>
      </c>
      <c r="J33" s="86" t="str">
        <f t="shared" si="1"/>
        <v>Alta</v>
      </c>
    </row>
    <row r="34" spans="4:10" ht="18.600000000000001" thickBot="1" x14ac:dyDescent="0.35">
      <c r="D34" s="53" t="s">
        <v>47</v>
      </c>
      <c r="E34" s="51" t="s">
        <v>55</v>
      </c>
      <c r="F34" s="85" t="str">
        <f t="shared" si="0"/>
        <v>Muy alta Importante</v>
      </c>
      <c r="G34" s="81" t="s">
        <v>48</v>
      </c>
      <c r="H34" s="85" t="s">
        <v>111</v>
      </c>
      <c r="J34" s="86" t="str">
        <f t="shared" si="1"/>
        <v>Alta</v>
      </c>
    </row>
    <row r="35" spans="4:10" ht="18.600000000000001" thickBot="1" x14ac:dyDescent="0.35">
      <c r="D35" s="45" t="s">
        <v>51</v>
      </c>
      <c r="E35" s="50" t="s">
        <v>56</v>
      </c>
      <c r="F35" s="85" t="str">
        <f t="shared" si="0"/>
        <v>Muy baja Mayor</v>
      </c>
      <c r="G35" s="83" t="s">
        <v>83</v>
      </c>
      <c r="H35" s="85" t="s">
        <v>112</v>
      </c>
      <c r="J35" s="86" t="str">
        <f t="shared" si="1"/>
        <v>Crítica</v>
      </c>
    </row>
    <row r="36" spans="4:10" ht="18.600000000000001" thickBot="1" x14ac:dyDescent="0.35">
      <c r="D36" s="45" t="s">
        <v>50</v>
      </c>
      <c r="E36" s="49" t="s">
        <v>56</v>
      </c>
      <c r="F36" s="85" t="str">
        <f t="shared" si="0"/>
        <v>Baja Mayor</v>
      </c>
      <c r="G36" s="83" t="s">
        <v>83</v>
      </c>
      <c r="H36" s="85" t="s">
        <v>113</v>
      </c>
      <c r="J36" s="86" t="str">
        <f t="shared" si="1"/>
        <v>Crítica</v>
      </c>
    </row>
    <row r="37" spans="4:10" ht="18.600000000000001" thickBot="1" x14ac:dyDescent="0.35">
      <c r="D37" s="45" t="s">
        <v>49</v>
      </c>
      <c r="E37" s="49" t="s">
        <v>56</v>
      </c>
      <c r="F37" s="85" t="str">
        <f t="shared" si="0"/>
        <v>Media Mayor</v>
      </c>
      <c r="G37" s="83" t="s">
        <v>83</v>
      </c>
      <c r="H37" s="85" t="s">
        <v>114</v>
      </c>
      <c r="J37" s="86" t="str">
        <f t="shared" si="1"/>
        <v>Crítica</v>
      </c>
    </row>
    <row r="38" spans="4:10" ht="18.600000000000001" thickBot="1" x14ac:dyDescent="0.35">
      <c r="D38" s="45" t="s">
        <v>48</v>
      </c>
      <c r="E38" s="49" t="s">
        <v>56</v>
      </c>
      <c r="F38" s="85" t="str">
        <f t="shared" si="0"/>
        <v>Alta Mayor</v>
      </c>
      <c r="G38" s="83" t="s">
        <v>83</v>
      </c>
      <c r="H38" s="85" t="s">
        <v>115</v>
      </c>
      <c r="J38" s="86" t="str">
        <f t="shared" si="1"/>
        <v>Crítica</v>
      </c>
    </row>
    <row r="39" spans="4:10" ht="18.600000000000001" thickBot="1" x14ac:dyDescent="0.35">
      <c r="D39" s="53" t="s">
        <v>47</v>
      </c>
      <c r="E39" s="51" t="s">
        <v>56</v>
      </c>
      <c r="F39" s="85" t="str">
        <f t="shared" si="0"/>
        <v>Muy alta Mayor</v>
      </c>
      <c r="G39" s="84" t="s">
        <v>83</v>
      </c>
      <c r="H39" s="85" t="s">
        <v>116</v>
      </c>
      <c r="J39" s="86" t="str">
        <f t="shared" si="1"/>
        <v>Crítica</v>
      </c>
    </row>
  </sheetData>
  <mergeCells count="2">
    <mergeCell ref="F4:J4"/>
    <mergeCell ref="C7:C11"/>
  </mergeCells>
  <conditionalFormatting sqref="J15:J39">
    <cfRule type="containsText" dxfId="3" priority="1" operator="containsText" text="Crítica">
      <formula>NOT(ISERROR(SEARCH("Crítica",J15)))</formula>
    </cfRule>
    <cfRule type="containsText" dxfId="2" priority="2" operator="containsText" text="Alta">
      <formula>NOT(ISERROR(SEARCH("Alta",J15)))</formula>
    </cfRule>
    <cfRule type="containsText" dxfId="1" priority="3" operator="containsText" text="Media">
      <formula>NOT(ISERROR(SEARCH("Media",J15)))</formula>
    </cfRule>
    <cfRule type="containsText" dxfId="0" priority="4" operator="containsText" text="Baja">
      <formula>NOT(ISERROR(SEARCH("Baja",J15)))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5BE3-43E2-4DAE-829D-490B65E2FF68}">
  <sheetPr filterMode="1"/>
  <dimension ref="A1:W70"/>
  <sheetViews>
    <sheetView showGridLines="0" topLeftCell="Q1" zoomScaleNormal="100" workbookViewId="0">
      <selection activeCell="W36" sqref="W36"/>
    </sheetView>
  </sheetViews>
  <sheetFormatPr baseColWidth="10" defaultColWidth="11.5546875" defaultRowHeight="13.8" x14ac:dyDescent="0.3"/>
  <cols>
    <col min="1" max="1" width="7.6640625" style="9" customWidth="1"/>
    <col min="2" max="2" width="41" style="5" customWidth="1"/>
    <col min="3" max="3" width="30.77734375" style="5" customWidth="1"/>
    <col min="4" max="4" width="48.88671875" style="13" customWidth="1"/>
    <col min="5" max="5" width="6.109375" style="106" customWidth="1"/>
    <col min="6" max="7" width="19.77734375" style="13" customWidth="1"/>
    <col min="8" max="8" width="15.109375" style="9" customWidth="1"/>
    <col min="9" max="9" width="15.77734375" style="59" customWidth="1"/>
    <col min="10" max="10" width="16.109375" style="9" customWidth="1"/>
    <col min="11" max="11" width="23.6640625" style="25" customWidth="1"/>
    <col min="12" max="12" width="15.77734375" style="10" customWidth="1"/>
    <col min="13" max="13" width="17.6640625" style="9" customWidth="1"/>
    <col min="14" max="14" width="13.6640625" style="9" customWidth="1"/>
    <col min="15" max="15" width="41.77734375" style="10" customWidth="1"/>
    <col min="16" max="16" width="17.109375" style="9" customWidth="1"/>
    <col min="17" max="17" width="41.77734375" style="10" customWidth="1"/>
    <col min="18" max="18" width="17.109375" style="9" customWidth="1"/>
    <col min="19" max="19" width="16.21875" style="9" customWidth="1"/>
    <col min="20" max="20" width="17.33203125" style="9" customWidth="1"/>
    <col min="21" max="21" width="17.109375" style="10" customWidth="1"/>
    <col min="22" max="22" width="30.88671875" style="10" customWidth="1"/>
    <col min="23" max="23" width="38.33203125" style="10" customWidth="1"/>
    <col min="24" max="16384" width="11.5546875" style="10"/>
  </cols>
  <sheetData>
    <row r="1" spans="1:23" ht="19.95" customHeight="1" x14ac:dyDescent="0.3">
      <c r="E1" s="155" t="s">
        <v>200</v>
      </c>
      <c r="F1" s="155"/>
      <c r="G1" s="141"/>
      <c r="K1" s="25" t="s">
        <v>174</v>
      </c>
    </row>
    <row r="2" spans="1:23" s="7" customFormat="1" ht="60" customHeight="1" x14ac:dyDescent="0.3">
      <c r="A2" s="4" t="s">
        <v>0</v>
      </c>
      <c r="B2" s="4" t="s">
        <v>1</v>
      </c>
      <c r="C2" s="4" t="s">
        <v>24</v>
      </c>
      <c r="D2" s="68" t="s">
        <v>22</v>
      </c>
      <c r="E2" s="105" t="s">
        <v>158</v>
      </c>
      <c r="F2" s="105" t="s">
        <v>159</v>
      </c>
      <c r="G2" s="142" t="s">
        <v>234</v>
      </c>
      <c r="H2" s="104" t="s">
        <v>59</v>
      </c>
      <c r="I2" s="71" t="s">
        <v>46</v>
      </c>
      <c r="J2" s="64" t="s">
        <v>46</v>
      </c>
      <c r="K2" s="74" t="s">
        <v>45</v>
      </c>
      <c r="L2" s="66" t="s">
        <v>63</v>
      </c>
      <c r="M2" s="6" t="s">
        <v>64</v>
      </c>
      <c r="N2" s="61" t="s">
        <v>76</v>
      </c>
      <c r="O2" s="74" t="s">
        <v>65</v>
      </c>
      <c r="P2" s="60" t="s">
        <v>80</v>
      </c>
      <c r="Q2" s="74" t="s">
        <v>66</v>
      </c>
      <c r="R2" s="60" t="s">
        <v>81</v>
      </c>
      <c r="S2" s="61" t="s">
        <v>77</v>
      </c>
      <c r="T2" s="61" t="s">
        <v>90</v>
      </c>
      <c r="U2" s="61" t="s">
        <v>90</v>
      </c>
      <c r="V2" s="61" t="s">
        <v>91</v>
      </c>
      <c r="W2" s="89" t="s">
        <v>118</v>
      </c>
    </row>
    <row r="3" spans="1:23" s="8" customFormat="1" ht="60" hidden="1" customHeight="1" x14ac:dyDescent="0.3">
      <c r="A3" s="21">
        <v>0</v>
      </c>
      <c r="B3" s="11" t="s">
        <v>170</v>
      </c>
      <c r="C3" s="11" t="s">
        <v>25</v>
      </c>
      <c r="D3" s="69" t="s">
        <v>23</v>
      </c>
      <c r="E3" s="110" t="s">
        <v>162</v>
      </c>
      <c r="F3" s="108"/>
      <c r="G3" s="143"/>
      <c r="H3" s="148">
        <v>365</v>
      </c>
      <c r="I3" s="72">
        <f>IF(H3&lt;=4, 20%, IF(H3&lt;=12, 40%, IF(H3&lt;=365, 60%, IF(H3&lt;=3660, 80%, 100%))))</f>
        <v>0.6</v>
      </c>
      <c r="J3" s="65" t="str">
        <f>IF(I3&lt;=20%,"Muy baja",IF(I3&lt;=40%,"Baja",IF(I3&lt;=60%,"Media",IF(I3&lt;=80%,"Alta","Muy alta"))))</f>
        <v>Media</v>
      </c>
      <c r="K3" s="149">
        <v>2500000</v>
      </c>
      <c r="L3" s="67">
        <f>1423500*5</f>
        <v>7117500</v>
      </c>
      <c r="M3" s="26">
        <f t="shared" ref="M3:M35" si="0">K3/L3</f>
        <v>0.35124692658939233</v>
      </c>
      <c r="N3" s="75">
        <f>IF(M3&lt;0.13, 20%, IF(M3&lt;0.26, 40%, IF(M3&lt;0.4, 60%, IF(M3&lt;0.53, 80%, 100%))))</f>
        <v>0.6</v>
      </c>
      <c r="O3" s="77" t="s">
        <v>82</v>
      </c>
      <c r="P3" s="78">
        <f>IF(O3="Sólo de conocimiento de la emprendedora",10%,IF(O3="No se registra incumplimiento regulatorio",10%,IF(O3="De conocimiento de algunos familiares, amigos y proveedores",20%,IF(O3="Genera recomendación de organismo regulatorio",20%,IF(O3="Afecta la imagen con algunos clientes",30%,IF(O3="Requerimiento del organismo regulatorio",30%,IF(O3="Deterioro de la imagen a nivel regional",40%,IF(O3="Llamado de atención del organismo regulatorio",40%,IF(O3="Deterioro de la imagen a nivel nacional",50%,IF(O3="Sanción de organismo regulatorio",50%,"No válido"))))))))))</f>
        <v>0.3</v>
      </c>
      <c r="Q3" s="77" t="s">
        <v>68</v>
      </c>
      <c r="R3" s="76">
        <f>IF(Q3="Sólo de conocimiento de la emprendedora",10%,IF(Q3="No se registra incumplimiento regulatorio",10%,IF(Q3="De conocimiento de algunos familiares, amigos y proveedores",20%,IF(Q3="Genera recomendación de organismo regulatorio",20%,IF(Q3="Afecta imagen con algunos clientes",30%,IF(Q3="Requerimiento del organismo regulatorio",30%,IF(Q3="Deterioro de la imagen a nivel regional",40%,IF(Q3="Llamado de atención del organismo regulatorio",40%,IF(Q3="Deterioro de la imagen a nivel nacional",50%,IF(Q3="Sanción de organismo regulatorio",50%,"No válido"))))))))))</f>
        <v>0.1</v>
      </c>
      <c r="S3" s="30">
        <f>P3+R3</f>
        <v>0.4</v>
      </c>
      <c r="T3" s="62">
        <f>MAX(N3, S3)</f>
        <v>0.6</v>
      </c>
      <c r="U3" s="63" t="str">
        <f>IF(T3&lt;=20%,"Insignificante",IF(T3&lt;=40%,"Menor",IF(T3&lt;=60%,"Moderado",IF(T3&lt;=80%,"Importante","Mayor"))))</f>
        <v>Moderado</v>
      </c>
      <c r="V3" s="31" t="str">
        <f>CONCATENATE(J3, " ", U3)</f>
        <v>Media Moderado</v>
      </c>
      <c r="W3" s="88" t="str">
        <f>IF(V3="Muy baja Insignificante","Baja",
 IF(V3="Baja Insignificante","Baja",
 IF(V3="Media Insignificante","Media",
 IF(V3="Alta Insignificante","Media",
 IF(V3="Muy alta Insignificante","Alta",
 IF(V3="Muy baja Menor","Baja",
 IF(V3="Baja Menor","Media",
 IF(V3="Media Menor","Media",
 IF(V3="Alta Menor","Media",
 IF(V3="Muy alta Menor","Alta",
 IF(V3="Muy baja Moderado","Media",
 IF(V3="Baja Moderado","Media",
 IF(V3="Media Moderado","Media",
 IF(V3="Alta Moderado","Alta",
 IF(V3="Muy alta Moderado","Alta",
 IF(V3="Muy baja Importante","Alta",
 IF(V3="Baja Importante","Alta",
 IF(V3="Media Importante","Alta",
 IF(V3="Alta Importante","Alta",
 IF(V3="Muy alta Importante","Alta",
 IF(V3="Muy baja Mayor","Crítica",
 IF(V3="Baja Mayor","Crítica",
 IF(V3="Media Mayor","Crítica",
 IF(V3="Alta Mayor","Crítica",
 IF(V3="Muy alta Mayor","Crítica","")))))))))))))))))))))))))</f>
        <v>Media</v>
      </c>
    </row>
    <row r="4" spans="1:23" s="8" customFormat="1" ht="60" customHeight="1" x14ac:dyDescent="0.3">
      <c r="A4" s="21">
        <v>1</v>
      </c>
      <c r="B4" s="11" t="s">
        <v>175</v>
      </c>
      <c r="C4" s="11" t="s">
        <v>43</v>
      </c>
      <c r="D4" s="69" t="s">
        <v>26</v>
      </c>
      <c r="E4" s="110" t="s">
        <v>162</v>
      </c>
      <c r="F4" s="108"/>
      <c r="G4" s="143"/>
      <c r="H4" s="148">
        <v>2</v>
      </c>
      <c r="I4" s="72">
        <f t="shared" ref="I4:I35" si="1">IF(H4&lt;=4, 20%, IF(H4&lt;=12, 40%, IF(H4&lt;=365, 60%, IF(H4&lt;=3660, 80%, 100%))))</f>
        <v>0.2</v>
      </c>
      <c r="J4" s="65" t="str">
        <f t="shared" ref="J4:J35" si="2">IF(I4&lt;=20%,"Muy baja",IF(I4&lt;=40%,"Baja",IF(I4&lt;=60%,"Media",IF(I4&lt;=80%,"Alta","Muy alta"))))</f>
        <v>Muy baja</v>
      </c>
      <c r="K4" s="149">
        <v>350000</v>
      </c>
      <c r="L4" s="67">
        <f t="shared" ref="L4:L35" si="3">1423500*5</f>
        <v>7117500</v>
      </c>
      <c r="M4" s="26">
        <f t="shared" si="0"/>
        <v>4.9174569722514931E-2</v>
      </c>
      <c r="N4" s="75">
        <f t="shared" ref="N4:N35" si="4">IF(M4&lt;0.13, 20%, IF(M4&lt;0.26, 40%, IF(M4&lt;0.4, 60%, IF(M4&lt;0.53, 80%, 100%))))</f>
        <v>0.2</v>
      </c>
      <c r="O4" s="77" t="s">
        <v>69</v>
      </c>
      <c r="P4" s="78">
        <f t="shared" ref="P4:P35" si="5">IF(O4="Sólo de conocimiento de la emprendedora",10%,IF(O4="No se registra incumplimiento regulatorio",10%,IF(O4="De conocimiento de algunos familiares, amigos y proveedores",20%,IF(O4="Genera recomendación de organismo regulatorio",20%,IF(O4="Afecta la imagen con algunos clientes",30%,IF(O4="Requerimiento del organismo regulatorio",30%,IF(O4="Deterioro de la imagen a nivel regional",40%,IF(O4="Llamado de atención del organismo regulatorio",40%,IF(O4="Deterioro de la imagen a nivel nacional",50%,IF(O4="Sanción de organismo regulatorio",50%,"No válido"))))))))))</f>
        <v>0.2</v>
      </c>
      <c r="Q4" s="77" t="s">
        <v>68</v>
      </c>
      <c r="R4" s="76">
        <f t="shared" ref="R4:R35" si="6">IF(Q4="Sólo de conocimiento de la emprendedora",10%,IF(Q4="No se registra incumplimiento regulatorio",10%,IF(Q4="De conocimiento de algunos familiares, amigos y proveedores",20%,IF(Q4="Genera recomendación de organismo regulatorio",20%,IF(Q4="Afecta imagen con algunos clientes",30%,IF(Q4="Requerimiento del organismo regulatorio",30%,IF(Q4="Deterioro de la imagen a nivel regional",40%,IF(Q4="Llamado de atención del organismo regulatorio",40%,IF(Q4="Deterioro de la imagen a nivel nacional",50%,IF(Q4="Sanción de organismo regulatorio",50%,"No válido"))))))))))</f>
        <v>0.1</v>
      </c>
      <c r="S4" s="30">
        <f t="shared" ref="S4:S35" si="7">P4+R4</f>
        <v>0.30000000000000004</v>
      </c>
      <c r="T4" s="62">
        <f t="shared" ref="T4:T35" si="8">MAX(N4, S4)</f>
        <v>0.30000000000000004</v>
      </c>
      <c r="U4" s="63" t="str">
        <f t="shared" ref="U4:U35" si="9">IF(T4&lt;=20%,"Insignificante",IF(T4&lt;=40%,"Menor",IF(T4&lt;=60%,"Moderado",IF(T4&lt;=80%,"Importante","Mayor"))))</f>
        <v>Menor</v>
      </c>
      <c r="V4" s="31" t="str">
        <f t="shared" ref="V4:V35" si="10">CONCATENATE(J4, " ", U4)</f>
        <v>Muy baja Menor</v>
      </c>
      <c r="W4" s="88" t="str">
        <f t="shared" ref="W4:W35" si="11">IF(V4="Muy baja Insignificante","Baja",
 IF(V4="Baja Insignificante","Baja",
 IF(V4="Media Insignificante","Media",
 IF(V4="Alta Insignificante","Media",
 IF(V4="Muy alta Insignificante","Alta",
 IF(V4="Muy baja Menor","Baja",
 IF(V4="Baja Menor","Media",
 IF(V4="Media Menor","Media",
 IF(V4="Alta Menor","Media",
 IF(V4="Muy alta Menor","Alta",
 IF(V4="Muy baja Moderado","Media",
 IF(V4="Baja Moderado","Media",
 IF(V4="Media Moderado","Media",
 IF(V4="Alta Moderado","Alta",
 IF(V4="Muy alta Moderado","Alta",
 IF(V4="Muy baja Importante","Alta",
 IF(V4="Baja Importante","Alta",
 IF(V4="Media Importante","Alta",
 IF(V4="Alta Importante","Alta",
 IF(V4="Muy alta Importante","Alta",
 IF(V4="Muy baja Mayor","Crítica",
 IF(V4="Baja Mayor","Crítica",
 IF(V4="Media Mayor","Crítica",
 IF(V4="Alta Mayor","Crítica",
 IF(V4="Muy alta Mayor","Crítica","")))))))))))))))))))))))))</f>
        <v>Baja</v>
      </c>
    </row>
    <row r="5" spans="1:23" s="8" customFormat="1" ht="60" hidden="1" customHeight="1" x14ac:dyDescent="0.3">
      <c r="A5" s="21">
        <v>2</v>
      </c>
      <c r="B5" s="11" t="s">
        <v>2</v>
      </c>
      <c r="C5" s="11" t="s">
        <v>43</v>
      </c>
      <c r="D5" s="69" t="s">
        <v>27</v>
      </c>
      <c r="E5" s="110" t="s">
        <v>160</v>
      </c>
      <c r="F5" s="108" t="s">
        <v>245</v>
      </c>
      <c r="G5" s="143"/>
      <c r="H5" s="148">
        <v>2</v>
      </c>
      <c r="I5" s="72">
        <f t="shared" si="1"/>
        <v>0.2</v>
      </c>
      <c r="J5" s="65" t="str">
        <f t="shared" si="2"/>
        <v>Muy baja</v>
      </c>
      <c r="K5" s="149">
        <f>(900000*269)*20%</f>
        <v>48420000</v>
      </c>
      <c r="L5" s="67">
        <f t="shared" si="3"/>
        <v>7117500</v>
      </c>
      <c r="M5" s="26">
        <f t="shared" si="0"/>
        <v>6.8029504741833513</v>
      </c>
      <c r="N5" s="75">
        <f t="shared" si="4"/>
        <v>1</v>
      </c>
      <c r="O5" s="77" t="s">
        <v>69</v>
      </c>
      <c r="P5" s="78">
        <f t="shared" si="5"/>
        <v>0.2</v>
      </c>
      <c r="Q5" s="77" t="s">
        <v>68</v>
      </c>
      <c r="R5" s="76">
        <f t="shared" si="6"/>
        <v>0.1</v>
      </c>
      <c r="S5" s="30">
        <f t="shared" si="7"/>
        <v>0.30000000000000004</v>
      </c>
      <c r="T5" s="62">
        <f t="shared" si="8"/>
        <v>1</v>
      </c>
      <c r="U5" s="63" t="str">
        <f t="shared" si="9"/>
        <v>Mayor</v>
      </c>
      <c r="V5" s="31" t="str">
        <f t="shared" si="10"/>
        <v>Muy baja Mayor</v>
      </c>
      <c r="W5" s="88" t="str">
        <f t="shared" si="11"/>
        <v>Crítica</v>
      </c>
    </row>
    <row r="6" spans="1:23" s="8" customFormat="1" ht="60" hidden="1" customHeight="1" x14ac:dyDescent="0.3">
      <c r="A6" s="21">
        <v>3</v>
      </c>
      <c r="B6" s="11" t="s">
        <v>3</v>
      </c>
      <c r="C6" s="11" t="s">
        <v>43</v>
      </c>
      <c r="D6" s="69" t="s">
        <v>28</v>
      </c>
      <c r="E6" s="110" t="s">
        <v>160</v>
      </c>
      <c r="F6" s="108" t="s">
        <v>247</v>
      </c>
      <c r="G6" s="143"/>
      <c r="H6" s="148">
        <v>12</v>
      </c>
      <c r="I6" s="72">
        <f t="shared" si="1"/>
        <v>0.4</v>
      </c>
      <c r="J6" s="65" t="str">
        <f t="shared" si="2"/>
        <v>Baja</v>
      </c>
      <c r="K6" s="149">
        <f>(900000*269)*15%</f>
        <v>36315000</v>
      </c>
      <c r="L6" s="67">
        <f t="shared" si="3"/>
        <v>7117500</v>
      </c>
      <c r="M6" s="26">
        <f t="shared" si="0"/>
        <v>5.1022128556375135</v>
      </c>
      <c r="N6" s="75">
        <f t="shared" si="4"/>
        <v>1</v>
      </c>
      <c r="O6" s="77" t="s">
        <v>82</v>
      </c>
      <c r="P6" s="78">
        <f t="shared" si="5"/>
        <v>0.3</v>
      </c>
      <c r="Q6" s="77" t="s">
        <v>68</v>
      </c>
      <c r="R6" s="76">
        <f t="shared" si="6"/>
        <v>0.1</v>
      </c>
      <c r="S6" s="30">
        <f t="shared" si="7"/>
        <v>0.4</v>
      </c>
      <c r="T6" s="62">
        <f t="shared" si="8"/>
        <v>1</v>
      </c>
      <c r="U6" s="63" t="str">
        <f t="shared" si="9"/>
        <v>Mayor</v>
      </c>
      <c r="V6" s="31" t="str">
        <f t="shared" si="10"/>
        <v>Baja Mayor</v>
      </c>
      <c r="W6" s="88" t="str">
        <f t="shared" si="11"/>
        <v>Crítica</v>
      </c>
    </row>
    <row r="7" spans="1:23" s="8" customFormat="1" ht="60" hidden="1" customHeight="1" x14ac:dyDescent="0.3">
      <c r="A7" s="21">
        <v>4</v>
      </c>
      <c r="B7" s="11" t="s">
        <v>4</v>
      </c>
      <c r="C7" s="11" t="s">
        <v>43</v>
      </c>
      <c r="D7" s="69" t="s">
        <v>29</v>
      </c>
      <c r="E7" s="110" t="s">
        <v>162</v>
      </c>
      <c r="F7" s="108"/>
      <c r="G7" s="143"/>
      <c r="H7" s="148">
        <v>6</v>
      </c>
      <c r="I7" s="72">
        <f t="shared" si="1"/>
        <v>0.4</v>
      </c>
      <c r="J7" s="65" t="str">
        <f t="shared" si="2"/>
        <v>Baja</v>
      </c>
      <c r="K7" s="149">
        <f>(900000*269)*15%</f>
        <v>36315000</v>
      </c>
      <c r="L7" s="67">
        <f t="shared" si="3"/>
        <v>7117500</v>
      </c>
      <c r="M7" s="26">
        <f t="shared" si="0"/>
        <v>5.1022128556375135</v>
      </c>
      <c r="N7" s="75">
        <f t="shared" si="4"/>
        <v>1</v>
      </c>
      <c r="O7" s="77" t="s">
        <v>82</v>
      </c>
      <c r="P7" s="78">
        <f t="shared" si="5"/>
        <v>0.3</v>
      </c>
      <c r="Q7" s="77" t="s">
        <v>68</v>
      </c>
      <c r="R7" s="76">
        <f t="shared" si="6"/>
        <v>0.1</v>
      </c>
      <c r="S7" s="30">
        <f t="shared" si="7"/>
        <v>0.4</v>
      </c>
      <c r="T7" s="62">
        <f t="shared" si="8"/>
        <v>1</v>
      </c>
      <c r="U7" s="63" t="str">
        <f t="shared" si="9"/>
        <v>Mayor</v>
      </c>
      <c r="V7" s="31" t="str">
        <f t="shared" si="10"/>
        <v>Baja Mayor</v>
      </c>
      <c r="W7" s="88" t="str">
        <f t="shared" si="11"/>
        <v>Crítica</v>
      </c>
    </row>
    <row r="8" spans="1:23" s="8" customFormat="1" ht="60" hidden="1" customHeight="1" x14ac:dyDescent="0.3">
      <c r="A8" s="21">
        <v>5</v>
      </c>
      <c r="B8" s="11" t="s">
        <v>5</v>
      </c>
      <c r="C8" s="11" t="s">
        <v>44</v>
      </c>
      <c r="D8" s="69" t="s">
        <v>30</v>
      </c>
      <c r="E8" s="110" t="s">
        <v>160</v>
      </c>
      <c r="F8" s="108"/>
      <c r="G8" s="143"/>
      <c r="H8" s="148">
        <v>3</v>
      </c>
      <c r="I8" s="72">
        <f t="shared" si="1"/>
        <v>0.2</v>
      </c>
      <c r="J8" s="65" t="str">
        <f t="shared" si="2"/>
        <v>Muy baja</v>
      </c>
      <c r="K8" s="149">
        <f>(900000*269)*10%</f>
        <v>24210000</v>
      </c>
      <c r="L8" s="67">
        <f t="shared" si="3"/>
        <v>7117500</v>
      </c>
      <c r="M8" s="26">
        <f t="shared" si="0"/>
        <v>3.4014752370916757</v>
      </c>
      <c r="N8" s="75">
        <f t="shared" si="4"/>
        <v>1</v>
      </c>
      <c r="O8" s="77" t="s">
        <v>69</v>
      </c>
      <c r="P8" s="78">
        <f t="shared" si="5"/>
        <v>0.2</v>
      </c>
      <c r="Q8" s="77" t="s">
        <v>68</v>
      </c>
      <c r="R8" s="76">
        <f t="shared" si="6"/>
        <v>0.1</v>
      </c>
      <c r="S8" s="30">
        <f t="shared" si="7"/>
        <v>0.30000000000000004</v>
      </c>
      <c r="T8" s="62">
        <f t="shared" si="8"/>
        <v>1</v>
      </c>
      <c r="U8" s="63" t="str">
        <f t="shared" si="9"/>
        <v>Mayor</v>
      </c>
      <c r="V8" s="31" t="str">
        <f t="shared" si="10"/>
        <v>Muy baja Mayor</v>
      </c>
      <c r="W8" s="88" t="str">
        <f t="shared" si="11"/>
        <v>Crítica</v>
      </c>
    </row>
    <row r="9" spans="1:23" s="8" customFormat="1" ht="60" hidden="1" customHeight="1" x14ac:dyDescent="0.3">
      <c r="A9" s="21">
        <v>6</v>
      </c>
      <c r="B9" s="11" t="s">
        <v>6</v>
      </c>
      <c r="C9" s="11" t="s">
        <v>43</v>
      </c>
      <c r="D9" s="69" t="s">
        <v>31</v>
      </c>
      <c r="E9" s="110" t="s">
        <v>160</v>
      </c>
      <c r="F9" s="108" t="s">
        <v>248</v>
      </c>
      <c r="G9" s="143"/>
      <c r="H9" s="148">
        <v>9</v>
      </c>
      <c r="I9" s="72">
        <f t="shared" si="1"/>
        <v>0.4</v>
      </c>
      <c r="J9" s="65" t="str">
        <f t="shared" si="2"/>
        <v>Baja</v>
      </c>
      <c r="K9" s="149">
        <v>600000</v>
      </c>
      <c r="L9" s="67">
        <f t="shared" si="3"/>
        <v>7117500</v>
      </c>
      <c r="M9" s="26">
        <f t="shared" si="0"/>
        <v>8.429926238145416E-2</v>
      </c>
      <c r="N9" s="75">
        <f t="shared" si="4"/>
        <v>0.2</v>
      </c>
      <c r="O9" s="77" t="s">
        <v>67</v>
      </c>
      <c r="P9" s="78">
        <f t="shared" si="5"/>
        <v>0.1</v>
      </c>
      <c r="Q9" s="77" t="s">
        <v>68</v>
      </c>
      <c r="R9" s="76">
        <f t="shared" si="6"/>
        <v>0.1</v>
      </c>
      <c r="S9" s="30">
        <f t="shared" si="7"/>
        <v>0.2</v>
      </c>
      <c r="T9" s="62">
        <f t="shared" si="8"/>
        <v>0.2</v>
      </c>
      <c r="U9" s="63" t="str">
        <f t="shared" si="9"/>
        <v>Insignificante</v>
      </c>
      <c r="V9" s="31" t="str">
        <f t="shared" si="10"/>
        <v>Baja Insignificante</v>
      </c>
      <c r="W9" s="88" t="str">
        <f t="shared" si="11"/>
        <v>Baja</v>
      </c>
    </row>
    <row r="10" spans="1:23" s="8" customFormat="1" ht="60" hidden="1" customHeight="1" x14ac:dyDescent="0.3">
      <c r="A10" s="21">
        <v>7</v>
      </c>
      <c r="B10" s="11" t="s">
        <v>176</v>
      </c>
      <c r="C10" s="11" t="s">
        <v>25</v>
      </c>
      <c r="D10" s="69" t="s">
        <v>32</v>
      </c>
      <c r="E10" s="110" t="s">
        <v>161</v>
      </c>
      <c r="F10" s="108" t="s">
        <v>249</v>
      </c>
      <c r="G10" s="143"/>
      <c r="H10" s="148">
        <v>4</v>
      </c>
      <c r="I10" s="72">
        <f t="shared" si="1"/>
        <v>0.2</v>
      </c>
      <c r="J10" s="65" t="str">
        <f t="shared" si="2"/>
        <v>Muy baja</v>
      </c>
      <c r="K10" s="149">
        <f>(900000*269)*10%</f>
        <v>24210000</v>
      </c>
      <c r="L10" s="67">
        <f t="shared" si="3"/>
        <v>7117500</v>
      </c>
      <c r="M10" s="26">
        <f t="shared" si="0"/>
        <v>3.4014752370916757</v>
      </c>
      <c r="N10" s="75">
        <f t="shared" si="4"/>
        <v>1</v>
      </c>
      <c r="O10" s="77" t="s">
        <v>67</v>
      </c>
      <c r="P10" s="78">
        <f t="shared" si="5"/>
        <v>0.1</v>
      </c>
      <c r="Q10" s="77" t="s">
        <v>68</v>
      </c>
      <c r="R10" s="76">
        <f t="shared" si="6"/>
        <v>0.1</v>
      </c>
      <c r="S10" s="30">
        <f t="shared" si="7"/>
        <v>0.2</v>
      </c>
      <c r="T10" s="62">
        <f t="shared" si="8"/>
        <v>1</v>
      </c>
      <c r="U10" s="63" t="str">
        <f t="shared" si="9"/>
        <v>Mayor</v>
      </c>
      <c r="V10" s="31" t="str">
        <f t="shared" si="10"/>
        <v>Muy baja Mayor</v>
      </c>
      <c r="W10" s="88" t="str">
        <f t="shared" si="11"/>
        <v>Crítica</v>
      </c>
    </row>
    <row r="11" spans="1:23" s="8" customFormat="1" ht="60" hidden="1" customHeight="1" x14ac:dyDescent="0.3">
      <c r="A11" s="21">
        <v>8</v>
      </c>
      <c r="B11" s="11" t="s">
        <v>177</v>
      </c>
      <c r="C11" s="11" t="s">
        <v>43</v>
      </c>
      <c r="D11" s="69" t="s">
        <v>33</v>
      </c>
      <c r="E11" s="110" t="s">
        <v>162</v>
      </c>
      <c r="F11" s="108"/>
      <c r="G11" s="143"/>
      <c r="H11" s="148">
        <v>3</v>
      </c>
      <c r="I11" s="72">
        <f t="shared" si="1"/>
        <v>0.2</v>
      </c>
      <c r="J11" s="65" t="str">
        <f t="shared" si="2"/>
        <v>Muy baja</v>
      </c>
      <c r="K11" s="149">
        <f>500000*269</f>
        <v>134500000</v>
      </c>
      <c r="L11" s="67">
        <f t="shared" si="3"/>
        <v>7117500</v>
      </c>
      <c r="M11" s="26">
        <f t="shared" si="0"/>
        <v>18.897084650509306</v>
      </c>
      <c r="N11" s="75">
        <f t="shared" si="4"/>
        <v>1</v>
      </c>
      <c r="O11" s="77" t="s">
        <v>82</v>
      </c>
      <c r="P11" s="78">
        <f t="shared" si="5"/>
        <v>0.3</v>
      </c>
      <c r="Q11" s="77" t="s">
        <v>68</v>
      </c>
      <c r="R11" s="76">
        <f t="shared" si="6"/>
        <v>0.1</v>
      </c>
      <c r="S11" s="30">
        <f t="shared" si="7"/>
        <v>0.4</v>
      </c>
      <c r="T11" s="62">
        <f t="shared" si="8"/>
        <v>1</v>
      </c>
      <c r="U11" s="63" t="str">
        <f t="shared" si="9"/>
        <v>Mayor</v>
      </c>
      <c r="V11" s="31" t="str">
        <f t="shared" si="10"/>
        <v>Muy baja Mayor</v>
      </c>
      <c r="W11" s="88" t="str">
        <f t="shared" si="11"/>
        <v>Crítica</v>
      </c>
    </row>
    <row r="12" spans="1:23" s="8" customFormat="1" ht="60" hidden="1" customHeight="1" x14ac:dyDescent="0.3">
      <c r="A12" s="21">
        <v>9</v>
      </c>
      <c r="B12" s="11" t="s">
        <v>7</v>
      </c>
      <c r="C12" s="11" t="s">
        <v>43</v>
      </c>
      <c r="D12" s="69" t="s">
        <v>213</v>
      </c>
      <c r="E12" s="110" t="s">
        <v>160</v>
      </c>
      <c r="F12" s="108" t="s">
        <v>250</v>
      </c>
      <c r="G12" s="143"/>
      <c r="H12" s="148">
        <v>10</v>
      </c>
      <c r="I12" s="72">
        <f t="shared" si="1"/>
        <v>0.4</v>
      </c>
      <c r="J12" s="65" t="str">
        <f t="shared" si="2"/>
        <v>Baja</v>
      </c>
      <c r="K12" s="149">
        <f>(900000*269)*15%</f>
        <v>36315000</v>
      </c>
      <c r="L12" s="67">
        <f t="shared" si="3"/>
        <v>7117500</v>
      </c>
      <c r="M12" s="26">
        <f t="shared" si="0"/>
        <v>5.1022128556375135</v>
      </c>
      <c r="N12" s="75">
        <f t="shared" si="4"/>
        <v>1</v>
      </c>
      <c r="O12" s="77" t="s">
        <v>82</v>
      </c>
      <c r="P12" s="78">
        <f t="shared" si="5"/>
        <v>0.3</v>
      </c>
      <c r="Q12" s="77" t="s">
        <v>68</v>
      </c>
      <c r="R12" s="76">
        <f t="shared" si="6"/>
        <v>0.1</v>
      </c>
      <c r="S12" s="30">
        <f t="shared" si="7"/>
        <v>0.4</v>
      </c>
      <c r="T12" s="62">
        <f t="shared" si="8"/>
        <v>1</v>
      </c>
      <c r="U12" s="63" t="str">
        <f t="shared" si="9"/>
        <v>Mayor</v>
      </c>
      <c r="V12" s="31" t="str">
        <f t="shared" si="10"/>
        <v>Baja Mayor</v>
      </c>
      <c r="W12" s="88" t="str">
        <f t="shared" si="11"/>
        <v>Crítica</v>
      </c>
    </row>
    <row r="13" spans="1:23" s="8" customFormat="1" ht="60" hidden="1" customHeight="1" x14ac:dyDescent="0.3">
      <c r="A13" s="111">
        <v>10</v>
      </c>
      <c r="B13" s="11" t="s">
        <v>178</v>
      </c>
      <c r="C13" s="11" t="s">
        <v>43</v>
      </c>
      <c r="D13" s="69" t="s">
        <v>179</v>
      </c>
      <c r="E13" s="110" t="s">
        <v>160</v>
      </c>
      <c r="F13" s="108" t="s">
        <v>251</v>
      </c>
      <c r="G13" s="143"/>
      <c r="H13" s="148">
        <v>5</v>
      </c>
      <c r="I13" s="72">
        <f t="shared" si="1"/>
        <v>0.4</v>
      </c>
      <c r="J13" s="65" t="str">
        <f t="shared" si="2"/>
        <v>Baja</v>
      </c>
      <c r="K13" s="149">
        <f>3500000*5</f>
        <v>17500000</v>
      </c>
      <c r="L13" s="67">
        <f t="shared" si="3"/>
        <v>7117500</v>
      </c>
      <c r="M13" s="26">
        <f t="shared" si="0"/>
        <v>2.4587284861257466</v>
      </c>
      <c r="N13" s="75">
        <f t="shared" si="4"/>
        <v>1</v>
      </c>
      <c r="O13" s="77" t="s">
        <v>67</v>
      </c>
      <c r="P13" s="78">
        <f t="shared" si="5"/>
        <v>0.1</v>
      </c>
      <c r="Q13" s="77" t="s">
        <v>68</v>
      </c>
      <c r="R13" s="76">
        <f t="shared" si="6"/>
        <v>0.1</v>
      </c>
      <c r="S13" s="30">
        <f t="shared" si="7"/>
        <v>0.2</v>
      </c>
      <c r="T13" s="62">
        <f t="shared" si="8"/>
        <v>1</v>
      </c>
      <c r="U13" s="63" t="str">
        <f t="shared" si="9"/>
        <v>Mayor</v>
      </c>
      <c r="V13" s="31" t="str">
        <f t="shared" si="10"/>
        <v>Baja Mayor</v>
      </c>
      <c r="W13" s="88" t="str">
        <f t="shared" si="11"/>
        <v>Crítica</v>
      </c>
    </row>
    <row r="14" spans="1:23" s="8" customFormat="1" ht="60" hidden="1" customHeight="1" x14ac:dyDescent="0.3">
      <c r="A14" s="21">
        <v>11</v>
      </c>
      <c r="B14" s="11" t="s">
        <v>8</v>
      </c>
      <c r="C14" s="11" t="s">
        <v>43</v>
      </c>
      <c r="D14" s="69" t="s">
        <v>34</v>
      </c>
      <c r="E14" s="110" t="s">
        <v>160</v>
      </c>
      <c r="F14" s="108" t="s">
        <v>252</v>
      </c>
      <c r="G14" s="143"/>
      <c r="H14" s="148">
        <v>3</v>
      </c>
      <c r="I14" s="72">
        <f t="shared" si="1"/>
        <v>0.2</v>
      </c>
      <c r="J14" s="65" t="str">
        <f t="shared" si="2"/>
        <v>Muy baja</v>
      </c>
      <c r="K14" s="149">
        <f>600000*269</f>
        <v>161400000</v>
      </c>
      <c r="L14" s="67">
        <f t="shared" si="3"/>
        <v>7117500</v>
      </c>
      <c r="M14" s="26">
        <f t="shared" si="0"/>
        <v>22.67650158061117</v>
      </c>
      <c r="N14" s="75">
        <f t="shared" si="4"/>
        <v>1</v>
      </c>
      <c r="O14" s="77" t="s">
        <v>67</v>
      </c>
      <c r="P14" s="78">
        <f t="shared" si="5"/>
        <v>0.1</v>
      </c>
      <c r="Q14" s="77" t="s">
        <v>68</v>
      </c>
      <c r="R14" s="76">
        <f t="shared" si="6"/>
        <v>0.1</v>
      </c>
      <c r="S14" s="30">
        <f t="shared" si="7"/>
        <v>0.2</v>
      </c>
      <c r="T14" s="62">
        <f t="shared" si="8"/>
        <v>1</v>
      </c>
      <c r="U14" s="63" t="str">
        <f t="shared" si="9"/>
        <v>Mayor</v>
      </c>
      <c r="V14" s="31" t="str">
        <f t="shared" si="10"/>
        <v>Muy baja Mayor</v>
      </c>
      <c r="W14" s="88" t="str">
        <f t="shared" si="11"/>
        <v>Crítica</v>
      </c>
    </row>
    <row r="15" spans="1:23" s="8" customFormat="1" ht="60" customHeight="1" x14ac:dyDescent="0.3">
      <c r="A15" s="21">
        <v>12</v>
      </c>
      <c r="B15" s="11" t="s">
        <v>9</v>
      </c>
      <c r="C15" s="11" t="s">
        <v>25</v>
      </c>
      <c r="D15" s="69" t="s">
        <v>35</v>
      </c>
      <c r="E15" s="110" t="s">
        <v>162</v>
      </c>
      <c r="F15" s="108"/>
      <c r="G15" s="143"/>
      <c r="H15" s="148">
        <v>2</v>
      </c>
      <c r="I15" s="72">
        <f t="shared" si="1"/>
        <v>0.2</v>
      </c>
      <c r="J15" s="65" t="str">
        <f t="shared" si="2"/>
        <v>Muy baja</v>
      </c>
      <c r="K15" s="149">
        <f>25000*12</f>
        <v>300000</v>
      </c>
      <c r="L15" s="67">
        <f t="shared" si="3"/>
        <v>7117500</v>
      </c>
      <c r="M15" s="26">
        <f t="shared" si="0"/>
        <v>4.214963119072708E-2</v>
      </c>
      <c r="N15" s="75">
        <f t="shared" si="4"/>
        <v>0.2</v>
      </c>
      <c r="O15" s="77" t="s">
        <v>69</v>
      </c>
      <c r="P15" s="78">
        <f t="shared" si="5"/>
        <v>0.2</v>
      </c>
      <c r="Q15" s="77" t="s">
        <v>68</v>
      </c>
      <c r="R15" s="76">
        <f t="shared" si="6"/>
        <v>0.1</v>
      </c>
      <c r="S15" s="30">
        <f t="shared" si="7"/>
        <v>0.30000000000000004</v>
      </c>
      <c r="T15" s="62">
        <f t="shared" si="8"/>
        <v>0.30000000000000004</v>
      </c>
      <c r="U15" s="63" t="str">
        <f t="shared" si="9"/>
        <v>Menor</v>
      </c>
      <c r="V15" s="31" t="str">
        <f t="shared" si="10"/>
        <v>Muy baja Menor</v>
      </c>
      <c r="W15" s="88" t="str">
        <f t="shared" si="11"/>
        <v>Baja</v>
      </c>
    </row>
    <row r="16" spans="1:23" s="8" customFormat="1" ht="60" hidden="1" customHeight="1" x14ac:dyDescent="0.3">
      <c r="A16" s="21">
        <v>13</v>
      </c>
      <c r="B16" s="11" t="s">
        <v>180</v>
      </c>
      <c r="C16" s="11" t="s">
        <v>25</v>
      </c>
      <c r="D16" s="69" t="s">
        <v>181</v>
      </c>
      <c r="E16" s="110" t="s">
        <v>160</v>
      </c>
      <c r="F16" s="109" t="s">
        <v>253</v>
      </c>
      <c r="G16" s="143"/>
      <c r="H16" s="148">
        <v>2</v>
      </c>
      <c r="I16" s="72">
        <f t="shared" si="1"/>
        <v>0.2</v>
      </c>
      <c r="J16" s="65" t="str">
        <f t="shared" si="2"/>
        <v>Muy baja</v>
      </c>
      <c r="K16" s="149">
        <f>(150000*269)</f>
        <v>40350000</v>
      </c>
      <c r="L16" s="67">
        <f t="shared" si="3"/>
        <v>7117500</v>
      </c>
      <c r="M16" s="26">
        <f t="shared" si="0"/>
        <v>5.6691253951527925</v>
      </c>
      <c r="N16" s="75">
        <f t="shared" si="4"/>
        <v>1</v>
      </c>
      <c r="O16" s="77" t="s">
        <v>67</v>
      </c>
      <c r="P16" s="78">
        <f t="shared" si="5"/>
        <v>0.1</v>
      </c>
      <c r="Q16" s="77" t="s">
        <v>68</v>
      </c>
      <c r="R16" s="76">
        <f t="shared" si="6"/>
        <v>0.1</v>
      </c>
      <c r="S16" s="30">
        <f t="shared" si="7"/>
        <v>0.2</v>
      </c>
      <c r="T16" s="62">
        <f t="shared" si="8"/>
        <v>1</v>
      </c>
      <c r="U16" s="63" t="str">
        <f t="shared" si="9"/>
        <v>Mayor</v>
      </c>
      <c r="V16" s="31" t="str">
        <f t="shared" si="10"/>
        <v>Muy baja Mayor</v>
      </c>
      <c r="W16" s="88" t="str">
        <f t="shared" si="11"/>
        <v>Crítica</v>
      </c>
    </row>
    <row r="17" spans="1:23" s="8" customFormat="1" ht="60" hidden="1" customHeight="1" x14ac:dyDescent="0.3">
      <c r="A17" s="21">
        <v>14</v>
      </c>
      <c r="B17" s="11" t="s">
        <v>11</v>
      </c>
      <c r="C17" s="156" t="s">
        <v>43</v>
      </c>
      <c r="D17" s="158" t="s">
        <v>182</v>
      </c>
      <c r="E17" s="110" t="s">
        <v>162</v>
      </c>
      <c r="F17" s="108"/>
      <c r="G17" s="143"/>
      <c r="H17" s="148">
        <v>12</v>
      </c>
      <c r="I17" s="72">
        <f t="shared" si="1"/>
        <v>0.4</v>
      </c>
      <c r="J17" s="65" t="str">
        <f t="shared" si="2"/>
        <v>Baja</v>
      </c>
      <c r="K17" s="149">
        <f>(150000*269)</f>
        <v>40350000</v>
      </c>
      <c r="L17" s="67">
        <f t="shared" si="3"/>
        <v>7117500</v>
      </c>
      <c r="M17" s="26">
        <f t="shared" si="0"/>
        <v>5.6691253951527925</v>
      </c>
      <c r="N17" s="75">
        <f t="shared" si="4"/>
        <v>1</v>
      </c>
      <c r="O17" s="77" t="s">
        <v>67</v>
      </c>
      <c r="P17" s="78">
        <f t="shared" si="5"/>
        <v>0.1</v>
      </c>
      <c r="Q17" s="77" t="s">
        <v>68</v>
      </c>
      <c r="R17" s="76">
        <f t="shared" si="6"/>
        <v>0.1</v>
      </c>
      <c r="S17" s="30">
        <f t="shared" si="7"/>
        <v>0.2</v>
      </c>
      <c r="T17" s="62">
        <f t="shared" si="8"/>
        <v>1</v>
      </c>
      <c r="U17" s="63" t="str">
        <f t="shared" si="9"/>
        <v>Mayor</v>
      </c>
      <c r="V17" s="31" t="str">
        <f t="shared" si="10"/>
        <v>Baja Mayor</v>
      </c>
      <c r="W17" s="88" t="str">
        <f t="shared" si="11"/>
        <v>Crítica</v>
      </c>
    </row>
    <row r="18" spans="1:23" s="8" customFormat="1" ht="60" hidden="1" customHeight="1" x14ac:dyDescent="0.3">
      <c r="A18" s="21">
        <v>15</v>
      </c>
      <c r="B18" s="11" t="s">
        <v>10</v>
      </c>
      <c r="C18" s="157"/>
      <c r="D18" s="159"/>
      <c r="E18" s="110" t="s">
        <v>161</v>
      </c>
      <c r="F18" s="152" t="s">
        <v>254</v>
      </c>
      <c r="G18" s="143"/>
      <c r="H18" s="148">
        <v>1</v>
      </c>
      <c r="I18" s="72">
        <f t="shared" si="1"/>
        <v>0.2</v>
      </c>
      <c r="J18" s="65" t="str">
        <f t="shared" si="2"/>
        <v>Muy baja</v>
      </c>
      <c r="K18" s="149">
        <v>300000000</v>
      </c>
      <c r="L18" s="67">
        <f t="shared" si="3"/>
        <v>7117500</v>
      </c>
      <c r="M18" s="26">
        <f t="shared" si="0"/>
        <v>42.149631190727078</v>
      </c>
      <c r="N18" s="75">
        <f t="shared" si="4"/>
        <v>1</v>
      </c>
      <c r="O18" s="77" t="s">
        <v>67</v>
      </c>
      <c r="P18" s="78">
        <f t="shared" si="5"/>
        <v>0.1</v>
      </c>
      <c r="Q18" s="77" t="s">
        <v>68</v>
      </c>
      <c r="R18" s="76">
        <f t="shared" si="6"/>
        <v>0.1</v>
      </c>
      <c r="S18" s="30">
        <f t="shared" si="7"/>
        <v>0.2</v>
      </c>
      <c r="T18" s="62">
        <f t="shared" si="8"/>
        <v>1</v>
      </c>
      <c r="U18" s="63" t="str">
        <f t="shared" si="9"/>
        <v>Mayor</v>
      </c>
      <c r="V18" s="31" t="str">
        <f t="shared" si="10"/>
        <v>Muy baja Mayor</v>
      </c>
      <c r="W18" s="88" t="str">
        <f t="shared" si="11"/>
        <v>Crítica</v>
      </c>
    </row>
    <row r="19" spans="1:23" s="8" customFormat="1" ht="60" hidden="1" customHeight="1" x14ac:dyDescent="0.3">
      <c r="A19" s="21">
        <v>16</v>
      </c>
      <c r="B19" s="11" t="s">
        <v>184</v>
      </c>
      <c r="C19" s="112" t="s">
        <v>43</v>
      </c>
      <c r="D19" s="113" t="s">
        <v>183</v>
      </c>
      <c r="E19" s="110" t="s">
        <v>162</v>
      </c>
      <c r="F19" s="109"/>
      <c r="G19" s="143"/>
      <c r="H19" s="148">
        <v>3</v>
      </c>
      <c r="I19" s="72">
        <f t="shared" si="1"/>
        <v>0.2</v>
      </c>
      <c r="J19" s="65" t="str">
        <f t="shared" si="2"/>
        <v>Muy baja</v>
      </c>
      <c r="K19" s="149">
        <f>3000000*12</f>
        <v>36000000</v>
      </c>
      <c r="L19" s="67">
        <f t="shared" si="3"/>
        <v>7117500</v>
      </c>
      <c r="M19" s="26">
        <f t="shared" si="0"/>
        <v>5.0579557428872501</v>
      </c>
      <c r="N19" s="75">
        <f t="shared" si="4"/>
        <v>1</v>
      </c>
      <c r="O19" s="77" t="s">
        <v>82</v>
      </c>
      <c r="P19" s="78">
        <f t="shared" si="5"/>
        <v>0.3</v>
      </c>
      <c r="Q19" s="77" t="s">
        <v>68</v>
      </c>
      <c r="R19" s="76">
        <f t="shared" si="6"/>
        <v>0.1</v>
      </c>
      <c r="S19" s="30">
        <f t="shared" si="7"/>
        <v>0.4</v>
      </c>
      <c r="T19" s="62">
        <f t="shared" si="8"/>
        <v>1</v>
      </c>
      <c r="U19" s="63" t="str">
        <f t="shared" si="9"/>
        <v>Mayor</v>
      </c>
      <c r="V19" s="31" t="str">
        <f t="shared" si="10"/>
        <v>Muy baja Mayor</v>
      </c>
      <c r="W19" s="88" t="str">
        <f t="shared" si="11"/>
        <v>Crítica</v>
      </c>
    </row>
    <row r="20" spans="1:23" s="8" customFormat="1" ht="60" hidden="1" customHeight="1" x14ac:dyDescent="0.3">
      <c r="A20" s="21">
        <v>17</v>
      </c>
      <c r="B20" s="11" t="s">
        <v>186</v>
      </c>
      <c r="C20" s="11" t="s">
        <v>25</v>
      </c>
      <c r="D20" s="69" t="s">
        <v>36</v>
      </c>
      <c r="E20" s="110" t="s">
        <v>160</v>
      </c>
      <c r="F20" s="108" t="s">
        <v>255</v>
      </c>
      <c r="G20" s="143"/>
      <c r="H20" s="148">
        <v>4</v>
      </c>
      <c r="I20" s="72">
        <f t="shared" si="1"/>
        <v>0.2</v>
      </c>
      <c r="J20" s="65" t="str">
        <f t="shared" si="2"/>
        <v>Muy baja</v>
      </c>
      <c r="K20" s="149">
        <f>3500000*4</f>
        <v>14000000</v>
      </c>
      <c r="L20" s="67">
        <f t="shared" si="3"/>
        <v>7117500</v>
      </c>
      <c r="M20" s="26">
        <f t="shared" si="0"/>
        <v>1.9669827889005971</v>
      </c>
      <c r="N20" s="75">
        <f t="shared" si="4"/>
        <v>1</v>
      </c>
      <c r="O20" s="77" t="s">
        <v>82</v>
      </c>
      <c r="P20" s="78">
        <f t="shared" si="5"/>
        <v>0.3</v>
      </c>
      <c r="Q20" s="77" t="s">
        <v>68</v>
      </c>
      <c r="R20" s="76">
        <f t="shared" si="6"/>
        <v>0.1</v>
      </c>
      <c r="S20" s="30">
        <f t="shared" si="7"/>
        <v>0.4</v>
      </c>
      <c r="T20" s="62">
        <f t="shared" si="8"/>
        <v>1</v>
      </c>
      <c r="U20" s="63" t="str">
        <f t="shared" si="9"/>
        <v>Mayor</v>
      </c>
      <c r="V20" s="31" t="str">
        <f t="shared" si="10"/>
        <v>Muy baja Mayor</v>
      </c>
      <c r="W20" s="88" t="str">
        <f t="shared" si="11"/>
        <v>Crítica</v>
      </c>
    </row>
    <row r="21" spans="1:23" s="8" customFormat="1" ht="60" hidden="1" customHeight="1" x14ac:dyDescent="0.3">
      <c r="A21" s="21">
        <v>18</v>
      </c>
      <c r="B21" s="11" t="s">
        <v>187</v>
      </c>
      <c r="C21" s="11" t="s">
        <v>43</v>
      </c>
      <c r="D21" s="69" t="s">
        <v>37</v>
      </c>
      <c r="E21" s="110" t="s">
        <v>160</v>
      </c>
      <c r="F21" s="108" t="s">
        <v>255</v>
      </c>
      <c r="G21" s="143"/>
      <c r="H21" s="148">
        <v>12</v>
      </c>
      <c r="I21" s="72">
        <f t="shared" si="1"/>
        <v>0.4</v>
      </c>
      <c r="J21" s="65" t="str">
        <f t="shared" si="2"/>
        <v>Baja</v>
      </c>
      <c r="K21" s="149">
        <f>3500000*12</f>
        <v>42000000</v>
      </c>
      <c r="L21" s="67">
        <f t="shared" si="3"/>
        <v>7117500</v>
      </c>
      <c r="M21" s="26">
        <f t="shared" si="0"/>
        <v>5.9009483667017912</v>
      </c>
      <c r="N21" s="75">
        <f t="shared" si="4"/>
        <v>1</v>
      </c>
      <c r="O21" s="77" t="s">
        <v>82</v>
      </c>
      <c r="P21" s="78">
        <f t="shared" si="5"/>
        <v>0.3</v>
      </c>
      <c r="Q21" s="77" t="s">
        <v>68</v>
      </c>
      <c r="R21" s="76">
        <f t="shared" si="6"/>
        <v>0.1</v>
      </c>
      <c r="S21" s="30">
        <f t="shared" si="7"/>
        <v>0.4</v>
      </c>
      <c r="T21" s="62">
        <f t="shared" si="8"/>
        <v>1</v>
      </c>
      <c r="U21" s="63" t="str">
        <f t="shared" si="9"/>
        <v>Mayor</v>
      </c>
      <c r="V21" s="31" t="str">
        <f t="shared" si="10"/>
        <v>Baja Mayor</v>
      </c>
      <c r="W21" s="88" t="str">
        <f t="shared" si="11"/>
        <v>Crítica</v>
      </c>
    </row>
    <row r="22" spans="1:23" s="8" customFormat="1" ht="60" hidden="1" customHeight="1" x14ac:dyDescent="0.3">
      <c r="A22" s="21">
        <v>19</v>
      </c>
      <c r="B22" s="11" t="s">
        <v>12</v>
      </c>
      <c r="C22" s="11" t="s">
        <v>44</v>
      </c>
      <c r="D22" s="69" t="s">
        <v>188</v>
      </c>
      <c r="E22" s="110" t="s">
        <v>162</v>
      </c>
      <c r="F22" s="108"/>
      <c r="G22" s="143"/>
      <c r="H22" s="148">
        <v>5</v>
      </c>
      <c r="I22" s="72">
        <f t="shared" si="1"/>
        <v>0.4</v>
      </c>
      <c r="J22" s="65" t="str">
        <f t="shared" si="2"/>
        <v>Baja</v>
      </c>
      <c r="K22" s="149">
        <f>3500000*5</f>
        <v>17500000</v>
      </c>
      <c r="L22" s="67">
        <f t="shared" si="3"/>
        <v>7117500</v>
      </c>
      <c r="M22" s="26">
        <f t="shared" si="0"/>
        <v>2.4587284861257466</v>
      </c>
      <c r="N22" s="75">
        <f t="shared" si="4"/>
        <v>1</v>
      </c>
      <c r="O22" s="77" t="s">
        <v>69</v>
      </c>
      <c r="P22" s="78">
        <f t="shared" si="5"/>
        <v>0.2</v>
      </c>
      <c r="Q22" s="77" t="s">
        <v>68</v>
      </c>
      <c r="R22" s="76">
        <f t="shared" si="6"/>
        <v>0.1</v>
      </c>
      <c r="S22" s="30">
        <f t="shared" si="7"/>
        <v>0.30000000000000004</v>
      </c>
      <c r="T22" s="62">
        <f t="shared" si="8"/>
        <v>1</v>
      </c>
      <c r="U22" s="63" t="str">
        <f t="shared" si="9"/>
        <v>Mayor</v>
      </c>
      <c r="V22" s="31" t="str">
        <f t="shared" si="10"/>
        <v>Baja Mayor</v>
      </c>
      <c r="W22" s="88" t="str">
        <f t="shared" si="11"/>
        <v>Crítica</v>
      </c>
    </row>
    <row r="23" spans="1:23" s="8" customFormat="1" ht="60" hidden="1" customHeight="1" x14ac:dyDescent="0.3">
      <c r="A23" s="21">
        <v>20</v>
      </c>
      <c r="B23" s="11" t="s">
        <v>13</v>
      </c>
      <c r="C23" s="11" t="s">
        <v>44</v>
      </c>
      <c r="D23" s="69" t="s">
        <v>189</v>
      </c>
      <c r="E23" s="110" t="s">
        <v>162</v>
      </c>
      <c r="F23" s="108"/>
      <c r="G23" s="143"/>
      <c r="H23" s="148">
        <v>9</v>
      </c>
      <c r="I23" s="72">
        <f t="shared" si="1"/>
        <v>0.4</v>
      </c>
      <c r="J23" s="65" t="str">
        <f t="shared" si="2"/>
        <v>Baja</v>
      </c>
      <c r="K23" s="149">
        <f>(500000*269)</f>
        <v>134500000</v>
      </c>
      <c r="L23" s="67">
        <f t="shared" si="3"/>
        <v>7117500</v>
      </c>
      <c r="M23" s="26">
        <f t="shared" si="0"/>
        <v>18.897084650509306</v>
      </c>
      <c r="N23" s="75">
        <f t="shared" si="4"/>
        <v>1</v>
      </c>
      <c r="O23" s="77" t="s">
        <v>82</v>
      </c>
      <c r="P23" s="78">
        <f t="shared" si="5"/>
        <v>0.3</v>
      </c>
      <c r="Q23" s="77" t="s">
        <v>68</v>
      </c>
      <c r="R23" s="76">
        <f t="shared" si="6"/>
        <v>0.1</v>
      </c>
      <c r="S23" s="30">
        <f t="shared" si="7"/>
        <v>0.4</v>
      </c>
      <c r="T23" s="62">
        <f t="shared" si="8"/>
        <v>1</v>
      </c>
      <c r="U23" s="63" t="str">
        <f t="shared" si="9"/>
        <v>Mayor</v>
      </c>
      <c r="V23" s="31" t="str">
        <f t="shared" si="10"/>
        <v>Baja Mayor</v>
      </c>
      <c r="W23" s="88" t="str">
        <f t="shared" si="11"/>
        <v>Crítica</v>
      </c>
    </row>
    <row r="24" spans="1:23" s="8" customFormat="1" ht="60" hidden="1" customHeight="1" x14ac:dyDescent="0.3">
      <c r="A24" s="21">
        <v>21</v>
      </c>
      <c r="B24" s="11" t="s">
        <v>191</v>
      </c>
      <c r="C24" s="11" t="s">
        <v>25</v>
      </c>
      <c r="D24" s="69" t="s">
        <v>190</v>
      </c>
      <c r="E24" s="110" t="s">
        <v>162</v>
      </c>
      <c r="F24" s="108"/>
      <c r="G24" s="143"/>
      <c r="H24" s="148">
        <v>5</v>
      </c>
      <c r="I24" s="72">
        <f t="shared" si="1"/>
        <v>0.4</v>
      </c>
      <c r="J24" s="65" t="str">
        <f t="shared" si="2"/>
        <v>Baja</v>
      </c>
      <c r="K24" s="149">
        <f>(350000*3)*12</f>
        <v>12600000</v>
      </c>
      <c r="L24" s="67">
        <f t="shared" si="3"/>
        <v>7117500</v>
      </c>
      <c r="M24" s="26">
        <f t="shared" si="0"/>
        <v>1.7702845100105373</v>
      </c>
      <c r="N24" s="75">
        <f t="shared" si="4"/>
        <v>1</v>
      </c>
      <c r="O24" s="77" t="s">
        <v>82</v>
      </c>
      <c r="P24" s="78">
        <f t="shared" si="5"/>
        <v>0.3</v>
      </c>
      <c r="Q24" s="77" t="s">
        <v>68</v>
      </c>
      <c r="R24" s="76">
        <f t="shared" si="6"/>
        <v>0.1</v>
      </c>
      <c r="S24" s="30">
        <f t="shared" si="7"/>
        <v>0.4</v>
      </c>
      <c r="T24" s="62">
        <f t="shared" si="8"/>
        <v>1</v>
      </c>
      <c r="U24" s="63" t="str">
        <f t="shared" si="9"/>
        <v>Mayor</v>
      </c>
      <c r="V24" s="31" t="str">
        <f t="shared" si="10"/>
        <v>Baja Mayor</v>
      </c>
      <c r="W24" s="88" t="str">
        <f t="shared" si="11"/>
        <v>Crítica</v>
      </c>
    </row>
    <row r="25" spans="1:23" s="8" customFormat="1" ht="60" hidden="1" customHeight="1" x14ac:dyDescent="0.3">
      <c r="A25" s="21">
        <v>22</v>
      </c>
      <c r="B25" s="11" t="s">
        <v>14</v>
      </c>
      <c r="C25" s="11" t="s">
        <v>25</v>
      </c>
      <c r="D25" s="69" t="s">
        <v>38</v>
      </c>
      <c r="E25" s="110" t="s">
        <v>162</v>
      </c>
      <c r="F25" s="108"/>
      <c r="G25" s="143"/>
      <c r="H25" s="148">
        <v>4</v>
      </c>
      <c r="I25" s="72">
        <f t="shared" si="1"/>
        <v>0.2</v>
      </c>
      <c r="J25" s="65" t="str">
        <f t="shared" si="2"/>
        <v>Muy baja</v>
      </c>
      <c r="K25" s="149">
        <f>(200000*269)</f>
        <v>53800000</v>
      </c>
      <c r="L25" s="67">
        <f t="shared" si="3"/>
        <v>7117500</v>
      </c>
      <c r="M25" s="26">
        <f t="shared" si="0"/>
        <v>7.5588338602037233</v>
      </c>
      <c r="N25" s="75">
        <f t="shared" si="4"/>
        <v>1</v>
      </c>
      <c r="O25" s="77" t="s">
        <v>82</v>
      </c>
      <c r="P25" s="78">
        <f t="shared" si="5"/>
        <v>0.3</v>
      </c>
      <c r="Q25" s="77" t="s">
        <v>68</v>
      </c>
      <c r="R25" s="76">
        <f t="shared" si="6"/>
        <v>0.1</v>
      </c>
      <c r="S25" s="30">
        <f t="shared" si="7"/>
        <v>0.4</v>
      </c>
      <c r="T25" s="62">
        <f t="shared" si="8"/>
        <v>1</v>
      </c>
      <c r="U25" s="63" t="str">
        <f t="shared" si="9"/>
        <v>Mayor</v>
      </c>
      <c r="V25" s="31" t="str">
        <f t="shared" si="10"/>
        <v>Muy baja Mayor</v>
      </c>
      <c r="W25" s="88" t="str">
        <f t="shared" si="11"/>
        <v>Crítica</v>
      </c>
    </row>
    <row r="26" spans="1:23" s="8" customFormat="1" ht="60" hidden="1" customHeight="1" x14ac:dyDescent="0.3">
      <c r="A26" s="21">
        <v>23</v>
      </c>
      <c r="B26" s="11" t="s">
        <v>15</v>
      </c>
      <c r="C26" s="11" t="s">
        <v>43</v>
      </c>
      <c r="D26" s="69" t="s">
        <v>39</v>
      </c>
      <c r="E26" s="110" t="s">
        <v>162</v>
      </c>
      <c r="F26" s="108"/>
      <c r="G26" s="143"/>
      <c r="H26" s="148">
        <f>(3*4*12)</f>
        <v>144</v>
      </c>
      <c r="I26" s="72">
        <f t="shared" si="1"/>
        <v>0.6</v>
      </c>
      <c r="J26" s="65" t="str">
        <f t="shared" si="2"/>
        <v>Media</v>
      </c>
      <c r="K26" s="149">
        <f>(14000*H26)*269</f>
        <v>542304000</v>
      </c>
      <c r="L26" s="67">
        <f t="shared" si="3"/>
        <v>7117500</v>
      </c>
      <c r="M26" s="26">
        <f t="shared" si="0"/>
        <v>76.193045310853535</v>
      </c>
      <c r="N26" s="75">
        <f t="shared" si="4"/>
        <v>1</v>
      </c>
      <c r="O26" s="77" t="s">
        <v>82</v>
      </c>
      <c r="P26" s="78">
        <f t="shared" si="5"/>
        <v>0.3</v>
      </c>
      <c r="Q26" s="77" t="s">
        <v>68</v>
      </c>
      <c r="R26" s="76">
        <f t="shared" si="6"/>
        <v>0.1</v>
      </c>
      <c r="S26" s="30">
        <f t="shared" si="7"/>
        <v>0.4</v>
      </c>
      <c r="T26" s="62">
        <f t="shared" si="8"/>
        <v>1</v>
      </c>
      <c r="U26" s="63" t="str">
        <f t="shared" si="9"/>
        <v>Mayor</v>
      </c>
      <c r="V26" s="31" t="str">
        <f t="shared" si="10"/>
        <v>Media Mayor</v>
      </c>
      <c r="W26" s="88" t="str">
        <f t="shared" si="11"/>
        <v>Crítica</v>
      </c>
    </row>
    <row r="27" spans="1:23" s="8" customFormat="1" ht="60" hidden="1" customHeight="1" x14ac:dyDescent="0.3">
      <c r="A27" s="21">
        <v>24</v>
      </c>
      <c r="B27" s="11" t="s">
        <v>16</v>
      </c>
      <c r="C27" s="11" t="s">
        <v>43</v>
      </c>
      <c r="D27" s="69" t="s">
        <v>40</v>
      </c>
      <c r="E27" s="110" t="s">
        <v>161</v>
      </c>
      <c r="F27" s="108"/>
      <c r="G27" s="143"/>
      <c r="H27" s="148">
        <f>(4*12)</f>
        <v>48</v>
      </c>
      <c r="I27" s="72">
        <f t="shared" si="1"/>
        <v>0.6</v>
      </c>
      <c r="J27" s="65" t="str">
        <f t="shared" si="2"/>
        <v>Media</v>
      </c>
      <c r="K27" s="149">
        <f>450000*(269/2)</f>
        <v>60525000</v>
      </c>
      <c r="L27" s="67">
        <f t="shared" si="3"/>
        <v>7117500</v>
      </c>
      <c r="M27" s="26">
        <f t="shared" si="0"/>
        <v>8.5036880927291882</v>
      </c>
      <c r="N27" s="75">
        <f t="shared" si="4"/>
        <v>1</v>
      </c>
      <c r="O27" s="77" t="s">
        <v>82</v>
      </c>
      <c r="P27" s="78">
        <f t="shared" si="5"/>
        <v>0.3</v>
      </c>
      <c r="Q27" s="77" t="s">
        <v>68</v>
      </c>
      <c r="R27" s="76">
        <f t="shared" si="6"/>
        <v>0.1</v>
      </c>
      <c r="S27" s="30">
        <f t="shared" si="7"/>
        <v>0.4</v>
      </c>
      <c r="T27" s="62">
        <f t="shared" si="8"/>
        <v>1</v>
      </c>
      <c r="U27" s="63" t="str">
        <f t="shared" si="9"/>
        <v>Mayor</v>
      </c>
      <c r="V27" s="31" t="str">
        <f t="shared" si="10"/>
        <v>Media Mayor</v>
      </c>
      <c r="W27" s="88" t="str">
        <f t="shared" si="11"/>
        <v>Crítica</v>
      </c>
    </row>
    <row r="28" spans="1:23" s="8" customFormat="1" ht="60" hidden="1" customHeight="1" x14ac:dyDescent="0.3">
      <c r="A28" s="21">
        <v>25</v>
      </c>
      <c r="B28" s="11" t="s">
        <v>163</v>
      </c>
      <c r="C28" s="11" t="s">
        <v>43</v>
      </c>
      <c r="D28" s="69" t="s">
        <v>192</v>
      </c>
      <c r="E28" s="110" t="s">
        <v>161</v>
      </c>
      <c r="F28" s="108"/>
      <c r="G28" s="143"/>
      <c r="H28" s="148">
        <v>12</v>
      </c>
      <c r="I28" s="72">
        <f t="shared" si="1"/>
        <v>0.4</v>
      </c>
      <c r="J28" s="65" t="str">
        <f t="shared" si="2"/>
        <v>Baja</v>
      </c>
      <c r="K28" s="149">
        <f>3500000*12</f>
        <v>42000000</v>
      </c>
      <c r="L28" s="67">
        <f t="shared" si="3"/>
        <v>7117500</v>
      </c>
      <c r="M28" s="26">
        <f t="shared" si="0"/>
        <v>5.9009483667017912</v>
      </c>
      <c r="N28" s="75">
        <f t="shared" si="4"/>
        <v>1</v>
      </c>
      <c r="O28" s="77" t="s">
        <v>82</v>
      </c>
      <c r="P28" s="78">
        <f t="shared" si="5"/>
        <v>0.3</v>
      </c>
      <c r="Q28" s="77" t="s">
        <v>68</v>
      </c>
      <c r="R28" s="76">
        <f t="shared" si="6"/>
        <v>0.1</v>
      </c>
      <c r="S28" s="30">
        <f t="shared" si="7"/>
        <v>0.4</v>
      </c>
      <c r="T28" s="62">
        <f t="shared" si="8"/>
        <v>1</v>
      </c>
      <c r="U28" s="63" t="str">
        <f t="shared" si="9"/>
        <v>Mayor</v>
      </c>
      <c r="V28" s="31" t="str">
        <f t="shared" si="10"/>
        <v>Baja Mayor</v>
      </c>
      <c r="W28" s="88" t="str">
        <f t="shared" si="11"/>
        <v>Crítica</v>
      </c>
    </row>
    <row r="29" spans="1:23" s="8" customFormat="1" ht="66.599999999999994" hidden="1" customHeight="1" x14ac:dyDescent="0.3">
      <c r="A29" s="21">
        <v>26</v>
      </c>
      <c r="B29" s="11" t="s">
        <v>17</v>
      </c>
      <c r="C29" s="11" t="s">
        <v>25</v>
      </c>
      <c r="D29" s="69" t="s">
        <v>193</v>
      </c>
      <c r="E29" s="110" t="s">
        <v>162</v>
      </c>
      <c r="F29" s="108"/>
      <c r="G29" s="143"/>
      <c r="H29" s="148">
        <f>(90*269)</f>
        <v>24210</v>
      </c>
      <c r="I29" s="72">
        <f t="shared" si="1"/>
        <v>1</v>
      </c>
      <c r="J29" s="65" t="str">
        <f t="shared" si="2"/>
        <v>Muy alta</v>
      </c>
      <c r="K29" s="149">
        <f>18000*269</f>
        <v>4842000</v>
      </c>
      <c r="L29" s="67">
        <f t="shared" si="3"/>
        <v>7117500</v>
      </c>
      <c r="M29" s="26">
        <f t="shared" si="0"/>
        <v>0.68029504741833513</v>
      </c>
      <c r="N29" s="75">
        <f t="shared" si="4"/>
        <v>1</v>
      </c>
      <c r="O29" s="77" t="s">
        <v>67</v>
      </c>
      <c r="P29" s="78">
        <f t="shared" si="5"/>
        <v>0.1</v>
      </c>
      <c r="Q29" s="77" t="s">
        <v>68</v>
      </c>
      <c r="R29" s="76">
        <f t="shared" si="6"/>
        <v>0.1</v>
      </c>
      <c r="S29" s="30">
        <f t="shared" si="7"/>
        <v>0.2</v>
      </c>
      <c r="T29" s="62">
        <f t="shared" si="8"/>
        <v>1</v>
      </c>
      <c r="U29" s="63" t="str">
        <f t="shared" si="9"/>
        <v>Mayor</v>
      </c>
      <c r="V29" s="31" t="str">
        <f t="shared" si="10"/>
        <v>Muy alta Mayor</v>
      </c>
      <c r="W29" s="88" t="str">
        <f t="shared" si="11"/>
        <v>Crítica</v>
      </c>
    </row>
    <row r="30" spans="1:23" s="8" customFormat="1" ht="60" hidden="1" customHeight="1" x14ac:dyDescent="0.3">
      <c r="A30" s="21">
        <v>27</v>
      </c>
      <c r="B30" s="11" t="s">
        <v>18</v>
      </c>
      <c r="C30" s="11" t="s">
        <v>43</v>
      </c>
      <c r="D30" s="69" t="s">
        <v>41</v>
      </c>
      <c r="E30" s="110" t="s">
        <v>162</v>
      </c>
      <c r="F30" s="108"/>
      <c r="G30" s="143"/>
      <c r="H30" s="148">
        <v>4</v>
      </c>
      <c r="I30" s="72">
        <f t="shared" si="1"/>
        <v>0.2</v>
      </c>
      <c r="J30" s="65" t="str">
        <f t="shared" si="2"/>
        <v>Muy baja</v>
      </c>
      <c r="K30" s="149">
        <f>300000</f>
        <v>300000</v>
      </c>
      <c r="L30" s="67">
        <f t="shared" si="3"/>
        <v>7117500</v>
      </c>
      <c r="M30" s="26">
        <f t="shared" si="0"/>
        <v>4.214963119072708E-2</v>
      </c>
      <c r="N30" s="75">
        <f t="shared" si="4"/>
        <v>0.2</v>
      </c>
      <c r="O30" s="77" t="s">
        <v>67</v>
      </c>
      <c r="P30" s="78">
        <f t="shared" si="5"/>
        <v>0.1</v>
      </c>
      <c r="Q30" s="77" t="s">
        <v>68</v>
      </c>
      <c r="R30" s="76">
        <f t="shared" si="6"/>
        <v>0.1</v>
      </c>
      <c r="S30" s="30">
        <f t="shared" si="7"/>
        <v>0.2</v>
      </c>
      <c r="T30" s="62">
        <f t="shared" si="8"/>
        <v>0.2</v>
      </c>
      <c r="U30" s="63" t="str">
        <f t="shared" si="9"/>
        <v>Insignificante</v>
      </c>
      <c r="V30" s="31" t="str">
        <f t="shared" si="10"/>
        <v>Muy baja Insignificante</v>
      </c>
      <c r="W30" s="88" t="str">
        <f t="shared" si="11"/>
        <v>Baja</v>
      </c>
    </row>
    <row r="31" spans="1:23" s="8" customFormat="1" ht="68.400000000000006" hidden="1" customHeight="1" x14ac:dyDescent="0.3">
      <c r="A31" s="21">
        <v>28</v>
      </c>
      <c r="B31" s="11" t="s">
        <v>194</v>
      </c>
      <c r="C31" s="11" t="s">
        <v>25</v>
      </c>
      <c r="D31" s="69" t="s">
        <v>195</v>
      </c>
      <c r="E31" s="110" t="s">
        <v>160</v>
      </c>
      <c r="F31" s="108"/>
      <c r="G31" s="143"/>
      <c r="H31" s="148">
        <v>12</v>
      </c>
      <c r="I31" s="72">
        <f t="shared" si="1"/>
        <v>0.4</v>
      </c>
      <c r="J31" s="65" t="str">
        <f t="shared" si="2"/>
        <v>Baja</v>
      </c>
      <c r="K31" s="149">
        <f>250000*12</f>
        <v>3000000</v>
      </c>
      <c r="L31" s="67">
        <f t="shared" si="3"/>
        <v>7117500</v>
      </c>
      <c r="M31" s="26">
        <f t="shared" si="0"/>
        <v>0.42149631190727083</v>
      </c>
      <c r="N31" s="75">
        <f t="shared" si="4"/>
        <v>0.8</v>
      </c>
      <c r="O31" s="77" t="s">
        <v>69</v>
      </c>
      <c r="P31" s="78">
        <f t="shared" si="5"/>
        <v>0.2</v>
      </c>
      <c r="Q31" s="77" t="s">
        <v>68</v>
      </c>
      <c r="R31" s="76">
        <f t="shared" si="6"/>
        <v>0.1</v>
      </c>
      <c r="S31" s="30">
        <f t="shared" si="7"/>
        <v>0.30000000000000004</v>
      </c>
      <c r="T31" s="62">
        <f t="shared" si="8"/>
        <v>0.8</v>
      </c>
      <c r="U31" s="63" t="str">
        <f t="shared" si="9"/>
        <v>Importante</v>
      </c>
      <c r="V31" s="31" t="str">
        <f t="shared" si="10"/>
        <v>Baja Importante</v>
      </c>
      <c r="W31" s="88" t="str">
        <f t="shared" si="11"/>
        <v>Alta</v>
      </c>
    </row>
    <row r="32" spans="1:23" s="8" customFormat="1" ht="60" hidden="1" customHeight="1" x14ac:dyDescent="0.3">
      <c r="A32" s="21">
        <v>29</v>
      </c>
      <c r="B32" s="11" t="s">
        <v>196</v>
      </c>
      <c r="C32" s="11" t="s">
        <v>25</v>
      </c>
      <c r="D32" s="69" t="s">
        <v>42</v>
      </c>
      <c r="E32" s="153" t="s">
        <v>162</v>
      </c>
      <c r="F32" s="108"/>
      <c r="G32" s="143"/>
      <c r="H32" s="154">
        <f>H29*8%</f>
        <v>1936.8</v>
      </c>
      <c r="I32" s="72">
        <f t="shared" si="1"/>
        <v>0.8</v>
      </c>
      <c r="J32" s="65" t="str">
        <f t="shared" si="2"/>
        <v>Alta</v>
      </c>
      <c r="K32" s="149">
        <f>80000*12</f>
        <v>960000</v>
      </c>
      <c r="L32" s="67">
        <f t="shared" si="3"/>
        <v>7117500</v>
      </c>
      <c r="M32" s="26">
        <f t="shared" si="0"/>
        <v>0.13487881981032665</v>
      </c>
      <c r="N32" s="75">
        <f t="shared" si="4"/>
        <v>0.4</v>
      </c>
      <c r="O32" s="77" t="s">
        <v>82</v>
      </c>
      <c r="P32" s="78">
        <f t="shared" si="5"/>
        <v>0.3</v>
      </c>
      <c r="Q32" s="77" t="s">
        <v>68</v>
      </c>
      <c r="R32" s="76">
        <f t="shared" si="6"/>
        <v>0.1</v>
      </c>
      <c r="S32" s="30">
        <f t="shared" si="7"/>
        <v>0.4</v>
      </c>
      <c r="T32" s="62">
        <f t="shared" si="8"/>
        <v>0.4</v>
      </c>
      <c r="U32" s="63" t="str">
        <f t="shared" si="9"/>
        <v>Menor</v>
      </c>
      <c r="V32" s="31" t="str">
        <f t="shared" si="10"/>
        <v>Alta Menor</v>
      </c>
      <c r="W32" s="88" t="str">
        <f t="shared" si="11"/>
        <v>Media</v>
      </c>
    </row>
    <row r="33" spans="1:23" s="8" customFormat="1" ht="60" hidden="1" customHeight="1" x14ac:dyDescent="0.3">
      <c r="A33" s="21">
        <v>30</v>
      </c>
      <c r="B33" s="11" t="s">
        <v>19</v>
      </c>
      <c r="C33" s="11" t="s">
        <v>25</v>
      </c>
      <c r="D33" s="69" t="s">
        <v>197</v>
      </c>
      <c r="E33" s="153" t="s">
        <v>160</v>
      </c>
      <c r="F33" s="108" t="s">
        <v>256</v>
      </c>
      <c r="G33" s="143"/>
      <c r="H33" s="148">
        <f>(3*12)</f>
        <v>36</v>
      </c>
      <c r="I33" s="72">
        <f t="shared" si="1"/>
        <v>0.6</v>
      </c>
      <c r="J33" s="65" t="str">
        <f t="shared" si="2"/>
        <v>Media</v>
      </c>
      <c r="K33" s="149">
        <f>60000*H33</f>
        <v>2160000</v>
      </c>
      <c r="L33" s="67">
        <f t="shared" si="3"/>
        <v>7117500</v>
      </c>
      <c r="M33" s="26">
        <f t="shared" si="0"/>
        <v>0.303477344573235</v>
      </c>
      <c r="N33" s="75">
        <f t="shared" si="4"/>
        <v>0.6</v>
      </c>
      <c r="O33" s="77" t="s">
        <v>82</v>
      </c>
      <c r="P33" s="78">
        <f t="shared" si="5"/>
        <v>0.3</v>
      </c>
      <c r="Q33" s="77" t="s">
        <v>68</v>
      </c>
      <c r="R33" s="76">
        <f t="shared" si="6"/>
        <v>0.1</v>
      </c>
      <c r="S33" s="30">
        <f t="shared" si="7"/>
        <v>0.4</v>
      </c>
      <c r="T33" s="62">
        <f t="shared" si="8"/>
        <v>0.6</v>
      </c>
      <c r="U33" s="63" t="str">
        <f t="shared" si="9"/>
        <v>Moderado</v>
      </c>
      <c r="V33" s="31" t="str">
        <f t="shared" si="10"/>
        <v>Media Moderado</v>
      </c>
      <c r="W33" s="88" t="str">
        <f t="shared" si="11"/>
        <v>Media</v>
      </c>
    </row>
    <row r="34" spans="1:23" s="8" customFormat="1" ht="60" hidden="1" customHeight="1" x14ac:dyDescent="0.3">
      <c r="A34" s="21">
        <v>31</v>
      </c>
      <c r="B34" s="11" t="s">
        <v>20</v>
      </c>
      <c r="C34" s="11" t="s">
        <v>25</v>
      </c>
      <c r="D34" s="69" t="s">
        <v>198</v>
      </c>
      <c r="E34" s="110" t="s">
        <v>160</v>
      </c>
      <c r="F34" s="108" t="s">
        <v>257</v>
      </c>
      <c r="G34" s="143"/>
      <c r="H34" s="148">
        <v>12</v>
      </c>
      <c r="I34" s="72">
        <f t="shared" si="1"/>
        <v>0.4</v>
      </c>
      <c r="J34" s="65" t="str">
        <f t="shared" si="2"/>
        <v>Baja</v>
      </c>
      <c r="K34" s="149">
        <f>(150000*269)</f>
        <v>40350000</v>
      </c>
      <c r="L34" s="67">
        <f t="shared" si="3"/>
        <v>7117500</v>
      </c>
      <c r="M34" s="26">
        <f t="shared" si="0"/>
        <v>5.6691253951527925</v>
      </c>
      <c r="N34" s="75">
        <f t="shared" si="4"/>
        <v>1</v>
      </c>
      <c r="O34" s="77" t="s">
        <v>82</v>
      </c>
      <c r="P34" s="78">
        <f t="shared" si="5"/>
        <v>0.3</v>
      </c>
      <c r="Q34" s="77" t="s">
        <v>68</v>
      </c>
      <c r="R34" s="76">
        <f t="shared" si="6"/>
        <v>0.1</v>
      </c>
      <c r="S34" s="30">
        <f t="shared" si="7"/>
        <v>0.4</v>
      </c>
      <c r="T34" s="62">
        <f t="shared" si="8"/>
        <v>1</v>
      </c>
      <c r="U34" s="63" t="str">
        <f t="shared" si="9"/>
        <v>Mayor</v>
      </c>
      <c r="V34" s="31" t="str">
        <f t="shared" si="10"/>
        <v>Baja Mayor</v>
      </c>
      <c r="W34" s="88" t="str">
        <f t="shared" si="11"/>
        <v>Crítica</v>
      </c>
    </row>
    <row r="35" spans="1:23" ht="60" hidden="1" customHeight="1" x14ac:dyDescent="0.3">
      <c r="A35" s="21">
        <v>32</v>
      </c>
      <c r="B35" s="11" t="s">
        <v>21</v>
      </c>
      <c r="C35" s="12" t="s">
        <v>25</v>
      </c>
      <c r="D35" s="70" t="s">
        <v>199</v>
      </c>
      <c r="E35" s="110" t="s">
        <v>160</v>
      </c>
      <c r="F35" s="108" t="s">
        <v>258</v>
      </c>
      <c r="G35" s="143"/>
      <c r="H35" s="148">
        <v>3</v>
      </c>
      <c r="I35" s="72">
        <f t="shared" si="1"/>
        <v>0.2</v>
      </c>
      <c r="J35" s="65" t="str">
        <f t="shared" si="2"/>
        <v>Muy baja</v>
      </c>
      <c r="K35" s="149">
        <v>300000000</v>
      </c>
      <c r="L35" s="67">
        <f t="shared" si="3"/>
        <v>7117500</v>
      </c>
      <c r="M35" s="26">
        <f t="shared" si="0"/>
        <v>42.149631190727078</v>
      </c>
      <c r="N35" s="75">
        <f t="shared" si="4"/>
        <v>1</v>
      </c>
      <c r="O35" s="77" t="s">
        <v>82</v>
      </c>
      <c r="P35" s="78">
        <f t="shared" si="5"/>
        <v>0.3</v>
      </c>
      <c r="Q35" s="77" t="s">
        <v>68</v>
      </c>
      <c r="R35" s="76">
        <f t="shared" si="6"/>
        <v>0.1</v>
      </c>
      <c r="S35" s="30">
        <f t="shared" si="7"/>
        <v>0.4</v>
      </c>
      <c r="T35" s="62">
        <f t="shared" si="8"/>
        <v>1</v>
      </c>
      <c r="U35" s="63" t="str">
        <f t="shared" si="9"/>
        <v>Mayor</v>
      </c>
      <c r="V35" s="31" t="str">
        <f t="shared" si="10"/>
        <v>Muy baja Mayor</v>
      </c>
      <c r="W35" s="88" t="str">
        <f t="shared" si="11"/>
        <v>Crítica</v>
      </c>
    </row>
    <row r="37" spans="1:23" x14ac:dyDescent="0.3">
      <c r="K37" s="25" t="s">
        <v>246</v>
      </c>
    </row>
    <row r="39" spans="1:23" ht="27.6" x14ac:dyDescent="0.3">
      <c r="B39" s="100" t="s">
        <v>119</v>
      </c>
    </row>
    <row r="42" spans="1:23" x14ac:dyDescent="0.3">
      <c r="B42" s="5" t="s">
        <v>120</v>
      </c>
      <c r="C42" s="5" t="s">
        <v>121</v>
      </c>
    </row>
    <row r="43" spans="1:23" ht="27.6" x14ac:dyDescent="0.3">
      <c r="B43" s="5" t="s">
        <v>122</v>
      </c>
      <c r="C43" s="5" t="s">
        <v>123</v>
      </c>
    </row>
    <row r="47" spans="1:23" ht="14.4" x14ac:dyDescent="0.3">
      <c r="B47" s="101" t="s">
        <v>124</v>
      </c>
      <c r="C47" s="102" t="s">
        <v>144</v>
      </c>
    </row>
    <row r="48" spans="1:23" ht="27.6" x14ac:dyDescent="0.3">
      <c r="B48" s="101" t="s">
        <v>125</v>
      </c>
      <c r="C48" s="102" t="s">
        <v>145</v>
      </c>
    </row>
    <row r="49" spans="2:3" ht="28.8" x14ac:dyDescent="0.3">
      <c r="B49" s="101" t="s">
        <v>126</v>
      </c>
      <c r="C49" s="102" t="s">
        <v>146</v>
      </c>
    </row>
    <row r="50" spans="2:3" ht="14.4" x14ac:dyDescent="0.3">
      <c r="B50" s="101" t="s">
        <v>127</v>
      </c>
      <c r="C50" s="103"/>
    </row>
    <row r="51" spans="2:3" ht="14.4" x14ac:dyDescent="0.3">
      <c r="B51" s="101" t="s">
        <v>128</v>
      </c>
      <c r="C51" s="103"/>
    </row>
    <row r="52" spans="2:3" ht="41.4" x14ac:dyDescent="0.3">
      <c r="B52" s="101" t="s">
        <v>129</v>
      </c>
      <c r="C52" s="102" t="s">
        <v>147</v>
      </c>
    </row>
    <row r="53" spans="2:3" ht="27.6" x14ac:dyDescent="0.3">
      <c r="B53" s="101" t="s">
        <v>130</v>
      </c>
      <c r="C53" s="103" t="s">
        <v>148</v>
      </c>
    </row>
    <row r="54" spans="2:3" ht="14.4" x14ac:dyDescent="0.3">
      <c r="B54" s="101" t="s">
        <v>131</v>
      </c>
    </row>
    <row r="55" spans="2:3" ht="27.6" x14ac:dyDescent="0.3">
      <c r="B55" s="101" t="s">
        <v>132</v>
      </c>
      <c r="C55" s="103" t="s">
        <v>149</v>
      </c>
    </row>
    <row r="56" spans="2:3" ht="41.4" x14ac:dyDescent="0.3">
      <c r="B56" s="101" t="s">
        <v>133</v>
      </c>
      <c r="C56" s="103" t="s">
        <v>150</v>
      </c>
    </row>
    <row r="58" spans="2:3" ht="28.8" x14ac:dyDescent="0.3">
      <c r="B58" s="101" t="s">
        <v>134</v>
      </c>
    </row>
    <row r="59" spans="2:3" ht="28.8" x14ac:dyDescent="0.3">
      <c r="B59" s="101" t="s">
        <v>135</v>
      </c>
    </row>
    <row r="60" spans="2:3" ht="28.8" x14ac:dyDescent="0.3">
      <c r="B60" s="101" t="s">
        <v>136</v>
      </c>
    </row>
    <row r="61" spans="2:3" ht="14.4" x14ac:dyDescent="0.3">
      <c r="B61" s="101" t="s">
        <v>137</v>
      </c>
    </row>
    <row r="62" spans="2:3" ht="28.8" x14ac:dyDescent="0.3">
      <c r="B62" s="101" t="s">
        <v>138</v>
      </c>
      <c r="C62" s="5" t="s">
        <v>152</v>
      </c>
    </row>
    <row r="63" spans="2:3" ht="28.8" x14ac:dyDescent="0.3">
      <c r="B63" s="101" t="s">
        <v>139</v>
      </c>
    </row>
    <row r="65" spans="2:2" ht="14.4" x14ac:dyDescent="0.3">
      <c r="B65" s="101" t="s">
        <v>140</v>
      </c>
    </row>
    <row r="66" spans="2:2" ht="14.4" x14ac:dyDescent="0.3">
      <c r="B66" s="101" t="s">
        <v>141</v>
      </c>
    </row>
    <row r="67" spans="2:2" ht="14.4" x14ac:dyDescent="0.3">
      <c r="B67" s="101" t="s">
        <v>142</v>
      </c>
    </row>
    <row r="68" spans="2:2" ht="14.4" x14ac:dyDescent="0.3">
      <c r="B68" s="101" t="s">
        <v>143</v>
      </c>
    </row>
    <row r="70" spans="2:2" ht="27.6" x14ac:dyDescent="0.3">
      <c r="B70" s="5" t="s">
        <v>151</v>
      </c>
    </row>
  </sheetData>
  <autoFilter ref="A2:W35" xr:uid="{86D15BE3-43E2-4DAE-829D-490B65E2FF68}">
    <filterColumn colId="21">
      <filters>
        <filter val="Muy baja Menor"/>
      </filters>
    </filterColumn>
  </autoFilter>
  <mergeCells count="3">
    <mergeCell ref="E1:F1"/>
    <mergeCell ref="C17:C18"/>
    <mergeCell ref="D17:D18"/>
  </mergeCells>
  <conditionalFormatting sqref="I3:I35">
    <cfRule type="cellIs" dxfId="147" priority="20" operator="equal">
      <formula>0.2</formula>
    </cfRule>
    <cfRule type="cellIs" dxfId="146" priority="21" operator="equal">
      <formula>0.4</formula>
    </cfRule>
    <cfRule type="cellIs" dxfId="145" priority="22" operator="equal">
      <formula>0.6</formula>
    </cfRule>
    <cfRule type="cellIs" dxfId="144" priority="23" operator="equal">
      <formula>0.8</formula>
    </cfRule>
    <cfRule type="cellIs" dxfId="143" priority="24" operator="equal">
      <formula>1</formula>
    </cfRule>
  </conditionalFormatting>
  <conditionalFormatting sqref="J3:J35">
    <cfRule type="containsText" dxfId="142" priority="10" operator="containsText" text="Muy baja">
      <formula>NOT(ISERROR(SEARCH("Muy baja",J3)))</formula>
    </cfRule>
    <cfRule type="beginsWith" dxfId="141" priority="11" operator="beginsWith" text="Baja">
      <formula>LEFT(J3,LEN("Baja"))="Baja"</formula>
    </cfRule>
    <cfRule type="containsText" dxfId="140" priority="12" operator="containsText" text="Media">
      <formula>NOT(ISERROR(SEARCH("Media",J3)))</formula>
    </cfRule>
    <cfRule type="beginsWith" dxfId="139" priority="13" operator="beginsWith" text="Alta">
      <formula>LEFT(J3,LEN("Alta"))="Alta"</formula>
    </cfRule>
    <cfRule type="containsText" dxfId="138" priority="14" operator="containsText" text="Muy alta">
      <formula>NOT(ISERROR(SEARCH("Muy alta",J3)))</formula>
    </cfRule>
  </conditionalFormatting>
  <conditionalFormatting sqref="T3:T35">
    <cfRule type="cellIs" dxfId="137" priority="15" operator="equal">
      <formula>0.2</formula>
    </cfRule>
    <cfRule type="cellIs" dxfId="136" priority="16" operator="equal">
      <formula>0.4</formula>
    </cfRule>
    <cfRule type="cellIs" dxfId="135" priority="17" operator="equal">
      <formula>0.6</formula>
    </cfRule>
    <cfRule type="cellIs" dxfId="134" priority="18" operator="equal">
      <formula>0.8</formula>
    </cfRule>
    <cfRule type="cellIs" dxfId="133" priority="19" operator="equal">
      <formula>1</formula>
    </cfRule>
  </conditionalFormatting>
  <conditionalFormatting sqref="U3:U35">
    <cfRule type="containsText" dxfId="132" priority="5" operator="containsText" text="Insignificante">
      <formula>NOT(ISERROR(SEARCH("Insignificante",U3)))</formula>
    </cfRule>
    <cfRule type="beginsWith" dxfId="131" priority="6" operator="beginsWith" text="Menor">
      <formula>LEFT(U3,LEN("Menor"))="Menor"</formula>
    </cfRule>
    <cfRule type="containsText" dxfId="130" priority="7" operator="containsText" text="Moderado">
      <formula>NOT(ISERROR(SEARCH("Moderado",U3)))</formula>
    </cfRule>
    <cfRule type="beginsWith" dxfId="129" priority="8" operator="beginsWith" text="Importante">
      <formula>LEFT(U3,LEN("Importante"))="Importante"</formula>
    </cfRule>
    <cfRule type="containsText" dxfId="128" priority="9" operator="containsText" text="Mayor">
      <formula>NOT(ISERROR(SEARCH("Mayor",U3)))</formula>
    </cfRule>
  </conditionalFormatting>
  <conditionalFormatting sqref="W3:W35">
    <cfRule type="containsText" dxfId="127" priority="1" operator="containsText" text="Crítica">
      <formula>NOT(ISERROR(SEARCH("Crítica",W3)))</formula>
    </cfRule>
    <cfRule type="containsText" dxfId="126" priority="2" operator="containsText" text="Alta">
      <formula>NOT(ISERROR(SEARCH("Alta",W3)))</formula>
    </cfRule>
    <cfRule type="containsText" dxfId="125" priority="3" operator="containsText" text="Media">
      <formula>NOT(ISERROR(SEARCH("Media",W3)))</formula>
    </cfRule>
    <cfRule type="containsText" dxfId="124" priority="4" operator="containsText" text="Baja">
      <formula>NOT(ISERROR(SEARCH("Baja",W3)))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337C8C7-DCEA-4ABB-88CD-785DB71F97BB}">
          <x14:formula1>
            <xm:f>Reputación!$C$11:$C$15</xm:f>
          </x14:formula1>
          <xm:sqref>Q3:Q35</xm:sqref>
        </x14:dataValidation>
        <x14:dataValidation type="list" allowBlank="1" showInputMessage="1" showErrorMessage="1" xr:uid="{0DFA0A0B-1972-447A-B662-26377B877928}">
          <x14:formula1>
            <xm:f>Reputación!$C$4:$C$8</xm:f>
          </x14:formula1>
          <xm:sqref>O3:O35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66A2D-2CF8-4BE4-81C9-ADD3CD9056AF}">
  <dimension ref="A1:W70"/>
  <sheetViews>
    <sheetView showGridLines="0" zoomScaleNormal="100" workbookViewId="0">
      <selection activeCell="C37" sqref="C37"/>
    </sheetView>
  </sheetViews>
  <sheetFormatPr baseColWidth="10" defaultColWidth="11.5546875" defaultRowHeight="13.8" x14ac:dyDescent="0.3"/>
  <cols>
    <col min="1" max="1" width="7.6640625" style="9" customWidth="1"/>
    <col min="2" max="2" width="41" style="5" hidden="1" customWidth="1"/>
    <col min="3" max="3" width="30.77734375" style="5" customWidth="1"/>
    <col min="4" max="4" width="48.88671875" style="13" customWidth="1"/>
    <col min="5" max="5" width="6.109375" style="106" hidden="1" customWidth="1"/>
    <col min="6" max="7" width="19.77734375" style="13" hidden="1" customWidth="1"/>
    <col min="8" max="8" width="15.109375" style="9" hidden="1" customWidth="1"/>
    <col min="9" max="9" width="15.77734375" style="59" customWidth="1"/>
    <col min="10" max="10" width="16.109375" style="9" hidden="1" customWidth="1"/>
    <col min="11" max="11" width="23.6640625" style="25" hidden="1" customWidth="1"/>
    <col min="12" max="12" width="15.77734375" style="10" hidden="1" customWidth="1"/>
    <col min="13" max="13" width="17.6640625" style="9" hidden="1" customWidth="1"/>
    <col min="14" max="14" width="13.6640625" style="9" hidden="1" customWidth="1"/>
    <col min="15" max="15" width="41.77734375" style="10" hidden="1" customWidth="1"/>
    <col min="16" max="16" width="17.109375" style="9" hidden="1" customWidth="1"/>
    <col min="17" max="17" width="41.77734375" style="10" hidden="1" customWidth="1"/>
    <col min="18" max="18" width="17.109375" style="9" hidden="1" customWidth="1"/>
    <col min="19" max="19" width="16.21875" style="9" hidden="1" customWidth="1"/>
    <col min="20" max="20" width="17.33203125" style="9" hidden="1" customWidth="1"/>
    <col min="21" max="21" width="17.109375" style="10" customWidth="1"/>
    <col min="22" max="22" width="30.88671875" style="10" hidden="1" customWidth="1"/>
    <col min="23" max="23" width="38.33203125" style="10" customWidth="1"/>
    <col min="24" max="16384" width="11.5546875" style="10"/>
  </cols>
  <sheetData>
    <row r="1" spans="1:23" ht="19.95" customHeight="1" x14ac:dyDescent="0.3">
      <c r="E1" s="155" t="s">
        <v>200</v>
      </c>
      <c r="F1" s="155"/>
      <c r="G1" s="141"/>
      <c r="K1" s="25" t="s">
        <v>174</v>
      </c>
    </row>
    <row r="2" spans="1:23" s="7" customFormat="1" ht="60" customHeight="1" x14ac:dyDescent="0.3">
      <c r="A2" s="4" t="s">
        <v>0</v>
      </c>
      <c r="B2" s="4" t="s">
        <v>1</v>
      </c>
      <c r="C2" s="4" t="s">
        <v>24</v>
      </c>
      <c r="D2" s="68" t="s">
        <v>22</v>
      </c>
      <c r="E2" s="105" t="s">
        <v>157</v>
      </c>
      <c r="F2" s="105" t="s">
        <v>259</v>
      </c>
      <c r="G2" s="142" t="s">
        <v>234</v>
      </c>
      <c r="H2" s="104" t="s">
        <v>59</v>
      </c>
      <c r="I2" s="71" t="s">
        <v>46</v>
      </c>
      <c r="J2" s="64" t="s">
        <v>46</v>
      </c>
      <c r="K2" s="74" t="s">
        <v>45</v>
      </c>
      <c r="L2" s="66" t="s">
        <v>63</v>
      </c>
      <c r="M2" s="6" t="s">
        <v>64</v>
      </c>
      <c r="N2" s="61" t="s">
        <v>76</v>
      </c>
      <c r="O2" s="74" t="s">
        <v>65</v>
      </c>
      <c r="P2" s="60" t="s">
        <v>80</v>
      </c>
      <c r="Q2" s="74" t="s">
        <v>66</v>
      </c>
      <c r="R2" s="60" t="s">
        <v>81</v>
      </c>
      <c r="S2" s="61" t="s">
        <v>77</v>
      </c>
      <c r="T2" s="61" t="s">
        <v>90</v>
      </c>
      <c r="U2" s="61" t="s">
        <v>90</v>
      </c>
      <c r="V2" s="61" t="s">
        <v>91</v>
      </c>
      <c r="W2" s="89" t="s">
        <v>118</v>
      </c>
    </row>
    <row r="3" spans="1:23" s="8" customFormat="1" ht="60" hidden="1" customHeight="1" x14ac:dyDescent="0.3">
      <c r="A3" s="21">
        <v>0</v>
      </c>
      <c r="B3" s="11" t="s">
        <v>170</v>
      </c>
      <c r="C3" s="11" t="s">
        <v>25</v>
      </c>
      <c r="D3" s="69" t="s">
        <v>23</v>
      </c>
      <c r="E3" s="110" t="s">
        <v>162</v>
      </c>
      <c r="F3" s="108"/>
      <c r="G3" s="143"/>
      <c r="H3" s="148">
        <v>365</v>
      </c>
      <c r="I3" s="72">
        <f>IF(H3&lt;=4, 20%, IF(H3&lt;=12, 40%, IF(H3&lt;=365, 60%, IF(H3&lt;=3660, 80%, 100%))))</f>
        <v>0.6</v>
      </c>
      <c r="J3" s="65" t="str">
        <f>IF(I3&lt;=20%,"Muy baja",IF(I3&lt;=40%,"Baja",IF(I3&lt;=60%,"Media",IF(I3&lt;=80%,"Alta","Muy alta"))))</f>
        <v>Media</v>
      </c>
      <c r="K3" s="149">
        <v>1000000</v>
      </c>
      <c r="L3" s="67">
        <v>1423500</v>
      </c>
      <c r="M3" s="26">
        <f t="shared" ref="M3:M35" si="0">K3/L3</f>
        <v>0.70249385317878466</v>
      </c>
      <c r="N3" s="75">
        <f>IF(M3&lt;0.13, 20%, IF(M3&lt;0.26, 40%, IF(M3&lt;0.4, 60%, IF(M3&lt;0.53, 80%, 100%))))</f>
        <v>1</v>
      </c>
      <c r="O3" s="77" t="s">
        <v>67</v>
      </c>
      <c r="P3" s="78">
        <f>IF(O3="Sólo de conocimiento de la emprendedora",10%,IF(O3="No se registra incumplimiento regulatorio",10%,IF(O3="De conocimiento de algunos familiares, amigos y proveedores",20%,IF(O3="Genera recomendación de organismo regulatorio",20%,IF(O3="Afecta la imagen con algunos clientes",30%,IF(O3="Requerimiento del organismo regulatorio",30%,IF(O3="Deterioro de la imagen a nivel regional",40%,IF(O3="Llamado de atención del organismo regulatorio",40%,IF(O3="Deterioro de la imagen a nivel nacional",50%,IF(O3="Sanción de organismo regulatorio",50%,"No válido"))))))))))</f>
        <v>0.1</v>
      </c>
      <c r="Q3" s="77" t="s">
        <v>68</v>
      </c>
      <c r="R3" s="76">
        <f>IF(Q3="Sólo de conocimiento de la emprendedora",10%,IF(Q3="No se registra incumplimiento regulatorio",10%,IF(Q3="De conocimiento de algunos familiares, amigos y proveedores",20%,IF(Q3="Genera recomendación de organismo regulatorio",20%,IF(Q3="Afecta imagen con algunos clientes",30%,IF(Q3="Requerimiento del organismo regulatorio",30%,IF(Q3="Deterioro de la imagen a nivel regional",40%,IF(Q3="Llamado de atención del organismo regulatorio",40%,IF(Q3="Deterioro de la imagen a nivel nacional",50%,IF(Q3="Sanción de organismo regulatorio",50%,"No válido"))))))))))</f>
        <v>0.1</v>
      </c>
      <c r="S3" s="30">
        <f>P3+R3</f>
        <v>0.2</v>
      </c>
      <c r="T3" s="62">
        <f>MAX(N3, S3)</f>
        <v>1</v>
      </c>
      <c r="U3" s="63" t="str">
        <f>IF(T3&lt;=20%,"Insignificante",IF(T3&lt;=40%,"Menor",IF(T3&lt;=60%,"Moderado",IF(T3&lt;=80%,"Importante","Mayor"))))</f>
        <v>Mayor</v>
      </c>
      <c r="V3" s="31" t="str">
        <f>CONCATENATE(J3, " ", U3)</f>
        <v>Media Mayor</v>
      </c>
      <c r="W3" s="88" t="str">
        <f>IF(V3="Muy baja Insignificante","Baja",
 IF(V3="Baja Insignificante","Baja",
 IF(V3="Media Insignificante","Media",
 IF(V3="Alta Insignificante","Media",
 IF(V3="Muy alta Insignificante","Alta",
 IF(V3="Muy baja Menor","Baja",
 IF(V3="Baja Menor","Media",
 IF(V3="Media Menor","Media",
 IF(V3="Alta Menor","Media",
 IF(V3="Muy alta Menor","Alta",
 IF(V3="Muy baja Moderado","Media",
 IF(V3="Baja Moderado","Media",
 IF(V3="Media Moderado","Media",
 IF(V3="Alta Moderado","Alta",
 IF(V3="Muy alta Moderado","Alta",
 IF(V3="Muy baja Importante","Alta",
 IF(V3="Baja Importante","Alta",
 IF(V3="Media Importante","Alta",
 IF(V3="Alta Importante","Alta",
 IF(V3="Muy alta Importante","Alta",
 IF(V3="Muy baja Mayor","Crítica",
 IF(V3="Baja Mayor","Crítica",
 IF(V3="Media Mayor","Crítica",
 IF(V3="Alta Mayor","Crítica",
 IF(V3="Muy alta Mayor","Crítica","")))))))))))))))))))))))))</f>
        <v>Crítica</v>
      </c>
    </row>
    <row r="4" spans="1:23" s="8" customFormat="1" ht="60" hidden="1" customHeight="1" x14ac:dyDescent="0.3">
      <c r="A4" s="21">
        <v>1</v>
      </c>
      <c r="B4" s="11" t="s">
        <v>175</v>
      </c>
      <c r="C4" s="11" t="s">
        <v>43</v>
      </c>
      <c r="D4" s="69" t="s">
        <v>26</v>
      </c>
      <c r="E4" s="110" t="s">
        <v>162</v>
      </c>
      <c r="F4" s="108"/>
      <c r="G4" s="143"/>
      <c r="H4" s="107">
        <v>365</v>
      </c>
      <c r="I4" s="72">
        <f t="shared" ref="I4:I35" si="1">IF(H4&lt;=4, 20%, IF(H4&lt;=12, 40%, IF(H4&lt;=365, 60%, IF(H4&lt;=3660, 80%, 100%))))</f>
        <v>0.6</v>
      </c>
      <c r="J4" s="65" t="str">
        <f t="shared" ref="J4:J35" si="2">IF(I4&lt;=20%,"Muy baja",IF(I4&lt;=40%,"Baja",IF(I4&lt;=60%,"Media",IF(I4&lt;=80%,"Alta","Muy alta"))))</f>
        <v>Media</v>
      </c>
      <c r="K4" s="73">
        <v>5000000</v>
      </c>
      <c r="L4" s="67">
        <v>1423500</v>
      </c>
      <c r="M4" s="26">
        <f t="shared" si="0"/>
        <v>3.5124692658939236</v>
      </c>
      <c r="N4" s="75">
        <f t="shared" ref="N4:N35" si="3">IF(M4&lt;0.13, 20%, IF(M4&lt;0.26, 40%, IF(M4&lt;0.4, 60%, IF(M4&lt;0.53, 80%, 100%))))</f>
        <v>1</v>
      </c>
      <c r="O4" s="77" t="s">
        <v>67</v>
      </c>
      <c r="P4" s="78">
        <f t="shared" ref="P4:P35" si="4">IF(O4="Sólo de conocimiento de la emprendedora",10%,IF(O4="No se registra incumplimiento regulatorio",10%,IF(O4="De conocimiento de algunos familiares, amigos y proveedores",20%,IF(O4="Genera recomendación de organismo regulatorio",20%,IF(O4="Afecta la imagen con algunos clientes",30%,IF(O4="Requerimiento del organismo regulatorio",30%,IF(O4="Deterioro de la imagen a nivel regional",40%,IF(O4="Llamado de atención del organismo regulatorio",40%,IF(O4="Deterioro de la imagen a nivel nacional",50%,IF(O4="Sanción de organismo regulatorio",50%,"No válido"))))))))))</f>
        <v>0.1</v>
      </c>
      <c r="Q4" s="77" t="s">
        <v>68</v>
      </c>
      <c r="R4" s="76">
        <f t="shared" ref="R4:R35" si="5">IF(Q4="Sólo de conocimiento de la emprendedora",10%,IF(Q4="No se registra incumplimiento regulatorio",10%,IF(Q4="De conocimiento de algunos familiares, amigos y proveedores",20%,IF(Q4="Genera recomendación de organismo regulatorio",20%,IF(Q4="Afecta imagen con algunos clientes",30%,IF(Q4="Requerimiento del organismo regulatorio",30%,IF(Q4="Deterioro de la imagen a nivel regional",40%,IF(Q4="Llamado de atención del organismo regulatorio",40%,IF(Q4="Deterioro de la imagen a nivel nacional",50%,IF(Q4="Sanción de organismo regulatorio",50%,"No válido"))))))))))</f>
        <v>0.1</v>
      </c>
      <c r="S4" s="30">
        <f t="shared" ref="S4:S35" si="6">P4+R4</f>
        <v>0.2</v>
      </c>
      <c r="T4" s="62">
        <f t="shared" ref="T4:T35" si="7">MAX(N4, S4)</f>
        <v>1</v>
      </c>
      <c r="U4" s="63" t="str">
        <f t="shared" ref="U4:U35" si="8">IF(T4&lt;=20%,"Insignificante",IF(T4&lt;=40%,"Menor",IF(T4&lt;=60%,"Moderado",IF(T4&lt;=80%,"Importante","Mayor"))))</f>
        <v>Mayor</v>
      </c>
      <c r="V4" s="31" t="str">
        <f t="shared" ref="V4:V35" si="9">CONCATENATE(J4, " ", U4)</f>
        <v>Media Mayor</v>
      </c>
      <c r="W4" s="88" t="str">
        <f t="shared" ref="W4:W35" si="10">IF(V4="Muy baja Insignificante","Baja",
 IF(V4="Baja Insignificante","Baja",
 IF(V4="Media Insignificante","Media",
 IF(V4="Alta Insignificante","Media",
 IF(V4="Muy alta Insignificante","Alta",
 IF(V4="Muy baja Menor","Baja",
 IF(V4="Baja Menor","Media",
 IF(V4="Media Menor","Media",
 IF(V4="Alta Menor","Media",
 IF(V4="Muy alta Menor","Alta",
 IF(V4="Muy baja Moderado","Media",
 IF(V4="Baja Moderado","Media",
 IF(V4="Media Moderado","Media",
 IF(V4="Alta Moderado","Alta",
 IF(V4="Muy alta Moderado","Alta",
 IF(V4="Muy baja Importante","Alta",
 IF(V4="Baja Importante","Alta",
 IF(V4="Media Importante","Alta",
 IF(V4="Alta Importante","Alta",
 IF(V4="Muy alta Importante","Alta",
 IF(V4="Muy baja Mayor","Crítica",
 IF(V4="Baja Mayor","Crítica",
 IF(V4="Media Mayor","Crítica",
 IF(V4="Alta Mayor","Crítica",
 IF(V4="Muy alta Mayor","Crítica","")))))))))))))))))))))))))</f>
        <v>Crítica</v>
      </c>
    </row>
    <row r="5" spans="1:23" s="8" customFormat="1" ht="60" hidden="1" customHeight="1" x14ac:dyDescent="0.3">
      <c r="A5" s="21">
        <v>2</v>
      </c>
      <c r="B5" s="11" t="s">
        <v>2</v>
      </c>
      <c r="C5" s="11" t="s">
        <v>43</v>
      </c>
      <c r="D5" s="69" t="s">
        <v>27</v>
      </c>
      <c r="E5" s="110" t="s">
        <v>162</v>
      </c>
      <c r="F5" s="108"/>
      <c r="G5" s="143"/>
      <c r="H5" s="107">
        <v>32</v>
      </c>
      <c r="I5" s="72">
        <f t="shared" si="1"/>
        <v>0.6</v>
      </c>
      <c r="J5" s="65" t="str">
        <f t="shared" si="2"/>
        <v>Media</v>
      </c>
      <c r="K5" s="149">
        <v>1000000</v>
      </c>
      <c r="L5" s="67">
        <v>1423500</v>
      </c>
      <c r="M5" s="26">
        <f t="shared" si="0"/>
        <v>0.70249385317878466</v>
      </c>
      <c r="N5" s="75">
        <f t="shared" si="3"/>
        <v>1</v>
      </c>
      <c r="O5" s="77" t="s">
        <v>67</v>
      </c>
      <c r="P5" s="78">
        <f t="shared" si="4"/>
        <v>0.1</v>
      </c>
      <c r="Q5" s="77" t="s">
        <v>68</v>
      </c>
      <c r="R5" s="76">
        <f t="shared" si="5"/>
        <v>0.1</v>
      </c>
      <c r="S5" s="30">
        <f t="shared" si="6"/>
        <v>0.2</v>
      </c>
      <c r="T5" s="62">
        <f t="shared" si="7"/>
        <v>1</v>
      </c>
      <c r="U5" s="63" t="str">
        <f t="shared" si="8"/>
        <v>Mayor</v>
      </c>
      <c r="V5" s="31" t="str">
        <f t="shared" si="9"/>
        <v>Media Mayor</v>
      </c>
      <c r="W5" s="88" t="str">
        <f t="shared" si="10"/>
        <v>Crítica</v>
      </c>
    </row>
    <row r="6" spans="1:23" s="8" customFormat="1" ht="60" hidden="1" customHeight="1" x14ac:dyDescent="0.3">
      <c r="A6" s="21">
        <v>3</v>
      </c>
      <c r="B6" s="11" t="s">
        <v>3</v>
      </c>
      <c r="C6" s="11" t="s">
        <v>43</v>
      </c>
      <c r="D6" s="69" t="s">
        <v>28</v>
      </c>
      <c r="E6" s="110" t="s">
        <v>162</v>
      </c>
      <c r="F6" s="108"/>
      <c r="G6" s="143"/>
      <c r="H6" s="107">
        <v>24</v>
      </c>
      <c r="I6" s="72">
        <f t="shared" si="1"/>
        <v>0.6</v>
      </c>
      <c r="J6" s="65" t="str">
        <f t="shared" si="2"/>
        <v>Media</v>
      </c>
      <c r="K6" s="73">
        <v>1500000</v>
      </c>
      <c r="L6" s="67">
        <v>1423500</v>
      </c>
      <c r="M6" s="26">
        <f t="shared" si="0"/>
        <v>1.053740779768177</v>
      </c>
      <c r="N6" s="75">
        <f t="shared" si="3"/>
        <v>1</v>
      </c>
      <c r="O6" s="77" t="s">
        <v>69</v>
      </c>
      <c r="P6" s="78">
        <f t="shared" si="4"/>
        <v>0.2</v>
      </c>
      <c r="Q6" s="77" t="s">
        <v>68</v>
      </c>
      <c r="R6" s="76">
        <f t="shared" si="5"/>
        <v>0.1</v>
      </c>
      <c r="S6" s="30">
        <f t="shared" si="6"/>
        <v>0.30000000000000004</v>
      </c>
      <c r="T6" s="62">
        <f t="shared" si="7"/>
        <v>1</v>
      </c>
      <c r="U6" s="63" t="str">
        <f t="shared" si="8"/>
        <v>Mayor</v>
      </c>
      <c r="V6" s="31" t="str">
        <f t="shared" si="9"/>
        <v>Media Mayor</v>
      </c>
      <c r="W6" s="88" t="str">
        <f t="shared" si="10"/>
        <v>Crítica</v>
      </c>
    </row>
    <row r="7" spans="1:23" s="8" customFormat="1" ht="60" hidden="1" customHeight="1" x14ac:dyDescent="0.3">
      <c r="A7" s="21">
        <v>4</v>
      </c>
      <c r="B7" s="11" t="s">
        <v>4</v>
      </c>
      <c r="C7" s="11" t="s">
        <v>43</v>
      </c>
      <c r="D7" s="69" t="s">
        <v>29</v>
      </c>
      <c r="E7" s="110" t="s">
        <v>160</v>
      </c>
      <c r="F7" s="108" t="s">
        <v>238</v>
      </c>
      <c r="G7" s="143"/>
      <c r="H7" s="148">
        <v>24</v>
      </c>
      <c r="I7" s="72">
        <f t="shared" si="1"/>
        <v>0.6</v>
      </c>
      <c r="J7" s="65" t="str">
        <f t="shared" si="2"/>
        <v>Media</v>
      </c>
      <c r="K7" s="149">
        <v>1000000</v>
      </c>
      <c r="L7" s="67">
        <v>1423500</v>
      </c>
      <c r="M7" s="26">
        <f t="shared" si="0"/>
        <v>0.70249385317878466</v>
      </c>
      <c r="N7" s="75">
        <f t="shared" si="3"/>
        <v>1</v>
      </c>
      <c r="O7" s="77" t="s">
        <v>82</v>
      </c>
      <c r="P7" s="78">
        <f t="shared" si="4"/>
        <v>0.3</v>
      </c>
      <c r="Q7" s="77" t="s">
        <v>68</v>
      </c>
      <c r="R7" s="76">
        <f t="shared" si="5"/>
        <v>0.1</v>
      </c>
      <c r="S7" s="30">
        <f t="shared" si="6"/>
        <v>0.4</v>
      </c>
      <c r="T7" s="62">
        <f t="shared" si="7"/>
        <v>1</v>
      </c>
      <c r="U7" s="63" t="str">
        <f t="shared" si="8"/>
        <v>Mayor</v>
      </c>
      <c r="V7" s="31" t="str">
        <f t="shared" si="9"/>
        <v>Media Mayor</v>
      </c>
      <c r="W7" s="88" t="str">
        <f t="shared" si="10"/>
        <v>Crítica</v>
      </c>
    </row>
    <row r="8" spans="1:23" s="8" customFormat="1" ht="60" hidden="1" customHeight="1" x14ac:dyDescent="0.3">
      <c r="A8" s="21">
        <v>5</v>
      </c>
      <c r="B8" s="11" t="s">
        <v>5</v>
      </c>
      <c r="C8" s="11" t="s">
        <v>44</v>
      </c>
      <c r="D8" s="69" t="s">
        <v>30</v>
      </c>
      <c r="E8" s="110" t="s">
        <v>162</v>
      </c>
      <c r="F8" s="108"/>
      <c r="G8" s="143"/>
      <c r="H8" s="107">
        <v>12</v>
      </c>
      <c r="I8" s="72">
        <f t="shared" si="1"/>
        <v>0.4</v>
      </c>
      <c r="J8" s="65" t="str">
        <f t="shared" si="2"/>
        <v>Baja</v>
      </c>
      <c r="K8" s="73">
        <v>1500000</v>
      </c>
      <c r="L8" s="67">
        <v>1423500</v>
      </c>
      <c r="M8" s="26">
        <f t="shared" si="0"/>
        <v>1.053740779768177</v>
      </c>
      <c r="N8" s="75">
        <f t="shared" si="3"/>
        <v>1</v>
      </c>
      <c r="O8" s="77" t="s">
        <v>67</v>
      </c>
      <c r="P8" s="78">
        <f t="shared" si="4"/>
        <v>0.1</v>
      </c>
      <c r="Q8" s="77" t="s">
        <v>68</v>
      </c>
      <c r="R8" s="76">
        <f t="shared" si="5"/>
        <v>0.1</v>
      </c>
      <c r="S8" s="30">
        <f t="shared" si="6"/>
        <v>0.2</v>
      </c>
      <c r="T8" s="62">
        <f t="shared" si="7"/>
        <v>1</v>
      </c>
      <c r="U8" s="63" t="str">
        <f t="shared" si="8"/>
        <v>Mayor</v>
      </c>
      <c r="V8" s="31" t="str">
        <f t="shared" si="9"/>
        <v>Baja Mayor</v>
      </c>
      <c r="W8" s="88" t="str">
        <f t="shared" si="10"/>
        <v>Crítica</v>
      </c>
    </row>
    <row r="9" spans="1:23" s="8" customFormat="1" ht="60" hidden="1" customHeight="1" x14ac:dyDescent="0.3">
      <c r="A9" s="21">
        <v>6</v>
      </c>
      <c r="B9" s="11" t="s">
        <v>6</v>
      </c>
      <c r="C9" s="11" t="s">
        <v>43</v>
      </c>
      <c r="D9" s="69" t="s">
        <v>31</v>
      </c>
      <c r="E9" s="110" t="s">
        <v>162</v>
      </c>
      <c r="F9" s="108"/>
      <c r="G9" s="143"/>
      <c r="H9" s="107">
        <v>100</v>
      </c>
      <c r="I9" s="72">
        <f t="shared" si="1"/>
        <v>0.6</v>
      </c>
      <c r="J9" s="65" t="str">
        <f t="shared" si="2"/>
        <v>Media</v>
      </c>
      <c r="K9" s="73">
        <v>5000000</v>
      </c>
      <c r="L9" s="67">
        <v>1423500</v>
      </c>
      <c r="M9" s="26">
        <f t="shared" si="0"/>
        <v>3.5124692658939236</v>
      </c>
      <c r="N9" s="75">
        <f t="shared" si="3"/>
        <v>1</v>
      </c>
      <c r="O9" s="77" t="s">
        <v>69</v>
      </c>
      <c r="P9" s="78">
        <f t="shared" si="4"/>
        <v>0.2</v>
      </c>
      <c r="Q9" s="77" t="s">
        <v>68</v>
      </c>
      <c r="R9" s="76">
        <f t="shared" si="5"/>
        <v>0.1</v>
      </c>
      <c r="S9" s="30">
        <f t="shared" si="6"/>
        <v>0.30000000000000004</v>
      </c>
      <c r="T9" s="62">
        <f t="shared" si="7"/>
        <v>1</v>
      </c>
      <c r="U9" s="63" t="str">
        <f t="shared" si="8"/>
        <v>Mayor</v>
      </c>
      <c r="V9" s="31" t="str">
        <f t="shared" si="9"/>
        <v>Media Mayor</v>
      </c>
      <c r="W9" s="88" t="str">
        <f t="shared" si="10"/>
        <v>Crítica</v>
      </c>
    </row>
    <row r="10" spans="1:23" s="8" customFormat="1" ht="60" hidden="1" customHeight="1" x14ac:dyDescent="0.3">
      <c r="A10" s="21">
        <v>7</v>
      </c>
      <c r="B10" s="11" t="s">
        <v>176</v>
      </c>
      <c r="C10" s="11" t="s">
        <v>25</v>
      </c>
      <c r="D10" s="69" t="s">
        <v>32</v>
      </c>
      <c r="E10" s="110" t="s">
        <v>160</v>
      </c>
      <c r="F10" s="108" t="s">
        <v>239</v>
      </c>
      <c r="G10" s="143"/>
      <c r="H10" s="148">
        <v>24</v>
      </c>
      <c r="I10" s="72">
        <f t="shared" si="1"/>
        <v>0.6</v>
      </c>
      <c r="J10" s="65" t="str">
        <f t="shared" si="2"/>
        <v>Media</v>
      </c>
      <c r="K10" s="73">
        <v>5000000</v>
      </c>
      <c r="L10" s="67">
        <v>1423500</v>
      </c>
      <c r="M10" s="26">
        <f t="shared" si="0"/>
        <v>3.5124692658939236</v>
      </c>
      <c r="N10" s="75">
        <f t="shared" si="3"/>
        <v>1</v>
      </c>
      <c r="O10" s="77" t="s">
        <v>69</v>
      </c>
      <c r="P10" s="78">
        <f t="shared" si="4"/>
        <v>0.2</v>
      </c>
      <c r="Q10" s="77" t="s">
        <v>68</v>
      </c>
      <c r="R10" s="76">
        <f t="shared" si="5"/>
        <v>0.1</v>
      </c>
      <c r="S10" s="30">
        <f t="shared" si="6"/>
        <v>0.30000000000000004</v>
      </c>
      <c r="T10" s="62">
        <f t="shared" si="7"/>
        <v>1</v>
      </c>
      <c r="U10" s="63" t="str">
        <f t="shared" si="8"/>
        <v>Mayor</v>
      </c>
      <c r="V10" s="31" t="str">
        <f t="shared" si="9"/>
        <v>Media Mayor</v>
      </c>
      <c r="W10" s="88" t="str">
        <f t="shared" si="10"/>
        <v>Crítica</v>
      </c>
    </row>
    <row r="11" spans="1:23" s="8" customFormat="1" ht="60" hidden="1" customHeight="1" x14ac:dyDescent="0.3">
      <c r="A11" s="21">
        <v>8</v>
      </c>
      <c r="B11" s="11" t="s">
        <v>177</v>
      </c>
      <c r="C11" s="11" t="s">
        <v>43</v>
      </c>
      <c r="D11" s="69" t="s">
        <v>33</v>
      </c>
      <c r="E11" s="110" t="s">
        <v>162</v>
      </c>
      <c r="F11" s="108"/>
      <c r="G11" s="143"/>
      <c r="H11" s="107">
        <v>6</v>
      </c>
      <c r="I11" s="72">
        <f t="shared" si="1"/>
        <v>0.4</v>
      </c>
      <c r="J11" s="65" t="str">
        <f t="shared" si="2"/>
        <v>Baja</v>
      </c>
      <c r="K11" s="73">
        <v>1500000</v>
      </c>
      <c r="L11" s="67">
        <v>1423500</v>
      </c>
      <c r="M11" s="26">
        <f t="shared" si="0"/>
        <v>1.053740779768177</v>
      </c>
      <c r="N11" s="75">
        <f t="shared" si="3"/>
        <v>1</v>
      </c>
      <c r="O11" s="77" t="s">
        <v>69</v>
      </c>
      <c r="P11" s="78">
        <f t="shared" si="4"/>
        <v>0.2</v>
      </c>
      <c r="Q11" s="77" t="s">
        <v>68</v>
      </c>
      <c r="R11" s="76">
        <f t="shared" si="5"/>
        <v>0.1</v>
      </c>
      <c r="S11" s="30">
        <f t="shared" si="6"/>
        <v>0.30000000000000004</v>
      </c>
      <c r="T11" s="62">
        <f t="shared" si="7"/>
        <v>1</v>
      </c>
      <c r="U11" s="63" t="str">
        <f t="shared" si="8"/>
        <v>Mayor</v>
      </c>
      <c r="V11" s="31" t="str">
        <f t="shared" si="9"/>
        <v>Baja Mayor</v>
      </c>
      <c r="W11" s="88" t="str">
        <f t="shared" si="10"/>
        <v>Crítica</v>
      </c>
    </row>
    <row r="12" spans="1:23" s="8" customFormat="1" ht="60" hidden="1" customHeight="1" x14ac:dyDescent="0.3">
      <c r="A12" s="21">
        <v>9</v>
      </c>
      <c r="B12" s="11" t="s">
        <v>7</v>
      </c>
      <c r="C12" s="11" t="s">
        <v>43</v>
      </c>
      <c r="D12" s="69" t="s">
        <v>213</v>
      </c>
      <c r="E12" s="110" t="s">
        <v>160</v>
      </c>
      <c r="F12" s="108" t="s">
        <v>240</v>
      </c>
      <c r="G12" s="143"/>
      <c r="H12" s="148">
        <v>12</v>
      </c>
      <c r="I12" s="72">
        <f t="shared" si="1"/>
        <v>0.4</v>
      </c>
      <c r="J12" s="65" t="str">
        <f t="shared" si="2"/>
        <v>Baja</v>
      </c>
      <c r="K12" s="73">
        <v>5000000</v>
      </c>
      <c r="L12" s="67">
        <v>1423500</v>
      </c>
      <c r="M12" s="26">
        <f t="shared" si="0"/>
        <v>3.5124692658939236</v>
      </c>
      <c r="N12" s="75">
        <f t="shared" si="3"/>
        <v>1</v>
      </c>
      <c r="O12" s="77" t="s">
        <v>67</v>
      </c>
      <c r="P12" s="78">
        <f t="shared" si="4"/>
        <v>0.1</v>
      </c>
      <c r="Q12" s="77" t="s">
        <v>68</v>
      </c>
      <c r="R12" s="76">
        <f t="shared" si="5"/>
        <v>0.1</v>
      </c>
      <c r="S12" s="30">
        <f t="shared" si="6"/>
        <v>0.2</v>
      </c>
      <c r="T12" s="62">
        <f t="shared" si="7"/>
        <v>1</v>
      </c>
      <c r="U12" s="63" t="str">
        <f t="shared" si="8"/>
        <v>Mayor</v>
      </c>
      <c r="V12" s="31" t="str">
        <f t="shared" si="9"/>
        <v>Baja Mayor</v>
      </c>
      <c r="W12" s="88" t="str">
        <f t="shared" si="10"/>
        <v>Crítica</v>
      </c>
    </row>
    <row r="13" spans="1:23" s="8" customFormat="1" ht="60" hidden="1" customHeight="1" x14ac:dyDescent="0.3">
      <c r="A13" s="111">
        <v>10</v>
      </c>
      <c r="B13" s="11" t="s">
        <v>178</v>
      </c>
      <c r="C13" s="11" t="s">
        <v>43</v>
      </c>
      <c r="D13" s="69" t="s">
        <v>179</v>
      </c>
      <c r="E13" s="110" t="s">
        <v>160</v>
      </c>
      <c r="F13" s="108" t="s">
        <v>241</v>
      </c>
      <c r="G13" s="143"/>
      <c r="H13" s="148">
        <v>12</v>
      </c>
      <c r="I13" s="72">
        <f t="shared" si="1"/>
        <v>0.4</v>
      </c>
      <c r="J13" s="65" t="str">
        <f t="shared" si="2"/>
        <v>Baja</v>
      </c>
      <c r="K13" s="149">
        <v>1500000</v>
      </c>
      <c r="L13" s="67">
        <v>1423500</v>
      </c>
      <c r="M13" s="26">
        <f t="shared" si="0"/>
        <v>1.053740779768177</v>
      </c>
      <c r="N13" s="75">
        <f t="shared" si="3"/>
        <v>1</v>
      </c>
      <c r="O13" s="77" t="s">
        <v>67</v>
      </c>
      <c r="P13" s="78">
        <f t="shared" si="4"/>
        <v>0.1</v>
      </c>
      <c r="Q13" s="77" t="s">
        <v>68</v>
      </c>
      <c r="R13" s="76">
        <f t="shared" si="5"/>
        <v>0.1</v>
      </c>
      <c r="S13" s="30">
        <f t="shared" si="6"/>
        <v>0.2</v>
      </c>
      <c r="T13" s="62">
        <f t="shared" si="7"/>
        <v>1</v>
      </c>
      <c r="U13" s="63" t="str">
        <f t="shared" si="8"/>
        <v>Mayor</v>
      </c>
      <c r="V13" s="31" t="str">
        <f t="shared" si="9"/>
        <v>Baja Mayor</v>
      </c>
      <c r="W13" s="88" t="str">
        <f t="shared" si="10"/>
        <v>Crítica</v>
      </c>
    </row>
    <row r="14" spans="1:23" s="8" customFormat="1" ht="60" hidden="1" customHeight="1" x14ac:dyDescent="0.3">
      <c r="A14" s="21">
        <v>11</v>
      </c>
      <c r="B14" s="11" t="s">
        <v>8</v>
      </c>
      <c r="C14" s="11" t="s">
        <v>43</v>
      </c>
      <c r="D14" s="69" t="s">
        <v>34</v>
      </c>
      <c r="E14" s="110" t="s">
        <v>162</v>
      </c>
      <c r="F14" s="108"/>
      <c r="G14" s="143"/>
      <c r="H14" s="107">
        <v>24</v>
      </c>
      <c r="I14" s="72">
        <f t="shared" si="1"/>
        <v>0.6</v>
      </c>
      <c r="J14" s="65" t="str">
        <f t="shared" si="2"/>
        <v>Media</v>
      </c>
      <c r="K14" s="73">
        <v>5000000</v>
      </c>
      <c r="L14" s="67">
        <v>1423500</v>
      </c>
      <c r="M14" s="26">
        <f t="shared" si="0"/>
        <v>3.5124692658939236</v>
      </c>
      <c r="N14" s="75">
        <f t="shared" si="3"/>
        <v>1</v>
      </c>
      <c r="O14" s="77" t="s">
        <v>67</v>
      </c>
      <c r="P14" s="78">
        <f t="shared" si="4"/>
        <v>0.1</v>
      </c>
      <c r="Q14" s="77" t="s">
        <v>68</v>
      </c>
      <c r="R14" s="76">
        <f t="shared" si="5"/>
        <v>0.1</v>
      </c>
      <c r="S14" s="30">
        <f t="shared" si="6"/>
        <v>0.2</v>
      </c>
      <c r="T14" s="62">
        <f t="shared" si="7"/>
        <v>1</v>
      </c>
      <c r="U14" s="63" t="str">
        <f t="shared" si="8"/>
        <v>Mayor</v>
      </c>
      <c r="V14" s="31" t="str">
        <f t="shared" si="9"/>
        <v>Media Mayor</v>
      </c>
      <c r="W14" s="88" t="str">
        <f t="shared" si="10"/>
        <v>Crítica</v>
      </c>
    </row>
    <row r="15" spans="1:23" s="8" customFormat="1" ht="60" hidden="1" customHeight="1" x14ac:dyDescent="0.3">
      <c r="A15" s="21">
        <v>12</v>
      </c>
      <c r="B15" s="11" t="s">
        <v>9</v>
      </c>
      <c r="C15" s="11" t="s">
        <v>25</v>
      </c>
      <c r="D15" s="69" t="s">
        <v>35</v>
      </c>
      <c r="E15" s="110" t="s">
        <v>162</v>
      </c>
      <c r="F15" s="108"/>
      <c r="G15" s="143"/>
      <c r="H15" s="107">
        <v>12</v>
      </c>
      <c r="I15" s="72">
        <f t="shared" si="1"/>
        <v>0.4</v>
      </c>
      <c r="J15" s="65" t="str">
        <f t="shared" si="2"/>
        <v>Baja</v>
      </c>
      <c r="K15" s="149">
        <v>1500000</v>
      </c>
      <c r="L15" s="67">
        <v>1423500</v>
      </c>
      <c r="M15" s="26">
        <f t="shared" si="0"/>
        <v>1.053740779768177</v>
      </c>
      <c r="N15" s="75">
        <f t="shared" si="3"/>
        <v>1</v>
      </c>
      <c r="O15" s="77" t="s">
        <v>67</v>
      </c>
      <c r="P15" s="78">
        <f t="shared" si="4"/>
        <v>0.1</v>
      </c>
      <c r="Q15" s="77" t="s">
        <v>68</v>
      </c>
      <c r="R15" s="76">
        <f t="shared" si="5"/>
        <v>0.1</v>
      </c>
      <c r="S15" s="30">
        <f t="shared" si="6"/>
        <v>0.2</v>
      </c>
      <c r="T15" s="62">
        <f t="shared" si="7"/>
        <v>1</v>
      </c>
      <c r="U15" s="63" t="str">
        <f t="shared" si="8"/>
        <v>Mayor</v>
      </c>
      <c r="V15" s="31" t="str">
        <f t="shared" si="9"/>
        <v>Baja Mayor</v>
      </c>
      <c r="W15" s="88" t="str">
        <f t="shared" si="10"/>
        <v>Crítica</v>
      </c>
    </row>
    <row r="16" spans="1:23" s="8" customFormat="1" ht="60" hidden="1" customHeight="1" x14ac:dyDescent="0.3">
      <c r="A16" s="21">
        <v>13</v>
      </c>
      <c r="B16" s="11" t="s">
        <v>180</v>
      </c>
      <c r="C16" s="11" t="s">
        <v>25</v>
      </c>
      <c r="D16" s="69" t="s">
        <v>181</v>
      </c>
      <c r="E16" s="110" t="s">
        <v>160</v>
      </c>
      <c r="F16" s="109" t="s">
        <v>242</v>
      </c>
      <c r="G16" s="143"/>
      <c r="H16" s="107">
        <v>12</v>
      </c>
      <c r="I16" s="72">
        <f t="shared" si="1"/>
        <v>0.4</v>
      </c>
      <c r="J16" s="65" t="str">
        <f t="shared" si="2"/>
        <v>Baja</v>
      </c>
      <c r="K16" s="149">
        <v>1500000</v>
      </c>
      <c r="L16" s="67">
        <v>1423500</v>
      </c>
      <c r="M16" s="26">
        <f t="shared" si="0"/>
        <v>1.053740779768177</v>
      </c>
      <c r="N16" s="75">
        <f t="shared" si="3"/>
        <v>1</v>
      </c>
      <c r="O16" s="77" t="s">
        <v>67</v>
      </c>
      <c r="P16" s="78">
        <f t="shared" si="4"/>
        <v>0.1</v>
      </c>
      <c r="Q16" s="77" t="s">
        <v>68</v>
      </c>
      <c r="R16" s="76">
        <f t="shared" si="5"/>
        <v>0.1</v>
      </c>
      <c r="S16" s="30">
        <f t="shared" si="6"/>
        <v>0.2</v>
      </c>
      <c r="T16" s="62">
        <f t="shared" si="7"/>
        <v>1</v>
      </c>
      <c r="U16" s="63" t="str">
        <f t="shared" si="8"/>
        <v>Mayor</v>
      </c>
      <c r="V16" s="31" t="str">
        <f t="shared" si="9"/>
        <v>Baja Mayor</v>
      </c>
      <c r="W16" s="88" t="str">
        <f t="shared" si="10"/>
        <v>Crítica</v>
      </c>
    </row>
    <row r="17" spans="1:23" s="8" customFormat="1" ht="60" hidden="1" customHeight="1" x14ac:dyDescent="0.3">
      <c r="A17" s="21">
        <v>14</v>
      </c>
      <c r="B17" s="11" t="s">
        <v>11</v>
      </c>
      <c r="C17" s="156" t="s">
        <v>43</v>
      </c>
      <c r="D17" s="158" t="s">
        <v>182</v>
      </c>
      <c r="E17" s="110" t="s">
        <v>160</v>
      </c>
      <c r="F17" s="108" t="s">
        <v>243</v>
      </c>
      <c r="G17" s="143"/>
      <c r="H17" s="107">
        <v>24</v>
      </c>
      <c r="I17" s="72">
        <f t="shared" si="1"/>
        <v>0.6</v>
      </c>
      <c r="J17" s="65" t="str">
        <f t="shared" si="2"/>
        <v>Media</v>
      </c>
      <c r="K17" s="73">
        <v>5000000</v>
      </c>
      <c r="L17" s="67">
        <v>1423500</v>
      </c>
      <c r="M17" s="26">
        <f t="shared" si="0"/>
        <v>3.5124692658939236</v>
      </c>
      <c r="N17" s="75">
        <f t="shared" si="3"/>
        <v>1</v>
      </c>
      <c r="O17" s="77" t="s">
        <v>67</v>
      </c>
      <c r="P17" s="78">
        <f t="shared" si="4"/>
        <v>0.1</v>
      </c>
      <c r="Q17" s="77" t="s">
        <v>68</v>
      </c>
      <c r="R17" s="76">
        <f t="shared" si="5"/>
        <v>0.1</v>
      </c>
      <c r="S17" s="30">
        <f t="shared" si="6"/>
        <v>0.2</v>
      </c>
      <c r="T17" s="62">
        <f t="shared" si="7"/>
        <v>1</v>
      </c>
      <c r="U17" s="63" t="str">
        <f t="shared" si="8"/>
        <v>Mayor</v>
      </c>
      <c r="V17" s="31" t="str">
        <f t="shared" si="9"/>
        <v>Media Mayor</v>
      </c>
      <c r="W17" s="88" t="str">
        <f t="shared" si="10"/>
        <v>Crítica</v>
      </c>
    </row>
    <row r="18" spans="1:23" s="8" customFormat="1" ht="60" hidden="1" customHeight="1" x14ac:dyDescent="0.3">
      <c r="A18" s="21">
        <v>15</v>
      </c>
      <c r="B18" s="11" t="s">
        <v>10</v>
      </c>
      <c r="C18" s="157"/>
      <c r="D18" s="159"/>
      <c r="E18" s="110" t="s">
        <v>161</v>
      </c>
      <c r="F18" s="150"/>
      <c r="G18" s="143" t="str">
        <f>ACTV!V18</f>
        <v>Crítica</v>
      </c>
      <c r="H18" s="145">
        <v>12</v>
      </c>
      <c r="I18" s="72">
        <f t="shared" si="1"/>
        <v>0.4</v>
      </c>
      <c r="J18" s="65" t="str">
        <f t="shared" si="2"/>
        <v>Baja</v>
      </c>
      <c r="K18" s="146">
        <v>1500000</v>
      </c>
      <c r="L18" s="67">
        <v>1423500</v>
      </c>
      <c r="M18" s="26">
        <f t="shared" si="0"/>
        <v>1.053740779768177</v>
      </c>
      <c r="N18" s="75">
        <f t="shared" si="3"/>
        <v>1</v>
      </c>
      <c r="O18" s="77" t="s">
        <v>67</v>
      </c>
      <c r="P18" s="78">
        <f t="shared" si="4"/>
        <v>0.1</v>
      </c>
      <c r="Q18" s="77" t="s">
        <v>68</v>
      </c>
      <c r="R18" s="76">
        <f t="shared" si="5"/>
        <v>0.1</v>
      </c>
      <c r="S18" s="30">
        <f t="shared" si="6"/>
        <v>0.2</v>
      </c>
      <c r="T18" s="62">
        <f t="shared" si="7"/>
        <v>1</v>
      </c>
      <c r="U18" s="63" t="str">
        <f t="shared" si="8"/>
        <v>Mayor</v>
      </c>
      <c r="V18" s="31" t="str">
        <f t="shared" si="9"/>
        <v>Baja Mayor</v>
      </c>
      <c r="W18" s="88" t="str">
        <f t="shared" si="10"/>
        <v>Crítica</v>
      </c>
    </row>
    <row r="19" spans="1:23" s="8" customFormat="1" ht="60" hidden="1" customHeight="1" x14ac:dyDescent="0.3">
      <c r="A19" s="21">
        <v>16</v>
      </c>
      <c r="B19" s="11" t="s">
        <v>184</v>
      </c>
      <c r="C19" s="112" t="s">
        <v>43</v>
      </c>
      <c r="D19" s="113" t="s">
        <v>183</v>
      </c>
      <c r="E19" s="110" t="s">
        <v>162</v>
      </c>
      <c r="F19" s="109"/>
      <c r="G19" s="143"/>
      <c r="H19" s="107">
        <v>24</v>
      </c>
      <c r="I19" s="72">
        <f t="shared" si="1"/>
        <v>0.6</v>
      </c>
      <c r="J19" s="65" t="str">
        <f t="shared" si="2"/>
        <v>Media</v>
      </c>
      <c r="K19" s="73">
        <v>3000000</v>
      </c>
      <c r="L19" s="67">
        <v>1423500</v>
      </c>
      <c r="M19" s="26">
        <f t="shared" si="0"/>
        <v>2.1074815595363541</v>
      </c>
      <c r="N19" s="75">
        <f t="shared" si="3"/>
        <v>1</v>
      </c>
      <c r="O19" s="77" t="s">
        <v>67</v>
      </c>
      <c r="P19" s="78">
        <f t="shared" si="4"/>
        <v>0.1</v>
      </c>
      <c r="Q19" s="77" t="s">
        <v>68</v>
      </c>
      <c r="R19" s="76">
        <f t="shared" si="5"/>
        <v>0.1</v>
      </c>
      <c r="S19" s="30">
        <f t="shared" si="6"/>
        <v>0.2</v>
      </c>
      <c r="T19" s="62">
        <f t="shared" si="7"/>
        <v>1</v>
      </c>
      <c r="U19" s="63" t="str">
        <f t="shared" si="8"/>
        <v>Mayor</v>
      </c>
      <c r="V19" s="31" t="str">
        <f t="shared" si="9"/>
        <v>Media Mayor</v>
      </c>
      <c r="W19" s="88" t="str">
        <f t="shared" si="10"/>
        <v>Crítica</v>
      </c>
    </row>
    <row r="20" spans="1:23" s="8" customFormat="1" ht="60" hidden="1" customHeight="1" x14ac:dyDescent="0.3">
      <c r="A20" s="21">
        <v>17</v>
      </c>
      <c r="B20" s="11" t="s">
        <v>186</v>
      </c>
      <c r="C20" s="11" t="s">
        <v>25</v>
      </c>
      <c r="D20" s="69" t="s">
        <v>36</v>
      </c>
      <c r="E20" s="110" t="s">
        <v>161</v>
      </c>
      <c r="F20" s="108"/>
      <c r="G20" s="143" t="str">
        <f>ACTV!V20</f>
        <v>Alta</v>
      </c>
      <c r="H20" s="121">
        <v>12</v>
      </c>
      <c r="I20" s="72">
        <f t="shared" si="1"/>
        <v>0.4</v>
      </c>
      <c r="J20" s="65" t="str">
        <f t="shared" si="2"/>
        <v>Baja</v>
      </c>
      <c r="K20" s="122">
        <v>550000</v>
      </c>
      <c r="L20" s="67">
        <v>1423500</v>
      </c>
      <c r="M20" s="26">
        <f t="shared" si="0"/>
        <v>0.38637161924833158</v>
      </c>
      <c r="N20" s="75">
        <f t="shared" si="3"/>
        <v>0.6</v>
      </c>
      <c r="O20" s="77" t="s">
        <v>67</v>
      </c>
      <c r="P20" s="78">
        <f t="shared" si="4"/>
        <v>0.1</v>
      </c>
      <c r="Q20" s="77" t="s">
        <v>68</v>
      </c>
      <c r="R20" s="76">
        <f t="shared" si="5"/>
        <v>0.1</v>
      </c>
      <c r="S20" s="30">
        <f t="shared" si="6"/>
        <v>0.2</v>
      </c>
      <c r="T20" s="62">
        <f t="shared" si="7"/>
        <v>0.6</v>
      </c>
      <c r="U20" s="63" t="str">
        <f t="shared" si="8"/>
        <v>Moderado</v>
      </c>
      <c r="V20" s="31" t="str">
        <f t="shared" si="9"/>
        <v>Baja Moderado</v>
      </c>
      <c r="W20" s="88" t="str">
        <f t="shared" si="10"/>
        <v>Media</v>
      </c>
    </row>
    <row r="21" spans="1:23" s="8" customFormat="1" ht="60" hidden="1" customHeight="1" x14ac:dyDescent="0.3">
      <c r="A21" s="21">
        <v>18</v>
      </c>
      <c r="B21" s="11" t="s">
        <v>187</v>
      </c>
      <c r="C21" s="11" t="s">
        <v>43</v>
      </c>
      <c r="D21" s="69" t="s">
        <v>37</v>
      </c>
      <c r="E21" s="110" t="s">
        <v>161</v>
      </c>
      <c r="F21" s="108"/>
      <c r="G21" s="143" t="str">
        <f>ACTV!V21</f>
        <v>Crítica</v>
      </c>
      <c r="H21" s="121">
        <v>12</v>
      </c>
      <c r="I21" s="72">
        <f t="shared" si="1"/>
        <v>0.4</v>
      </c>
      <c r="J21" s="65" t="str">
        <f t="shared" si="2"/>
        <v>Baja</v>
      </c>
      <c r="K21" s="146">
        <v>1500000</v>
      </c>
      <c r="L21" s="67">
        <v>1423500</v>
      </c>
      <c r="M21" s="26">
        <f t="shared" si="0"/>
        <v>1.053740779768177</v>
      </c>
      <c r="N21" s="75">
        <f t="shared" si="3"/>
        <v>1</v>
      </c>
      <c r="O21" s="77" t="s">
        <v>82</v>
      </c>
      <c r="P21" s="78">
        <f t="shared" si="4"/>
        <v>0.3</v>
      </c>
      <c r="Q21" s="77" t="s">
        <v>68</v>
      </c>
      <c r="R21" s="76">
        <f t="shared" si="5"/>
        <v>0.1</v>
      </c>
      <c r="S21" s="30">
        <f t="shared" si="6"/>
        <v>0.4</v>
      </c>
      <c r="T21" s="62">
        <f t="shared" si="7"/>
        <v>1</v>
      </c>
      <c r="U21" s="63" t="str">
        <f t="shared" si="8"/>
        <v>Mayor</v>
      </c>
      <c r="V21" s="31" t="str">
        <f t="shared" si="9"/>
        <v>Baja Mayor</v>
      </c>
      <c r="W21" s="88" t="str">
        <f t="shared" si="10"/>
        <v>Crítica</v>
      </c>
    </row>
    <row r="22" spans="1:23" s="8" customFormat="1" ht="60" hidden="1" customHeight="1" x14ac:dyDescent="0.3">
      <c r="A22" s="21">
        <v>19</v>
      </c>
      <c r="B22" s="11" t="s">
        <v>12</v>
      </c>
      <c r="C22" s="11" t="s">
        <v>44</v>
      </c>
      <c r="D22" s="69" t="s">
        <v>188</v>
      </c>
      <c r="E22" s="110" t="s">
        <v>162</v>
      </c>
      <c r="F22" s="108"/>
      <c r="G22" s="143"/>
      <c r="H22" s="107">
        <v>24</v>
      </c>
      <c r="I22" s="72">
        <f t="shared" si="1"/>
        <v>0.6</v>
      </c>
      <c r="J22" s="65" t="str">
        <f t="shared" si="2"/>
        <v>Media</v>
      </c>
      <c r="K22" s="73">
        <v>1500000</v>
      </c>
      <c r="L22" s="67">
        <v>1423500</v>
      </c>
      <c r="M22" s="26">
        <f t="shared" si="0"/>
        <v>1.053740779768177</v>
      </c>
      <c r="N22" s="75">
        <f t="shared" si="3"/>
        <v>1</v>
      </c>
      <c r="O22" s="77" t="s">
        <v>67</v>
      </c>
      <c r="P22" s="78">
        <f t="shared" si="4"/>
        <v>0.1</v>
      </c>
      <c r="Q22" s="77" t="s">
        <v>68</v>
      </c>
      <c r="R22" s="76">
        <f t="shared" si="5"/>
        <v>0.1</v>
      </c>
      <c r="S22" s="30">
        <f t="shared" si="6"/>
        <v>0.2</v>
      </c>
      <c r="T22" s="62">
        <f t="shared" si="7"/>
        <v>1</v>
      </c>
      <c r="U22" s="63" t="str">
        <f t="shared" si="8"/>
        <v>Mayor</v>
      </c>
      <c r="V22" s="31" t="str">
        <f t="shared" si="9"/>
        <v>Media Mayor</v>
      </c>
      <c r="W22" s="88" t="str">
        <f t="shared" si="10"/>
        <v>Crítica</v>
      </c>
    </row>
    <row r="23" spans="1:23" s="8" customFormat="1" ht="60" hidden="1" customHeight="1" x14ac:dyDescent="0.3">
      <c r="A23" s="21">
        <v>20</v>
      </c>
      <c r="B23" s="11" t="s">
        <v>13</v>
      </c>
      <c r="C23" s="11" t="s">
        <v>44</v>
      </c>
      <c r="D23" s="69" t="s">
        <v>189</v>
      </c>
      <c r="E23" s="110" t="s">
        <v>162</v>
      </c>
      <c r="F23" s="108"/>
      <c r="G23" s="143"/>
      <c r="H23" s="107">
        <v>100</v>
      </c>
      <c r="I23" s="72">
        <f t="shared" si="1"/>
        <v>0.6</v>
      </c>
      <c r="J23" s="65" t="str">
        <f t="shared" si="2"/>
        <v>Media</v>
      </c>
      <c r="K23" s="73">
        <v>1500000</v>
      </c>
      <c r="L23" s="67">
        <v>1423500</v>
      </c>
      <c r="M23" s="26">
        <f t="shared" si="0"/>
        <v>1.053740779768177</v>
      </c>
      <c r="N23" s="75">
        <f t="shared" si="3"/>
        <v>1</v>
      </c>
      <c r="O23" s="77" t="s">
        <v>67</v>
      </c>
      <c r="P23" s="78">
        <f t="shared" si="4"/>
        <v>0.1</v>
      </c>
      <c r="Q23" s="77" t="s">
        <v>68</v>
      </c>
      <c r="R23" s="76">
        <f t="shared" si="5"/>
        <v>0.1</v>
      </c>
      <c r="S23" s="30">
        <f t="shared" si="6"/>
        <v>0.2</v>
      </c>
      <c r="T23" s="62">
        <f t="shared" si="7"/>
        <v>1</v>
      </c>
      <c r="U23" s="63" t="str">
        <f t="shared" si="8"/>
        <v>Mayor</v>
      </c>
      <c r="V23" s="31" t="str">
        <f t="shared" si="9"/>
        <v>Media Mayor</v>
      </c>
      <c r="W23" s="88" t="str">
        <f t="shared" si="10"/>
        <v>Crítica</v>
      </c>
    </row>
    <row r="24" spans="1:23" s="8" customFormat="1" ht="60" hidden="1" customHeight="1" x14ac:dyDescent="0.3">
      <c r="A24" s="21">
        <v>21</v>
      </c>
      <c r="B24" s="11" t="s">
        <v>191</v>
      </c>
      <c r="C24" s="11" t="s">
        <v>25</v>
      </c>
      <c r="D24" s="69" t="s">
        <v>190</v>
      </c>
      <c r="E24" s="110" t="s">
        <v>161</v>
      </c>
      <c r="F24" s="108"/>
      <c r="G24" s="143" t="str">
        <f>ACTV!V24</f>
        <v>Alta</v>
      </c>
      <c r="H24" s="121">
        <v>3</v>
      </c>
      <c r="I24" s="72">
        <f t="shared" si="1"/>
        <v>0.2</v>
      </c>
      <c r="J24" s="65" t="str">
        <f t="shared" si="2"/>
        <v>Muy baja</v>
      </c>
      <c r="K24" s="122">
        <v>550000</v>
      </c>
      <c r="L24" s="67">
        <v>1423500</v>
      </c>
      <c r="M24" s="26">
        <f t="shared" si="0"/>
        <v>0.38637161924833158</v>
      </c>
      <c r="N24" s="75">
        <f t="shared" si="3"/>
        <v>0.6</v>
      </c>
      <c r="O24" s="77" t="s">
        <v>67</v>
      </c>
      <c r="P24" s="78">
        <f t="shared" si="4"/>
        <v>0.1</v>
      </c>
      <c r="Q24" s="77" t="s">
        <v>68</v>
      </c>
      <c r="R24" s="76">
        <f t="shared" si="5"/>
        <v>0.1</v>
      </c>
      <c r="S24" s="30">
        <f t="shared" si="6"/>
        <v>0.2</v>
      </c>
      <c r="T24" s="62">
        <f t="shared" si="7"/>
        <v>0.6</v>
      </c>
      <c r="U24" s="63" t="str">
        <f t="shared" si="8"/>
        <v>Moderado</v>
      </c>
      <c r="V24" s="31" t="str">
        <f t="shared" si="9"/>
        <v>Muy baja Moderado</v>
      </c>
      <c r="W24" s="88" t="str">
        <f t="shared" si="10"/>
        <v>Media</v>
      </c>
    </row>
    <row r="25" spans="1:23" s="8" customFormat="1" ht="60" hidden="1" customHeight="1" x14ac:dyDescent="0.3">
      <c r="A25" s="21">
        <v>22</v>
      </c>
      <c r="B25" s="11" t="s">
        <v>14</v>
      </c>
      <c r="C25" s="11" t="s">
        <v>25</v>
      </c>
      <c r="D25" s="69" t="s">
        <v>38</v>
      </c>
      <c r="E25" s="110" t="s">
        <v>162</v>
      </c>
      <c r="F25" s="108"/>
      <c r="G25" s="143"/>
      <c r="H25" s="148">
        <v>12</v>
      </c>
      <c r="I25" s="72">
        <f t="shared" si="1"/>
        <v>0.4</v>
      </c>
      <c r="J25" s="65" t="str">
        <f t="shared" si="2"/>
        <v>Baja</v>
      </c>
      <c r="K25" s="149">
        <v>1500000</v>
      </c>
      <c r="L25" s="67">
        <v>1423500</v>
      </c>
      <c r="M25" s="26">
        <f t="shared" si="0"/>
        <v>1.053740779768177</v>
      </c>
      <c r="N25" s="75">
        <f t="shared" si="3"/>
        <v>1</v>
      </c>
      <c r="O25" s="77" t="s">
        <v>67</v>
      </c>
      <c r="P25" s="78">
        <f t="shared" si="4"/>
        <v>0.1</v>
      </c>
      <c r="Q25" s="77" t="s">
        <v>68</v>
      </c>
      <c r="R25" s="76">
        <f t="shared" si="5"/>
        <v>0.1</v>
      </c>
      <c r="S25" s="30">
        <f t="shared" si="6"/>
        <v>0.2</v>
      </c>
      <c r="T25" s="62">
        <f t="shared" si="7"/>
        <v>1</v>
      </c>
      <c r="U25" s="63" t="str">
        <f t="shared" si="8"/>
        <v>Mayor</v>
      </c>
      <c r="V25" s="31" t="str">
        <f t="shared" si="9"/>
        <v>Baja Mayor</v>
      </c>
      <c r="W25" s="88" t="str">
        <f t="shared" si="10"/>
        <v>Crítica</v>
      </c>
    </row>
    <row r="26" spans="1:23" s="8" customFormat="1" ht="60" hidden="1" customHeight="1" x14ac:dyDescent="0.3">
      <c r="A26" s="21">
        <v>23</v>
      </c>
      <c r="B26" s="11" t="s">
        <v>15</v>
      </c>
      <c r="C26" s="11" t="s">
        <v>43</v>
      </c>
      <c r="D26" s="69" t="s">
        <v>39</v>
      </c>
      <c r="E26" s="110" t="s">
        <v>161</v>
      </c>
      <c r="F26" s="108"/>
      <c r="G26" s="143" t="str">
        <f>ACTV!V26</f>
        <v>Crítica</v>
      </c>
      <c r="H26" s="121">
        <v>12</v>
      </c>
      <c r="I26" s="72">
        <f t="shared" si="1"/>
        <v>0.4</v>
      </c>
      <c r="J26" s="65" t="str">
        <f t="shared" si="2"/>
        <v>Baja</v>
      </c>
      <c r="K26" s="146">
        <v>1500000</v>
      </c>
      <c r="L26" s="67">
        <v>1423500</v>
      </c>
      <c r="M26" s="26">
        <f t="shared" si="0"/>
        <v>1.053740779768177</v>
      </c>
      <c r="N26" s="75">
        <f t="shared" si="3"/>
        <v>1</v>
      </c>
      <c r="O26" s="77" t="s">
        <v>67</v>
      </c>
      <c r="P26" s="78">
        <f t="shared" si="4"/>
        <v>0.1</v>
      </c>
      <c r="Q26" s="77" t="s">
        <v>75</v>
      </c>
      <c r="R26" s="76">
        <f t="shared" si="5"/>
        <v>0.5</v>
      </c>
      <c r="S26" s="30">
        <f t="shared" si="6"/>
        <v>0.6</v>
      </c>
      <c r="T26" s="62">
        <f t="shared" si="7"/>
        <v>1</v>
      </c>
      <c r="U26" s="63" t="str">
        <f t="shared" si="8"/>
        <v>Mayor</v>
      </c>
      <c r="V26" s="31" t="str">
        <f t="shared" si="9"/>
        <v>Baja Mayor</v>
      </c>
      <c r="W26" s="88" t="str">
        <f t="shared" si="10"/>
        <v>Crítica</v>
      </c>
    </row>
    <row r="27" spans="1:23" s="8" customFormat="1" ht="60" hidden="1" customHeight="1" x14ac:dyDescent="0.3">
      <c r="A27" s="21">
        <v>24</v>
      </c>
      <c r="B27" s="11" t="s">
        <v>16</v>
      </c>
      <c r="C27" s="11" t="s">
        <v>43</v>
      </c>
      <c r="D27" s="69" t="s">
        <v>40</v>
      </c>
      <c r="E27" s="110" t="s">
        <v>161</v>
      </c>
      <c r="F27" s="108"/>
      <c r="G27" s="143" t="str">
        <f>ACTV!V27</f>
        <v>Crítica</v>
      </c>
      <c r="H27" s="145">
        <v>12</v>
      </c>
      <c r="I27" s="72">
        <f t="shared" si="1"/>
        <v>0.4</v>
      </c>
      <c r="J27" s="65" t="str">
        <f t="shared" si="2"/>
        <v>Baja</v>
      </c>
      <c r="K27" s="146">
        <v>1500000</v>
      </c>
      <c r="L27" s="67">
        <v>1423500</v>
      </c>
      <c r="M27" s="26">
        <f t="shared" si="0"/>
        <v>1.053740779768177</v>
      </c>
      <c r="N27" s="75">
        <f t="shared" si="3"/>
        <v>1</v>
      </c>
      <c r="O27" s="77" t="s">
        <v>82</v>
      </c>
      <c r="P27" s="78">
        <f t="shared" si="4"/>
        <v>0.3</v>
      </c>
      <c r="Q27" s="77" t="s">
        <v>68</v>
      </c>
      <c r="R27" s="76">
        <f t="shared" si="5"/>
        <v>0.1</v>
      </c>
      <c r="S27" s="30">
        <f t="shared" si="6"/>
        <v>0.4</v>
      </c>
      <c r="T27" s="62">
        <f t="shared" si="7"/>
        <v>1</v>
      </c>
      <c r="U27" s="63" t="str">
        <f t="shared" si="8"/>
        <v>Mayor</v>
      </c>
      <c r="V27" s="31" t="str">
        <f t="shared" si="9"/>
        <v>Baja Mayor</v>
      </c>
      <c r="W27" s="88" t="str">
        <f t="shared" si="10"/>
        <v>Crítica</v>
      </c>
    </row>
    <row r="28" spans="1:23" s="8" customFormat="1" ht="60" hidden="1" customHeight="1" x14ac:dyDescent="0.3">
      <c r="A28" s="21">
        <v>25</v>
      </c>
      <c r="B28" s="11" t="s">
        <v>163</v>
      </c>
      <c r="C28" s="11" t="s">
        <v>43</v>
      </c>
      <c r="D28" s="69" t="s">
        <v>192</v>
      </c>
      <c r="E28" s="110" t="s">
        <v>161</v>
      </c>
      <c r="F28" s="108"/>
      <c r="G28" s="143" t="str">
        <f>ACTV!V28</f>
        <v>Crítica</v>
      </c>
      <c r="H28" s="121">
        <v>1</v>
      </c>
      <c r="I28" s="72">
        <f t="shared" si="1"/>
        <v>0.2</v>
      </c>
      <c r="J28" s="65" t="str">
        <f t="shared" si="2"/>
        <v>Muy baja</v>
      </c>
      <c r="K28" s="146">
        <v>1500000</v>
      </c>
      <c r="L28" s="67">
        <v>1423500</v>
      </c>
      <c r="M28" s="26">
        <f t="shared" si="0"/>
        <v>1.053740779768177</v>
      </c>
      <c r="N28" s="75">
        <f t="shared" si="3"/>
        <v>1</v>
      </c>
      <c r="O28" s="77" t="s">
        <v>72</v>
      </c>
      <c r="P28" s="78">
        <f t="shared" si="4"/>
        <v>0.4</v>
      </c>
      <c r="Q28" s="77" t="s">
        <v>68</v>
      </c>
      <c r="R28" s="76">
        <f t="shared" si="5"/>
        <v>0.1</v>
      </c>
      <c r="S28" s="30">
        <f t="shared" si="6"/>
        <v>0.5</v>
      </c>
      <c r="T28" s="62">
        <f t="shared" si="7"/>
        <v>1</v>
      </c>
      <c r="U28" s="63" t="str">
        <f t="shared" si="8"/>
        <v>Mayor</v>
      </c>
      <c r="V28" s="31" t="str">
        <f t="shared" si="9"/>
        <v>Muy baja Mayor</v>
      </c>
      <c r="W28" s="88" t="str">
        <f t="shared" si="10"/>
        <v>Crítica</v>
      </c>
    </row>
    <row r="29" spans="1:23" s="8" customFormat="1" ht="66.599999999999994" hidden="1" customHeight="1" x14ac:dyDescent="0.3">
      <c r="A29" s="21">
        <v>26</v>
      </c>
      <c r="B29" s="11" t="s">
        <v>17</v>
      </c>
      <c r="C29" s="11" t="s">
        <v>25</v>
      </c>
      <c r="D29" s="69" t="s">
        <v>193</v>
      </c>
      <c r="E29" s="110" t="s">
        <v>162</v>
      </c>
      <c r="F29" s="108"/>
      <c r="G29" s="143"/>
      <c r="H29" s="107">
        <v>88</v>
      </c>
      <c r="I29" s="72">
        <f t="shared" si="1"/>
        <v>0.6</v>
      </c>
      <c r="J29" s="65" t="str">
        <f t="shared" si="2"/>
        <v>Media</v>
      </c>
      <c r="K29" s="73">
        <v>5000000</v>
      </c>
      <c r="L29" s="67">
        <v>1423500</v>
      </c>
      <c r="M29" s="26">
        <f t="shared" si="0"/>
        <v>3.5124692658939236</v>
      </c>
      <c r="N29" s="75">
        <f t="shared" si="3"/>
        <v>1</v>
      </c>
      <c r="O29" s="77" t="s">
        <v>67</v>
      </c>
      <c r="P29" s="78">
        <f t="shared" si="4"/>
        <v>0.1</v>
      </c>
      <c r="Q29" s="77" t="s">
        <v>68</v>
      </c>
      <c r="R29" s="76">
        <f t="shared" si="5"/>
        <v>0.1</v>
      </c>
      <c r="S29" s="30">
        <f t="shared" si="6"/>
        <v>0.2</v>
      </c>
      <c r="T29" s="62">
        <f t="shared" si="7"/>
        <v>1</v>
      </c>
      <c r="U29" s="63" t="str">
        <f t="shared" si="8"/>
        <v>Mayor</v>
      </c>
      <c r="V29" s="31" t="str">
        <f t="shared" si="9"/>
        <v>Media Mayor</v>
      </c>
      <c r="W29" s="88" t="str">
        <f t="shared" si="10"/>
        <v>Crítica</v>
      </c>
    </row>
    <row r="30" spans="1:23" s="8" customFormat="1" ht="60" hidden="1" customHeight="1" x14ac:dyDescent="0.3">
      <c r="A30" s="21">
        <v>27</v>
      </c>
      <c r="B30" s="11" t="s">
        <v>18</v>
      </c>
      <c r="C30" s="11" t="s">
        <v>43</v>
      </c>
      <c r="D30" s="69" t="s">
        <v>41</v>
      </c>
      <c r="E30" s="110" t="s">
        <v>161</v>
      </c>
      <c r="F30" s="108"/>
      <c r="G30" s="143" t="str">
        <f>ACTV!V30</f>
        <v>Crítica</v>
      </c>
      <c r="H30" s="145">
        <v>12</v>
      </c>
      <c r="I30" s="72">
        <f t="shared" si="1"/>
        <v>0.4</v>
      </c>
      <c r="J30" s="65" t="str">
        <f t="shared" si="2"/>
        <v>Baja</v>
      </c>
      <c r="K30" s="146">
        <v>1500000</v>
      </c>
      <c r="L30" s="67">
        <v>1423500</v>
      </c>
      <c r="M30" s="26">
        <f t="shared" si="0"/>
        <v>1.053740779768177</v>
      </c>
      <c r="N30" s="75">
        <f t="shared" si="3"/>
        <v>1</v>
      </c>
      <c r="O30" s="77" t="s">
        <v>67</v>
      </c>
      <c r="P30" s="78">
        <f t="shared" si="4"/>
        <v>0.1</v>
      </c>
      <c r="Q30" s="77" t="s">
        <v>68</v>
      </c>
      <c r="R30" s="76">
        <f t="shared" si="5"/>
        <v>0.1</v>
      </c>
      <c r="S30" s="30">
        <f t="shared" si="6"/>
        <v>0.2</v>
      </c>
      <c r="T30" s="62">
        <f t="shared" si="7"/>
        <v>1</v>
      </c>
      <c r="U30" s="63" t="str">
        <f t="shared" si="8"/>
        <v>Mayor</v>
      </c>
      <c r="V30" s="31" t="str">
        <f t="shared" si="9"/>
        <v>Baja Mayor</v>
      </c>
      <c r="W30" s="88" t="str">
        <f t="shared" si="10"/>
        <v>Crítica</v>
      </c>
    </row>
    <row r="31" spans="1:23" s="8" customFormat="1" ht="68.400000000000006" hidden="1" customHeight="1" x14ac:dyDescent="0.3">
      <c r="A31" s="21">
        <v>28</v>
      </c>
      <c r="B31" s="11" t="s">
        <v>194</v>
      </c>
      <c r="C31" s="11" t="s">
        <v>25</v>
      </c>
      <c r="D31" s="69" t="s">
        <v>195</v>
      </c>
      <c r="E31" s="110" t="s">
        <v>161</v>
      </c>
      <c r="F31" s="108"/>
      <c r="G31" s="143" t="str">
        <f>ACTV!V31</f>
        <v>Crítica</v>
      </c>
      <c r="H31" s="145">
        <v>12</v>
      </c>
      <c r="I31" s="72">
        <f t="shared" si="1"/>
        <v>0.4</v>
      </c>
      <c r="J31" s="65" t="str">
        <f t="shared" si="2"/>
        <v>Baja</v>
      </c>
      <c r="K31" s="146">
        <v>1500000</v>
      </c>
      <c r="L31" s="67">
        <v>1423500</v>
      </c>
      <c r="M31" s="26">
        <f t="shared" si="0"/>
        <v>1.053740779768177</v>
      </c>
      <c r="N31" s="75">
        <f t="shared" si="3"/>
        <v>1</v>
      </c>
      <c r="O31" s="77" t="s">
        <v>82</v>
      </c>
      <c r="P31" s="78">
        <f t="shared" si="4"/>
        <v>0.3</v>
      </c>
      <c r="Q31" s="77" t="s">
        <v>68</v>
      </c>
      <c r="R31" s="76">
        <f t="shared" si="5"/>
        <v>0.1</v>
      </c>
      <c r="S31" s="30">
        <f t="shared" si="6"/>
        <v>0.4</v>
      </c>
      <c r="T31" s="62">
        <f t="shared" si="7"/>
        <v>1</v>
      </c>
      <c r="U31" s="63" t="str">
        <f t="shared" si="8"/>
        <v>Mayor</v>
      </c>
      <c r="V31" s="31" t="str">
        <f t="shared" si="9"/>
        <v>Baja Mayor</v>
      </c>
      <c r="W31" s="88" t="str">
        <f t="shared" si="10"/>
        <v>Crítica</v>
      </c>
    </row>
    <row r="32" spans="1:23" s="8" customFormat="1" ht="60" customHeight="1" x14ac:dyDescent="0.3">
      <c r="A32" s="21">
        <v>29</v>
      </c>
      <c r="B32" s="11" t="s">
        <v>196</v>
      </c>
      <c r="C32" s="11" t="s">
        <v>25</v>
      </c>
      <c r="D32" s="69" t="s">
        <v>42</v>
      </c>
      <c r="E32" s="151" t="s">
        <v>162</v>
      </c>
      <c r="F32" s="108"/>
      <c r="G32" s="143" t="str">
        <f>ACTV!V32</f>
        <v>Media</v>
      </c>
      <c r="H32" s="121">
        <v>50</v>
      </c>
      <c r="I32" s="72">
        <f t="shared" si="1"/>
        <v>0.6</v>
      </c>
      <c r="J32" s="65" t="str">
        <f t="shared" si="2"/>
        <v>Media</v>
      </c>
      <c r="K32" s="122">
        <v>500000</v>
      </c>
      <c r="L32" s="67">
        <v>1423500</v>
      </c>
      <c r="M32" s="26">
        <f t="shared" si="0"/>
        <v>0.35124692658939233</v>
      </c>
      <c r="N32" s="75">
        <f t="shared" si="3"/>
        <v>0.6</v>
      </c>
      <c r="O32" s="77" t="s">
        <v>82</v>
      </c>
      <c r="P32" s="78">
        <f t="shared" si="4"/>
        <v>0.3</v>
      </c>
      <c r="Q32" s="77" t="s">
        <v>68</v>
      </c>
      <c r="R32" s="76">
        <f t="shared" si="5"/>
        <v>0.1</v>
      </c>
      <c r="S32" s="30">
        <f t="shared" si="6"/>
        <v>0.4</v>
      </c>
      <c r="T32" s="62">
        <f t="shared" si="7"/>
        <v>0.6</v>
      </c>
      <c r="U32" s="63" t="str">
        <f t="shared" si="8"/>
        <v>Moderado</v>
      </c>
      <c r="V32" s="31" t="str">
        <f t="shared" si="9"/>
        <v>Media Moderado</v>
      </c>
      <c r="W32" s="88" t="str">
        <f t="shared" si="10"/>
        <v>Media</v>
      </c>
    </row>
    <row r="33" spans="1:23" s="8" customFormat="1" ht="60" customHeight="1" x14ac:dyDescent="0.3">
      <c r="A33" s="21">
        <v>30</v>
      </c>
      <c r="B33" s="11" t="s">
        <v>19</v>
      </c>
      <c r="C33" s="11" t="s">
        <v>25</v>
      </c>
      <c r="D33" s="69" t="s">
        <v>197</v>
      </c>
      <c r="E33" s="151" t="s">
        <v>162</v>
      </c>
      <c r="F33" s="108"/>
      <c r="G33" s="143" t="str">
        <f>ACTV!V33</f>
        <v>Media</v>
      </c>
      <c r="H33" s="121">
        <v>12</v>
      </c>
      <c r="I33" s="72">
        <f t="shared" si="1"/>
        <v>0.4</v>
      </c>
      <c r="J33" s="65" t="str">
        <f t="shared" si="2"/>
        <v>Baja</v>
      </c>
      <c r="K33" s="122">
        <v>300000</v>
      </c>
      <c r="L33" s="67">
        <v>1423500</v>
      </c>
      <c r="M33" s="26">
        <f t="shared" si="0"/>
        <v>0.21074815595363541</v>
      </c>
      <c r="N33" s="75">
        <f t="shared" si="3"/>
        <v>0.4</v>
      </c>
      <c r="O33" s="77" t="s">
        <v>82</v>
      </c>
      <c r="P33" s="78">
        <f t="shared" si="4"/>
        <v>0.3</v>
      </c>
      <c r="Q33" s="77" t="s">
        <v>68</v>
      </c>
      <c r="R33" s="76">
        <f t="shared" si="5"/>
        <v>0.1</v>
      </c>
      <c r="S33" s="30">
        <f t="shared" si="6"/>
        <v>0.4</v>
      </c>
      <c r="T33" s="62">
        <f t="shared" si="7"/>
        <v>0.4</v>
      </c>
      <c r="U33" s="63" t="str">
        <f t="shared" si="8"/>
        <v>Menor</v>
      </c>
      <c r="V33" s="31" t="str">
        <f t="shared" si="9"/>
        <v>Baja Menor</v>
      </c>
      <c r="W33" s="88" t="str">
        <f t="shared" si="10"/>
        <v>Media</v>
      </c>
    </row>
    <row r="34" spans="1:23" s="8" customFormat="1" ht="60" customHeight="1" x14ac:dyDescent="0.3">
      <c r="A34" s="21">
        <v>31</v>
      </c>
      <c r="B34" s="11" t="s">
        <v>20</v>
      </c>
      <c r="C34" s="11" t="s">
        <v>25</v>
      </c>
      <c r="D34" s="69" t="s">
        <v>198</v>
      </c>
      <c r="E34" s="110" t="s">
        <v>162</v>
      </c>
      <c r="F34" s="108"/>
      <c r="G34" s="143"/>
      <c r="H34" s="107">
        <v>88</v>
      </c>
      <c r="I34" s="72">
        <f t="shared" si="1"/>
        <v>0.6</v>
      </c>
      <c r="J34" s="65" t="str">
        <f t="shared" si="2"/>
        <v>Media</v>
      </c>
      <c r="K34" s="73">
        <v>5000000</v>
      </c>
      <c r="L34" s="67">
        <v>1423500</v>
      </c>
      <c r="M34" s="26">
        <f t="shared" si="0"/>
        <v>3.5124692658939236</v>
      </c>
      <c r="N34" s="75">
        <f t="shared" si="3"/>
        <v>1</v>
      </c>
      <c r="O34" s="77" t="s">
        <v>67</v>
      </c>
      <c r="P34" s="78">
        <f t="shared" si="4"/>
        <v>0.1</v>
      </c>
      <c r="Q34" s="77" t="s">
        <v>68</v>
      </c>
      <c r="R34" s="76">
        <f t="shared" si="5"/>
        <v>0.1</v>
      </c>
      <c r="S34" s="30">
        <f t="shared" si="6"/>
        <v>0.2</v>
      </c>
      <c r="T34" s="62">
        <f t="shared" si="7"/>
        <v>1</v>
      </c>
      <c r="U34" s="63" t="str">
        <f t="shared" si="8"/>
        <v>Mayor</v>
      </c>
      <c r="V34" s="31" t="str">
        <f t="shared" si="9"/>
        <v>Media Mayor</v>
      </c>
      <c r="W34" s="88" t="str">
        <f t="shared" si="10"/>
        <v>Crítica</v>
      </c>
    </row>
    <row r="35" spans="1:23" ht="60" customHeight="1" x14ac:dyDescent="0.3">
      <c r="A35" s="21">
        <v>32</v>
      </c>
      <c r="B35" s="11" t="s">
        <v>21</v>
      </c>
      <c r="C35" s="12" t="s">
        <v>25</v>
      </c>
      <c r="D35" s="70" t="s">
        <v>199</v>
      </c>
      <c r="E35" s="110" t="s">
        <v>161</v>
      </c>
      <c r="F35" s="108"/>
      <c r="G35" s="143" t="str">
        <f>ACTV!V35</f>
        <v>Crítica</v>
      </c>
      <c r="H35" s="145">
        <v>12</v>
      </c>
      <c r="I35" s="72">
        <f t="shared" si="1"/>
        <v>0.4</v>
      </c>
      <c r="J35" s="65" t="str">
        <f t="shared" si="2"/>
        <v>Baja</v>
      </c>
      <c r="K35" s="146">
        <v>1500000</v>
      </c>
      <c r="L35" s="67">
        <v>1423500</v>
      </c>
      <c r="M35" s="26">
        <f t="shared" si="0"/>
        <v>1.053740779768177</v>
      </c>
      <c r="N35" s="75">
        <f t="shared" si="3"/>
        <v>1</v>
      </c>
      <c r="O35" s="77" t="s">
        <v>82</v>
      </c>
      <c r="P35" s="78">
        <f t="shared" si="4"/>
        <v>0.3</v>
      </c>
      <c r="Q35" s="77" t="s">
        <v>68</v>
      </c>
      <c r="R35" s="76">
        <f t="shared" si="5"/>
        <v>0.1</v>
      </c>
      <c r="S35" s="30">
        <f t="shared" si="6"/>
        <v>0.4</v>
      </c>
      <c r="T35" s="62">
        <f t="shared" si="7"/>
        <v>1</v>
      </c>
      <c r="U35" s="63" t="str">
        <f t="shared" si="8"/>
        <v>Mayor</v>
      </c>
      <c r="V35" s="31" t="str">
        <f t="shared" si="9"/>
        <v>Baja Mayor</v>
      </c>
      <c r="W35" s="88" t="str">
        <f t="shared" si="10"/>
        <v>Crítica</v>
      </c>
    </row>
    <row r="39" spans="1:23" ht="27.6" x14ac:dyDescent="0.3">
      <c r="B39" s="100" t="s">
        <v>119</v>
      </c>
    </row>
    <row r="42" spans="1:23" x14ac:dyDescent="0.3">
      <c r="B42" s="5" t="s">
        <v>120</v>
      </c>
      <c r="C42" s="5" t="s">
        <v>121</v>
      </c>
    </row>
    <row r="43" spans="1:23" ht="27.6" x14ac:dyDescent="0.3">
      <c r="B43" s="5" t="s">
        <v>122</v>
      </c>
      <c r="C43" s="5" t="s">
        <v>123</v>
      </c>
    </row>
    <row r="47" spans="1:23" ht="14.4" x14ac:dyDescent="0.3">
      <c r="B47" s="101" t="s">
        <v>124</v>
      </c>
      <c r="C47" s="102" t="s">
        <v>144</v>
      </c>
    </row>
    <row r="48" spans="1:23" ht="27.6" x14ac:dyDescent="0.3">
      <c r="B48" s="101" t="s">
        <v>125</v>
      </c>
      <c r="C48" s="102" t="s">
        <v>145</v>
      </c>
    </row>
    <row r="49" spans="2:3" ht="28.8" x14ac:dyDescent="0.3">
      <c r="B49" s="101" t="s">
        <v>126</v>
      </c>
      <c r="C49" s="102" t="s">
        <v>146</v>
      </c>
    </row>
    <row r="50" spans="2:3" ht="14.4" x14ac:dyDescent="0.3">
      <c r="B50" s="101" t="s">
        <v>127</v>
      </c>
      <c r="C50" s="103"/>
    </row>
    <row r="51" spans="2:3" ht="14.4" x14ac:dyDescent="0.3">
      <c r="B51" s="101" t="s">
        <v>128</v>
      </c>
      <c r="C51" s="103"/>
    </row>
    <row r="52" spans="2:3" ht="41.4" x14ac:dyDescent="0.3">
      <c r="B52" s="101" t="s">
        <v>129</v>
      </c>
      <c r="C52" s="102" t="s">
        <v>147</v>
      </c>
    </row>
    <row r="53" spans="2:3" ht="27.6" x14ac:dyDescent="0.3">
      <c r="B53" s="101" t="s">
        <v>130</v>
      </c>
      <c r="C53" s="103" t="s">
        <v>148</v>
      </c>
    </row>
    <row r="54" spans="2:3" ht="14.4" x14ac:dyDescent="0.3">
      <c r="B54" s="101" t="s">
        <v>131</v>
      </c>
    </row>
    <row r="55" spans="2:3" ht="27.6" x14ac:dyDescent="0.3">
      <c r="B55" s="101" t="s">
        <v>132</v>
      </c>
      <c r="C55" s="103" t="s">
        <v>149</v>
      </c>
    </row>
    <row r="56" spans="2:3" ht="41.4" x14ac:dyDescent="0.3">
      <c r="B56" s="101" t="s">
        <v>133</v>
      </c>
      <c r="C56" s="103" t="s">
        <v>150</v>
      </c>
    </row>
    <row r="58" spans="2:3" ht="28.8" x14ac:dyDescent="0.3">
      <c r="B58" s="101" t="s">
        <v>134</v>
      </c>
    </row>
    <row r="59" spans="2:3" ht="28.8" x14ac:dyDescent="0.3">
      <c r="B59" s="101" t="s">
        <v>135</v>
      </c>
    </row>
    <row r="60" spans="2:3" ht="28.8" x14ac:dyDescent="0.3">
      <c r="B60" s="101" t="s">
        <v>136</v>
      </c>
    </row>
    <row r="61" spans="2:3" ht="14.4" x14ac:dyDescent="0.3">
      <c r="B61" s="101" t="s">
        <v>137</v>
      </c>
    </row>
    <row r="62" spans="2:3" ht="28.8" x14ac:dyDescent="0.3">
      <c r="B62" s="101" t="s">
        <v>138</v>
      </c>
      <c r="C62" s="5" t="s">
        <v>152</v>
      </c>
    </row>
    <row r="63" spans="2:3" ht="28.8" x14ac:dyDescent="0.3">
      <c r="B63" s="101" t="s">
        <v>139</v>
      </c>
    </row>
    <row r="65" spans="2:2" ht="14.4" x14ac:dyDescent="0.3">
      <c r="B65" s="101" t="s">
        <v>140</v>
      </c>
    </row>
    <row r="66" spans="2:2" ht="14.4" x14ac:dyDescent="0.3">
      <c r="B66" s="101" t="s">
        <v>141</v>
      </c>
    </row>
    <row r="67" spans="2:2" ht="14.4" x14ac:dyDescent="0.3">
      <c r="B67" s="101" t="s">
        <v>142</v>
      </c>
    </row>
    <row r="68" spans="2:2" ht="14.4" x14ac:dyDescent="0.3">
      <c r="B68" s="101" t="s">
        <v>143</v>
      </c>
    </row>
    <row r="70" spans="2:2" ht="27.6" x14ac:dyDescent="0.3">
      <c r="B70" s="5" t="s">
        <v>151</v>
      </c>
    </row>
  </sheetData>
  <mergeCells count="3">
    <mergeCell ref="E1:F1"/>
    <mergeCell ref="C17:C18"/>
    <mergeCell ref="D17:D18"/>
  </mergeCells>
  <conditionalFormatting sqref="I3:I35">
    <cfRule type="cellIs" dxfId="123" priority="20" operator="equal">
      <formula>0.2</formula>
    </cfRule>
    <cfRule type="cellIs" dxfId="122" priority="21" operator="equal">
      <formula>0.4</formula>
    </cfRule>
    <cfRule type="cellIs" dxfId="121" priority="22" operator="equal">
      <formula>0.6</formula>
    </cfRule>
    <cfRule type="cellIs" dxfId="120" priority="23" operator="equal">
      <formula>0.8</formula>
    </cfRule>
    <cfRule type="cellIs" dxfId="119" priority="24" operator="equal">
      <formula>1</formula>
    </cfRule>
  </conditionalFormatting>
  <conditionalFormatting sqref="J3:J35">
    <cfRule type="containsText" dxfId="118" priority="10" operator="containsText" text="Muy baja">
      <formula>NOT(ISERROR(SEARCH("Muy baja",J3)))</formula>
    </cfRule>
    <cfRule type="beginsWith" dxfId="117" priority="11" operator="beginsWith" text="Baja">
      <formula>LEFT(J3,LEN("Baja"))="Baja"</formula>
    </cfRule>
    <cfRule type="containsText" dxfId="116" priority="12" operator="containsText" text="Media">
      <formula>NOT(ISERROR(SEARCH("Media",J3)))</formula>
    </cfRule>
    <cfRule type="beginsWith" dxfId="115" priority="13" operator="beginsWith" text="Alta">
      <formula>LEFT(J3,LEN("Alta"))="Alta"</formula>
    </cfRule>
    <cfRule type="containsText" dxfId="114" priority="14" operator="containsText" text="Muy alta">
      <formula>NOT(ISERROR(SEARCH("Muy alta",J3)))</formula>
    </cfRule>
  </conditionalFormatting>
  <conditionalFormatting sqref="T3:T35">
    <cfRule type="cellIs" dxfId="113" priority="15" operator="equal">
      <formula>0.2</formula>
    </cfRule>
    <cfRule type="cellIs" dxfId="112" priority="16" operator="equal">
      <formula>0.4</formula>
    </cfRule>
    <cfRule type="cellIs" dxfId="111" priority="17" operator="equal">
      <formula>0.6</formula>
    </cfRule>
    <cfRule type="cellIs" dxfId="110" priority="18" operator="equal">
      <formula>0.8</formula>
    </cfRule>
    <cfRule type="cellIs" dxfId="109" priority="19" operator="equal">
      <formula>1</formula>
    </cfRule>
  </conditionalFormatting>
  <conditionalFormatting sqref="U3:U35">
    <cfRule type="containsText" dxfId="108" priority="5" operator="containsText" text="Insignificante">
      <formula>NOT(ISERROR(SEARCH("Insignificante",U3)))</formula>
    </cfRule>
    <cfRule type="beginsWith" dxfId="107" priority="6" operator="beginsWith" text="Menor">
      <formula>LEFT(U3,LEN("Menor"))="Menor"</formula>
    </cfRule>
    <cfRule type="containsText" dxfId="106" priority="7" operator="containsText" text="Moderado">
      <formula>NOT(ISERROR(SEARCH("Moderado",U3)))</formula>
    </cfRule>
    <cfRule type="beginsWith" dxfId="105" priority="8" operator="beginsWith" text="Importante">
      <formula>LEFT(U3,LEN("Importante"))="Importante"</formula>
    </cfRule>
    <cfRule type="containsText" dxfId="104" priority="9" operator="containsText" text="Mayor">
      <formula>NOT(ISERROR(SEARCH("Mayor",U3)))</formula>
    </cfRule>
  </conditionalFormatting>
  <conditionalFormatting sqref="W3:W35">
    <cfRule type="containsText" dxfId="103" priority="1" operator="containsText" text="Crítica">
      <formula>NOT(ISERROR(SEARCH("Crítica",W3)))</formula>
    </cfRule>
    <cfRule type="containsText" dxfId="102" priority="2" operator="containsText" text="Alta">
      <formula>NOT(ISERROR(SEARCH("Alta",W3)))</formula>
    </cfRule>
    <cfRule type="containsText" dxfId="101" priority="3" operator="containsText" text="Media">
      <formula>NOT(ISERROR(SEARCH("Media",W3)))</formula>
    </cfRule>
    <cfRule type="containsText" dxfId="100" priority="4" operator="containsText" text="Baja">
      <formula>NOT(ISERROR(SEARCH("Baja",W3)))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9989798-C75E-476B-8536-46FF8A0D65DA}">
          <x14:formula1>
            <xm:f>Reputación!$C$4:$C$8</xm:f>
          </x14:formula1>
          <xm:sqref>O3:O35</xm:sqref>
        </x14:dataValidation>
        <x14:dataValidation type="list" allowBlank="1" showInputMessage="1" showErrorMessage="1" xr:uid="{2600A338-8CC9-4932-A5DD-C52026D72DB7}">
          <x14:formula1>
            <xm:f>Reputación!$C$11:$C$15</xm:f>
          </x14:formula1>
          <xm:sqref>Q3:Q35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AB68-6307-4C14-882A-02276012BAEA}">
  <dimension ref="A1:W70"/>
  <sheetViews>
    <sheetView showGridLines="0" zoomScaleNormal="100" workbookViewId="0">
      <selection activeCell="C38" sqref="C38"/>
    </sheetView>
  </sheetViews>
  <sheetFormatPr baseColWidth="10" defaultColWidth="11.5546875" defaultRowHeight="13.8" x14ac:dyDescent="0.3"/>
  <cols>
    <col min="1" max="1" width="7.6640625" style="9" customWidth="1"/>
    <col min="2" max="2" width="41" style="5" hidden="1" customWidth="1"/>
    <col min="3" max="3" width="30.77734375" style="5" customWidth="1"/>
    <col min="4" max="4" width="48.88671875" style="13" customWidth="1"/>
    <col min="5" max="5" width="6.109375" style="106" hidden="1" customWidth="1"/>
    <col min="6" max="7" width="19.77734375" style="13" hidden="1" customWidth="1"/>
    <col min="8" max="8" width="15.109375" style="9" hidden="1" customWidth="1"/>
    <col min="9" max="9" width="15.77734375" style="59" customWidth="1"/>
    <col min="10" max="10" width="16.109375" style="9" hidden="1" customWidth="1"/>
    <col min="11" max="11" width="23.6640625" style="25" hidden="1" customWidth="1"/>
    <col min="12" max="12" width="15.77734375" style="10" hidden="1" customWidth="1"/>
    <col min="13" max="13" width="17.6640625" style="9" hidden="1" customWidth="1"/>
    <col min="14" max="14" width="13.6640625" style="9" hidden="1" customWidth="1"/>
    <col min="15" max="15" width="41.77734375" style="10" hidden="1" customWidth="1"/>
    <col min="16" max="16" width="17.109375" style="9" hidden="1" customWidth="1"/>
    <col min="17" max="17" width="41.77734375" style="10" hidden="1" customWidth="1"/>
    <col min="18" max="18" width="17.109375" style="9" hidden="1" customWidth="1"/>
    <col min="19" max="19" width="16.21875" style="9" hidden="1" customWidth="1"/>
    <col min="20" max="20" width="17.33203125" style="9" hidden="1" customWidth="1"/>
    <col min="21" max="21" width="17.109375" style="10" customWidth="1"/>
    <col min="22" max="22" width="30.88671875" style="10" hidden="1" customWidth="1"/>
    <col min="23" max="23" width="38.33203125" style="10" customWidth="1"/>
    <col min="24" max="16384" width="11.5546875" style="10"/>
  </cols>
  <sheetData>
    <row r="1" spans="1:23" ht="19.95" customHeight="1" x14ac:dyDescent="0.3">
      <c r="E1" s="155" t="s">
        <v>200</v>
      </c>
      <c r="F1" s="155"/>
      <c r="G1" s="141"/>
      <c r="K1" s="25" t="s">
        <v>174</v>
      </c>
    </row>
    <row r="2" spans="1:23" s="7" customFormat="1" ht="60" customHeight="1" x14ac:dyDescent="0.3">
      <c r="A2" s="4" t="s">
        <v>0</v>
      </c>
      <c r="B2" s="4" t="s">
        <v>1</v>
      </c>
      <c r="C2" s="4" t="s">
        <v>24</v>
      </c>
      <c r="D2" s="68" t="s">
        <v>22</v>
      </c>
      <c r="E2" s="105" t="s">
        <v>156</v>
      </c>
      <c r="F2" s="105" t="s">
        <v>159</v>
      </c>
      <c r="G2" s="142" t="s">
        <v>234</v>
      </c>
      <c r="H2" s="104" t="s">
        <v>59</v>
      </c>
      <c r="I2" s="71" t="s">
        <v>46</v>
      </c>
      <c r="J2" s="64" t="s">
        <v>46</v>
      </c>
      <c r="K2" s="74" t="s">
        <v>45</v>
      </c>
      <c r="L2" s="66" t="s">
        <v>63</v>
      </c>
      <c r="M2" s="6" t="s">
        <v>64</v>
      </c>
      <c r="N2" s="61" t="s">
        <v>76</v>
      </c>
      <c r="O2" s="74" t="s">
        <v>65</v>
      </c>
      <c r="P2" s="60" t="s">
        <v>80</v>
      </c>
      <c r="Q2" s="74" t="s">
        <v>66</v>
      </c>
      <c r="R2" s="60" t="s">
        <v>81</v>
      </c>
      <c r="S2" s="61" t="s">
        <v>77</v>
      </c>
      <c r="T2" s="61" t="s">
        <v>90</v>
      </c>
      <c r="U2" s="61" t="s">
        <v>90</v>
      </c>
      <c r="V2" s="61" t="s">
        <v>91</v>
      </c>
      <c r="W2" s="89" t="s">
        <v>118</v>
      </c>
    </row>
    <row r="3" spans="1:23" s="8" customFormat="1" ht="60" hidden="1" customHeight="1" x14ac:dyDescent="0.3">
      <c r="A3" s="21">
        <v>0</v>
      </c>
      <c r="B3" s="11" t="s">
        <v>170</v>
      </c>
      <c r="C3" s="11" t="s">
        <v>25</v>
      </c>
      <c r="D3" s="69" t="s">
        <v>23</v>
      </c>
      <c r="E3" s="110" t="s">
        <v>162</v>
      </c>
      <c r="F3" s="108" t="s">
        <v>223</v>
      </c>
      <c r="G3" s="143" t="str">
        <f>ACTV!V3</f>
        <v>Crítica</v>
      </c>
      <c r="H3" s="121">
        <v>3650</v>
      </c>
      <c r="I3" s="72">
        <f>IF(H3&lt;=4, 20%, IF(H3&lt;=12, 40%, IF(H3&lt;=365, 60%, IF(H3&lt;=3660, 80%, 100%))))</f>
        <v>0.8</v>
      </c>
      <c r="J3" s="65" t="str">
        <f>IF(I3&lt;=20%,"Muy baja",IF(I3&lt;=40%,"Baja",IF(I3&lt;=60%,"Media",IF(I3&lt;=80%,"Alta","Muy alta"))))</f>
        <v>Alta</v>
      </c>
      <c r="K3" s="122">
        <v>300000</v>
      </c>
      <c r="L3" s="67">
        <v>1300000</v>
      </c>
      <c r="M3" s="26">
        <f t="shared" ref="M3:M35" si="0">K3/L3</f>
        <v>0.23076923076923078</v>
      </c>
      <c r="N3" s="75">
        <f>IF(M3&lt;0.13, 20%, IF(M3&lt;0.26, 40%, IF(M3&lt;0.4, 60%, IF(M3&lt;0.53, 80%, 100%))))</f>
        <v>0.4</v>
      </c>
      <c r="O3" s="77" t="s">
        <v>67</v>
      </c>
      <c r="P3" s="78">
        <f>IF(O3="Sólo de conocimiento de la emprendedora",10%,IF(O3="No se registra incumplimiento regulatorio",10%,IF(O3="De conocimiento de algunos familiares, amigos y proveedores",20%,IF(O3="Genera recomendación de organismo regulatorio",20%,IF(O3="Afecta la imagen con algunos clientes",30%,IF(O3="Requerimiento del organismo regulatorio",30%,IF(O3="Deterioro de la imagen a nivel regional",40%,IF(O3="Llamado de atención del organismo regulatorio",40%,IF(O3="Deterioro de la imagen a nivel nacional",50%,IF(O3="Sanción de organismo regulatorio",50%,"No válido"))))))))))</f>
        <v>0.1</v>
      </c>
      <c r="Q3" s="77" t="s">
        <v>68</v>
      </c>
      <c r="R3" s="76">
        <f>IF(Q3="Sólo de conocimiento de la emprendedora",10%,IF(Q3="No se registra incumplimiento regulatorio",10%,IF(Q3="De conocimiento de algunos familiares, amigos y proveedores",20%,IF(Q3="Genera recomendación de organismo regulatorio",20%,IF(Q3="Afecta imagen con algunos clientes",30%,IF(Q3="Requerimiento del organismo regulatorio",30%,IF(Q3="Deterioro de la imagen a nivel regional",40%,IF(Q3="Llamado de atención del organismo regulatorio",40%,IF(Q3="Deterioro de la imagen a nivel nacional",50%,IF(Q3="Sanción de organismo regulatorio",50%,"No válido"))))))))))</f>
        <v>0.1</v>
      </c>
      <c r="S3" s="30">
        <f>P3+R3</f>
        <v>0.2</v>
      </c>
      <c r="T3" s="62">
        <f>MAX(N3, S3)</f>
        <v>0.4</v>
      </c>
      <c r="U3" s="63" t="str">
        <f>IF(T3&lt;=20%,"Insignificante",IF(T3&lt;=40%,"Menor",IF(T3&lt;=60%,"Moderado",IF(T3&lt;=80%,"Importante","Mayor"))))</f>
        <v>Menor</v>
      </c>
      <c r="V3" s="31" t="str">
        <f>CONCATENATE(J3, " ", U3)</f>
        <v>Alta Menor</v>
      </c>
      <c r="W3" s="88" t="str">
        <f>IF(V3="Muy baja Insignificante","Baja",
 IF(V3="Baja Insignificante","Baja",
 IF(V3="Media Insignificante","Media",
 IF(V3="Alta Insignificante","Media",
 IF(V3="Muy alta Insignificante","Alta",
 IF(V3="Muy baja Menor","Baja",
 IF(V3="Baja Menor","Media",
 IF(V3="Media Menor","Media",
 IF(V3="Alta Menor","Media",
 IF(V3="Muy alta Menor","Alta",
 IF(V3="Muy baja Moderado","Media",
 IF(V3="Baja Moderado","Media",
 IF(V3="Media Moderado","Media",
 IF(V3="Alta Moderado","Alta",
 IF(V3="Muy alta Moderado","Alta",
 IF(V3="Muy baja Importante","Alta",
 IF(V3="Baja Importante","Alta",
 IF(V3="Media Importante","Alta",
 IF(V3="Alta Importante","Alta",
 IF(V3="Muy alta Importante","Alta",
 IF(V3="Muy baja Mayor","Crítica",
 IF(V3="Baja Mayor","Crítica",
 IF(V3="Media Mayor","Crítica",
 IF(V3="Alta Mayor","Crítica",
 IF(V3="Muy alta Mayor","Crítica","")))))))))))))))))))))))))</f>
        <v>Media</v>
      </c>
    </row>
    <row r="4" spans="1:23" s="8" customFormat="1" ht="60" hidden="1" customHeight="1" x14ac:dyDescent="0.3">
      <c r="A4" s="21">
        <v>1</v>
      </c>
      <c r="B4" s="11" t="s">
        <v>175</v>
      </c>
      <c r="C4" s="11" t="s">
        <v>43</v>
      </c>
      <c r="D4" s="69" t="s">
        <v>26</v>
      </c>
      <c r="E4" s="110" t="s">
        <v>162</v>
      </c>
      <c r="F4" s="108"/>
      <c r="G4" s="143" t="str">
        <f>ACTV!V4</f>
        <v>Crítica</v>
      </c>
      <c r="H4" s="107">
        <v>3</v>
      </c>
      <c r="I4" s="72">
        <f t="shared" ref="I4:I35" si="1">IF(H4&lt;=4, 20%, IF(H4&lt;=12, 40%, IF(H4&lt;=365, 60%, IF(H4&lt;=3660, 80%, 100%))))</f>
        <v>0.2</v>
      </c>
      <c r="J4" s="65" t="str">
        <f t="shared" ref="J4:J35" si="2">IF(I4&lt;=20%,"Muy baja",IF(I4&lt;=40%,"Baja",IF(I4&lt;=60%,"Media",IF(I4&lt;=80%,"Alta","Muy alta"))))</f>
        <v>Muy baja</v>
      </c>
      <c r="K4" s="73">
        <v>100000</v>
      </c>
      <c r="L4" s="67">
        <v>1300000</v>
      </c>
      <c r="M4" s="26">
        <f t="shared" si="0"/>
        <v>7.6923076923076927E-2</v>
      </c>
      <c r="N4" s="75">
        <f t="shared" ref="N4:N35" si="3">IF(M4&lt;0.13, 20%, IF(M4&lt;0.26, 40%, IF(M4&lt;0.4, 60%, IF(M4&lt;0.53, 80%, 100%))))</f>
        <v>0.2</v>
      </c>
      <c r="O4" s="77" t="s">
        <v>67</v>
      </c>
      <c r="P4" s="78">
        <f t="shared" ref="P4:P35" si="4">IF(O4="Sólo de conocimiento de la emprendedora",10%,IF(O4="No se registra incumplimiento regulatorio",10%,IF(O4="De conocimiento de algunos familiares, amigos y proveedores",20%,IF(O4="Genera recomendación de organismo regulatorio",20%,IF(O4="Afecta la imagen con algunos clientes",30%,IF(O4="Requerimiento del organismo regulatorio",30%,IF(O4="Deterioro de la imagen a nivel regional",40%,IF(O4="Llamado de atención del organismo regulatorio",40%,IF(O4="Deterioro de la imagen a nivel nacional",50%,IF(O4="Sanción de organismo regulatorio",50%,"No válido"))))))))))</f>
        <v>0.1</v>
      </c>
      <c r="Q4" s="77" t="s">
        <v>68</v>
      </c>
      <c r="R4" s="76">
        <f t="shared" ref="R4:R35" si="5">IF(Q4="Sólo de conocimiento de la emprendedora",10%,IF(Q4="No se registra incumplimiento regulatorio",10%,IF(Q4="De conocimiento de algunos familiares, amigos y proveedores",20%,IF(Q4="Genera recomendación de organismo regulatorio",20%,IF(Q4="Afecta imagen con algunos clientes",30%,IF(Q4="Requerimiento del organismo regulatorio",30%,IF(Q4="Deterioro de la imagen a nivel regional",40%,IF(Q4="Llamado de atención del organismo regulatorio",40%,IF(Q4="Deterioro de la imagen a nivel nacional",50%,IF(Q4="Sanción de organismo regulatorio",50%,"No válido"))))))))))</f>
        <v>0.1</v>
      </c>
      <c r="S4" s="30">
        <f t="shared" ref="S4:S35" si="6">P4+R4</f>
        <v>0.2</v>
      </c>
      <c r="T4" s="62">
        <f t="shared" ref="T4:T35" si="7">MAX(N4, S4)</f>
        <v>0.2</v>
      </c>
      <c r="U4" s="63" t="str">
        <f t="shared" ref="U4:U35" si="8">IF(T4&lt;=20%,"Insignificante",IF(T4&lt;=40%,"Menor",IF(T4&lt;=60%,"Moderado",IF(T4&lt;=80%,"Importante","Mayor"))))</f>
        <v>Insignificante</v>
      </c>
      <c r="V4" s="31" t="str">
        <f t="shared" ref="V4:V35" si="9">CONCATENATE(J4, " ", U4)</f>
        <v>Muy baja Insignificante</v>
      </c>
      <c r="W4" s="88" t="str">
        <f t="shared" ref="W4:W35" si="10">IF(V4="Muy baja Insignificante","Baja",
 IF(V4="Baja Insignificante","Baja",
 IF(V4="Media Insignificante","Media",
 IF(V4="Alta Insignificante","Media",
 IF(V4="Muy alta Insignificante","Alta",
 IF(V4="Muy baja Menor","Baja",
 IF(V4="Baja Menor","Media",
 IF(V4="Media Menor","Media",
 IF(V4="Alta Menor","Media",
 IF(V4="Muy alta Menor","Alta",
 IF(V4="Muy baja Moderado","Media",
 IF(V4="Baja Moderado","Media",
 IF(V4="Media Moderado","Media",
 IF(V4="Alta Moderado","Alta",
 IF(V4="Muy alta Moderado","Alta",
 IF(V4="Muy baja Importante","Alta",
 IF(V4="Baja Importante","Alta",
 IF(V4="Media Importante","Alta",
 IF(V4="Alta Importante","Alta",
 IF(V4="Muy alta Importante","Alta",
 IF(V4="Muy baja Mayor","Crítica",
 IF(V4="Baja Mayor","Crítica",
 IF(V4="Media Mayor","Crítica",
 IF(V4="Alta Mayor","Crítica",
 IF(V4="Muy alta Mayor","Crítica","")))))))))))))))))))))))))</f>
        <v>Baja</v>
      </c>
    </row>
    <row r="5" spans="1:23" s="8" customFormat="1" ht="60" hidden="1" customHeight="1" x14ac:dyDescent="0.3">
      <c r="A5" s="21">
        <v>2</v>
      </c>
      <c r="B5" s="11" t="s">
        <v>2</v>
      </c>
      <c r="C5" s="11" t="s">
        <v>43</v>
      </c>
      <c r="D5" s="69" t="s">
        <v>27</v>
      </c>
      <c r="E5" s="110" t="s">
        <v>160</v>
      </c>
      <c r="F5" s="108" t="s">
        <v>224</v>
      </c>
      <c r="G5" s="143" t="str">
        <f>ACTV!V5</f>
        <v>Crítica</v>
      </c>
      <c r="H5" s="107">
        <v>4</v>
      </c>
      <c r="I5" s="72">
        <f t="shared" si="1"/>
        <v>0.2</v>
      </c>
      <c r="J5" s="65" t="str">
        <f t="shared" si="2"/>
        <v>Muy baja</v>
      </c>
      <c r="K5" s="73">
        <v>200000</v>
      </c>
      <c r="L5" s="67">
        <v>1300000</v>
      </c>
      <c r="M5" s="26">
        <f t="shared" si="0"/>
        <v>0.15384615384615385</v>
      </c>
      <c r="N5" s="75">
        <f t="shared" si="3"/>
        <v>0.4</v>
      </c>
      <c r="O5" s="77" t="s">
        <v>69</v>
      </c>
      <c r="P5" s="78">
        <f t="shared" si="4"/>
        <v>0.2</v>
      </c>
      <c r="Q5" s="77" t="s">
        <v>68</v>
      </c>
      <c r="R5" s="76">
        <f t="shared" si="5"/>
        <v>0.1</v>
      </c>
      <c r="S5" s="30">
        <f t="shared" si="6"/>
        <v>0.30000000000000004</v>
      </c>
      <c r="T5" s="62">
        <f t="shared" si="7"/>
        <v>0.4</v>
      </c>
      <c r="U5" s="63" t="str">
        <f t="shared" si="8"/>
        <v>Menor</v>
      </c>
      <c r="V5" s="31" t="str">
        <f t="shared" si="9"/>
        <v>Muy baja Menor</v>
      </c>
      <c r="W5" s="88" t="str">
        <f t="shared" si="10"/>
        <v>Baja</v>
      </c>
    </row>
    <row r="6" spans="1:23" s="8" customFormat="1" ht="60" hidden="1" customHeight="1" x14ac:dyDescent="0.3">
      <c r="A6" s="21">
        <v>3</v>
      </c>
      <c r="B6" s="11" t="s">
        <v>3</v>
      </c>
      <c r="C6" s="11" t="s">
        <v>43</v>
      </c>
      <c r="D6" s="69" t="s">
        <v>28</v>
      </c>
      <c r="E6" s="110" t="s">
        <v>160</v>
      </c>
      <c r="F6" s="108" t="s">
        <v>225</v>
      </c>
      <c r="G6" s="143" t="str">
        <f>ACTV!V6</f>
        <v>Crítica</v>
      </c>
      <c r="H6" s="107">
        <v>4</v>
      </c>
      <c r="I6" s="72">
        <f t="shared" si="1"/>
        <v>0.2</v>
      </c>
      <c r="J6" s="65" t="str">
        <f t="shared" si="2"/>
        <v>Muy baja</v>
      </c>
      <c r="K6" s="73">
        <v>300000</v>
      </c>
      <c r="L6" s="67">
        <v>1300000</v>
      </c>
      <c r="M6" s="26">
        <f t="shared" si="0"/>
        <v>0.23076923076923078</v>
      </c>
      <c r="N6" s="75">
        <f t="shared" si="3"/>
        <v>0.4</v>
      </c>
      <c r="O6" s="77" t="s">
        <v>67</v>
      </c>
      <c r="P6" s="78">
        <f t="shared" si="4"/>
        <v>0.1</v>
      </c>
      <c r="Q6" s="77" t="s">
        <v>68</v>
      </c>
      <c r="R6" s="76">
        <f t="shared" si="5"/>
        <v>0.1</v>
      </c>
      <c r="S6" s="30">
        <f t="shared" si="6"/>
        <v>0.2</v>
      </c>
      <c r="T6" s="62">
        <f t="shared" si="7"/>
        <v>0.4</v>
      </c>
      <c r="U6" s="63" t="str">
        <f t="shared" si="8"/>
        <v>Menor</v>
      </c>
      <c r="V6" s="31" t="str">
        <f t="shared" si="9"/>
        <v>Muy baja Menor</v>
      </c>
      <c r="W6" s="88" t="str">
        <f t="shared" si="10"/>
        <v>Baja</v>
      </c>
    </row>
    <row r="7" spans="1:23" s="8" customFormat="1" ht="60" hidden="1" customHeight="1" x14ac:dyDescent="0.3">
      <c r="A7" s="21">
        <v>4</v>
      </c>
      <c r="B7" s="11" t="s">
        <v>4</v>
      </c>
      <c r="C7" s="11" t="s">
        <v>43</v>
      </c>
      <c r="D7" s="69" t="s">
        <v>29</v>
      </c>
      <c r="E7" s="110" t="s">
        <v>161</v>
      </c>
      <c r="F7" s="108" t="s">
        <v>225</v>
      </c>
      <c r="G7" s="143" t="str">
        <f>ACTV!V7</f>
        <v>Crítica</v>
      </c>
      <c r="H7" s="145">
        <v>12</v>
      </c>
      <c r="I7" s="72">
        <f t="shared" si="1"/>
        <v>0.4</v>
      </c>
      <c r="J7" s="65" t="str">
        <f t="shared" si="2"/>
        <v>Baja</v>
      </c>
      <c r="K7" s="146">
        <v>1500000</v>
      </c>
      <c r="L7" s="67">
        <v>1300000</v>
      </c>
      <c r="M7" s="26">
        <f t="shared" si="0"/>
        <v>1.1538461538461537</v>
      </c>
      <c r="N7" s="75">
        <f t="shared" si="3"/>
        <v>1</v>
      </c>
      <c r="O7" s="77" t="s">
        <v>82</v>
      </c>
      <c r="P7" s="78">
        <f t="shared" si="4"/>
        <v>0.3</v>
      </c>
      <c r="Q7" s="77" t="s">
        <v>68</v>
      </c>
      <c r="R7" s="76">
        <f t="shared" si="5"/>
        <v>0.1</v>
      </c>
      <c r="S7" s="30">
        <f t="shared" si="6"/>
        <v>0.4</v>
      </c>
      <c r="T7" s="62">
        <f t="shared" si="7"/>
        <v>1</v>
      </c>
      <c r="U7" s="63" t="str">
        <f t="shared" si="8"/>
        <v>Mayor</v>
      </c>
      <c r="V7" s="31" t="str">
        <f t="shared" si="9"/>
        <v>Baja Mayor</v>
      </c>
      <c r="W7" s="88" t="str">
        <f t="shared" si="10"/>
        <v>Crítica</v>
      </c>
    </row>
    <row r="8" spans="1:23" s="8" customFormat="1" ht="60" hidden="1" customHeight="1" x14ac:dyDescent="0.3">
      <c r="A8" s="21">
        <v>5</v>
      </c>
      <c r="B8" s="11" t="s">
        <v>5</v>
      </c>
      <c r="C8" s="11" t="s">
        <v>44</v>
      </c>
      <c r="D8" s="69" t="s">
        <v>30</v>
      </c>
      <c r="E8" s="110" t="s">
        <v>162</v>
      </c>
      <c r="F8" s="108"/>
      <c r="G8" s="143" t="str">
        <f>ACTV!V8</f>
        <v>Media</v>
      </c>
      <c r="H8" s="107">
        <v>2</v>
      </c>
      <c r="I8" s="72">
        <f t="shared" si="1"/>
        <v>0.2</v>
      </c>
      <c r="J8" s="65" t="str">
        <f t="shared" si="2"/>
        <v>Muy baja</v>
      </c>
      <c r="K8" s="73">
        <v>200000</v>
      </c>
      <c r="L8" s="67">
        <v>1300000</v>
      </c>
      <c r="M8" s="26">
        <f t="shared" si="0"/>
        <v>0.15384615384615385</v>
      </c>
      <c r="N8" s="75">
        <f t="shared" si="3"/>
        <v>0.4</v>
      </c>
      <c r="O8" s="77" t="s">
        <v>67</v>
      </c>
      <c r="P8" s="78">
        <f t="shared" si="4"/>
        <v>0.1</v>
      </c>
      <c r="Q8" s="77" t="s">
        <v>68</v>
      </c>
      <c r="R8" s="76">
        <f t="shared" si="5"/>
        <v>0.1</v>
      </c>
      <c r="S8" s="30">
        <f t="shared" si="6"/>
        <v>0.2</v>
      </c>
      <c r="T8" s="62">
        <f t="shared" si="7"/>
        <v>0.4</v>
      </c>
      <c r="U8" s="63" t="str">
        <f t="shared" si="8"/>
        <v>Menor</v>
      </c>
      <c r="V8" s="31" t="str">
        <f t="shared" si="9"/>
        <v>Muy baja Menor</v>
      </c>
      <c r="W8" s="88" t="str">
        <f t="shared" si="10"/>
        <v>Baja</v>
      </c>
    </row>
    <row r="9" spans="1:23" s="8" customFormat="1" ht="60" hidden="1" customHeight="1" x14ac:dyDescent="0.3">
      <c r="A9" s="21">
        <v>6</v>
      </c>
      <c r="B9" s="11" t="s">
        <v>6</v>
      </c>
      <c r="C9" s="11" t="s">
        <v>43</v>
      </c>
      <c r="D9" s="69" t="s">
        <v>31</v>
      </c>
      <c r="E9" s="110" t="s">
        <v>162</v>
      </c>
      <c r="F9" s="108"/>
      <c r="G9" s="143" t="str">
        <f>ACTV!V9</f>
        <v>Alta</v>
      </c>
      <c r="H9" s="107">
        <v>2</v>
      </c>
      <c r="I9" s="72">
        <f t="shared" si="1"/>
        <v>0.2</v>
      </c>
      <c r="J9" s="65" t="str">
        <f t="shared" si="2"/>
        <v>Muy baja</v>
      </c>
      <c r="K9" s="73">
        <v>300000</v>
      </c>
      <c r="L9" s="67">
        <v>1300000</v>
      </c>
      <c r="M9" s="26">
        <f t="shared" si="0"/>
        <v>0.23076923076923078</v>
      </c>
      <c r="N9" s="75">
        <f t="shared" si="3"/>
        <v>0.4</v>
      </c>
      <c r="O9" s="77" t="s">
        <v>67</v>
      </c>
      <c r="P9" s="78">
        <f t="shared" si="4"/>
        <v>0.1</v>
      </c>
      <c r="Q9" s="77" t="s">
        <v>68</v>
      </c>
      <c r="R9" s="76">
        <f t="shared" si="5"/>
        <v>0.1</v>
      </c>
      <c r="S9" s="30">
        <f t="shared" si="6"/>
        <v>0.2</v>
      </c>
      <c r="T9" s="62">
        <f t="shared" si="7"/>
        <v>0.4</v>
      </c>
      <c r="U9" s="63" t="str">
        <f t="shared" si="8"/>
        <v>Menor</v>
      </c>
      <c r="V9" s="31" t="str">
        <f t="shared" si="9"/>
        <v>Muy baja Menor</v>
      </c>
      <c r="W9" s="88" t="str">
        <f t="shared" si="10"/>
        <v>Baja</v>
      </c>
    </row>
    <row r="10" spans="1:23" s="8" customFormat="1" ht="60" hidden="1" customHeight="1" x14ac:dyDescent="0.3">
      <c r="A10" s="21">
        <v>7</v>
      </c>
      <c r="B10" s="11" t="s">
        <v>176</v>
      </c>
      <c r="C10" s="11" t="s">
        <v>25</v>
      </c>
      <c r="D10" s="69" t="s">
        <v>32</v>
      </c>
      <c r="E10" s="110" t="s">
        <v>161</v>
      </c>
      <c r="F10" s="108" t="s">
        <v>225</v>
      </c>
      <c r="G10" s="143" t="str">
        <f>ACTV!V10</f>
        <v>Alta</v>
      </c>
      <c r="H10" s="145">
        <v>6</v>
      </c>
      <c r="I10" s="72">
        <f t="shared" si="1"/>
        <v>0.4</v>
      </c>
      <c r="J10" s="65" t="str">
        <f t="shared" si="2"/>
        <v>Baja</v>
      </c>
      <c r="K10" s="146">
        <v>600000</v>
      </c>
      <c r="L10" s="67">
        <v>1300000</v>
      </c>
      <c r="M10" s="26">
        <f t="shared" si="0"/>
        <v>0.46153846153846156</v>
      </c>
      <c r="N10" s="75">
        <f t="shared" si="3"/>
        <v>0.8</v>
      </c>
      <c r="O10" s="77" t="s">
        <v>67</v>
      </c>
      <c r="P10" s="78">
        <f t="shared" si="4"/>
        <v>0.1</v>
      </c>
      <c r="Q10" s="77" t="s">
        <v>68</v>
      </c>
      <c r="R10" s="76">
        <f t="shared" si="5"/>
        <v>0.1</v>
      </c>
      <c r="S10" s="30">
        <f t="shared" si="6"/>
        <v>0.2</v>
      </c>
      <c r="T10" s="62">
        <f t="shared" si="7"/>
        <v>0.8</v>
      </c>
      <c r="U10" s="63" t="str">
        <f t="shared" si="8"/>
        <v>Importante</v>
      </c>
      <c r="V10" s="31" t="str">
        <f t="shared" si="9"/>
        <v>Baja Importante</v>
      </c>
      <c r="W10" s="88" t="str">
        <f t="shared" si="10"/>
        <v>Alta</v>
      </c>
    </row>
    <row r="11" spans="1:23" s="8" customFormat="1" ht="60" hidden="1" customHeight="1" x14ac:dyDescent="0.3">
      <c r="A11" s="21">
        <v>8</v>
      </c>
      <c r="B11" s="11" t="s">
        <v>177</v>
      </c>
      <c r="C11" s="11" t="s">
        <v>43</v>
      </c>
      <c r="D11" s="69" t="s">
        <v>33</v>
      </c>
      <c r="E11" s="110" t="s">
        <v>160</v>
      </c>
      <c r="F11" s="108"/>
      <c r="G11" s="143" t="str">
        <f>ACTV!V11</f>
        <v>Crítica</v>
      </c>
      <c r="H11" s="107">
        <v>3</v>
      </c>
      <c r="I11" s="72">
        <f t="shared" si="1"/>
        <v>0.2</v>
      </c>
      <c r="J11" s="65" t="str">
        <f t="shared" si="2"/>
        <v>Muy baja</v>
      </c>
      <c r="K11" s="73">
        <v>300000</v>
      </c>
      <c r="L11" s="67">
        <v>1300000</v>
      </c>
      <c r="M11" s="26">
        <f t="shared" si="0"/>
        <v>0.23076923076923078</v>
      </c>
      <c r="N11" s="75">
        <f t="shared" si="3"/>
        <v>0.4</v>
      </c>
      <c r="O11" s="77" t="s">
        <v>69</v>
      </c>
      <c r="P11" s="78">
        <f t="shared" si="4"/>
        <v>0.2</v>
      </c>
      <c r="Q11" s="77" t="s">
        <v>68</v>
      </c>
      <c r="R11" s="76">
        <f t="shared" si="5"/>
        <v>0.1</v>
      </c>
      <c r="S11" s="30">
        <f t="shared" si="6"/>
        <v>0.30000000000000004</v>
      </c>
      <c r="T11" s="62">
        <f t="shared" si="7"/>
        <v>0.4</v>
      </c>
      <c r="U11" s="63" t="str">
        <f t="shared" si="8"/>
        <v>Menor</v>
      </c>
      <c r="V11" s="31" t="str">
        <f t="shared" si="9"/>
        <v>Muy baja Menor</v>
      </c>
      <c r="W11" s="88" t="str">
        <f t="shared" si="10"/>
        <v>Baja</v>
      </c>
    </row>
    <row r="12" spans="1:23" s="8" customFormat="1" ht="60" hidden="1" customHeight="1" x14ac:dyDescent="0.3">
      <c r="A12" s="21">
        <v>9</v>
      </c>
      <c r="B12" s="11" t="s">
        <v>7</v>
      </c>
      <c r="C12" s="11" t="s">
        <v>43</v>
      </c>
      <c r="D12" s="69" t="s">
        <v>213</v>
      </c>
      <c r="E12" s="110" t="s">
        <v>161</v>
      </c>
      <c r="F12" s="108" t="s">
        <v>227</v>
      </c>
      <c r="G12" s="143" t="str">
        <f>ACTV!V12</f>
        <v>Crítica</v>
      </c>
      <c r="H12" s="145">
        <v>12</v>
      </c>
      <c r="I12" s="72">
        <f t="shared" si="1"/>
        <v>0.4</v>
      </c>
      <c r="J12" s="65" t="str">
        <f t="shared" si="2"/>
        <v>Baja</v>
      </c>
      <c r="K12" s="146">
        <v>1500000</v>
      </c>
      <c r="L12" s="67">
        <v>1300000</v>
      </c>
      <c r="M12" s="26">
        <f t="shared" si="0"/>
        <v>1.1538461538461537</v>
      </c>
      <c r="N12" s="75">
        <f t="shared" si="3"/>
        <v>1</v>
      </c>
      <c r="O12" s="77" t="s">
        <v>82</v>
      </c>
      <c r="P12" s="78">
        <f t="shared" si="4"/>
        <v>0.3</v>
      </c>
      <c r="Q12" s="77" t="s">
        <v>68</v>
      </c>
      <c r="R12" s="76">
        <f t="shared" si="5"/>
        <v>0.1</v>
      </c>
      <c r="S12" s="30">
        <f t="shared" si="6"/>
        <v>0.4</v>
      </c>
      <c r="T12" s="62">
        <f t="shared" si="7"/>
        <v>1</v>
      </c>
      <c r="U12" s="63" t="str">
        <f t="shared" si="8"/>
        <v>Mayor</v>
      </c>
      <c r="V12" s="31" t="str">
        <f t="shared" si="9"/>
        <v>Baja Mayor</v>
      </c>
      <c r="W12" s="88" t="str">
        <f t="shared" si="10"/>
        <v>Crítica</v>
      </c>
    </row>
    <row r="13" spans="1:23" s="8" customFormat="1" ht="60" hidden="1" customHeight="1" x14ac:dyDescent="0.3">
      <c r="A13" s="111">
        <v>10</v>
      </c>
      <c r="B13" s="11" t="s">
        <v>178</v>
      </c>
      <c r="C13" s="11" t="s">
        <v>43</v>
      </c>
      <c r="D13" s="69" t="s">
        <v>179</v>
      </c>
      <c r="E13" s="110" t="s">
        <v>161</v>
      </c>
      <c r="F13" s="108" t="s">
        <v>225</v>
      </c>
      <c r="G13" s="143" t="str">
        <f>ACTV!V13</f>
        <v>Crítica</v>
      </c>
      <c r="H13" s="145">
        <v>12</v>
      </c>
      <c r="I13" s="72">
        <f t="shared" si="1"/>
        <v>0.4</v>
      </c>
      <c r="J13" s="65" t="str">
        <f t="shared" si="2"/>
        <v>Baja</v>
      </c>
      <c r="K13" s="146">
        <v>1500000</v>
      </c>
      <c r="L13" s="67">
        <v>1300000</v>
      </c>
      <c r="M13" s="26">
        <f t="shared" si="0"/>
        <v>1.1538461538461537</v>
      </c>
      <c r="N13" s="75">
        <f t="shared" si="3"/>
        <v>1</v>
      </c>
      <c r="O13" s="77" t="s">
        <v>67</v>
      </c>
      <c r="P13" s="78">
        <f t="shared" si="4"/>
        <v>0.1</v>
      </c>
      <c r="Q13" s="77" t="s">
        <v>68</v>
      </c>
      <c r="R13" s="76">
        <f t="shared" si="5"/>
        <v>0.1</v>
      </c>
      <c r="S13" s="30">
        <f t="shared" si="6"/>
        <v>0.2</v>
      </c>
      <c r="T13" s="62">
        <f t="shared" si="7"/>
        <v>1</v>
      </c>
      <c r="U13" s="63" t="str">
        <f t="shared" si="8"/>
        <v>Mayor</v>
      </c>
      <c r="V13" s="31" t="str">
        <f t="shared" si="9"/>
        <v>Baja Mayor</v>
      </c>
      <c r="W13" s="88" t="str">
        <f t="shared" si="10"/>
        <v>Crítica</v>
      </c>
    </row>
    <row r="14" spans="1:23" s="8" customFormat="1" ht="60" hidden="1" customHeight="1" x14ac:dyDescent="0.3">
      <c r="A14" s="21">
        <v>11</v>
      </c>
      <c r="B14" s="11" t="s">
        <v>8</v>
      </c>
      <c r="C14" s="11" t="s">
        <v>43</v>
      </c>
      <c r="D14" s="69" t="s">
        <v>34</v>
      </c>
      <c r="E14" s="110" t="s">
        <v>160</v>
      </c>
      <c r="F14" s="108" t="s">
        <v>226</v>
      </c>
      <c r="G14" s="143" t="str">
        <f>ACTV!V14</f>
        <v>Alta</v>
      </c>
      <c r="H14" s="107">
        <v>2</v>
      </c>
      <c r="I14" s="72">
        <f t="shared" si="1"/>
        <v>0.2</v>
      </c>
      <c r="J14" s="65" t="str">
        <f t="shared" si="2"/>
        <v>Muy baja</v>
      </c>
      <c r="K14" s="73">
        <v>200000</v>
      </c>
      <c r="L14" s="67">
        <v>1300000</v>
      </c>
      <c r="M14" s="26">
        <f t="shared" si="0"/>
        <v>0.15384615384615385</v>
      </c>
      <c r="N14" s="75">
        <f t="shared" si="3"/>
        <v>0.4</v>
      </c>
      <c r="O14" s="77" t="s">
        <v>67</v>
      </c>
      <c r="P14" s="78">
        <f t="shared" si="4"/>
        <v>0.1</v>
      </c>
      <c r="Q14" s="77" t="s">
        <v>68</v>
      </c>
      <c r="R14" s="76">
        <f t="shared" si="5"/>
        <v>0.1</v>
      </c>
      <c r="S14" s="30">
        <f t="shared" si="6"/>
        <v>0.2</v>
      </c>
      <c r="T14" s="62">
        <f t="shared" si="7"/>
        <v>0.4</v>
      </c>
      <c r="U14" s="63" t="str">
        <f t="shared" si="8"/>
        <v>Menor</v>
      </c>
      <c r="V14" s="31" t="str">
        <f t="shared" si="9"/>
        <v>Muy baja Menor</v>
      </c>
      <c r="W14" s="88" t="str">
        <f t="shared" si="10"/>
        <v>Baja</v>
      </c>
    </row>
    <row r="15" spans="1:23" s="8" customFormat="1" ht="60" hidden="1" customHeight="1" x14ac:dyDescent="0.3">
      <c r="A15" s="21">
        <v>12</v>
      </c>
      <c r="B15" s="11" t="s">
        <v>9</v>
      </c>
      <c r="C15" s="11" t="s">
        <v>25</v>
      </c>
      <c r="D15" s="69" t="s">
        <v>35</v>
      </c>
      <c r="E15" s="110" t="s">
        <v>160</v>
      </c>
      <c r="F15" s="108" t="s">
        <v>227</v>
      </c>
      <c r="G15" s="143" t="str">
        <f>ACTV!V15</f>
        <v>Media</v>
      </c>
      <c r="H15" s="107">
        <v>3</v>
      </c>
      <c r="I15" s="72">
        <f t="shared" si="1"/>
        <v>0.2</v>
      </c>
      <c r="J15" s="65" t="str">
        <f t="shared" si="2"/>
        <v>Muy baja</v>
      </c>
      <c r="K15" s="73">
        <v>300000</v>
      </c>
      <c r="L15" s="67">
        <v>1300000</v>
      </c>
      <c r="M15" s="26">
        <f t="shared" si="0"/>
        <v>0.23076923076923078</v>
      </c>
      <c r="N15" s="75">
        <f t="shared" si="3"/>
        <v>0.4</v>
      </c>
      <c r="O15" s="77" t="s">
        <v>67</v>
      </c>
      <c r="P15" s="78">
        <f t="shared" si="4"/>
        <v>0.1</v>
      </c>
      <c r="Q15" s="77" t="s">
        <v>68</v>
      </c>
      <c r="R15" s="76">
        <f t="shared" si="5"/>
        <v>0.1</v>
      </c>
      <c r="S15" s="30">
        <f t="shared" si="6"/>
        <v>0.2</v>
      </c>
      <c r="T15" s="62">
        <f t="shared" si="7"/>
        <v>0.4</v>
      </c>
      <c r="U15" s="63" t="str">
        <f t="shared" si="8"/>
        <v>Menor</v>
      </c>
      <c r="V15" s="31" t="str">
        <f t="shared" si="9"/>
        <v>Muy baja Menor</v>
      </c>
      <c r="W15" s="88" t="str">
        <f t="shared" si="10"/>
        <v>Baja</v>
      </c>
    </row>
    <row r="16" spans="1:23" s="8" customFormat="1" ht="60" hidden="1" customHeight="1" x14ac:dyDescent="0.3">
      <c r="A16" s="21">
        <v>13</v>
      </c>
      <c r="B16" s="11" t="s">
        <v>180</v>
      </c>
      <c r="C16" s="11" t="s">
        <v>25</v>
      </c>
      <c r="D16" s="69" t="s">
        <v>181</v>
      </c>
      <c r="E16" s="110" t="s">
        <v>161</v>
      </c>
      <c r="F16" s="109" t="s">
        <v>225</v>
      </c>
      <c r="G16" s="143" t="str">
        <f>ACTV!V16</f>
        <v>Alta</v>
      </c>
      <c r="H16" s="107"/>
      <c r="I16" s="72">
        <f t="shared" si="1"/>
        <v>0.2</v>
      </c>
      <c r="J16" s="65" t="str">
        <f t="shared" si="2"/>
        <v>Muy baja</v>
      </c>
      <c r="K16" s="146">
        <v>600000</v>
      </c>
      <c r="L16" s="67">
        <v>1300000</v>
      </c>
      <c r="M16" s="26">
        <f t="shared" si="0"/>
        <v>0.46153846153846156</v>
      </c>
      <c r="N16" s="75">
        <f t="shared" si="3"/>
        <v>0.8</v>
      </c>
      <c r="O16" s="77" t="s">
        <v>67</v>
      </c>
      <c r="P16" s="78">
        <f t="shared" si="4"/>
        <v>0.1</v>
      </c>
      <c r="Q16" s="77" t="s">
        <v>75</v>
      </c>
      <c r="R16" s="76">
        <f t="shared" si="5"/>
        <v>0.5</v>
      </c>
      <c r="S16" s="30">
        <f t="shared" si="6"/>
        <v>0.6</v>
      </c>
      <c r="T16" s="62">
        <f t="shared" si="7"/>
        <v>0.8</v>
      </c>
      <c r="U16" s="63" t="str">
        <f t="shared" si="8"/>
        <v>Importante</v>
      </c>
      <c r="V16" s="31" t="str">
        <f t="shared" si="9"/>
        <v>Muy baja Importante</v>
      </c>
      <c r="W16" s="88" t="str">
        <f t="shared" si="10"/>
        <v>Alta</v>
      </c>
    </row>
    <row r="17" spans="1:23" s="8" customFormat="1" ht="60" hidden="1" customHeight="1" x14ac:dyDescent="0.3">
      <c r="A17" s="21">
        <v>14</v>
      </c>
      <c r="B17" s="11" t="s">
        <v>11</v>
      </c>
      <c r="C17" s="156" t="s">
        <v>43</v>
      </c>
      <c r="D17" s="158" t="s">
        <v>182</v>
      </c>
      <c r="E17" s="110" t="s">
        <v>162</v>
      </c>
      <c r="F17" s="108"/>
      <c r="G17" s="143" t="str">
        <f>ACTV!V17</f>
        <v>Crítica</v>
      </c>
      <c r="H17" s="107">
        <v>2</v>
      </c>
      <c r="I17" s="72">
        <f t="shared" si="1"/>
        <v>0.2</v>
      </c>
      <c r="J17" s="65" t="str">
        <f t="shared" si="2"/>
        <v>Muy baja</v>
      </c>
      <c r="K17" s="73">
        <v>400000</v>
      </c>
      <c r="L17" s="67">
        <v>1300000</v>
      </c>
      <c r="M17" s="26">
        <f t="shared" si="0"/>
        <v>0.30769230769230771</v>
      </c>
      <c r="N17" s="75">
        <f t="shared" si="3"/>
        <v>0.6</v>
      </c>
      <c r="O17" s="77" t="s">
        <v>67</v>
      </c>
      <c r="P17" s="78">
        <f t="shared" si="4"/>
        <v>0.1</v>
      </c>
      <c r="Q17" s="77" t="s">
        <v>68</v>
      </c>
      <c r="R17" s="76">
        <f t="shared" si="5"/>
        <v>0.1</v>
      </c>
      <c r="S17" s="30">
        <f t="shared" si="6"/>
        <v>0.2</v>
      </c>
      <c r="T17" s="62">
        <f t="shared" si="7"/>
        <v>0.6</v>
      </c>
      <c r="U17" s="63" t="str">
        <f t="shared" si="8"/>
        <v>Moderado</v>
      </c>
      <c r="V17" s="31" t="str">
        <f t="shared" si="9"/>
        <v>Muy baja Moderado</v>
      </c>
      <c r="W17" s="88" t="str">
        <f t="shared" si="10"/>
        <v>Media</v>
      </c>
    </row>
    <row r="18" spans="1:23" s="8" customFormat="1" ht="60" hidden="1" customHeight="1" x14ac:dyDescent="0.3">
      <c r="A18" s="21">
        <v>15</v>
      </c>
      <c r="B18" s="11" t="s">
        <v>10</v>
      </c>
      <c r="C18" s="157"/>
      <c r="D18" s="159"/>
      <c r="E18" s="110" t="s">
        <v>161</v>
      </c>
      <c r="F18" s="108" t="s">
        <v>225</v>
      </c>
      <c r="G18" s="143" t="str">
        <f>ACTV!V18</f>
        <v>Crítica</v>
      </c>
      <c r="H18" s="145">
        <v>12</v>
      </c>
      <c r="I18" s="72">
        <f t="shared" si="1"/>
        <v>0.4</v>
      </c>
      <c r="J18" s="65" t="str">
        <f t="shared" si="2"/>
        <v>Baja</v>
      </c>
      <c r="K18" s="146">
        <v>1500000</v>
      </c>
      <c r="L18" s="67">
        <v>1423500</v>
      </c>
      <c r="M18" s="26">
        <f t="shared" si="0"/>
        <v>1.053740779768177</v>
      </c>
      <c r="N18" s="75">
        <f t="shared" si="3"/>
        <v>1</v>
      </c>
      <c r="O18" s="77" t="s">
        <v>67</v>
      </c>
      <c r="P18" s="78">
        <f t="shared" si="4"/>
        <v>0.1</v>
      </c>
      <c r="Q18" s="77" t="s">
        <v>68</v>
      </c>
      <c r="R18" s="76">
        <f t="shared" si="5"/>
        <v>0.1</v>
      </c>
      <c r="S18" s="30">
        <f t="shared" si="6"/>
        <v>0.2</v>
      </c>
      <c r="T18" s="62">
        <f t="shared" si="7"/>
        <v>1</v>
      </c>
      <c r="U18" s="63" t="str">
        <f t="shared" si="8"/>
        <v>Mayor</v>
      </c>
      <c r="V18" s="31" t="str">
        <f t="shared" si="9"/>
        <v>Baja Mayor</v>
      </c>
      <c r="W18" s="88" t="str">
        <f t="shared" si="10"/>
        <v>Crítica</v>
      </c>
    </row>
    <row r="19" spans="1:23" s="8" customFormat="1" ht="60" hidden="1" customHeight="1" x14ac:dyDescent="0.3">
      <c r="A19" s="21">
        <v>16</v>
      </c>
      <c r="B19" s="11" t="s">
        <v>184</v>
      </c>
      <c r="C19" s="112" t="s">
        <v>43</v>
      </c>
      <c r="D19" s="113" t="s">
        <v>183</v>
      </c>
      <c r="E19" s="110" t="s">
        <v>160</v>
      </c>
      <c r="F19" s="109" t="s">
        <v>225</v>
      </c>
      <c r="G19" s="143" t="str">
        <f>ACTV!V19</f>
        <v>Media</v>
      </c>
      <c r="H19" s="107">
        <v>4</v>
      </c>
      <c r="I19" s="72">
        <f t="shared" si="1"/>
        <v>0.2</v>
      </c>
      <c r="J19" s="65" t="str">
        <f t="shared" si="2"/>
        <v>Muy baja</v>
      </c>
      <c r="K19" s="73">
        <v>20000</v>
      </c>
      <c r="L19" s="67">
        <v>1300000</v>
      </c>
      <c r="M19" s="26">
        <f t="shared" si="0"/>
        <v>1.5384615384615385E-2</v>
      </c>
      <c r="N19" s="75">
        <f t="shared" si="3"/>
        <v>0.2</v>
      </c>
      <c r="O19" s="77" t="s">
        <v>67</v>
      </c>
      <c r="P19" s="78">
        <f t="shared" si="4"/>
        <v>0.1</v>
      </c>
      <c r="Q19" s="77" t="s">
        <v>68</v>
      </c>
      <c r="R19" s="76">
        <f t="shared" si="5"/>
        <v>0.1</v>
      </c>
      <c r="S19" s="30">
        <f t="shared" si="6"/>
        <v>0.2</v>
      </c>
      <c r="T19" s="62">
        <f t="shared" si="7"/>
        <v>0.2</v>
      </c>
      <c r="U19" s="63" t="str">
        <f t="shared" si="8"/>
        <v>Insignificante</v>
      </c>
      <c r="V19" s="31" t="str">
        <f t="shared" si="9"/>
        <v>Muy baja Insignificante</v>
      </c>
      <c r="W19" s="88" t="str">
        <f t="shared" si="10"/>
        <v>Baja</v>
      </c>
    </row>
    <row r="20" spans="1:23" s="8" customFormat="1" ht="60" hidden="1" customHeight="1" x14ac:dyDescent="0.3">
      <c r="A20" s="21">
        <v>17</v>
      </c>
      <c r="B20" s="11" t="s">
        <v>186</v>
      </c>
      <c r="C20" s="11" t="s">
        <v>25</v>
      </c>
      <c r="D20" s="69" t="s">
        <v>36</v>
      </c>
      <c r="E20" s="110" t="s">
        <v>160</v>
      </c>
      <c r="F20" s="108" t="s">
        <v>227</v>
      </c>
      <c r="G20" s="143" t="str">
        <f>ACTV!V20</f>
        <v>Alta</v>
      </c>
      <c r="H20" s="107">
        <v>3</v>
      </c>
      <c r="I20" s="72">
        <f t="shared" si="1"/>
        <v>0.2</v>
      </c>
      <c r="J20" s="65" t="str">
        <f t="shared" si="2"/>
        <v>Muy baja</v>
      </c>
      <c r="K20" s="73">
        <v>400000</v>
      </c>
      <c r="L20" s="67">
        <v>1423500</v>
      </c>
      <c r="M20" s="26">
        <f t="shared" si="0"/>
        <v>0.28099754127151388</v>
      </c>
      <c r="N20" s="75">
        <f t="shared" si="3"/>
        <v>0.6</v>
      </c>
      <c r="O20" s="77" t="s">
        <v>67</v>
      </c>
      <c r="P20" s="78">
        <f t="shared" si="4"/>
        <v>0.1</v>
      </c>
      <c r="Q20" s="77" t="s">
        <v>68</v>
      </c>
      <c r="R20" s="76">
        <f t="shared" si="5"/>
        <v>0.1</v>
      </c>
      <c r="S20" s="30">
        <f t="shared" si="6"/>
        <v>0.2</v>
      </c>
      <c r="T20" s="62">
        <f t="shared" si="7"/>
        <v>0.6</v>
      </c>
      <c r="U20" s="63" t="str">
        <f t="shared" si="8"/>
        <v>Moderado</v>
      </c>
      <c r="V20" s="31" t="str">
        <f t="shared" si="9"/>
        <v>Muy baja Moderado</v>
      </c>
      <c r="W20" s="88" t="str">
        <f t="shared" si="10"/>
        <v>Media</v>
      </c>
    </row>
    <row r="21" spans="1:23" s="8" customFormat="1" ht="60" hidden="1" customHeight="1" x14ac:dyDescent="0.3">
      <c r="A21" s="21">
        <v>18</v>
      </c>
      <c r="B21" s="11" t="s">
        <v>187</v>
      </c>
      <c r="C21" s="11" t="s">
        <v>43</v>
      </c>
      <c r="D21" s="69" t="s">
        <v>37</v>
      </c>
      <c r="E21" s="110" t="s">
        <v>162</v>
      </c>
      <c r="F21" s="108"/>
      <c r="G21" s="143" t="str">
        <f>ACTV!V21</f>
        <v>Crítica</v>
      </c>
      <c r="H21" s="107">
        <v>3</v>
      </c>
      <c r="I21" s="72">
        <f t="shared" si="1"/>
        <v>0.2</v>
      </c>
      <c r="J21" s="65" t="str">
        <f t="shared" si="2"/>
        <v>Muy baja</v>
      </c>
      <c r="K21" s="73">
        <v>200000</v>
      </c>
      <c r="L21" s="67">
        <v>1423500</v>
      </c>
      <c r="M21" s="26">
        <f t="shared" si="0"/>
        <v>0.14049877063575694</v>
      </c>
      <c r="N21" s="75">
        <f t="shared" si="3"/>
        <v>0.4</v>
      </c>
      <c r="O21" s="77" t="s">
        <v>67</v>
      </c>
      <c r="P21" s="78">
        <f t="shared" si="4"/>
        <v>0.1</v>
      </c>
      <c r="Q21" s="77" t="s">
        <v>68</v>
      </c>
      <c r="R21" s="76">
        <f t="shared" si="5"/>
        <v>0.1</v>
      </c>
      <c r="S21" s="30">
        <f t="shared" si="6"/>
        <v>0.2</v>
      </c>
      <c r="T21" s="62">
        <f t="shared" si="7"/>
        <v>0.4</v>
      </c>
      <c r="U21" s="63" t="str">
        <f t="shared" si="8"/>
        <v>Menor</v>
      </c>
      <c r="V21" s="31" t="str">
        <f t="shared" si="9"/>
        <v>Muy baja Menor</v>
      </c>
      <c r="W21" s="88" t="str">
        <f t="shared" si="10"/>
        <v>Baja</v>
      </c>
    </row>
    <row r="22" spans="1:23" s="8" customFormat="1" ht="60" hidden="1" customHeight="1" x14ac:dyDescent="0.3">
      <c r="A22" s="21">
        <v>19</v>
      </c>
      <c r="B22" s="11" t="s">
        <v>12</v>
      </c>
      <c r="C22" s="11" t="s">
        <v>44</v>
      </c>
      <c r="D22" s="69" t="s">
        <v>188</v>
      </c>
      <c r="E22" s="110" t="s">
        <v>162</v>
      </c>
      <c r="F22" s="108"/>
      <c r="G22" s="143" t="str">
        <f>ACTV!V22</f>
        <v>Alta</v>
      </c>
      <c r="H22" s="107">
        <v>4</v>
      </c>
      <c r="I22" s="72">
        <f t="shared" si="1"/>
        <v>0.2</v>
      </c>
      <c r="J22" s="65" t="str">
        <f t="shared" si="2"/>
        <v>Muy baja</v>
      </c>
      <c r="K22" s="73">
        <v>200000</v>
      </c>
      <c r="L22" s="67">
        <v>1300000</v>
      </c>
      <c r="M22" s="26">
        <f t="shared" si="0"/>
        <v>0.15384615384615385</v>
      </c>
      <c r="N22" s="75">
        <f t="shared" si="3"/>
        <v>0.4</v>
      </c>
      <c r="O22" s="77" t="s">
        <v>69</v>
      </c>
      <c r="P22" s="78">
        <f t="shared" si="4"/>
        <v>0.2</v>
      </c>
      <c r="Q22" s="77" t="s">
        <v>68</v>
      </c>
      <c r="R22" s="76">
        <f t="shared" si="5"/>
        <v>0.1</v>
      </c>
      <c r="S22" s="30">
        <f t="shared" si="6"/>
        <v>0.30000000000000004</v>
      </c>
      <c r="T22" s="62">
        <f t="shared" si="7"/>
        <v>0.4</v>
      </c>
      <c r="U22" s="63" t="str">
        <f t="shared" si="8"/>
        <v>Menor</v>
      </c>
      <c r="V22" s="31" t="str">
        <f t="shared" si="9"/>
        <v>Muy baja Menor</v>
      </c>
      <c r="W22" s="88" t="str">
        <f t="shared" si="10"/>
        <v>Baja</v>
      </c>
    </row>
    <row r="23" spans="1:23" s="8" customFormat="1" ht="60" hidden="1" customHeight="1" x14ac:dyDescent="0.3">
      <c r="A23" s="21">
        <v>20</v>
      </c>
      <c r="B23" s="11" t="s">
        <v>13</v>
      </c>
      <c r="C23" s="11" t="s">
        <v>44</v>
      </c>
      <c r="D23" s="69" t="s">
        <v>189</v>
      </c>
      <c r="E23" s="110" t="s">
        <v>162</v>
      </c>
      <c r="F23" s="108"/>
      <c r="G23" s="143" t="str">
        <f>ACTV!V23</f>
        <v>Alta</v>
      </c>
      <c r="H23" s="107">
        <v>4</v>
      </c>
      <c r="I23" s="72">
        <f t="shared" si="1"/>
        <v>0.2</v>
      </c>
      <c r="J23" s="65" t="str">
        <f t="shared" si="2"/>
        <v>Muy baja</v>
      </c>
      <c r="K23" s="73">
        <v>100000</v>
      </c>
      <c r="L23" s="67">
        <v>1300000</v>
      </c>
      <c r="M23" s="26">
        <f t="shared" si="0"/>
        <v>7.6923076923076927E-2</v>
      </c>
      <c r="N23" s="75">
        <f t="shared" si="3"/>
        <v>0.2</v>
      </c>
      <c r="O23" s="77" t="s">
        <v>69</v>
      </c>
      <c r="P23" s="78">
        <f t="shared" si="4"/>
        <v>0.2</v>
      </c>
      <c r="Q23" s="77" t="s">
        <v>68</v>
      </c>
      <c r="R23" s="76">
        <f t="shared" si="5"/>
        <v>0.1</v>
      </c>
      <c r="S23" s="30">
        <f t="shared" si="6"/>
        <v>0.30000000000000004</v>
      </c>
      <c r="T23" s="62">
        <f t="shared" si="7"/>
        <v>0.30000000000000004</v>
      </c>
      <c r="U23" s="63" t="str">
        <f t="shared" si="8"/>
        <v>Menor</v>
      </c>
      <c r="V23" s="31" t="str">
        <f t="shared" si="9"/>
        <v>Muy baja Menor</v>
      </c>
      <c r="W23" s="88" t="str">
        <f t="shared" si="10"/>
        <v>Baja</v>
      </c>
    </row>
    <row r="24" spans="1:23" s="8" customFormat="1" ht="60" hidden="1" customHeight="1" x14ac:dyDescent="0.3">
      <c r="A24" s="21">
        <v>21</v>
      </c>
      <c r="B24" s="11" t="s">
        <v>191</v>
      </c>
      <c r="C24" s="11" t="s">
        <v>25</v>
      </c>
      <c r="D24" s="69" t="s">
        <v>190</v>
      </c>
      <c r="E24" s="110" t="s">
        <v>160</v>
      </c>
      <c r="F24" s="108" t="s">
        <v>225</v>
      </c>
      <c r="G24" s="143" t="str">
        <f>ACTV!V24</f>
        <v>Alta</v>
      </c>
      <c r="H24" s="107">
        <v>3</v>
      </c>
      <c r="I24" s="72">
        <f t="shared" si="1"/>
        <v>0.2</v>
      </c>
      <c r="J24" s="65" t="str">
        <f t="shared" si="2"/>
        <v>Muy baja</v>
      </c>
      <c r="K24" s="73">
        <v>200000</v>
      </c>
      <c r="L24" s="67">
        <v>1423500</v>
      </c>
      <c r="M24" s="26">
        <f t="shared" si="0"/>
        <v>0.14049877063575694</v>
      </c>
      <c r="N24" s="75">
        <f t="shared" si="3"/>
        <v>0.4</v>
      </c>
      <c r="O24" s="77" t="s">
        <v>67</v>
      </c>
      <c r="P24" s="78">
        <f t="shared" si="4"/>
        <v>0.1</v>
      </c>
      <c r="Q24" s="77" t="s">
        <v>68</v>
      </c>
      <c r="R24" s="76">
        <f t="shared" si="5"/>
        <v>0.1</v>
      </c>
      <c r="S24" s="30">
        <f t="shared" si="6"/>
        <v>0.2</v>
      </c>
      <c r="T24" s="62">
        <f t="shared" si="7"/>
        <v>0.4</v>
      </c>
      <c r="U24" s="63" t="str">
        <f t="shared" si="8"/>
        <v>Menor</v>
      </c>
      <c r="V24" s="31" t="str">
        <f t="shared" si="9"/>
        <v>Muy baja Menor</v>
      </c>
      <c r="W24" s="88" t="str">
        <f t="shared" si="10"/>
        <v>Baja</v>
      </c>
    </row>
    <row r="25" spans="1:23" s="8" customFormat="1" ht="60" hidden="1" customHeight="1" x14ac:dyDescent="0.3">
      <c r="A25" s="21">
        <v>22</v>
      </c>
      <c r="B25" s="11" t="s">
        <v>14</v>
      </c>
      <c r="C25" s="11" t="s">
        <v>25</v>
      </c>
      <c r="D25" s="69" t="s">
        <v>38</v>
      </c>
      <c r="E25" s="110" t="s">
        <v>161</v>
      </c>
      <c r="F25" s="108" t="s">
        <v>225</v>
      </c>
      <c r="G25" s="143" t="str">
        <f>ACTV!V25</f>
        <v>Alta</v>
      </c>
      <c r="H25" s="145">
        <v>6</v>
      </c>
      <c r="I25" s="72">
        <f t="shared" si="1"/>
        <v>0.4</v>
      </c>
      <c r="J25" s="65" t="str">
        <f t="shared" si="2"/>
        <v>Baja</v>
      </c>
      <c r="K25" s="146">
        <v>600000</v>
      </c>
      <c r="L25" s="67">
        <v>1300000</v>
      </c>
      <c r="M25" s="26">
        <f t="shared" si="0"/>
        <v>0.46153846153846156</v>
      </c>
      <c r="N25" s="75">
        <f t="shared" si="3"/>
        <v>0.8</v>
      </c>
      <c r="O25" s="77" t="s">
        <v>67</v>
      </c>
      <c r="P25" s="78">
        <f t="shared" si="4"/>
        <v>0.1</v>
      </c>
      <c r="Q25" s="77" t="s">
        <v>68</v>
      </c>
      <c r="R25" s="76">
        <f t="shared" si="5"/>
        <v>0.1</v>
      </c>
      <c r="S25" s="30">
        <f t="shared" si="6"/>
        <v>0.2</v>
      </c>
      <c r="T25" s="62">
        <f t="shared" si="7"/>
        <v>0.8</v>
      </c>
      <c r="U25" s="63" t="str">
        <f t="shared" si="8"/>
        <v>Importante</v>
      </c>
      <c r="V25" s="31" t="str">
        <f t="shared" si="9"/>
        <v>Baja Importante</v>
      </c>
      <c r="W25" s="88" t="str">
        <f t="shared" si="10"/>
        <v>Alta</v>
      </c>
    </row>
    <row r="26" spans="1:23" s="8" customFormat="1" ht="60" hidden="1" customHeight="1" x14ac:dyDescent="0.3">
      <c r="A26" s="21">
        <v>23</v>
      </c>
      <c r="B26" s="11" t="s">
        <v>15</v>
      </c>
      <c r="C26" s="11" t="s">
        <v>43</v>
      </c>
      <c r="D26" s="69" t="s">
        <v>39</v>
      </c>
      <c r="E26" s="110" t="s">
        <v>162</v>
      </c>
      <c r="F26" s="108"/>
      <c r="G26" s="143" t="str">
        <f>ACTV!V26</f>
        <v>Crítica</v>
      </c>
      <c r="H26" s="107">
        <v>3</v>
      </c>
      <c r="I26" s="72">
        <f t="shared" si="1"/>
        <v>0.2</v>
      </c>
      <c r="J26" s="65" t="str">
        <f t="shared" si="2"/>
        <v>Muy baja</v>
      </c>
      <c r="K26" s="73">
        <v>300000</v>
      </c>
      <c r="L26" s="67">
        <v>1423500</v>
      </c>
      <c r="M26" s="26">
        <f t="shared" si="0"/>
        <v>0.21074815595363541</v>
      </c>
      <c r="N26" s="75">
        <f t="shared" si="3"/>
        <v>0.4</v>
      </c>
      <c r="O26" s="77" t="s">
        <v>67</v>
      </c>
      <c r="P26" s="78">
        <f t="shared" si="4"/>
        <v>0.1</v>
      </c>
      <c r="Q26" s="77" t="s">
        <v>68</v>
      </c>
      <c r="R26" s="76">
        <f t="shared" si="5"/>
        <v>0.1</v>
      </c>
      <c r="S26" s="30">
        <f t="shared" si="6"/>
        <v>0.2</v>
      </c>
      <c r="T26" s="62">
        <f t="shared" si="7"/>
        <v>0.4</v>
      </c>
      <c r="U26" s="63" t="str">
        <f t="shared" si="8"/>
        <v>Menor</v>
      </c>
      <c r="V26" s="31" t="str">
        <f t="shared" si="9"/>
        <v>Muy baja Menor</v>
      </c>
      <c r="W26" s="88" t="str">
        <f t="shared" si="10"/>
        <v>Baja</v>
      </c>
    </row>
    <row r="27" spans="1:23" s="8" customFormat="1" ht="60" hidden="1" customHeight="1" x14ac:dyDescent="0.3">
      <c r="A27" s="21">
        <v>24</v>
      </c>
      <c r="B27" s="11" t="s">
        <v>16</v>
      </c>
      <c r="C27" s="11" t="s">
        <v>43</v>
      </c>
      <c r="D27" s="69" t="s">
        <v>40</v>
      </c>
      <c r="E27" s="110" t="s">
        <v>161</v>
      </c>
      <c r="F27" s="108" t="s">
        <v>225</v>
      </c>
      <c r="G27" s="143" t="str">
        <f>ACTV!V27</f>
        <v>Crítica</v>
      </c>
      <c r="H27" s="145">
        <v>12</v>
      </c>
      <c r="I27" s="72">
        <f t="shared" si="1"/>
        <v>0.4</v>
      </c>
      <c r="J27" s="65" t="str">
        <f t="shared" si="2"/>
        <v>Baja</v>
      </c>
      <c r="K27" s="146">
        <v>1500000</v>
      </c>
      <c r="L27" s="67">
        <v>1423500</v>
      </c>
      <c r="M27" s="26">
        <f t="shared" si="0"/>
        <v>1.053740779768177</v>
      </c>
      <c r="N27" s="75">
        <f t="shared" si="3"/>
        <v>1</v>
      </c>
      <c r="O27" s="77" t="s">
        <v>82</v>
      </c>
      <c r="P27" s="78">
        <f t="shared" si="4"/>
        <v>0.3</v>
      </c>
      <c r="Q27" s="77" t="s">
        <v>68</v>
      </c>
      <c r="R27" s="76">
        <f t="shared" si="5"/>
        <v>0.1</v>
      </c>
      <c r="S27" s="30">
        <f t="shared" si="6"/>
        <v>0.4</v>
      </c>
      <c r="T27" s="62">
        <f t="shared" si="7"/>
        <v>1</v>
      </c>
      <c r="U27" s="63" t="str">
        <f t="shared" si="8"/>
        <v>Mayor</v>
      </c>
      <c r="V27" s="31" t="str">
        <f t="shared" si="9"/>
        <v>Baja Mayor</v>
      </c>
      <c r="W27" s="88" t="str">
        <f t="shared" si="10"/>
        <v>Crítica</v>
      </c>
    </row>
    <row r="28" spans="1:23" s="8" customFormat="1" ht="60" hidden="1" customHeight="1" x14ac:dyDescent="0.3">
      <c r="A28" s="21">
        <v>25</v>
      </c>
      <c r="B28" s="11" t="s">
        <v>163</v>
      </c>
      <c r="C28" s="11" t="s">
        <v>43</v>
      </c>
      <c r="D28" s="69" t="s">
        <v>192</v>
      </c>
      <c r="E28" s="110" t="s">
        <v>162</v>
      </c>
      <c r="F28" s="108"/>
      <c r="G28" s="143" t="str">
        <f>ACTV!V28</f>
        <v>Crítica</v>
      </c>
      <c r="H28" s="107">
        <v>4</v>
      </c>
      <c r="I28" s="72">
        <f t="shared" si="1"/>
        <v>0.2</v>
      </c>
      <c r="J28" s="65" t="str">
        <f t="shared" si="2"/>
        <v>Muy baja</v>
      </c>
      <c r="K28" s="73">
        <v>300000</v>
      </c>
      <c r="L28" s="67">
        <v>1423500</v>
      </c>
      <c r="M28" s="26">
        <f t="shared" si="0"/>
        <v>0.21074815595363541</v>
      </c>
      <c r="N28" s="75">
        <f t="shared" si="3"/>
        <v>0.4</v>
      </c>
      <c r="O28" s="77" t="s">
        <v>67</v>
      </c>
      <c r="P28" s="78">
        <f t="shared" si="4"/>
        <v>0.1</v>
      </c>
      <c r="Q28" s="77" t="s">
        <v>68</v>
      </c>
      <c r="R28" s="76">
        <f t="shared" si="5"/>
        <v>0.1</v>
      </c>
      <c r="S28" s="30">
        <f t="shared" si="6"/>
        <v>0.2</v>
      </c>
      <c r="T28" s="62">
        <f t="shared" si="7"/>
        <v>0.4</v>
      </c>
      <c r="U28" s="63" t="str">
        <f t="shared" si="8"/>
        <v>Menor</v>
      </c>
      <c r="V28" s="31" t="str">
        <f t="shared" si="9"/>
        <v>Muy baja Menor</v>
      </c>
      <c r="W28" s="88" t="str">
        <f t="shared" si="10"/>
        <v>Baja</v>
      </c>
    </row>
    <row r="29" spans="1:23" s="8" customFormat="1" ht="66.599999999999994" hidden="1" customHeight="1" x14ac:dyDescent="0.3">
      <c r="A29" s="21">
        <v>26</v>
      </c>
      <c r="B29" s="11" t="s">
        <v>17</v>
      </c>
      <c r="C29" s="11" t="s">
        <v>25</v>
      </c>
      <c r="D29" s="69" t="s">
        <v>193</v>
      </c>
      <c r="E29" s="110" t="s">
        <v>162</v>
      </c>
      <c r="F29" s="108"/>
      <c r="G29" s="143">
        <f>ACTV!V29</f>
        <v>0</v>
      </c>
      <c r="H29" s="107">
        <v>3</v>
      </c>
      <c r="I29" s="72">
        <f t="shared" si="1"/>
        <v>0.2</v>
      </c>
      <c r="J29" s="65" t="str">
        <f t="shared" si="2"/>
        <v>Muy baja</v>
      </c>
      <c r="K29" s="73">
        <v>200000</v>
      </c>
      <c r="L29" s="67">
        <v>1300000</v>
      </c>
      <c r="M29" s="26">
        <f t="shared" si="0"/>
        <v>0.15384615384615385</v>
      </c>
      <c r="N29" s="75">
        <f t="shared" si="3"/>
        <v>0.4</v>
      </c>
      <c r="O29" s="77" t="s">
        <v>67</v>
      </c>
      <c r="P29" s="78">
        <f t="shared" si="4"/>
        <v>0.1</v>
      </c>
      <c r="Q29" s="77" t="s">
        <v>68</v>
      </c>
      <c r="R29" s="76">
        <f t="shared" si="5"/>
        <v>0.1</v>
      </c>
      <c r="S29" s="30">
        <f t="shared" si="6"/>
        <v>0.2</v>
      </c>
      <c r="T29" s="62">
        <f t="shared" si="7"/>
        <v>0.4</v>
      </c>
      <c r="U29" s="63" t="str">
        <f t="shared" si="8"/>
        <v>Menor</v>
      </c>
      <c r="V29" s="31" t="str">
        <f t="shared" si="9"/>
        <v>Muy baja Menor</v>
      </c>
      <c r="W29" s="88" t="str">
        <f t="shared" si="10"/>
        <v>Baja</v>
      </c>
    </row>
    <row r="30" spans="1:23" s="8" customFormat="1" ht="60" hidden="1" customHeight="1" x14ac:dyDescent="0.3">
      <c r="A30" s="21">
        <v>27</v>
      </c>
      <c r="B30" s="11" t="s">
        <v>18</v>
      </c>
      <c r="C30" s="11" t="s">
        <v>43</v>
      </c>
      <c r="D30" s="69" t="s">
        <v>41</v>
      </c>
      <c r="E30" s="110" t="s">
        <v>161</v>
      </c>
      <c r="F30" s="108" t="s">
        <v>225</v>
      </c>
      <c r="G30" s="143" t="str">
        <f>ACTV!V30</f>
        <v>Crítica</v>
      </c>
      <c r="H30" s="145">
        <v>12</v>
      </c>
      <c r="I30" s="72">
        <f t="shared" si="1"/>
        <v>0.4</v>
      </c>
      <c r="J30" s="65" t="str">
        <f t="shared" si="2"/>
        <v>Baja</v>
      </c>
      <c r="K30" s="146">
        <v>1500000</v>
      </c>
      <c r="L30" s="67">
        <v>1423500</v>
      </c>
      <c r="M30" s="26">
        <f t="shared" si="0"/>
        <v>1.053740779768177</v>
      </c>
      <c r="N30" s="75">
        <f t="shared" si="3"/>
        <v>1</v>
      </c>
      <c r="O30" s="77" t="s">
        <v>67</v>
      </c>
      <c r="P30" s="78">
        <f t="shared" si="4"/>
        <v>0.1</v>
      </c>
      <c r="Q30" s="77" t="s">
        <v>68</v>
      </c>
      <c r="R30" s="76">
        <f t="shared" si="5"/>
        <v>0.1</v>
      </c>
      <c r="S30" s="30">
        <f t="shared" si="6"/>
        <v>0.2</v>
      </c>
      <c r="T30" s="62">
        <f t="shared" si="7"/>
        <v>1</v>
      </c>
      <c r="U30" s="63" t="str">
        <f t="shared" si="8"/>
        <v>Mayor</v>
      </c>
      <c r="V30" s="31" t="str">
        <f t="shared" si="9"/>
        <v>Baja Mayor</v>
      </c>
      <c r="W30" s="88" t="str">
        <f t="shared" si="10"/>
        <v>Crítica</v>
      </c>
    </row>
    <row r="31" spans="1:23" s="8" customFormat="1" ht="68.400000000000006" hidden="1" customHeight="1" x14ac:dyDescent="0.3">
      <c r="A31" s="21">
        <v>28</v>
      </c>
      <c r="B31" s="11" t="s">
        <v>194</v>
      </c>
      <c r="C31" s="11" t="s">
        <v>25</v>
      </c>
      <c r="D31" s="69" t="s">
        <v>195</v>
      </c>
      <c r="E31" s="110" t="s">
        <v>162</v>
      </c>
      <c r="F31" s="108"/>
      <c r="G31" s="143" t="str">
        <f>ACTV!V31</f>
        <v>Crítica</v>
      </c>
      <c r="H31" s="107">
        <v>4</v>
      </c>
      <c r="I31" s="72">
        <f t="shared" si="1"/>
        <v>0.2</v>
      </c>
      <c r="J31" s="65" t="str">
        <f t="shared" si="2"/>
        <v>Muy baja</v>
      </c>
      <c r="K31" s="73">
        <v>300000</v>
      </c>
      <c r="L31" s="67">
        <v>1423500</v>
      </c>
      <c r="M31" s="26">
        <f t="shared" si="0"/>
        <v>0.21074815595363541</v>
      </c>
      <c r="N31" s="75">
        <f t="shared" si="3"/>
        <v>0.4</v>
      </c>
      <c r="O31" s="77" t="s">
        <v>82</v>
      </c>
      <c r="P31" s="78">
        <f t="shared" si="4"/>
        <v>0.3</v>
      </c>
      <c r="Q31" s="77" t="s">
        <v>71</v>
      </c>
      <c r="R31" s="76">
        <f t="shared" si="5"/>
        <v>0.3</v>
      </c>
      <c r="S31" s="30">
        <f t="shared" si="6"/>
        <v>0.6</v>
      </c>
      <c r="T31" s="62">
        <f t="shared" si="7"/>
        <v>0.6</v>
      </c>
      <c r="U31" s="63" t="str">
        <f t="shared" si="8"/>
        <v>Moderado</v>
      </c>
      <c r="V31" s="31" t="str">
        <f t="shared" si="9"/>
        <v>Muy baja Moderado</v>
      </c>
      <c r="W31" s="88" t="str">
        <f t="shared" si="10"/>
        <v>Media</v>
      </c>
    </row>
    <row r="32" spans="1:23" s="8" customFormat="1" ht="60" customHeight="1" x14ac:dyDescent="0.3">
      <c r="A32" s="21">
        <v>29</v>
      </c>
      <c r="B32" s="11" t="s">
        <v>196</v>
      </c>
      <c r="C32" s="11" t="s">
        <v>25</v>
      </c>
      <c r="D32" s="69" t="s">
        <v>42</v>
      </c>
      <c r="E32" s="110" t="s">
        <v>162</v>
      </c>
      <c r="F32" s="108"/>
      <c r="G32" s="143" t="str">
        <f>ACTV!V32</f>
        <v>Media</v>
      </c>
      <c r="H32" s="107">
        <v>3</v>
      </c>
      <c r="I32" s="72">
        <f t="shared" si="1"/>
        <v>0.2</v>
      </c>
      <c r="J32" s="65" t="str">
        <f t="shared" si="2"/>
        <v>Muy baja</v>
      </c>
      <c r="K32" s="73">
        <v>400000</v>
      </c>
      <c r="L32" s="67">
        <v>1423500</v>
      </c>
      <c r="M32" s="26">
        <f t="shared" si="0"/>
        <v>0.28099754127151388</v>
      </c>
      <c r="N32" s="75">
        <f t="shared" si="3"/>
        <v>0.6</v>
      </c>
      <c r="O32" s="77" t="s">
        <v>82</v>
      </c>
      <c r="P32" s="78">
        <f t="shared" si="4"/>
        <v>0.3</v>
      </c>
      <c r="Q32" s="77" t="s">
        <v>71</v>
      </c>
      <c r="R32" s="76">
        <f t="shared" si="5"/>
        <v>0.3</v>
      </c>
      <c r="S32" s="30">
        <f t="shared" si="6"/>
        <v>0.6</v>
      </c>
      <c r="T32" s="62">
        <f t="shared" si="7"/>
        <v>0.6</v>
      </c>
      <c r="U32" s="63" t="str">
        <f t="shared" si="8"/>
        <v>Moderado</v>
      </c>
      <c r="V32" s="31" t="str">
        <f t="shared" si="9"/>
        <v>Muy baja Moderado</v>
      </c>
      <c r="W32" s="88" t="str">
        <f t="shared" si="10"/>
        <v>Media</v>
      </c>
    </row>
    <row r="33" spans="1:23" s="8" customFormat="1" ht="60" customHeight="1" x14ac:dyDescent="0.3">
      <c r="A33" s="21">
        <v>30</v>
      </c>
      <c r="B33" s="11" t="s">
        <v>19</v>
      </c>
      <c r="C33" s="11" t="s">
        <v>25</v>
      </c>
      <c r="D33" s="69" t="s">
        <v>197</v>
      </c>
      <c r="E33" s="110" t="s">
        <v>162</v>
      </c>
      <c r="F33" s="108"/>
      <c r="G33" s="143" t="str">
        <f>ACTV!V33</f>
        <v>Media</v>
      </c>
      <c r="H33" s="107">
        <v>3</v>
      </c>
      <c r="I33" s="72">
        <f t="shared" si="1"/>
        <v>0.2</v>
      </c>
      <c r="J33" s="65" t="str">
        <f t="shared" si="2"/>
        <v>Muy baja</v>
      </c>
      <c r="K33" s="73">
        <v>300000</v>
      </c>
      <c r="L33" s="67">
        <v>1423500</v>
      </c>
      <c r="M33" s="26">
        <f t="shared" si="0"/>
        <v>0.21074815595363541</v>
      </c>
      <c r="N33" s="75">
        <f t="shared" si="3"/>
        <v>0.4</v>
      </c>
      <c r="O33" s="77" t="s">
        <v>82</v>
      </c>
      <c r="P33" s="78">
        <f t="shared" si="4"/>
        <v>0.3</v>
      </c>
      <c r="Q33" s="77" t="s">
        <v>73</v>
      </c>
      <c r="R33" s="76">
        <f t="shared" si="5"/>
        <v>0.4</v>
      </c>
      <c r="S33" s="30">
        <f t="shared" si="6"/>
        <v>0.7</v>
      </c>
      <c r="T33" s="62">
        <f t="shared" si="7"/>
        <v>0.7</v>
      </c>
      <c r="U33" s="63" t="str">
        <f t="shared" si="8"/>
        <v>Importante</v>
      </c>
      <c r="V33" s="31" t="str">
        <f t="shared" si="9"/>
        <v>Muy baja Importante</v>
      </c>
      <c r="W33" s="88" t="str">
        <f t="shared" si="10"/>
        <v>Alta</v>
      </c>
    </row>
    <row r="34" spans="1:23" s="8" customFormat="1" ht="60" customHeight="1" x14ac:dyDescent="0.3">
      <c r="A34" s="21">
        <v>31</v>
      </c>
      <c r="B34" s="11" t="s">
        <v>20</v>
      </c>
      <c r="C34" s="11" t="s">
        <v>25</v>
      </c>
      <c r="D34" s="69" t="s">
        <v>198</v>
      </c>
      <c r="E34" s="110" t="s">
        <v>162</v>
      </c>
      <c r="F34" s="108"/>
      <c r="G34" s="143" t="str">
        <f>ACTV!V34</f>
        <v>Alta</v>
      </c>
      <c r="H34" s="107">
        <v>4</v>
      </c>
      <c r="I34" s="72">
        <f t="shared" si="1"/>
        <v>0.2</v>
      </c>
      <c r="J34" s="65" t="str">
        <f t="shared" si="2"/>
        <v>Muy baja</v>
      </c>
      <c r="K34" s="73">
        <v>400000</v>
      </c>
      <c r="L34" s="67">
        <v>1300000</v>
      </c>
      <c r="M34" s="26">
        <f t="shared" si="0"/>
        <v>0.30769230769230771</v>
      </c>
      <c r="N34" s="75">
        <f t="shared" si="3"/>
        <v>0.6</v>
      </c>
      <c r="O34" s="77" t="s">
        <v>67</v>
      </c>
      <c r="P34" s="78">
        <f t="shared" si="4"/>
        <v>0.1</v>
      </c>
      <c r="Q34" s="77" t="s">
        <v>68</v>
      </c>
      <c r="R34" s="76">
        <f t="shared" si="5"/>
        <v>0.1</v>
      </c>
      <c r="S34" s="30">
        <f t="shared" si="6"/>
        <v>0.2</v>
      </c>
      <c r="T34" s="62">
        <f t="shared" si="7"/>
        <v>0.6</v>
      </c>
      <c r="U34" s="63" t="str">
        <f t="shared" si="8"/>
        <v>Moderado</v>
      </c>
      <c r="V34" s="31" t="str">
        <f t="shared" si="9"/>
        <v>Muy baja Moderado</v>
      </c>
      <c r="W34" s="88" t="str">
        <f t="shared" si="10"/>
        <v>Media</v>
      </c>
    </row>
    <row r="35" spans="1:23" ht="60" customHeight="1" x14ac:dyDescent="0.3">
      <c r="A35" s="21">
        <v>32</v>
      </c>
      <c r="B35" s="11" t="s">
        <v>21</v>
      </c>
      <c r="C35" s="12" t="s">
        <v>25</v>
      </c>
      <c r="D35" s="70" t="s">
        <v>199</v>
      </c>
      <c r="E35" s="110" t="s">
        <v>161</v>
      </c>
      <c r="F35" s="108" t="s">
        <v>225</v>
      </c>
      <c r="G35" s="143" t="str">
        <f>ACTV!V35</f>
        <v>Crítica</v>
      </c>
      <c r="H35" s="145">
        <v>12</v>
      </c>
      <c r="I35" s="72">
        <f t="shared" si="1"/>
        <v>0.4</v>
      </c>
      <c r="J35" s="65" t="str">
        <f t="shared" si="2"/>
        <v>Baja</v>
      </c>
      <c r="K35" s="146">
        <v>1500000</v>
      </c>
      <c r="L35" s="67">
        <v>1423500</v>
      </c>
      <c r="M35" s="26">
        <f t="shared" si="0"/>
        <v>1.053740779768177</v>
      </c>
      <c r="N35" s="75">
        <f t="shared" si="3"/>
        <v>1</v>
      </c>
      <c r="O35" s="77" t="s">
        <v>82</v>
      </c>
      <c r="P35" s="78">
        <f t="shared" si="4"/>
        <v>0.3</v>
      </c>
      <c r="Q35" s="77" t="s">
        <v>68</v>
      </c>
      <c r="R35" s="76">
        <f t="shared" si="5"/>
        <v>0.1</v>
      </c>
      <c r="S35" s="30">
        <f t="shared" si="6"/>
        <v>0.4</v>
      </c>
      <c r="T35" s="62">
        <f t="shared" si="7"/>
        <v>1</v>
      </c>
      <c r="U35" s="63" t="str">
        <f t="shared" si="8"/>
        <v>Mayor</v>
      </c>
      <c r="V35" s="31" t="str">
        <f t="shared" si="9"/>
        <v>Baja Mayor</v>
      </c>
      <c r="W35" s="88" t="str">
        <f t="shared" si="10"/>
        <v>Crítica</v>
      </c>
    </row>
    <row r="39" spans="1:23" ht="27.6" x14ac:dyDescent="0.3">
      <c r="B39" s="100" t="s">
        <v>119</v>
      </c>
    </row>
    <row r="42" spans="1:23" x14ac:dyDescent="0.3">
      <c r="B42" s="5" t="s">
        <v>120</v>
      </c>
      <c r="C42" s="5" t="s">
        <v>121</v>
      </c>
    </row>
    <row r="43" spans="1:23" ht="27.6" x14ac:dyDescent="0.3">
      <c r="B43" s="5" t="s">
        <v>122</v>
      </c>
      <c r="C43" s="5" t="s">
        <v>123</v>
      </c>
    </row>
    <row r="47" spans="1:23" ht="14.4" x14ac:dyDescent="0.3">
      <c r="B47" s="101" t="s">
        <v>124</v>
      </c>
      <c r="C47" s="102" t="s">
        <v>144</v>
      </c>
    </row>
    <row r="48" spans="1:23" ht="27.6" x14ac:dyDescent="0.3">
      <c r="B48" s="101" t="s">
        <v>125</v>
      </c>
      <c r="C48" s="102" t="s">
        <v>145</v>
      </c>
    </row>
    <row r="49" spans="2:3" ht="28.8" x14ac:dyDescent="0.3">
      <c r="B49" s="101" t="s">
        <v>126</v>
      </c>
      <c r="C49" s="102" t="s">
        <v>146</v>
      </c>
    </row>
    <row r="50" spans="2:3" ht="14.4" x14ac:dyDescent="0.3">
      <c r="B50" s="101" t="s">
        <v>127</v>
      </c>
      <c r="C50" s="103"/>
    </row>
    <row r="51" spans="2:3" ht="14.4" x14ac:dyDescent="0.3">
      <c r="B51" s="101" t="s">
        <v>128</v>
      </c>
      <c r="C51" s="103"/>
    </row>
    <row r="52" spans="2:3" ht="41.4" x14ac:dyDescent="0.3">
      <c r="B52" s="101" t="s">
        <v>129</v>
      </c>
      <c r="C52" s="102" t="s">
        <v>147</v>
      </c>
    </row>
    <row r="53" spans="2:3" ht="27.6" x14ac:dyDescent="0.3">
      <c r="B53" s="101" t="s">
        <v>130</v>
      </c>
      <c r="C53" s="103" t="s">
        <v>148</v>
      </c>
    </row>
    <row r="54" spans="2:3" ht="14.4" x14ac:dyDescent="0.3">
      <c r="B54" s="101" t="s">
        <v>131</v>
      </c>
    </row>
    <row r="55" spans="2:3" ht="27.6" x14ac:dyDescent="0.3">
      <c r="B55" s="101" t="s">
        <v>132</v>
      </c>
      <c r="C55" s="103" t="s">
        <v>149</v>
      </c>
    </row>
    <row r="56" spans="2:3" ht="41.4" x14ac:dyDescent="0.3">
      <c r="B56" s="101" t="s">
        <v>133</v>
      </c>
      <c r="C56" s="103" t="s">
        <v>150</v>
      </c>
    </row>
    <row r="58" spans="2:3" ht="28.8" x14ac:dyDescent="0.3">
      <c r="B58" s="101" t="s">
        <v>134</v>
      </c>
    </row>
    <row r="59" spans="2:3" ht="28.8" x14ac:dyDescent="0.3">
      <c r="B59" s="101" t="s">
        <v>135</v>
      </c>
    </row>
    <row r="60" spans="2:3" ht="28.8" x14ac:dyDescent="0.3">
      <c r="B60" s="101" t="s">
        <v>136</v>
      </c>
    </row>
    <row r="61" spans="2:3" ht="14.4" x14ac:dyDescent="0.3">
      <c r="B61" s="101" t="s">
        <v>137</v>
      </c>
    </row>
    <row r="62" spans="2:3" ht="28.8" x14ac:dyDescent="0.3">
      <c r="B62" s="101" t="s">
        <v>138</v>
      </c>
      <c r="C62" s="5" t="s">
        <v>152</v>
      </c>
    </row>
    <row r="63" spans="2:3" ht="28.8" x14ac:dyDescent="0.3">
      <c r="B63" s="101" t="s">
        <v>139</v>
      </c>
    </row>
    <row r="65" spans="2:2" ht="14.4" x14ac:dyDescent="0.3">
      <c r="B65" s="101" t="s">
        <v>140</v>
      </c>
    </row>
    <row r="66" spans="2:2" ht="14.4" x14ac:dyDescent="0.3">
      <c r="B66" s="101" t="s">
        <v>141</v>
      </c>
    </row>
    <row r="67" spans="2:2" ht="14.4" x14ac:dyDescent="0.3">
      <c r="B67" s="101" t="s">
        <v>142</v>
      </c>
    </row>
    <row r="68" spans="2:2" ht="14.4" x14ac:dyDescent="0.3">
      <c r="B68" s="101" t="s">
        <v>143</v>
      </c>
    </row>
    <row r="70" spans="2:2" ht="27.6" x14ac:dyDescent="0.3">
      <c r="B70" s="5" t="s">
        <v>151</v>
      </c>
    </row>
  </sheetData>
  <autoFilter ref="A2:W35" xr:uid="{0A91AB68-6307-4C14-882A-02276012BAEA}"/>
  <mergeCells count="3">
    <mergeCell ref="E1:F1"/>
    <mergeCell ref="C17:C18"/>
    <mergeCell ref="D17:D18"/>
  </mergeCells>
  <conditionalFormatting sqref="I3:I35">
    <cfRule type="cellIs" dxfId="99" priority="20" operator="equal">
      <formula>0.2</formula>
    </cfRule>
    <cfRule type="cellIs" dxfId="98" priority="21" operator="equal">
      <formula>0.4</formula>
    </cfRule>
    <cfRule type="cellIs" dxfId="97" priority="22" operator="equal">
      <formula>0.6</formula>
    </cfRule>
    <cfRule type="cellIs" dxfId="96" priority="23" operator="equal">
      <formula>0.8</formula>
    </cfRule>
    <cfRule type="cellIs" dxfId="95" priority="24" operator="equal">
      <formula>1</formula>
    </cfRule>
  </conditionalFormatting>
  <conditionalFormatting sqref="J3:J35">
    <cfRule type="containsText" dxfId="94" priority="10" operator="containsText" text="Muy baja">
      <formula>NOT(ISERROR(SEARCH("Muy baja",J3)))</formula>
    </cfRule>
    <cfRule type="beginsWith" dxfId="93" priority="11" operator="beginsWith" text="Baja">
      <formula>LEFT(J3,LEN("Baja"))="Baja"</formula>
    </cfRule>
    <cfRule type="containsText" dxfId="92" priority="12" operator="containsText" text="Media">
      <formula>NOT(ISERROR(SEARCH("Media",J3)))</formula>
    </cfRule>
    <cfRule type="beginsWith" dxfId="91" priority="13" operator="beginsWith" text="Alta">
      <formula>LEFT(J3,LEN("Alta"))="Alta"</formula>
    </cfRule>
    <cfRule type="containsText" dxfId="90" priority="14" operator="containsText" text="Muy alta">
      <formula>NOT(ISERROR(SEARCH("Muy alta",J3)))</formula>
    </cfRule>
  </conditionalFormatting>
  <conditionalFormatting sqref="T3:T35">
    <cfRule type="cellIs" dxfId="89" priority="15" operator="equal">
      <formula>0.2</formula>
    </cfRule>
    <cfRule type="cellIs" dxfId="88" priority="16" operator="equal">
      <formula>0.4</formula>
    </cfRule>
    <cfRule type="cellIs" dxfId="87" priority="17" operator="equal">
      <formula>0.6</formula>
    </cfRule>
    <cfRule type="cellIs" dxfId="86" priority="18" operator="equal">
      <formula>0.8</formula>
    </cfRule>
    <cfRule type="cellIs" dxfId="85" priority="19" operator="equal">
      <formula>1</formula>
    </cfRule>
  </conditionalFormatting>
  <conditionalFormatting sqref="U3:U35">
    <cfRule type="containsText" dxfId="84" priority="5" operator="containsText" text="Insignificante">
      <formula>NOT(ISERROR(SEARCH("Insignificante",U3)))</formula>
    </cfRule>
    <cfRule type="beginsWith" dxfId="83" priority="6" operator="beginsWith" text="Menor">
      <formula>LEFT(U3,LEN("Menor"))="Menor"</formula>
    </cfRule>
    <cfRule type="containsText" dxfId="82" priority="7" operator="containsText" text="Moderado">
      <formula>NOT(ISERROR(SEARCH("Moderado",U3)))</formula>
    </cfRule>
    <cfRule type="beginsWith" dxfId="81" priority="8" operator="beginsWith" text="Importante">
      <formula>LEFT(U3,LEN("Importante"))="Importante"</formula>
    </cfRule>
    <cfRule type="containsText" dxfId="80" priority="9" operator="containsText" text="Mayor">
      <formula>NOT(ISERROR(SEARCH("Mayor",U3)))</formula>
    </cfRule>
  </conditionalFormatting>
  <conditionalFormatting sqref="W3:W35">
    <cfRule type="containsText" dxfId="79" priority="1" operator="containsText" text="Crítica">
      <formula>NOT(ISERROR(SEARCH("Crítica",W3)))</formula>
    </cfRule>
    <cfRule type="containsText" dxfId="78" priority="2" operator="containsText" text="Alta">
      <formula>NOT(ISERROR(SEARCH("Alta",W3)))</formula>
    </cfRule>
    <cfRule type="containsText" dxfId="77" priority="3" operator="containsText" text="Media">
      <formula>NOT(ISERROR(SEARCH("Media",W3)))</formula>
    </cfRule>
    <cfRule type="containsText" dxfId="76" priority="4" operator="containsText" text="Baja">
      <formula>NOT(ISERROR(SEARCH("Baja",W3)))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8D4E0F-855B-4342-802B-AED6DF9DB045}">
          <x14:formula1>
            <xm:f>Reputación!$C$11:$C$15</xm:f>
          </x14:formula1>
          <xm:sqref>Q3:Q35</xm:sqref>
        </x14:dataValidation>
        <x14:dataValidation type="list" allowBlank="1" showInputMessage="1" showErrorMessage="1" xr:uid="{B5A0613A-2BBC-44DA-8629-0971CB3400A0}">
          <x14:formula1>
            <xm:f>Reputación!$C$4:$C$8</xm:f>
          </x14:formula1>
          <xm:sqref>O3:O35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2582B-E350-4A9A-A7E4-8DC0B54E2C74}">
  <dimension ref="A1:W70"/>
  <sheetViews>
    <sheetView showGridLines="0" zoomScaleNormal="100" workbookViewId="0">
      <selection activeCell="C37" sqref="C37"/>
    </sheetView>
  </sheetViews>
  <sheetFormatPr baseColWidth="10" defaultColWidth="11.5546875" defaultRowHeight="13.8" x14ac:dyDescent="0.3"/>
  <cols>
    <col min="1" max="1" width="7.6640625" style="9" customWidth="1"/>
    <col min="2" max="2" width="41" style="5" hidden="1" customWidth="1"/>
    <col min="3" max="3" width="30.77734375" style="5" customWidth="1"/>
    <col min="4" max="4" width="48.88671875" style="13" customWidth="1"/>
    <col min="5" max="5" width="6.109375" style="106" hidden="1" customWidth="1"/>
    <col min="6" max="7" width="19.77734375" style="13" hidden="1" customWidth="1"/>
    <col min="8" max="8" width="15.109375" style="9" hidden="1" customWidth="1"/>
    <col min="9" max="9" width="15.77734375" style="59" customWidth="1"/>
    <col min="10" max="10" width="16.109375" style="9" hidden="1" customWidth="1"/>
    <col min="11" max="11" width="23.6640625" style="25" hidden="1" customWidth="1"/>
    <col min="12" max="12" width="15.77734375" style="10" hidden="1" customWidth="1"/>
    <col min="13" max="13" width="17.6640625" style="9" hidden="1" customWidth="1"/>
    <col min="14" max="14" width="13.6640625" style="9" hidden="1" customWidth="1"/>
    <col min="15" max="15" width="41.77734375" style="10" hidden="1" customWidth="1"/>
    <col min="16" max="16" width="17.109375" style="9" hidden="1" customWidth="1"/>
    <col min="17" max="17" width="41.77734375" style="10" hidden="1" customWidth="1"/>
    <col min="18" max="18" width="17.109375" style="9" hidden="1" customWidth="1"/>
    <col min="19" max="19" width="16.21875" style="9" hidden="1" customWidth="1"/>
    <col min="20" max="20" width="17.33203125" style="9" hidden="1" customWidth="1"/>
    <col min="21" max="21" width="17.109375" style="10" customWidth="1"/>
    <col min="22" max="22" width="30.88671875" style="10" hidden="1" customWidth="1"/>
    <col min="23" max="23" width="38.33203125" style="10" customWidth="1"/>
    <col min="24" max="16384" width="11.5546875" style="10"/>
  </cols>
  <sheetData>
    <row r="1" spans="1:23" ht="19.95" customHeight="1" x14ac:dyDescent="0.3">
      <c r="E1" s="155" t="s">
        <v>200</v>
      </c>
      <c r="F1" s="155"/>
      <c r="G1" s="141"/>
      <c r="K1" s="25" t="s">
        <v>174</v>
      </c>
    </row>
    <row r="2" spans="1:23" s="7" customFormat="1" ht="60" customHeight="1" x14ac:dyDescent="0.3">
      <c r="A2" s="4" t="s">
        <v>0</v>
      </c>
      <c r="B2" s="4" t="s">
        <v>1</v>
      </c>
      <c r="C2" s="4" t="s">
        <v>24</v>
      </c>
      <c r="D2" s="68" t="s">
        <v>22</v>
      </c>
      <c r="E2" s="105" t="s">
        <v>155</v>
      </c>
      <c r="F2" s="105" t="s">
        <v>159</v>
      </c>
      <c r="G2" s="142" t="s">
        <v>234</v>
      </c>
      <c r="H2" s="104" t="s">
        <v>59</v>
      </c>
      <c r="I2" s="71" t="s">
        <v>46</v>
      </c>
      <c r="J2" s="64" t="s">
        <v>46</v>
      </c>
      <c r="K2" s="74" t="s">
        <v>45</v>
      </c>
      <c r="L2" s="66" t="s">
        <v>63</v>
      </c>
      <c r="M2" s="6" t="s">
        <v>64</v>
      </c>
      <c r="N2" s="61" t="s">
        <v>76</v>
      </c>
      <c r="O2" s="74" t="s">
        <v>65</v>
      </c>
      <c r="P2" s="60" t="s">
        <v>80</v>
      </c>
      <c r="Q2" s="74" t="s">
        <v>66</v>
      </c>
      <c r="R2" s="60" t="s">
        <v>81</v>
      </c>
      <c r="S2" s="61" t="s">
        <v>77</v>
      </c>
      <c r="T2" s="61" t="s">
        <v>90</v>
      </c>
      <c r="U2" s="61" t="s">
        <v>90</v>
      </c>
      <c r="V2" s="61" t="s">
        <v>91</v>
      </c>
      <c r="W2" s="89" t="s">
        <v>118</v>
      </c>
    </row>
    <row r="3" spans="1:23" s="8" customFormat="1" ht="60" hidden="1" customHeight="1" x14ac:dyDescent="0.3">
      <c r="A3" s="21">
        <v>0</v>
      </c>
      <c r="B3" s="11" t="s">
        <v>170</v>
      </c>
      <c r="C3" s="11" t="s">
        <v>25</v>
      </c>
      <c r="D3" s="69" t="s">
        <v>23</v>
      </c>
      <c r="E3" s="110" t="s">
        <v>162</v>
      </c>
      <c r="F3" s="108"/>
      <c r="G3" s="143" t="str">
        <f>ACTV!V3</f>
        <v>Crítica</v>
      </c>
      <c r="H3" s="107">
        <v>3650</v>
      </c>
      <c r="I3" s="72">
        <f>IF(H3&lt;=4, 20%, IF(H3&lt;=12, 40%, IF(H3&lt;=365, 60%, IF(H3&lt;=3660, 80%, 100%))))</f>
        <v>0.8</v>
      </c>
      <c r="J3" s="65" t="str">
        <f>IF(I3&lt;=20%,"Muy baja",IF(I3&lt;=40%,"Baja",IF(I3&lt;=60%,"Media",IF(I3&lt;=80%,"Alta","Muy alta"))))</f>
        <v>Alta</v>
      </c>
      <c r="K3" s="73">
        <v>300000</v>
      </c>
      <c r="L3" s="67">
        <v>1300000</v>
      </c>
      <c r="M3" s="26">
        <f t="shared" ref="M3:M35" si="0">K3/L3</f>
        <v>0.23076923076923078</v>
      </c>
      <c r="N3" s="75">
        <f>IF(M3&lt;0.13, 20%, IF(M3&lt;0.26, 40%, IF(M3&lt;0.4, 60%, IF(M3&lt;0.53, 80%, 100%))))</f>
        <v>0.4</v>
      </c>
      <c r="O3" s="77" t="s">
        <v>67</v>
      </c>
      <c r="P3" s="78">
        <f>IF(O3="Sólo de conocimiento de la emprendedora",10%,IF(O3="No se registra incumplimiento regulatorio",10%,IF(O3="De conocimiento de algunos familiares, amigos y proveedores",20%,IF(O3="Genera recomendación de organismo regulatorio",20%,IF(O3="Afecta la imagen con algunos clientes",30%,IF(O3="Requerimiento del organismo regulatorio",30%,IF(O3="Deterioro de la imagen a nivel regional",40%,IF(O3="Llamado de atención del organismo regulatorio",40%,IF(O3="Deterioro de la imagen a nivel nacional",50%,IF(O3="Sanción de organismo regulatorio",50%,"No válido"))))))))))</f>
        <v>0.1</v>
      </c>
      <c r="Q3" s="77" t="s">
        <v>68</v>
      </c>
      <c r="R3" s="76">
        <f>IF(Q3="Sólo de conocimiento de la emprendedora",10%,IF(Q3="No se registra incumplimiento regulatorio",10%,IF(Q3="De conocimiento de algunos familiares, amigos y proveedores",20%,IF(Q3="Genera recomendación de organismo regulatorio",20%,IF(Q3="Afecta imagen con algunos clientes",30%,IF(Q3="Requerimiento del organismo regulatorio",30%,IF(Q3="Deterioro de la imagen a nivel regional",40%,IF(Q3="Llamado de atención del organismo regulatorio",40%,IF(Q3="Deterioro de la imagen a nivel nacional",50%,IF(Q3="Sanción de organismo regulatorio",50%,"No válido"))))))))))</f>
        <v>0.1</v>
      </c>
      <c r="S3" s="30">
        <f>P3+R3</f>
        <v>0.2</v>
      </c>
      <c r="T3" s="62">
        <f>MAX(N3, S3)</f>
        <v>0.4</v>
      </c>
      <c r="U3" s="63" t="str">
        <f>IF(T3&lt;=20%,"Insignificante",IF(T3&lt;=40%,"Menor",IF(T3&lt;=60%,"Moderado",IF(T3&lt;=80%,"Importante","Mayor"))))</f>
        <v>Menor</v>
      </c>
      <c r="V3" s="31" t="str">
        <f>CONCATENATE(J3, " ", U3)</f>
        <v>Alta Menor</v>
      </c>
      <c r="W3" s="88" t="str">
        <f>IF(V3="Muy baja Insignificante","Baja",
 IF(V3="Baja Insignificante","Baja",
 IF(V3="Media Insignificante","Media",
 IF(V3="Alta Insignificante","Media",
 IF(V3="Muy alta Insignificante","Alta",
 IF(V3="Muy baja Menor","Baja",
 IF(V3="Baja Menor","Media",
 IF(V3="Media Menor","Media",
 IF(V3="Alta Menor","Media",
 IF(V3="Muy alta Menor","Alta",
 IF(V3="Muy baja Moderado","Media",
 IF(V3="Baja Moderado","Media",
 IF(V3="Media Moderado","Media",
 IF(V3="Alta Moderado","Alta",
 IF(V3="Muy alta Moderado","Alta",
 IF(V3="Muy baja Importante","Alta",
 IF(V3="Baja Importante","Alta",
 IF(V3="Media Importante","Alta",
 IF(V3="Alta Importante","Alta",
 IF(V3="Muy alta Importante","Alta",
 IF(V3="Muy baja Mayor","Crítica",
 IF(V3="Baja Mayor","Crítica",
 IF(V3="Media Mayor","Crítica",
 IF(V3="Alta Mayor","Crítica",
 IF(V3="Muy alta Mayor","Crítica","")))))))))))))))))))))))))</f>
        <v>Media</v>
      </c>
    </row>
    <row r="4" spans="1:23" s="8" customFormat="1" ht="60" hidden="1" customHeight="1" x14ac:dyDescent="0.3">
      <c r="A4" s="21">
        <v>1</v>
      </c>
      <c r="B4" s="11" t="s">
        <v>175</v>
      </c>
      <c r="C4" s="11" t="s">
        <v>43</v>
      </c>
      <c r="D4" s="69" t="s">
        <v>26</v>
      </c>
      <c r="E4" s="110" t="s">
        <v>161</v>
      </c>
      <c r="F4" s="108" t="s">
        <v>214</v>
      </c>
      <c r="G4" s="143" t="str">
        <f>ACTV!V4</f>
        <v>Crítica</v>
      </c>
      <c r="H4" s="145">
        <v>12</v>
      </c>
      <c r="I4" s="72">
        <f t="shared" ref="I4:I35" si="1">IF(H4&lt;=4, 20%, IF(H4&lt;=12, 40%, IF(H4&lt;=365, 60%, IF(H4&lt;=3660, 80%, 100%))))</f>
        <v>0.4</v>
      </c>
      <c r="J4" s="65" t="str">
        <f t="shared" ref="J4:J35" si="2">IF(I4&lt;=20%,"Muy baja",IF(I4&lt;=40%,"Baja",IF(I4&lt;=60%,"Media",IF(I4&lt;=80%,"Alta","Muy alta"))))</f>
        <v>Baja</v>
      </c>
      <c r="K4" s="146">
        <v>1500000</v>
      </c>
      <c r="L4" s="67">
        <v>1300000</v>
      </c>
      <c r="M4" s="26">
        <f t="shared" si="0"/>
        <v>1.1538461538461537</v>
      </c>
      <c r="N4" s="75">
        <f t="shared" ref="N4:N35" si="3">IF(M4&lt;0.13, 20%, IF(M4&lt;0.26, 40%, IF(M4&lt;0.4, 60%, IF(M4&lt;0.53, 80%, 100%))))</f>
        <v>1</v>
      </c>
      <c r="O4" s="77" t="s">
        <v>67</v>
      </c>
      <c r="P4" s="78">
        <f t="shared" ref="P4:P35" si="4">IF(O4="Sólo de conocimiento de la emprendedora",10%,IF(O4="No se registra incumplimiento regulatorio",10%,IF(O4="De conocimiento de algunos familiares, amigos y proveedores",20%,IF(O4="Genera recomendación de organismo regulatorio",20%,IF(O4="Afecta la imagen con algunos clientes",30%,IF(O4="Requerimiento del organismo regulatorio",30%,IF(O4="Deterioro de la imagen a nivel regional",40%,IF(O4="Llamado de atención del organismo regulatorio",40%,IF(O4="Deterioro de la imagen a nivel nacional",50%,IF(O4="Sanción de organismo regulatorio",50%,"No válido"))))))))))</f>
        <v>0.1</v>
      </c>
      <c r="Q4" s="77" t="s">
        <v>68</v>
      </c>
      <c r="R4" s="76">
        <f t="shared" ref="R4:R35" si="5">IF(Q4="Sólo de conocimiento de la emprendedora",10%,IF(Q4="No se registra incumplimiento regulatorio",10%,IF(Q4="De conocimiento de algunos familiares, amigos y proveedores",20%,IF(Q4="Genera recomendación de organismo regulatorio",20%,IF(Q4="Afecta imagen con algunos clientes",30%,IF(Q4="Requerimiento del organismo regulatorio",30%,IF(Q4="Deterioro de la imagen a nivel regional",40%,IF(Q4="Llamado de atención del organismo regulatorio",40%,IF(Q4="Deterioro de la imagen a nivel nacional",50%,IF(Q4="Sanción de organismo regulatorio",50%,"No válido"))))))))))</f>
        <v>0.1</v>
      </c>
      <c r="S4" s="30">
        <f t="shared" ref="S4:S35" si="6">P4+R4</f>
        <v>0.2</v>
      </c>
      <c r="T4" s="62">
        <f t="shared" ref="T4:T35" si="7">MAX(N4, S4)</f>
        <v>1</v>
      </c>
      <c r="U4" s="63" t="str">
        <f t="shared" ref="U4:U35" si="8">IF(T4&lt;=20%,"Insignificante",IF(T4&lt;=40%,"Menor",IF(T4&lt;=60%,"Moderado",IF(T4&lt;=80%,"Importante","Mayor"))))</f>
        <v>Mayor</v>
      </c>
      <c r="V4" s="31" t="str">
        <f t="shared" ref="V4:V35" si="9">CONCATENATE(J4, " ", U4)</f>
        <v>Baja Mayor</v>
      </c>
      <c r="W4" s="88" t="str">
        <f t="shared" ref="W4:W35" si="10">IF(V4="Muy baja Insignificante","Baja",
 IF(V4="Baja Insignificante","Baja",
 IF(V4="Media Insignificante","Media",
 IF(V4="Alta Insignificante","Media",
 IF(V4="Muy alta Insignificante","Alta",
 IF(V4="Muy baja Menor","Baja",
 IF(V4="Baja Menor","Media",
 IF(V4="Media Menor","Media",
 IF(V4="Alta Menor","Media",
 IF(V4="Muy alta Menor","Alta",
 IF(V4="Muy baja Moderado","Media",
 IF(V4="Baja Moderado","Media",
 IF(V4="Media Moderado","Media",
 IF(V4="Alta Moderado","Alta",
 IF(V4="Muy alta Moderado","Alta",
 IF(V4="Muy baja Importante","Alta",
 IF(V4="Baja Importante","Alta",
 IF(V4="Media Importante","Alta",
 IF(V4="Alta Importante","Alta",
 IF(V4="Muy alta Importante","Alta",
 IF(V4="Muy baja Mayor","Crítica",
 IF(V4="Baja Mayor","Crítica",
 IF(V4="Media Mayor","Crítica",
 IF(V4="Alta Mayor","Crítica",
 IF(V4="Muy alta Mayor","Crítica","")))))))))))))))))))))))))</f>
        <v>Crítica</v>
      </c>
    </row>
    <row r="5" spans="1:23" s="8" customFormat="1" ht="60" hidden="1" customHeight="1" x14ac:dyDescent="0.3">
      <c r="A5" s="21">
        <v>2</v>
      </c>
      <c r="B5" s="11" t="s">
        <v>2</v>
      </c>
      <c r="C5" s="11" t="s">
        <v>43</v>
      </c>
      <c r="D5" s="69" t="s">
        <v>27</v>
      </c>
      <c r="E5" s="110" t="s">
        <v>161</v>
      </c>
      <c r="F5" s="108" t="s">
        <v>215</v>
      </c>
      <c r="G5" s="143" t="str">
        <f>ACTV!V5</f>
        <v>Crítica</v>
      </c>
      <c r="H5" s="145">
        <v>12</v>
      </c>
      <c r="I5" s="72">
        <f t="shared" si="1"/>
        <v>0.4</v>
      </c>
      <c r="J5" s="65" t="str">
        <f t="shared" si="2"/>
        <v>Baja</v>
      </c>
      <c r="K5" s="146">
        <v>1500000</v>
      </c>
      <c r="L5" s="67">
        <v>1300000</v>
      </c>
      <c r="M5" s="26">
        <f t="shared" si="0"/>
        <v>1.1538461538461537</v>
      </c>
      <c r="N5" s="75">
        <f t="shared" si="3"/>
        <v>1</v>
      </c>
      <c r="O5" s="77" t="s">
        <v>67</v>
      </c>
      <c r="P5" s="78">
        <f t="shared" si="4"/>
        <v>0.1</v>
      </c>
      <c r="Q5" s="77" t="s">
        <v>68</v>
      </c>
      <c r="R5" s="76">
        <f t="shared" si="5"/>
        <v>0.1</v>
      </c>
      <c r="S5" s="30">
        <f t="shared" si="6"/>
        <v>0.2</v>
      </c>
      <c r="T5" s="62">
        <f t="shared" si="7"/>
        <v>1</v>
      </c>
      <c r="U5" s="63" t="str">
        <f t="shared" si="8"/>
        <v>Mayor</v>
      </c>
      <c r="V5" s="31" t="str">
        <f t="shared" si="9"/>
        <v>Baja Mayor</v>
      </c>
      <c r="W5" s="88" t="str">
        <f t="shared" si="10"/>
        <v>Crítica</v>
      </c>
    </row>
    <row r="6" spans="1:23" s="8" customFormat="1" ht="60" hidden="1" customHeight="1" x14ac:dyDescent="0.3">
      <c r="A6" s="21">
        <v>3</v>
      </c>
      <c r="B6" s="11" t="s">
        <v>3</v>
      </c>
      <c r="C6" s="11" t="s">
        <v>43</v>
      </c>
      <c r="D6" s="69" t="s">
        <v>28</v>
      </c>
      <c r="E6" s="110" t="s">
        <v>160</v>
      </c>
      <c r="F6" s="108" t="s">
        <v>216</v>
      </c>
      <c r="G6" s="143" t="str">
        <f>ACTV!V6</f>
        <v>Crítica</v>
      </c>
      <c r="H6" s="107">
        <v>1</v>
      </c>
      <c r="I6" s="72">
        <f t="shared" si="1"/>
        <v>0.2</v>
      </c>
      <c r="J6" s="65" t="str">
        <f t="shared" si="2"/>
        <v>Muy baja</v>
      </c>
      <c r="K6" s="73">
        <v>100000</v>
      </c>
      <c r="L6" s="67">
        <v>1300000</v>
      </c>
      <c r="M6" s="26">
        <f t="shared" si="0"/>
        <v>7.6923076923076927E-2</v>
      </c>
      <c r="N6" s="75">
        <f t="shared" si="3"/>
        <v>0.2</v>
      </c>
      <c r="O6" s="77" t="s">
        <v>67</v>
      </c>
      <c r="P6" s="78">
        <f t="shared" si="4"/>
        <v>0.1</v>
      </c>
      <c r="Q6" s="77" t="s">
        <v>68</v>
      </c>
      <c r="R6" s="76">
        <f t="shared" si="5"/>
        <v>0.1</v>
      </c>
      <c r="S6" s="30">
        <f t="shared" si="6"/>
        <v>0.2</v>
      </c>
      <c r="T6" s="62">
        <f t="shared" si="7"/>
        <v>0.2</v>
      </c>
      <c r="U6" s="63" t="str">
        <f t="shared" si="8"/>
        <v>Insignificante</v>
      </c>
      <c r="V6" s="31" t="str">
        <f t="shared" si="9"/>
        <v>Muy baja Insignificante</v>
      </c>
      <c r="W6" s="88" t="str">
        <f t="shared" si="10"/>
        <v>Baja</v>
      </c>
    </row>
    <row r="7" spans="1:23" s="8" customFormat="1" ht="60" hidden="1" customHeight="1" x14ac:dyDescent="0.3">
      <c r="A7" s="21">
        <v>4</v>
      </c>
      <c r="B7" s="11" t="s">
        <v>4</v>
      </c>
      <c r="C7" s="11" t="s">
        <v>43</v>
      </c>
      <c r="D7" s="69" t="s">
        <v>29</v>
      </c>
      <c r="E7" s="110" t="s">
        <v>161</v>
      </c>
      <c r="F7" s="108" t="s">
        <v>217</v>
      </c>
      <c r="G7" s="143" t="str">
        <f>ACTV!V7</f>
        <v>Crítica</v>
      </c>
      <c r="H7" s="145">
        <v>12</v>
      </c>
      <c r="I7" s="72">
        <f t="shared" si="1"/>
        <v>0.4</v>
      </c>
      <c r="J7" s="65" t="str">
        <f t="shared" si="2"/>
        <v>Baja</v>
      </c>
      <c r="K7" s="146">
        <v>1500000</v>
      </c>
      <c r="L7" s="67">
        <v>1300000</v>
      </c>
      <c r="M7" s="26">
        <f t="shared" si="0"/>
        <v>1.1538461538461537</v>
      </c>
      <c r="N7" s="75">
        <f t="shared" si="3"/>
        <v>1</v>
      </c>
      <c r="O7" s="77" t="s">
        <v>82</v>
      </c>
      <c r="P7" s="78">
        <f t="shared" si="4"/>
        <v>0.3</v>
      </c>
      <c r="Q7" s="77" t="s">
        <v>68</v>
      </c>
      <c r="R7" s="76">
        <f t="shared" si="5"/>
        <v>0.1</v>
      </c>
      <c r="S7" s="30">
        <f t="shared" si="6"/>
        <v>0.4</v>
      </c>
      <c r="T7" s="62">
        <f t="shared" si="7"/>
        <v>1</v>
      </c>
      <c r="U7" s="63" t="str">
        <f t="shared" si="8"/>
        <v>Mayor</v>
      </c>
      <c r="V7" s="31" t="str">
        <f t="shared" si="9"/>
        <v>Baja Mayor</v>
      </c>
      <c r="W7" s="88" t="str">
        <f t="shared" si="10"/>
        <v>Crítica</v>
      </c>
    </row>
    <row r="8" spans="1:23" s="8" customFormat="1" ht="60" hidden="1" customHeight="1" x14ac:dyDescent="0.3">
      <c r="A8" s="21">
        <v>5</v>
      </c>
      <c r="B8" s="11" t="s">
        <v>5</v>
      </c>
      <c r="C8" s="11" t="s">
        <v>44</v>
      </c>
      <c r="D8" s="69" t="s">
        <v>30</v>
      </c>
      <c r="E8" s="110" t="s">
        <v>162</v>
      </c>
      <c r="F8" s="108"/>
      <c r="G8" s="143" t="str">
        <f>ACTV!V8</f>
        <v>Media</v>
      </c>
      <c r="H8" s="107">
        <v>1</v>
      </c>
      <c r="I8" s="72">
        <f t="shared" si="1"/>
        <v>0.2</v>
      </c>
      <c r="J8" s="65" t="str">
        <f t="shared" si="2"/>
        <v>Muy baja</v>
      </c>
      <c r="K8" s="73">
        <v>0</v>
      </c>
      <c r="L8" s="67">
        <v>1300000</v>
      </c>
      <c r="M8" s="26">
        <f t="shared" si="0"/>
        <v>0</v>
      </c>
      <c r="N8" s="75">
        <f t="shared" si="3"/>
        <v>0.2</v>
      </c>
      <c r="O8" s="77" t="s">
        <v>67</v>
      </c>
      <c r="P8" s="78">
        <f t="shared" si="4"/>
        <v>0.1</v>
      </c>
      <c r="Q8" s="77" t="s">
        <v>68</v>
      </c>
      <c r="R8" s="76">
        <f t="shared" si="5"/>
        <v>0.1</v>
      </c>
      <c r="S8" s="30">
        <f t="shared" si="6"/>
        <v>0.2</v>
      </c>
      <c r="T8" s="62">
        <f t="shared" si="7"/>
        <v>0.2</v>
      </c>
      <c r="U8" s="63" t="str">
        <f t="shared" si="8"/>
        <v>Insignificante</v>
      </c>
      <c r="V8" s="31" t="str">
        <f t="shared" si="9"/>
        <v>Muy baja Insignificante</v>
      </c>
      <c r="W8" s="88" t="str">
        <f t="shared" si="10"/>
        <v>Baja</v>
      </c>
    </row>
    <row r="9" spans="1:23" s="8" customFormat="1" ht="60" hidden="1" customHeight="1" x14ac:dyDescent="0.3">
      <c r="A9" s="21">
        <v>6</v>
      </c>
      <c r="B9" s="11" t="s">
        <v>6</v>
      </c>
      <c r="C9" s="11" t="s">
        <v>43</v>
      </c>
      <c r="D9" s="69" t="s">
        <v>31</v>
      </c>
      <c r="E9" s="110" t="s">
        <v>162</v>
      </c>
      <c r="F9" s="108"/>
      <c r="G9" s="143" t="str">
        <f>ACTV!V9</f>
        <v>Alta</v>
      </c>
      <c r="H9" s="107">
        <v>1</v>
      </c>
      <c r="I9" s="72">
        <f t="shared" si="1"/>
        <v>0.2</v>
      </c>
      <c r="J9" s="65" t="str">
        <f t="shared" si="2"/>
        <v>Muy baja</v>
      </c>
      <c r="K9" s="73">
        <v>0</v>
      </c>
      <c r="L9" s="67">
        <v>1300000</v>
      </c>
      <c r="M9" s="26">
        <f t="shared" si="0"/>
        <v>0</v>
      </c>
      <c r="N9" s="75">
        <f t="shared" si="3"/>
        <v>0.2</v>
      </c>
      <c r="O9" s="77" t="s">
        <v>67</v>
      </c>
      <c r="P9" s="78">
        <f t="shared" si="4"/>
        <v>0.1</v>
      </c>
      <c r="Q9" s="77" t="s">
        <v>68</v>
      </c>
      <c r="R9" s="76">
        <f t="shared" si="5"/>
        <v>0.1</v>
      </c>
      <c r="S9" s="30">
        <f t="shared" si="6"/>
        <v>0.2</v>
      </c>
      <c r="T9" s="62">
        <f t="shared" si="7"/>
        <v>0.2</v>
      </c>
      <c r="U9" s="63" t="str">
        <f t="shared" si="8"/>
        <v>Insignificante</v>
      </c>
      <c r="V9" s="31" t="str">
        <f t="shared" si="9"/>
        <v>Muy baja Insignificante</v>
      </c>
      <c r="W9" s="88" t="str">
        <f t="shared" si="10"/>
        <v>Baja</v>
      </c>
    </row>
    <row r="10" spans="1:23" s="8" customFormat="1" ht="60" hidden="1" customHeight="1" x14ac:dyDescent="0.3">
      <c r="A10" s="21">
        <v>7</v>
      </c>
      <c r="B10" s="11" t="s">
        <v>176</v>
      </c>
      <c r="C10" s="11" t="s">
        <v>25</v>
      </c>
      <c r="D10" s="69" t="s">
        <v>32</v>
      </c>
      <c r="E10" s="110" t="s">
        <v>162</v>
      </c>
      <c r="F10" s="108"/>
      <c r="G10" s="143" t="str">
        <f>ACTV!V10</f>
        <v>Alta</v>
      </c>
      <c r="H10" s="107">
        <v>2</v>
      </c>
      <c r="I10" s="72">
        <f t="shared" si="1"/>
        <v>0.2</v>
      </c>
      <c r="J10" s="65" t="str">
        <f t="shared" si="2"/>
        <v>Muy baja</v>
      </c>
      <c r="K10" s="73">
        <v>0</v>
      </c>
      <c r="L10" s="67">
        <v>1300000</v>
      </c>
      <c r="M10" s="26">
        <f t="shared" si="0"/>
        <v>0</v>
      </c>
      <c r="N10" s="75">
        <f t="shared" si="3"/>
        <v>0.2</v>
      </c>
      <c r="O10" s="77" t="s">
        <v>67</v>
      </c>
      <c r="P10" s="78">
        <f t="shared" si="4"/>
        <v>0.1</v>
      </c>
      <c r="Q10" s="77" t="s">
        <v>68</v>
      </c>
      <c r="R10" s="76">
        <f t="shared" si="5"/>
        <v>0.1</v>
      </c>
      <c r="S10" s="30">
        <f t="shared" si="6"/>
        <v>0.2</v>
      </c>
      <c r="T10" s="62">
        <f t="shared" si="7"/>
        <v>0.2</v>
      </c>
      <c r="U10" s="63" t="str">
        <f t="shared" si="8"/>
        <v>Insignificante</v>
      </c>
      <c r="V10" s="31" t="str">
        <f t="shared" si="9"/>
        <v>Muy baja Insignificante</v>
      </c>
      <c r="W10" s="88" t="str">
        <f t="shared" si="10"/>
        <v>Baja</v>
      </c>
    </row>
    <row r="11" spans="1:23" s="8" customFormat="1" ht="60" hidden="1" customHeight="1" x14ac:dyDescent="0.3">
      <c r="A11" s="21">
        <v>8</v>
      </c>
      <c r="B11" s="11" t="s">
        <v>177</v>
      </c>
      <c r="C11" s="11" t="s">
        <v>43</v>
      </c>
      <c r="D11" s="69" t="s">
        <v>33</v>
      </c>
      <c r="E11" s="110" t="s">
        <v>162</v>
      </c>
      <c r="F11" s="108"/>
      <c r="G11" s="143" t="str">
        <f>ACTV!V11</f>
        <v>Crítica</v>
      </c>
      <c r="H11" s="107">
        <v>3</v>
      </c>
      <c r="I11" s="72">
        <f t="shared" si="1"/>
        <v>0.2</v>
      </c>
      <c r="J11" s="65" t="str">
        <f t="shared" si="2"/>
        <v>Muy baja</v>
      </c>
      <c r="K11" s="73">
        <v>70000</v>
      </c>
      <c r="L11" s="67">
        <v>1300000</v>
      </c>
      <c r="M11" s="26">
        <f t="shared" si="0"/>
        <v>5.3846153846153849E-2</v>
      </c>
      <c r="N11" s="75">
        <f t="shared" si="3"/>
        <v>0.2</v>
      </c>
      <c r="O11" s="77" t="s">
        <v>69</v>
      </c>
      <c r="P11" s="78">
        <f t="shared" si="4"/>
        <v>0.2</v>
      </c>
      <c r="Q11" s="77" t="s">
        <v>68</v>
      </c>
      <c r="R11" s="76">
        <f t="shared" si="5"/>
        <v>0.1</v>
      </c>
      <c r="S11" s="30">
        <f t="shared" si="6"/>
        <v>0.30000000000000004</v>
      </c>
      <c r="T11" s="62">
        <f t="shared" si="7"/>
        <v>0.30000000000000004</v>
      </c>
      <c r="U11" s="63" t="str">
        <f t="shared" si="8"/>
        <v>Menor</v>
      </c>
      <c r="V11" s="31" t="str">
        <f t="shared" si="9"/>
        <v>Muy baja Menor</v>
      </c>
      <c r="W11" s="88" t="str">
        <f t="shared" si="10"/>
        <v>Baja</v>
      </c>
    </row>
    <row r="12" spans="1:23" s="8" customFormat="1" ht="60" hidden="1" customHeight="1" x14ac:dyDescent="0.3">
      <c r="A12" s="21">
        <v>9</v>
      </c>
      <c r="B12" s="11" t="s">
        <v>7</v>
      </c>
      <c r="C12" s="11" t="s">
        <v>43</v>
      </c>
      <c r="D12" s="69" t="s">
        <v>213</v>
      </c>
      <c r="E12" s="110" t="s">
        <v>161</v>
      </c>
      <c r="F12" s="108" t="s">
        <v>217</v>
      </c>
      <c r="G12" s="143" t="str">
        <f>ACTV!V12</f>
        <v>Crítica</v>
      </c>
      <c r="H12" s="145">
        <v>12</v>
      </c>
      <c r="I12" s="72">
        <f t="shared" si="1"/>
        <v>0.4</v>
      </c>
      <c r="J12" s="65" t="str">
        <f t="shared" si="2"/>
        <v>Baja</v>
      </c>
      <c r="K12" s="146">
        <v>1500000</v>
      </c>
      <c r="L12" s="67">
        <v>1300000</v>
      </c>
      <c r="M12" s="26">
        <f t="shared" si="0"/>
        <v>1.1538461538461537</v>
      </c>
      <c r="N12" s="75">
        <f t="shared" si="3"/>
        <v>1</v>
      </c>
      <c r="O12" s="77" t="s">
        <v>82</v>
      </c>
      <c r="P12" s="78">
        <f t="shared" si="4"/>
        <v>0.3</v>
      </c>
      <c r="Q12" s="77" t="s">
        <v>68</v>
      </c>
      <c r="R12" s="76">
        <f t="shared" si="5"/>
        <v>0.1</v>
      </c>
      <c r="S12" s="30">
        <f t="shared" si="6"/>
        <v>0.4</v>
      </c>
      <c r="T12" s="62">
        <f t="shared" si="7"/>
        <v>1</v>
      </c>
      <c r="U12" s="63" t="str">
        <f t="shared" si="8"/>
        <v>Mayor</v>
      </c>
      <c r="V12" s="31" t="str">
        <f t="shared" si="9"/>
        <v>Baja Mayor</v>
      </c>
      <c r="W12" s="88" t="str">
        <f t="shared" si="10"/>
        <v>Crítica</v>
      </c>
    </row>
    <row r="13" spans="1:23" s="8" customFormat="1" ht="60" hidden="1" customHeight="1" x14ac:dyDescent="0.3">
      <c r="A13" s="111">
        <v>10</v>
      </c>
      <c r="B13" s="11" t="s">
        <v>178</v>
      </c>
      <c r="C13" s="11" t="s">
        <v>43</v>
      </c>
      <c r="D13" s="69" t="s">
        <v>179</v>
      </c>
      <c r="E13" s="110" t="s">
        <v>160</v>
      </c>
      <c r="F13" s="108" t="s">
        <v>217</v>
      </c>
      <c r="G13" s="143" t="str">
        <f>ACTV!V13</f>
        <v>Crítica</v>
      </c>
      <c r="H13" s="107">
        <v>1</v>
      </c>
      <c r="I13" s="72">
        <f t="shared" si="1"/>
        <v>0.2</v>
      </c>
      <c r="J13" s="65" t="str">
        <f t="shared" si="2"/>
        <v>Muy baja</v>
      </c>
      <c r="K13" s="73">
        <v>4000000</v>
      </c>
      <c r="L13" s="67">
        <v>1300000</v>
      </c>
      <c r="M13" s="26">
        <f t="shared" si="0"/>
        <v>3.0769230769230771</v>
      </c>
      <c r="N13" s="75">
        <f t="shared" si="3"/>
        <v>1</v>
      </c>
      <c r="O13" s="77" t="s">
        <v>67</v>
      </c>
      <c r="P13" s="78">
        <f t="shared" si="4"/>
        <v>0.1</v>
      </c>
      <c r="Q13" s="77" t="s">
        <v>68</v>
      </c>
      <c r="R13" s="76">
        <f t="shared" si="5"/>
        <v>0.1</v>
      </c>
      <c r="S13" s="30">
        <f t="shared" si="6"/>
        <v>0.2</v>
      </c>
      <c r="T13" s="62">
        <f t="shared" si="7"/>
        <v>1</v>
      </c>
      <c r="U13" s="63" t="str">
        <f t="shared" si="8"/>
        <v>Mayor</v>
      </c>
      <c r="V13" s="31" t="str">
        <f t="shared" si="9"/>
        <v>Muy baja Mayor</v>
      </c>
      <c r="W13" s="88" t="str">
        <f t="shared" si="10"/>
        <v>Crítica</v>
      </c>
    </row>
    <row r="14" spans="1:23" s="8" customFormat="1" ht="60" hidden="1" customHeight="1" x14ac:dyDescent="0.3">
      <c r="A14" s="21">
        <v>11</v>
      </c>
      <c r="B14" s="11" t="s">
        <v>8</v>
      </c>
      <c r="C14" s="11" t="s">
        <v>43</v>
      </c>
      <c r="D14" s="69" t="s">
        <v>34</v>
      </c>
      <c r="E14" s="110" t="s">
        <v>162</v>
      </c>
      <c r="F14" s="108"/>
      <c r="G14" s="143" t="str">
        <f>ACTV!V14</f>
        <v>Alta</v>
      </c>
      <c r="H14" s="107">
        <v>2</v>
      </c>
      <c r="I14" s="72">
        <f t="shared" si="1"/>
        <v>0.2</v>
      </c>
      <c r="J14" s="65" t="str">
        <f t="shared" si="2"/>
        <v>Muy baja</v>
      </c>
      <c r="K14" s="73">
        <v>1000000</v>
      </c>
      <c r="L14" s="67">
        <v>1300000</v>
      </c>
      <c r="M14" s="26">
        <f t="shared" si="0"/>
        <v>0.76923076923076927</v>
      </c>
      <c r="N14" s="75">
        <f t="shared" si="3"/>
        <v>1</v>
      </c>
      <c r="O14" s="77" t="s">
        <v>67</v>
      </c>
      <c r="P14" s="78">
        <f t="shared" si="4"/>
        <v>0.1</v>
      </c>
      <c r="Q14" s="77" t="s">
        <v>68</v>
      </c>
      <c r="R14" s="76">
        <f t="shared" si="5"/>
        <v>0.1</v>
      </c>
      <c r="S14" s="30">
        <f t="shared" si="6"/>
        <v>0.2</v>
      </c>
      <c r="T14" s="62">
        <f t="shared" si="7"/>
        <v>1</v>
      </c>
      <c r="U14" s="63" t="str">
        <f t="shared" si="8"/>
        <v>Mayor</v>
      </c>
      <c r="V14" s="31" t="str">
        <f t="shared" si="9"/>
        <v>Muy baja Mayor</v>
      </c>
      <c r="W14" s="88" t="str">
        <f t="shared" si="10"/>
        <v>Crítica</v>
      </c>
    </row>
    <row r="15" spans="1:23" s="8" customFormat="1" ht="60" hidden="1" customHeight="1" x14ac:dyDescent="0.3">
      <c r="A15" s="21">
        <v>12</v>
      </c>
      <c r="B15" s="11" t="s">
        <v>9</v>
      </c>
      <c r="C15" s="11" t="s">
        <v>25</v>
      </c>
      <c r="D15" s="69" t="s">
        <v>35</v>
      </c>
      <c r="E15" s="110" t="s">
        <v>161</v>
      </c>
      <c r="F15" s="108" t="s">
        <v>218</v>
      </c>
      <c r="G15" s="143" t="str">
        <f>ACTV!V15</f>
        <v>Media</v>
      </c>
      <c r="H15" s="145">
        <v>6</v>
      </c>
      <c r="I15" s="72">
        <f t="shared" si="1"/>
        <v>0.4</v>
      </c>
      <c r="J15" s="65" t="str">
        <f t="shared" si="2"/>
        <v>Baja</v>
      </c>
      <c r="K15" s="146">
        <v>500000</v>
      </c>
      <c r="L15" s="67">
        <v>1300000</v>
      </c>
      <c r="M15" s="26">
        <f t="shared" si="0"/>
        <v>0.38461538461538464</v>
      </c>
      <c r="N15" s="75">
        <f t="shared" si="3"/>
        <v>0.6</v>
      </c>
      <c r="O15" s="77" t="s">
        <v>82</v>
      </c>
      <c r="P15" s="78">
        <f t="shared" si="4"/>
        <v>0.3</v>
      </c>
      <c r="Q15" s="77" t="s">
        <v>68</v>
      </c>
      <c r="R15" s="76">
        <f t="shared" si="5"/>
        <v>0.1</v>
      </c>
      <c r="S15" s="30">
        <f t="shared" si="6"/>
        <v>0.4</v>
      </c>
      <c r="T15" s="62">
        <f t="shared" si="7"/>
        <v>0.6</v>
      </c>
      <c r="U15" s="63" t="str">
        <f t="shared" si="8"/>
        <v>Moderado</v>
      </c>
      <c r="V15" s="31" t="str">
        <f t="shared" si="9"/>
        <v>Baja Moderado</v>
      </c>
      <c r="W15" s="88" t="str">
        <f t="shared" si="10"/>
        <v>Media</v>
      </c>
    </row>
    <row r="16" spans="1:23" s="8" customFormat="1" ht="60" hidden="1" customHeight="1" x14ac:dyDescent="0.3">
      <c r="A16" s="21">
        <v>13</v>
      </c>
      <c r="B16" s="11" t="s">
        <v>180</v>
      </c>
      <c r="C16" s="11" t="s">
        <v>25</v>
      </c>
      <c r="D16" s="69" t="s">
        <v>181</v>
      </c>
      <c r="E16" s="110" t="s">
        <v>161</v>
      </c>
      <c r="F16" s="109" t="s">
        <v>217</v>
      </c>
      <c r="G16" s="143" t="str">
        <f>ACTV!V16</f>
        <v>Alta</v>
      </c>
      <c r="H16" s="145">
        <v>12</v>
      </c>
      <c r="I16" s="72">
        <f t="shared" si="1"/>
        <v>0.4</v>
      </c>
      <c r="J16" s="65" t="str">
        <f t="shared" si="2"/>
        <v>Baja</v>
      </c>
      <c r="K16" s="146">
        <v>600000</v>
      </c>
      <c r="L16" s="67">
        <v>1300000</v>
      </c>
      <c r="M16" s="26">
        <f t="shared" si="0"/>
        <v>0.46153846153846156</v>
      </c>
      <c r="N16" s="75">
        <f t="shared" si="3"/>
        <v>0.8</v>
      </c>
      <c r="O16" s="77" t="s">
        <v>67</v>
      </c>
      <c r="P16" s="78">
        <f t="shared" si="4"/>
        <v>0.1</v>
      </c>
      <c r="Q16" s="77" t="s">
        <v>75</v>
      </c>
      <c r="R16" s="76">
        <f t="shared" si="5"/>
        <v>0.5</v>
      </c>
      <c r="S16" s="30">
        <f t="shared" si="6"/>
        <v>0.6</v>
      </c>
      <c r="T16" s="62">
        <f t="shared" si="7"/>
        <v>0.8</v>
      </c>
      <c r="U16" s="63" t="str">
        <f t="shared" si="8"/>
        <v>Importante</v>
      </c>
      <c r="V16" s="31" t="str">
        <f t="shared" si="9"/>
        <v>Baja Importante</v>
      </c>
      <c r="W16" s="88" t="str">
        <f t="shared" si="10"/>
        <v>Alta</v>
      </c>
    </row>
    <row r="17" spans="1:23" s="8" customFormat="1" ht="60" hidden="1" customHeight="1" x14ac:dyDescent="0.3">
      <c r="A17" s="21">
        <v>14</v>
      </c>
      <c r="B17" s="11" t="s">
        <v>11</v>
      </c>
      <c r="C17" s="156" t="s">
        <v>43</v>
      </c>
      <c r="D17" s="158" t="s">
        <v>182</v>
      </c>
      <c r="E17" s="110" t="s">
        <v>161</v>
      </c>
      <c r="F17" s="108" t="s">
        <v>219</v>
      </c>
      <c r="G17" s="143" t="str">
        <f>ACTV!V17</f>
        <v>Crítica</v>
      </c>
      <c r="H17" s="145">
        <v>12</v>
      </c>
      <c r="I17" s="72">
        <f t="shared" si="1"/>
        <v>0.4</v>
      </c>
      <c r="J17" s="65" t="str">
        <f t="shared" si="2"/>
        <v>Baja</v>
      </c>
      <c r="K17" s="146">
        <v>1500000</v>
      </c>
      <c r="L17" s="67">
        <v>1300000</v>
      </c>
      <c r="M17" s="26">
        <f t="shared" si="0"/>
        <v>1.1538461538461537</v>
      </c>
      <c r="N17" s="75">
        <f t="shared" si="3"/>
        <v>1</v>
      </c>
      <c r="O17" s="77" t="s">
        <v>82</v>
      </c>
      <c r="P17" s="78">
        <f t="shared" si="4"/>
        <v>0.3</v>
      </c>
      <c r="Q17" s="77" t="s">
        <v>68</v>
      </c>
      <c r="R17" s="76">
        <f t="shared" si="5"/>
        <v>0.1</v>
      </c>
      <c r="S17" s="30">
        <f t="shared" si="6"/>
        <v>0.4</v>
      </c>
      <c r="T17" s="62">
        <f t="shared" si="7"/>
        <v>1</v>
      </c>
      <c r="U17" s="63" t="str">
        <f t="shared" si="8"/>
        <v>Mayor</v>
      </c>
      <c r="V17" s="31" t="str">
        <f t="shared" si="9"/>
        <v>Baja Mayor</v>
      </c>
      <c r="W17" s="88" t="str">
        <f t="shared" si="10"/>
        <v>Crítica</v>
      </c>
    </row>
    <row r="18" spans="1:23" s="8" customFormat="1" ht="60" hidden="1" customHeight="1" x14ac:dyDescent="0.3">
      <c r="A18" s="21">
        <v>15</v>
      </c>
      <c r="B18" s="11" t="s">
        <v>10</v>
      </c>
      <c r="C18" s="157"/>
      <c r="D18" s="159"/>
      <c r="E18" s="110" t="s">
        <v>160</v>
      </c>
      <c r="F18" s="108" t="s">
        <v>220</v>
      </c>
      <c r="G18" s="143" t="str">
        <f>ACTV!V18</f>
        <v>Crítica</v>
      </c>
      <c r="H18" s="107">
        <v>1</v>
      </c>
      <c r="I18" s="72">
        <f t="shared" si="1"/>
        <v>0.2</v>
      </c>
      <c r="J18" s="65" t="str">
        <f t="shared" si="2"/>
        <v>Muy baja</v>
      </c>
      <c r="K18" s="73">
        <v>4000000</v>
      </c>
      <c r="L18" s="67">
        <v>1423500</v>
      </c>
      <c r="M18" s="26">
        <f t="shared" si="0"/>
        <v>2.8099754127151386</v>
      </c>
      <c r="N18" s="75">
        <f t="shared" si="3"/>
        <v>1</v>
      </c>
      <c r="O18" s="77" t="s">
        <v>67</v>
      </c>
      <c r="P18" s="78">
        <f t="shared" si="4"/>
        <v>0.1</v>
      </c>
      <c r="Q18" s="77" t="s">
        <v>68</v>
      </c>
      <c r="R18" s="76">
        <f t="shared" si="5"/>
        <v>0.1</v>
      </c>
      <c r="S18" s="30">
        <f t="shared" si="6"/>
        <v>0.2</v>
      </c>
      <c r="T18" s="62">
        <f t="shared" si="7"/>
        <v>1</v>
      </c>
      <c r="U18" s="63" t="str">
        <f t="shared" si="8"/>
        <v>Mayor</v>
      </c>
      <c r="V18" s="31" t="str">
        <f t="shared" si="9"/>
        <v>Muy baja Mayor</v>
      </c>
      <c r="W18" s="88" t="str">
        <f t="shared" si="10"/>
        <v>Crítica</v>
      </c>
    </row>
    <row r="19" spans="1:23" s="8" customFormat="1" ht="60" hidden="1" customHeight="1" x14ac:dyDescent="0.3">
      <c r="A19" s="21">
        <v>16</v>
      </c>
      <c r="B19" s="11" t="s">
        <v>184</v>
      </c>
      <c r="C19" s="112" t="s">
        <v>43</v>
      </c>
      <c r="D19" s="113" t="s">
        <v>183</v>
      </c>
      <c r="E19" s="110" t="s">
        <v>162</v>
      </c>
      <c r="F19" s="109"/>
      <c r="G19" s="143" t="str">
        <f>ACTV!V19</f>
        <v>Media</v>
      </c>
      <c r="H19" s="107">
        <v>1</v>
      </c>
      <c r="I19" s="72">
        <f t="shared" si="1"/>
        <v>0.2</v>
      </c>
      <c r="J19" s="65" t="str">
        <f t="shared" si="2"/>
        <v>Muy baja</v>
      </c>
      <c r="K19" s="73">
        <v>100000</v>
      </c>
      <c r="L19" s="67">
        <v>1300000</v>
      </c>
      <c r="M19" s="26">
        <f t="shared" si="0"/>
        <v>7.6923076923076927E-2</v>
      </c>
      <c r="N19" s="75">
        <f t="shared" si="3"/>
        <v>0.2</v>
      </c>
      <c r="O19" s="77" t="s">
        <v>69</v>
      </c>
      <c r="P19" s="78">
        <f t="shared" si="4"/>
        <v>0.2</v>
      </c>
      <c r="Q19" s="77" t="s">
        <v>68</v>
      </c>
      <c r="R19" s="76">
        <f t="shared" si="5"/>
        <v>0.1</v>
      </c>
      <c r="S19" s="30">
        <f t="shared" si="6"/>
        <v>0.30000000000000004</v>
      </c>
      <c r="T19" s="62">
        <f t="shared" si="7"/>
        <v>0.30000000000000004</v>
      </c>
      <c r="U19" s="63" t="str">
        <f t="shared" si="8"/>
        <v>Menor</v>
      </c>
      <c r="V19" s="31" t="str">
        <f t="shared" si="9"/>
        <v>Muy baja Menor</v>
      </c>
      <c r="W19" s="88" t="str">
        <f t="shared" si="10"/>
        <v>Baja</v>
      </c>
    </row>
    <row r="20" spans="1:23" s="8" customFormat="1" ht="60" hidden="1" customHeight="1" x14ac:dyDescent="0.3">
      <c r="A20" s="21">
        <v>17</v>
      </c>
      <c r="B20" s="11" t="s">
        <v>186</v>
      </c>
      <c r="C20" s="11" t="s">
        <v>25</v>
      </c>
      <c r="D20" s="69" t="s">
        <v>36</v>
      </c>
      <c r="E20" s="110" t="s">
        <v>162</v>
      </c>
      <c r="F20" s="108"/>
      <c r="G20" s="143" t="str">
        <f>ACTV!V20</f>
        <v>Alta</v>
      </c>
      <c r="H20" s="107">
        <v>2</v>
      </c>
      <c r="I20" s="72">
        <f t="shared" si="1"/>
        <v>0.2</v>
      </c>
      <c r="J20" s="65" t="str">
        <f t="shared" si="2"/>
        <v>Muy baja</v>
      </c>
      <c r="K20" s="73">
        <v>300000</v>
      </c>
      <c r="L20" s="67">
        <v>1423500</v>
      </c>
      <c r="M20" s="26">
        <f t="shared" si="0"/>
        <v>0.21074815595363541</v>
      </c>
      <c r="N20" s="75">
        <f t="shared" si="3"/>
        <v>0.4</v>
      </c>
      <c r="O20" s="77" t="s">
        <v>67</v>
      </c>
      <c r="P20" s="78">
        <f t="shared" si="4"/>
        <v>0.1</v>
      </c>
      <c r="Q20" s="77" t="s">
        <v>68</v>
      </c>
      <c r="R20" s="76">
        <f t="shared" si="5"/>
        <v>0.1</v>
      </c>
      <c r="S20" s="30">
        <f t="shared" si="6"/>
        <v>0.2</v>
      </c>
      <c r="T20" s="62">
        <f t="shared" si="7"/>
        <v>0.4</v>
      </c>
      <c r="U20" s="63" t="str">
        <f t="shared" si="8"/>
        <v>Menor</v>
      </c>
      <c r="V20" s="31" t="str">
        <f t="shared" si="9"/>
        <v>Muy baja Menor</v>
      </c>
      <c r="W20" s="88" t="str">
        <f t="shared" si="10"/>
        <v>Baja</v>
      </c>
    </row>
    <row r="21" spans="1:23" s="8" customFormat="1" ht="60" hidden="1" customHeight="1" x14ac:dyDescent="0.3">
      <c r="A21" s="21">
        <v>18</v>
      </c>
      <c r="B21" s="11" t="s">
        <v>187</v>
      </c>
      <c r="C21" s="11" t="s">
        <v>43</v>
      </c>
      <c r="D21" s="69" t="s">
        <v>37</v>
      </c>
      <c r="E21" s="110" t="s">
        <v>161</v>
      </c>
      <c r="F21" s="108"/>
      <c r="G21" s="143" t="str">
        <f>ACTV!V21</f>
        <v>Crítica</v>
      </c>
      <c r="H21" s="145">
        <v>12</v>
      </c>
      <c r="I21" s="72">
        <f t="shared" si="1"/>
        <v>0.4</v>
      </c>
      <c r="J21" s="65" t="str">
        <f t="shared" si="2"/>
        <v>Baja</v>
      </c>
      <c r="K21" s="146">
        <v>1500000</v>
      </c>
      <c r="L21" s="67">
        <v>1423500</v>
      </c>
      <c r="M21" s="26">
        <f t="shared" si="0"/>
        <v>1.053740779768177</v>
      </c>
      <c r="N21" s="75">
        <f t="shared" si="3"/>
        <v>1</v>
      </c>
      <c r="O21" s="77" t="s">
        <v>82</v>
      </c>
      <c r="P21" s="78">
        <f t="shared" si="4"/>
        <v>0.3</v>
      </c>
      <c r="Q21" s="77" t="s">
        <v>68</v>
      </c>
      <c r="R21" s="76">
        <f t="shared" si="5"/>
        <v>0.1</v>
      </c>
      <c r="S21" s="30">
        <f t="shared" si="6"/>
        <v>0.4</v>
      </c>
      <c r="T21" s="62">
        <f t="shared" si="7"/>
        <v>1</v>
      </c>
      <c r="U21" s="63" t="str">
        <f t="shared" si="8"/>
        <v>Mayor</v>
      </c>
      <c r="V21" s="31" t="str">
        <f t="shared" si="9"/>
        <v>Baja Mayor</v>
      </c>
      <c r="W21" s="88" t="str">
        <f t="shared" si="10"/>
        <v>Crítica</v>
      </c>
    </row>
    <row r="22" spans="1:23" s="8" customFormat="1" ht="60" hidden="1" customHeight="1" x14ac:dyDescent="0.3">
      <c r="A22" s="21">
        <v>19</v>
      </c>
      <c r="B22" s="11" t="s">
        <v>12</v>
      </c>
      <c r="C22" s="11" t="s">
        <v>44</v>
      </c>
      <c r="D22" s="69" t="s">
        <v>188</v>
      </c>
      <c r="E22" s="110" t="s">
        <v>162</v>
      </c>
      <c r="F22" s="108"/>
      <c r="G22" s="143" t="str">
        <f>ACTV!V22</f>
        <v>Alta</v>
      </c>
      <c r="H22" s="107">
        <v>240</v>
      </c>
      <c r="I22" s="72">
        <f t="shared" si="1"/>
        <v>0.6</v>
      </c>
      <c r="J22" s="65" t="str">
        <f t="shared" si="2"/>
        <v>Media</v>
      </c>
      <c r="K22" s="73">
        <v>100000</v>
      </c>
      <c r="L22" s="67">
        <v>1300000</v>
      </c>
      <c r="M22" s="26">
        <f t="shared" si="0"/>
        <v>7.6923076923076927E-2</v>
      </c>
      <c r="N22" s="75">
        <f t="shared" si="3"/>
        <v>0.2</v>
      </c>
      <c r="O22" s="77" t="s">
        <v>67</v>
      </c>
      <c r="P22" s="78">
        <f t="shared" si="4"/>
        <v>0.1</v>
      </c>
      <c r="Q22" s="77" t="s">
        <v>68</v>
      </c>
      <c r="R22" s="76">
        <f t="shared" si="5"/>
        <v>0.1</v>
      </c>
      <c r="S22" s="30">
        <f t="shared" si="6"/>
        <v>0.2</v>
      </c>
      <c r="T22" s="62">
        <f t="shared" si="7"/>
        <v>0.2</v>
      </c>
      <c r="U22" s="63" t="str">
        <f t="shared" si="8"/>
        <v>Insignificante</v>
      </c>
      <c r="V22" s="31" t="str">
        <f t="shared" si="9"/>
        <v>Media Insignificante</v>
      </c>
      <c r="W22" s="88" t="str">
        <f t="shared" si="10"/>
        <v>Media</v>
      </c>
    </row>
    <row r="23" spans="1:23" s="8" customFormat="1" ht="60" hidden="1" customHeight="1" x14ac:dyDescent="0.3">
      <c r="A23" s="21">
        <v>20</v>
      </c>
      <c r="B23" s="11" t="s">
        <v>13</v>
      </c>
      <c r="C23" s="11" t="s">
        <v>44</v>
      </c>
      <c r="D23" s="69" t="s">
        <v>189</v>
      </c>
      <c r="E23" s="110" t="s">
        <v>160</v>
      </c>
      <c r="F23" s="108" t="s">
        <v>217</v>
      </c>
      <c r="G23" s="143" t="str">
        <f>ACTV!V23</f>
        <v>Alta</v>
      </c>
      <c r="H23" s="107">
        <v>12</v>
      </c>
      <c r="I23" s="72">
        <f t="shared" si="1"/>
        <v>0.4</v>
      </c>
      <c r="J23" s="65" t="str">
        <f t="shared" si="2"/>
        <v>Baja</v>
      </c>
      <c r="K23" s="73">
        <v>100000</v>
      </c>
      <c r="L23" s="67">
        <v>1300000</v>
      </c>
      <c r="M23" s="26">
        <f t="shared" si="0"/>
        <v>7.6923076923076927E-2</v>
      </c>
      <c r="N23" s="75">
        <f t="shared" si="3"/>
        <v>0.2</v>
      </c>
      <c r="O23" s="77" t="s">
        <v>69</v>
      </c>
      <c r="P23" s="78">
        <f t="shared" si="4"/>
        <v>0.2</v>
      </c>
      <c r="Q23" s="77" t="s">
        <v>68</v>
      </c>
      <c r="R23" s="76">
        <f t="shared" si="5"/>
        <v>0.1</v>
      </c>
      <c r="S23" s="30">
        <f t="shared" si="6"/>
        <v>0.30000000000000004</v>
      </c>
      <c r="T23" s="62">
        <f t="shared" si="7"/>
        <v>0.30000000000000004</v>
      </c>
      <c r="U23" s="63" t="str">
        <f t="shared" si="8"/>
        <v>Menor</v>
      </c>
      <c r="V23" s="31" t="str">
        <f t="shared" si="9"/>
        <v>Baja Menor</v>
      </c>
      <c r="W23" s="88" t="str">
        <f t="shared" si="10"/>
        <v>Media</v>
      </c>
    </row>
    <row r="24" spans="1:23" s="8" customFormat="1" ht="60" hidden="1" customHeight="1" x14ac:dyDescent="0.3">
      <c r="A24" s="21">
        <v>21</v>
      </c>
      <c r="B24" s="11" t="s">
        <v>191</v>
      </c>
      <c r="C24" s="11" t="s">
        <v>25</v>
      </c>
      <c r="D24" s="69" t="s">
        <v>190</v>
      </c>
      <c r="E24" s="110" t="s">
        <v>162</v>
      </c>
      <c r="F24" s="108"/>
      <c r="G24" s="143" t="str">
        <f>ACTV!V24</f>
        <v>Alta</v>
      </c>
      <c r="H24" s="107">
        <v>12</v>
      </c>
      <c r="I24" s="72">
        <f t="shared" si="1"/>
        <v>0.4</v>
      </c>
      <c r="J24" s="65" t="str">
        <f t="shared" si="2"/>
        <v>Baja</v>
      </c>
      <c r="K24" s="73">
        <v>100000</v>
      </c>
      <c r="L24" s="67">
        <v>1423500</v>
      </c>
      <c r="M24" s="26">
        <f t="shared" si="0"/>
        <v>7.0249385317878471E-2</v>
      </c>
      <c r="N24" s="75">
        <f t="shared" si="3"/>
        <v>0.2</v>
      </c>
      <c r="O24" s="77" t="s">
        <v>67</v>
      </c>
      <c r="P24" s="78">
        <f t="shared" si="4"/>
        <v>0.1</v>
      </c>
      <c r="Q24" s="77" t="s">
        <v>68</v>
      </c>
      <c r="R24" s="76">
        <f t="shared" si="5"/>
        <v>0.1</v>
      </c>
      <c r="S24" s="30">
        <f t="shared" si="6"/>
        <v>0.2</v>
      </c>
      <c r="T24" s="62">
        <f t="shared" si="7"/>
        <v>0.2</v>
      </c>
      <c r="U24" s="63" t="str">
        <f t="shared" si="8"/>
        <v>Insignificante</v>
      </c>
      <c r="V24" s="31" t="str">
        <f t="shared" si="9"/>
        <v>Baja Insignificante</v>
      </c>
      <c r="W24" s="88" t="str">
        <f t="shared" si="10"/>
        <v>Baja</v>
      </c>
    </row>
    <row r="25" spans="1:23" s="8" customFormat="1" ht="60" hidden="1" customHeight="1" x14ac:dyDescent="0.3">
      <c r="A25" s="21">
        <v>22</v>
      </c>
      <c r="B25" s="11" t="s">
        <v>14</v>
      </c>
      <c r="C25" s="11" t="s">
        <v>25</v>
      </c>
      <c r="D25" s="69" t="s">
        <v>38</v>
      </c>
      <c r="E25" s="110" t="s">
        <v>162</v>
      </c>
      <c r="F25" s="108"/>
      <c r="G25" s="143" t="str">
        <f>ACTV!V25</f>
        <v>Alta</v>
      </c>
      <c r="H25" s="107">
        <v>480</v>
      </c>
      <c r="I25" s="72">
        <f t="shared" si="1"/>
        <v>0.8</v>
      </c>
      <c r="J25" s="65" t="str">
        <f t="shared" si="2"/>
        <v>Alta</v>
      </c>
      <c r="K25" s="73">
        <v>100000</v>
      </c>
      <c r="L25" s="67">
        <v>1300000</v>
      </c>
      <c r="M25" s="26">
        <f t="shared" si="0"/>
        <v>7.6923076923076927E-2</v>
      </c>
      <c r="N25" s="75">
        <f t="shared" si="3"/>
        <v>0.2</v>
      </c>
      <c r="O25" s="77" t="s">
        <v>67</v>
      </c>
      <c r="P25" s="78">
        <f t="shared" si="4"/>
        <v>0.1</v>
      </c>
      <c r="Q25" s="77" t="s">
        <v>68</v>
      </c>
      <c r="R25" s="76">
        <f t="shared" si="5"/>
        <v>0.1</v>
      </c>
      <c r="S25" s="30">
        <f t="shared" si="6"/>
        <v>0.2</v>
      </c>
      <c r="T25" s="62">
        <f t="shared" si="7"/>
        <v>0.2</v>
      </c>
      <c r="U25" s="63" t="str">
        <f t="shared" si="8"/>
        <v>Insignificante</v>
      </c>
      <c r="V25" s="31" t="str">
        <f t="shared" si="9"/>
        <v>Alta Insignificante</v>
      </c>
      <c r="W25" s="88" t="str">
        <f t="shared" si="10"/>
        <v>Media</v>
      </c>
    </row>
    <row r="26" spans="1:23" s="8" customFormat="1" ht="60" hidden="1" customHeight="1" x14ac:dyDescent="0.3">
      <c r="A26" s="21">
        <v>23</v>
      </c>
      <c r="B26" s="11" t="s">
        <v>15</v>
      </c>
      <c r="C26" s="11" t="s">
        <v>43</v>
      </c>
      <c r="D26" s="69" t="s">
        <v>39</v>
      </c>
      <c r="E26" s="110" t="s">
        <v>162</v>
      </c>
      <c r="F26" s="108"/>
      <c r="G26" s="143" t="str">
        <f>ACTV!V26</f>
        <v>Crítica</v>
      </c>
      <c r="H26" s="107">
        <v>480</v>
      </c>
      <c r="I26" s="72">
        <f t="shared" si="1"/>
        <v>0.8</v>
      </c>
      <c r="J26" s="65" t="str">
        <f t="shared" si="2"/>
        <v>Alta</v>
      </c>
      <c r="K26" s="73">
        <v>100000</v>
      </c>
      <c r="L26" s="67">
        <v>1423500</v>
      </c>
      <c r="M26" s="26">
        <f t="shared" si="0"/>
        <v>7.0249385317878471E-2</v>
      </c>
      <c r="N26" s="75">
        <f t="shared" si="3"/>
        <v>0.2</v>
      </c>
      <c r="O26" s="77" t="s">
        <v>67</v>
      </c>
      <c r="P26" s="78">
        <f t="shared" si="4"/>
        <v>0.1</v>
      </c>
      <c r="Q26" s="77" t="s">
        <v>68</v>
      </c>
      <c r="R26" s="76">
        <f t="shared" si="5"/>
        <v>0.1</v>
      </c>
      <c r="S26" s="30">
        <f t="shared" si="6"/>
        <v>0.2</v>
      </c>
      <c r="T26" s="62">
        <f t="shared" si="7"/>
        <v>0.2</v>
      </c>
      <c r="U26" s="63" t="str">
        <f t="shared" si="8"/>
        <v>Insignificante</v>
      </c>
      <c r="V26" s="31" t="str">
        <f t="shared" si="9"/>
        <v>Alta Insignificante</v>
      </c>
      <c r="W26" s="88" t="str">
        <f t="shared" si="10"/>
        <v>Media</v>
      </c>
    </row>
    <row r="27" spans="1:23" s="8" customFormat="1" ht="60" hidden="1" customHeight="1" x14ac:dyDescent="0.3">
      <c r="A27" s="21">
        <v>24</v>
      </c>
      <c r="B27" s="11" t="s">
        <v>16</v>
      </c>
      <c r="C27" s="11" t="s">
        <v>43</v>
      </c>
      <c r="D27" s="69" t="s">
        <v>40</v>
      </c>
      <c r="E27" s="110" t="s">
        <v>161</v>
      </c>
      <c r="F27" s="108" t="s">
        <v>217</v>
      </c>
      <c r="G27" s="143" t="str">
        <f>ACTV!V27</f>
        <v>Crítica</v>
      </c>
      <c r="H27" s="145">
        <v>12</v>
      </c>
      <c r="I27" s="72">
        <f t="shared" si="1"/>
        <v>0.4</v>
      </c>
      <c r="J27" s="65" t="str">
        <f t="shared" si="2"/>
        <v>Baja</v>
      </c>
      <c r="K27" s="146">
        <v>1500000</v>
      </c>
      <c r="L27" s="67">
        <v>1423500</v>
      </c>
      <c r="M27" s="26">
        <f t="shared" si="0"/>
        <v>1.053740779768177</v>
      </c>
      <c r="N27" s="75">
        <f t="shared" si="3"/>
        <v>1</v>
      </c>
      <c r="O27" s="77" t="s">
        <v>82</v>
      </c>
      <c r="P27" s="78">
        <f t="shared" si="4"/>
        <v>0.3</v>
      </c>
      <c r="Q27" s="77" t="s">
        <v>68</v>
      </c>
      <c r="R27" s="76">
        <f t="shared" si="5"/>
        <v>0.1</v>
      </c>
      <c r="S27" s="30">
        <f t="shared" si="6"/>
        <v>0.4</v>
      </c>
      <c r="T27" s="62">
        <f t="shared" si="7"/>
        <v>1</v>
      </c>
      <c r="U27" s="63" t="str">
        <f t="shared" si="8"/>
        <v>Mayor</v>
      </c>
      <c r="V27" s="31" t="str">
        <f t="shared" si="9"/>
        <v>Baja Mayor</v>
      </c>
      <c r="W27" s="88" t="str">
        <f t="shared" si="10"/>
        <v>Crítica</v>
      </c>
    </row>
    <row r="28" spans="1:23" s="8" customFormat="1" ht="60" hidden="1" customHeight="1" x14ac:dyDescent="0.3">
      <c r="A28" s="21">
        <v>25</v>
      </c>
      <c r="B28" s="11" t="s">
        <v>163</v>
      </c>
      <c r="C28" s="11" t="s">
        <v>43</v>
      </c>
      <c r="D28" s="69" t="s">
        <v>192</v>
      </c>
      <c r="E28" s="110" t="s">
        <v>160</v>
      </c>
      <c r="F28" s="108" t="s">
        <v>221</v>
      </c>
      <c r="G28" s="143" t="str">
        <f>ACTV!V28</f>
        <v>Crítica</v>
      </c>
      <c r="H28" s="107">
        <v>1</v>
      </c>
      <c r="I28" s="72">
        <f t="shared" si="1"/>
        <v>0.2</v>
      </c>
      <c r="J28" s="65" t="str">
        <f t="shared" si="2"/>
        <v>Muy baja</v>
      </c>
      <c r="K28" s="73">
        <v>4000000</v>
      </c>
      <c r="L28" s="67">
        <v>1423500</v>
      </c>
      <c r="M28" s="26">
        <f t="shared" si="0"/>
        <v>2.8099754127151386</v>
      </c>
      <c r="N28" s="75">
        <f t="shared" si="3"/>
        <v>1</v>
      </c>
      <c r="O28" s="77" t="s">
        <v>67</v>
      </c>
      <c r="P28" s="78">
        <f t="shared" si="4"/>
        <v>0.1</v>
      </c>
      <c r="Q28" s="77" t="s">
        <v>68</v>
      </c>
      <c r="R28" s="76">
        <f t="shared" si="5"/>
        <v>0.1</v>
      </c>
      <c r="S28" s="30">
        <f t="shared" si="6"/>
        <v>0.2</v>
      </c>
      <c r="T28" s="62">
        <f t="shared" si="7"/>
        <v>1</v>
      </c>
      <c r="U28" s="63" t="str">
        <f t="shared" si="8"/>
        <v>Mayor</v>
      </c>
      <c r="V28" s="31" t="str">
        <f t="shared" si="9"/>
        <v>Muy baja Mayor</v>
      </c>
      <c r="W28" s="88" t="str">
        <f t="shared" si="10"/>
        <v>Crítica</v>
      </c>
    </row>
    <row r="29" spans="1:23" s="8" customFormat="1" ht="66.599999999999994" hidden="1" customHeight="1" x14ac:dyDescent="0.3">
      <c r="A29" s="21">
        <v>26</v>
      </c>
      <c r="B29" s="11" t="s">
        <v>17</v>
      </c>
      <c r="C29" s="11" t="s">
        <v>25</v>
      </c>
      <c r="D29" s="69" t="s">
        <v>193</v>
      </c>
      <c r="E29" s="110" t="s">
        <v>162</v>
      </c>
      <c r="F29" s="108"/>
      <c r="G29" s="143">
        <f>ACTV!V29</f>
        <v>0</v>
      </c>
      <c r="H29" s="107">
        <v>240</v>
      </c>
      <c r="I29" s="72">
        <f t="shared" si="1"/>
        <v>0.6</v>
      </c>
      <c r="J29" s="65" t="str">
        <f t="shared" si="2"/>
        <v>Media</v>
      </c>
      <c r="K29" s="73">
        <v>100000</v>
      </c>
      <c r="L29" s="67">
        <v>1300000</v>
      </c>
      <c r="M29" s="26">
        <f t="shared" si="0"/>
        <v>7.6923076923076927E-2</v>
      </c>
      <c r="N29" s="75">
        <f t="shared" si="3"/>
        <v>0.2</v>
      </c>
      <c r="O29" s="77" t="s">
        <v>67</v>
      </c>
      <c r="P29" s="78">
        <f t="shared" si="4"/>
        <v>0.1</v>
      </c>
      <c r="Q29" s="77" t="s">
        <v>68</v>
      </c>
      <c r="R29" s="76">
        <f t="shared" si="5"/>
        <v>0.1</v>
      </c>
      <c r="S29" s="30">
        <f t="shared" si="6"/>
        <v>0.2</v>
      </c>
      <c r="T29" s="62">
        <f t="shared" si="7"/>
        <v>0.2</v>
      </c>
      <c r="U29" s="63" t="str">
        <f t="shared" si="8"/>
        <v>Insignificante</v>
      </c>
      <c r="V29" s="31" t="str">
        <f t="shared" si="9"/>
        <v>Media Insignificante</v>
      </c>
      <c r="W29" s="88" t="str">
        <f t="shared" si="10"/>
        <v>Media</v>
      </c>
    </row>
    <row r="30" spans="1:23" s="8" customFormat="1" ht="60" hidden="1" customHeight="1" x14ac:dyDescent="0.3">
      <c r="A30" s="21">
        <v>27</v>
      </c>
      <c r="B30" s="11" t="s">
        <v>18</v>
      </c>
      <c r="C30" s="11" t="s">
        <v>43</v>
      </c>
      <c r="D30" s="69" t="s">
        <v>41</v>
      </c>
      <c r="E30" s="110" t="s">
        <v>160</v>
      </c>
      <c r="F30" s="108" t="s">
        <v>217</v>
      </c>
      <c r="G30" s="143" t="str">
        <f>ACTV!V30</f>
        <v>Crítica</v>
      </c>
      <c r="H30" s="107">
        <v>240</v>
      </c>
      <c r="I30" s="72">
        <f t="shared" si="1"/>
        <v>0.6</v>
      </c>
      <c r="J30" s="65" t="str">
        <f t="shared" si="2"/>
        <v>Media</v>
      </c>
      <c r="K30" s="73">
        <v>1000000</v>
      </c>
      <c r="L30" s="67">
        <v>1423500</v>
      </c>
      <c r="M30" s="26">
        <f t="shared" si="0"/>
        <v>0.70249385317878466</v>
      </c>
      <c r="N30" s="75">
        <f t="shared" si="3"/>
        <v>1</v>
      </c>
      <c r="O30" s="77" t="s">
        <v>67</v>
      </c>
      <c r="P30" s="78">
        <f t="shared" si="4"/>
        <v>0.1</v>
      </c>
      <c r="Q30" s="77" t="s">
        <v>68</v>
      </c>
      <c r="R30" s="76">
        <f t="shared" si="5"/>
        <v>0.1</v>
      </c>
      <c r="S30" s="30">
        <f t="shared" si="6"/>
        <v>0.2</v>
      </c>
      <c r="T30" s="62">
        <f t="shared" si="7"/>
        <v>1</v>
      </c>
      <c r="U30" s="63" t="str">
        <f t="shared" si="8"/>
        <v>Mayor</v>
      </c>
      <c r="V30" s="31" t="str">
        <f t="shared" si="9"/>
        <v>Media Mayor</v>
      </c>
      <c r="W30" s="88" t="str">
        <f t="shared" si="10"/>
        <v>Crítica</v>
      </c>
    </row>
    <row r="31" spans="1:23" s="8" customFormat="1" ht="68.400000000000006" hidden="1" customHeight="1" x14ac:dyDescent="0.3">
      <c r="A31" s="21">
        <v>28</v>
      </c>
      <c r="B31" s="11" t="s">
        <v>194</v>
      </c>
      <c r="C31" s="11" t="s">
        <v>25</v>
      </c>
      <c r="D31" s="69" t="s">
        <v>195</v>
      </c>
      <c r="E31" s="110" t="s">
        <v>161</v>
      </c>
      <c r="F31" s="108" t="s">
        <v>222</v>
      </c>
      <c r="G31" s="143" t="str">
        <f>ACTV!V31</f>
        <v>Crítica</v>
      </c>
      <c r="H31" s="145">
        <v>12</v>
      </c>
      <c r="I31" s="72">
        <f t="shared" si="1"/>
        <v>0.4</v>
      </c>
      <c r="J31" s="65" t="str">
        <f t="shared" si="2"/>
        <v>Baja</v>
      </c>
      <c r="K31" s="146">
        <v>1500000</v>
      </c>
      <c r="L31" s="67">
        <v>1423500</v>
      </c>
      <c r="M31" s="26">
        <f t="shared" si="0"/>
        <v>1.053740779768177</v>
      </c>
      <c r="N31" s="75">
        <f t="shared" si="3"/>
        <v>1</v>
      </c>
      <c r="O31" s="77" t="s">
        <v>82</v>
      </c>
      <c r="P31" s="78">
        <f t="shared" si="4"/>
        <v>0.3</v>
      </c>
      <c r="Q31" s="77" t="s">
        <v>68</v>
      </c>
      <c r="R31" s="76">
        <f t="shared" si="5"/>
        <v>0.1</v>
      </c>
      <c r="S31" s="30">
        <f t="shared" si="6"/>
        <v>0.4</v>
      </c>
      <c r="T31" s="62">
        <f t="shared" si="7"/>
        <v>1</v>
      </c>
      <c r="U31" s="63" t="str">
        <f t="shared" si="8"/>
        <v>Mayor</v>
      </c>
      <c r="V31" s="31" t="str">
        <f t="shared" si="9"/>
        <v>Baja Mayor</v>
      </c>
      <c r="W31" s="88" t="str">
        <f t="shared" si="10"/>
        <v>Crítica</v>
      </c>
    </row>
    <row r="32" spans="1:23" s="8" customFormat="1" ht="60" customHeight="1" x14ac:dyDescent="0.3">
      <c r="A32" s="21">
        <v>29</v>
      </c>
      <c r="B32" s="11" t="s">
        <v>196</v>
      </c>
      <c r="C32" s="11" t="s">
        <v>25</v>
      </c>
      <c r="D32" s="69" t="s">
        <v>42</v>
      </c>
      <c r="E32" s="110" t="s">
        <v>162</v>
      </c>
      <c r="F32" s="108"/>
      <c r="G32" s="143" t="str">
        <f>ACTV!V32</f>
        <v>Media</v>
      </c>
      <c r="H32" s="107">
        <v>240</v>
      </c>
      <c r="I32" s="72">
        <f t="shared" si="1"/>
        <v>0.6</v>
      </c>
      <c r="J32" s="65" t="str">
        <f t="shared" si="2"/>
        <v>Media</v>
      </c>
      <c r="K32" s="73">
        <v>100000</v>
      </c>
      <c r="L32" s="67">
        <v>1423500</v>
      </c>
      <c r="M32" s="26">
        <f t="shared" si="0"/>
        <v>7.0249385317878471E-2</v>
      </c>
      <c r="N32" s="75">
        <f t="shared" si="3"/>
        <v>0.2</v>
      </c>
      <c r="O32" s="77" t="s">
        <v>67</v>
      </c>
      <c r="P32" s="78">
        <f t="shared" si="4"/>
        <v>0.1</v>
      </c>
      <c r="Q32" s="77" t="s">
        <v>68</v>
      </c>
      <c r="R32" s="76">
        <f t="shared" si="5"/>
        <v>0.1</v>
      </c>
      <c r="S32" s="30">
        <f t="shared" si="6"/>
        <v>0.2</v>
      </c>
      <c r="T32" s="62">
        <f t="shared" si="7"/>
        <v>0.2</v>
      </c>
      <c r="U32" s="63" t="str">
        <f t="shared" si="8"/>
        <v>Insignificante</v>
      </c>
      <c r="V32" s="31" t="str">
        <f t="shared" si="9"/>
        <v>Media Insignificante</v>
      </c>
      <c r="W32" s="88" t="str">
        <f t="shared" si="10"/>
        <v>Media</v>
      </c>
    </row>
    <row r="33" spans="1:23" s="8" customFormat="1" ht="60" customHeight="1" x14ac:dyDescent="0.3">
      <c r="A33" s="21">
        <v>30</v>
      </c>
      <c r="B33" s="11" t="s">
        <v>19</v>
      </c>
      <c r="C33" s="11" t="s">
        <v>25</v>
      </c>
      <c r="D33" s="69" t="s">
        <v>197</v>
      </c>
      <c r="E33" s="110" t="s">
        <v>162</v>
      </c>
      <c r="F33" s="108"/>
      <c r="G33" s="143" t="str">
        <f>ACTV!V33</f>
        <v>Media</v>
      </c>
      <c r="H33" s="107">
        <v>240</v>
      </c>
      <c r="I33" s="72">
        <f t="shared" si="1"/>
        <v>0.6</v>
      </c>
      <c r="J33" s="65" t="str">
        <f t="shared" si="2"/>
        <v>Media</v>
      </c>
      <c r="K33" s="73">
        <v>100000</v>
      </c>
      <c r="L33" s="67">
        <v>1423500</v>
      </c>
      <c r="M33" s="26">
        <f t="shared" si="0"/>
        <v>7.0249385317878471E-2</v>
      </c>
      <c r="N33" s="75">
        <f t="shared" si="3"/>
        <v>0.2</v>
      </c>
      <c r="O33" s="77" t="s">
        <v>82</v>
      </c>
      <c r="P33" s="78">
        <f t="shared" si="4"/>
        <v>0.3</v>
      </c>
      <c r="Q33" s="77" t="s">
        <v>68</v>
      </c>
      <c r="R33" s="76">
        <f t="shared" si="5"/>
        <v>0.1</v>
      </c>
      <c r="S33" s="30">
        <f t="shared" si="6"/>
        <v>0.4</v>
      </c>
      <c r="T33" s="62">
        <f t="shared" si="7"/>
        <v>0.4</v>
      </c>
      <c r="U33" s="63" t="str">
        <f t="shared" si="8"/>
        <v>Menor</v>
      </c>
      <c r="V33" s="31" t="str">
        <f t="shared" si="9"/>
        <v>Media Menor</v>
      </c>
      <c r="W33" s="88" t="str">
        <f t="shared" si="10"/>
        <v>Media</v>
      </c>
    </row>
    <row r="34" spans="1:23" s="8" customFormat="1" ht="60" customHeight="1" x14ac:dyDescent="0.3">
      <c r="A34" s="21">
        <v>31</v>
      </c>
      <c r="B34" s="11" t="s">
        <v>20</v>
      </c>
      <c r="C34" s="11" t="s">
        <v>25</v>
      </c>
      <c r="D34" s="69" t="s">
        <v>198</v>
      </c>
      <c r="E34" s="110" t="s">
        <v>160</v>
      </c>
      <c r="F34" s="108" t="s">
        <v>217</v>
      </c>
      <c r="G34" s="143" t="str">
        <f>ACTV!V34</f>
        <v>Alta</v>
      </c>
      <c r="H34" s="107">
        <v>12</v>
      </c>
      <c r="I34" s="72">
        <f t="shared" si="1"/>
        <v>0.4</v>
      </c>
      <c r="J34" s="65" t="str">
        <f t="shared" si="2"/>
        <v>Baja</v>
      </c>
      <c r="K34" s="73">
        <v>2000000</v>
      </c>
      <c r="L34" s="67">
        <v>1300000</v>
      </c>
      <c r="M34" s="26">
        <f t="shared" si="0"/>
        <v>1.5384615384615385</v>
      </c>
      <c r="N34" s="75">
        <f t="shared" si="3"/>
        <v>1</v>
      </c>
      <c r="O34" s="77" t="s">
        <v>82</v>
      </c>
      <c r="P34" s="78">
        <f t="shared" si="4"/>
        <v>0.3</v>
      </c>
      <c r="Q34" s="77" t="s">
        <v>68</v>
      </c>
      <c r="R34" s="76">
        <f t="shared" si="5"/>
        <v>0.1</v>
      </c>
      <c r="S34" s="30">
        <f t="shared" si="6"/>
        <v>0.4</v>
      </c>
      <c r="T34" s="62">
        <f t="shared" si="7"/>
        <v>1</v>
      </c>
      <c r="U34" s="63" t="str">
        <f t="shared" si="8"/>
        <v>Mayor</v>
      </c>
      <c r="V34" s="31" t="str">
        <f t="shared" si="9"/>
        <v>Baja Mayor</v>
      </c>
      <c r="W34" s="88" t="str">
        <f t="shared" si="10"/>
        <v>Crítica</v>
      </c>
    </row>
    <row r="35" spans="1:23" ht="60" customHeight="1" x14ac:dyDescent="0.3">
      <c r="A35" s="21">
        <v>32</v>
      </c>
      <c r="B35" s="11" t="s">
        <v>21</v>
      </c>
      <c r="C35" s="12" t="s">
        <v>25</v>
      </c>
      <c r="D35" s="70" t="s">
        <v>199</v>
      </c>
      <c r="E35" s="110" t="s">
        <v>161</v>
      </c>
      <c r="F35" s="108" t="s">
        <v>217</v>
      </c>
      <c r="G35" s="143" t="str">
        <f>ACTV!V35</f>
        <v>Crítica</v>
      </c>
      <c r="H35" s="145">
        <v>12</v>
      </c>
      <c r="I35" s="72">
        <f t="shared" si="1"/>
        <v>0.4</v>
      </c>
      <c r="J35" s="65" t="str">
        <f t="shared" si="2"/>
        <v>Baja</v>
      </c>
      <c r="K35" s="146">
        <v>1500000</v>
      </c>
      <c r="L35" s="67">
        <v>1423500</v>
      </c>
      <c r="M35" s="26">
        <f t="shared" si="0"/>
        <v>1.053740779768177</v>
      </c>
      <c r="N35" s="75">
        <f t="shared" si="3"/>
        <v>1</v>
      </c>
      <c r="O35" s="77" t="s">
        <v>82</v>
      </c>
      <c r="P35" s="78">
        <f t="shared" si="4"/>
        <v>0.3</v>
      </c>
      <c r="Q35" s="77" t="s">
        <v>68</v>
      </c>
      <c r="R35" s="76">
        <f t="shared" si="5"/>
        <v>0.1</v>
      </c>
      <c r="S35" s="30">
        <f t="shared" si="6"/>
        <v>0.4</v>
      </c>
      <c r="T35" s="62">
        <f t="shared" si="7"/>
        <v>1</v>
      </c>
      <c r="U35" s="63" t="str">
        <f t="shared" si="8"/>
        <v>Mayor</v>
      </c>
      <c r="V35" s="31" t="str">
        <f t="shared" si="9"/>
        <v>Baja Mayor</v>
      </c>
      <c r="W35" s="88" t="str">
        <f t="shared" si="10"/>
        <v>Crítica</v>
      </c>
    </row>
    <row r="39" spans="1:23" ht="27.6" x14ac:dyDescent="0.3">
      <c r="B39" s="100" t="s">
        <v>119</v>
      </c>
    </row>
    <row r="42" spans="1:23" x14ac:dyDescent="0.3">
      <c r="B42" s="5" t="s">
        <v>120</v>
      </c>
      <c r="C42" s="5" t="s">
        <v>121</v>
      </c>
    </row>
    <row r="43" spans="1:23" ht="27.6" x14ac:dyDescent="0.3">
      <c r="B43" s="5" t="s">
        <v>122</v>
      </c>
      <c r="C43" s="5" t="s">
        <v>123</v>
      </c>
    </row>
    <row r="47" spans="1:23" ht="14.4" x14ac:dyDescent="0.3">
      <c r="B47" s="101" t="s">
        <v>124</v>
      </c>
      <c r="C47" s="102" t="s">
        <v>144</v>
      </c>
    </row>
    <row r="48" spans="1:23" ht="27.6" x14ac:dyDescent="0.3">
      <c r="B48" s="101" t="s">
        <v>125</v>
      </c>
      <c r="C48" s="102" t="s">
        <v>145</v>
      </c>
    </row>
    <row r="49" spans="2:3" ht="28.8" x14ac:dyDescent="0.3">
      <c r="B49" s="101" t="s">
        <v>126</v>
      </c>
      <c r="C49" s="102" t="s">
        <v>146</v>
      </c>
    </row>
    <row r="50" spans="2:3" ht="14.4" x14ac:dyDescent="0.3">
      <c r="B50" s="101" t="s">
        <v>127</v>
      </c>
      <c r="C50" s="103"/>
    </row>
    <row r="51" spans="2:3" ht="14.4" x14ac:dyDescent="0.3">
      <c r="B51" s="101" t="s">
        <v>128</v>
      </c>
      <c r="C51" s="103"/>
    </row>
    <row r="52" spans="2:3" ht="41.4" x14ac:dyDescent="0.3">
      <c r="B52" s="101" t="s">
        <v>129</v>
      </c>
      <c r="C52" s="102" t="s">
        <v>147</v>
      </c>
    </row>
    <row r="53" spans="2:3" ht="27.6" x14ac:dyDescent="0.3">
      <c r="B53" s="101" t="s">
        <v>130</v>
      </c>
      <c r="C53" s="103" t="s">
        <v>148</v>
      </c>
    </row>
    <row r="54" spans="2:3" ht="14.4" x14ac:dyDescent="0.3">
      <c r="B54" s="101" t="s">
        <v>131</v>
      </c>
    </row>
    <row r="55" spans="2:3" ht="27.6" x14ac:dyDescent="0.3">
      <c r="B55" s="101" t="s">
        <v>132</v>
      </c>
      <c r="C55" s="103" t="s">
        <v>149</v>
      </c>
    </row>
    <row r="56" spans="2:3" ht="41.4" x14ac:dyDescent="0.3">
      <c r="B56" s="101" t="s">
        <v>133</v>
      </c>
      <c r="C56" s="103" t="s">
        <v>150</v>
      </c>
    </row>
    <row r="58" spans="2:3" ht="28.8" x14ac:dyDescent="0.3">
      <c r="B58" s="101" t="s">
        <v>134</v>
      </c>
    </row>
    <row r="59" spans="2:3" ht="28.8" x14ac:dyDescent="0.3">
      <c r="B59" s="101" t="s">
        <v>135</v>
      </c>
    </row>
    <row r="60" spans="2:3" ht="28.8" x14ac:dyDescent="0.3">
      <c r="B60" s="101" t="s">
        <v>136</v>
      </c>
    </row>
    <row r="61" spans="2:3" ht="14.4" x14ac:dyDescent="0.3">
      <c r="B61" s="101" t="s">
        <v>137</v>
      </c>
    </row>
    <row r="62" spans="2:3" ht="28.8" x14ac:dyDescent="0.3">
      <c r="B62" s="101" t="s">
        <v>138</v>
      </c>
      <c r="C62" s="5" t="s">
        <v>152</v>
      </c>
    </row>
    <row r="63" spans="2:3" ht="28.8" x14ac:dyDescent="0.3">
      <c r="B63" s="101" t="s">
        <v>139</v>
      </c>
    </row>
    <row r="65" spans="2:2" ht="14.4" x14ac:dyDescent="0.3">
      <c r="B65" s="101" t="s">
        <v>140</v>
      </c>
    </row>
    <row r="66" spans="2:2" ht="14.4" x14ac:dyDescent="0.3">
      <c r="B66" s="101" t="s">
        <v>141</v>
      </c>
    </row>
    <row r="67" spans="2:2" ht="14.4" x14ac:dyDescent="0.3">
      <c r="B67" s="101" t="s">
        <v>142</v>
      </c>
    </row>
    <row r="68" spans="2:2" ht="14.4" x14ac:dyDescent="0.3">
      <c r="B68" s="101" t="s">
        <v>143</v>
      </c>
    </row>
    <row r="70" spans="2:2" ht="27.6" x14ac:dyDescent="0.3">
      <c r="B70" s="5" t="s">
        <v>151</v>
      </c>
    </row>
  </sheetData>
  <autoFilter ref="A2:W35" xr:uid="{2602582B-E350-4A9A-A7E4-8DC0B54E2C74}"/>
  <mergeCells count="3">
    <mergeCell ref="E1:F1"/>
    <mergeCell ref="C17:C18"/>
    <mergeCell ref="D17:D18"/>
  </mergeCells>
  <conditionalFormatting sqref="I3:I35">
    <cfRule type="cellIs" dxfId="75" priority="20" operator="equal">
      <formula>0.2</formula>
    </cfRule>
    <cfRule type="cellIs" dxfId="74" priority="21" operator="equal">
      <formula>0.4</formula>
    </cfRule>
    <cfRule type="cellIs" dxfId="73" priority="22" operator="equal">
      <formula>0.6</formula>
    </cfRule>
    <cfRule type="cellIs" dxfId="72" priority="23" operator="equal">
      <formula>0.8</formula>
    </cfRule>
    <cfRule type="cellIs" dxfId="71" priority="24" operator="equal">
      <formula>1</formula>
    </cfRule>
  </conditionalFormatting>
  <conditionalFormatting sqref="J3:J35">
    <cfRule type="containsText" dxfId="70" priority="10" operator="containsText" text="Muy baja">
      <formula>NOT(ISERROR(SEARCH("Muy baja",J3)))</formula>
    </cfRule>
    <cfRule type="beginsWith" dxfId="69" priority="11" operator="beginsWith" text="Baja">
      <formula>LEFT(J3,LEN("Baja"))="Baja"</formula>
    </cfRule>
    <cfRule type="containsText" dxfId="68" priority="12" operator="containsText" text="Media">
      <formula>NOT(ISERROR(SEARCH("Media",J3)))</formula>
    </cfRule>
    <cfRule type="beginsWith" dxfId="67" priority="13" operator="beginsWith" text="Alta">
      <formula>LEFT(J3,LEN("Alta"))="Alta"</formula>
    </cfRule>
    <cfRule type="containsText" dxfId="66" priority="14" operator="containsText" text="Muy alta">
      <formula>NOT(ISERROR(SEARCH("Muy alta",J3)))</formula>
    </cfRule>
  </conditionalFormatting>
  <conditionalFormatting sqref="T3:T35">
    <cfRule type="cellIs" dxfId="65" priority="15" operator="equal">
      <formula>0.2</formula>
    </cfRule>
    <cfRule type="cellIs" dxfId="64" priority="16" operator="equal">
      <formula>0.4</formula>
    </cfRule>
    <cfRule type="cellIs" dxfId="63" priority="17" operator="equal">
      <formula>0.6</formula>
    </cfRule>
    <cfRule type="cellIs" dxfId="62" priority="18" operator="equal">
      <formula>0.8</formula>
    </cfRule>
    <cfRule type="cellIs" dxfId="61" priority="19" operator="equal">
      <formula>1</formula>
    </cfRule>
  </conditionalFormatting>
  <conditionalFormatting sqref="U3:U35">
    <cfRule type="containsText" dxfId="60" priority="5" operator="containsText" text="Insignificante">
      <formula>NOT(ISERROR(SEARCH("Insignificante",U3)))</formula>
    </cfRule>
    <cfRule type="beginsWith" dxfId="59" priority="6" operator="beginsWith" text="Menor">
      <formula>LEFT(U3,LEN("Menor"))="Menor"</formula>
    </cfRule>
    <cfRule type="containsText" dxfId="58" priority="7" operator="containsText" text="Moderado">
      <formula>NOT(ISERROR(SEARCH("Moderado",U3)))</formula>
    </cfRule>
    <cfRule type="beginsWith" dxfId="57" priority="8" operator="beginsWith" text="Importante">
      <formula>LEFT(U3,LEN("Importante"))="Importante"</formula>
    </cfRule>
    <cfRule type="containsText" dxfId="56" priority="9" operator="containsText" text="Mayor">
      <formula>NOT(ISERROR(SEARCH("Mayor",U3)))</formula>
    </cfRule>
  </conditionalFormatting>
  <conditionalFormatting sqref="W3:W35">
    <cfRule type="containsText" dxfId="55" priority="1" operator="containsText" text="Crítica">
      <formula>NOT(ISERROR(SEARCH("Crítica",W3)))</formula>
    </cfRule>
    <cfRule type="containsText" dxfId="54" priority="2" operator="containsText" text="Alta">
      <formula>NOT(ISERROR(SEARCH("Alta",W3)))</formula>
    </cfRule>
    <cfRule type="containsText" dxfId="53" priority="3" operator="containsText" text="Media">
      <formula>NOT(ISERROR(SEARCH("Media",W3)))</formula>
    </cfRule>
    <cfRule type="containsText" dxfId="52" priority="4" operator="containsText" text="Baja">
      <formula>NOT(ISERROR(SEARCH("Baja",W3)))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05BAA24-D8D8-4295-ADA9-55292000961F}">
          <x14:formula1>
            <xm:f>Reputación!$C$4:$C$8</xm:f>
          </x14:formula1>
          <xm:sqref>O3:O35</xm:sqref>
        </x14:dataValidation>
        <x14:dataValidation type="list" allowBlank="1" showInputMessage="1" showErrorMessage="1" xr:uid="{7A6E3A0B-EDDF-47B7-AD7A-AA357C7AB6FD}">
          <x14:formula1>
            <xm:f>Reputación!$C$11:$C$15</xm:f>
          </x14:formula1>
          <xm:sqref>Q3:Q35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6CB0-D90A-4D34-972C-77F4BB93BE3B}">
  <dimension ref="A1:W70"/>
  <sheetViews>
    <sheetView showGridLines="0" zoomScaleNormal="100" workbookViewId="0">
      <selection activeCell="C36" sqref="C36"/>
    </sheetView>
  </sheetViews>
  <sheetFormatPr baseColWidth="10" defaultColWidth="11.5546875" defaultRowHeight="13.8" x14ac:dyDescent="0.3"/>
  <cols>
    <col min="1" max="1" width="7.6640625" style="9" customWidth="1"/>
    <col min="2" max="2" width="41" style="5" hidden="1" customWidth="1"/>
    <col min="3" max="3" width="30.77734375" style="5" customWidth="1"/>
    <col min="4" max="4" width="48.88671875" style="13" customWidth="1"/>
    <col min="5" max="5" width="6.109375" style="106" hidden="1" customWidth="1"/>
    <col min="6" max="7" width="19.77734375" style="13" hidden="1" customWidth="1"/>
    <col min="8" max="8" width="15.109375" style="9" hidden="1" customWidth="1"/>
    <col min="9" max="9" width="15.77734375" style="59" customWidth="1"/>
    <col min="10" max="10" width="16.109375" style="9" hidden="1" customWidth="1"/>
    <col min="11" max="11" width="23.6640625" style="25" hidden="1" customWidth="1"/>
    <col min="12" max="12" width="15.77734375" style="10" hidden="1" customWidth="1"/>
    <col min="13" max="13" width="17.6640625" style="9" hidden="1" customWidth="1"/>
    <col min="14" max="14" width="13.6640625" style="9" hidden="1" customWidth="1"/>
    <col min="15" max="15" width="41.77734375" style="10" hidden="1" customWidth="1"/>
    <col min="16" max="16" width="17.109375" style="9" hidden="1" customWidth="1"/>
    <col min="17" max="17" width="41.77734375" style="10" hidden="1" customWidth="1"/>
    <col min="18" max="18" width="17.109375" style="9" hidden="1" customWidth="1"/>
    <col min="19" max="19" width="16.21875" style="9" hidden="1" customWidth="1"/>
    <col min="20" max="20" width="17.33203125" style="9" hidden="1" customWidth="1"/>
    <col min="21" max="21" width="17.109375" style="10" customWidth="1"/>
    <col min="22" max="22" width="30.88671875" style="10" hidden="1" customWidth="1"/>
    <col min="23" max="23" width="38.33203125" style="10" customWidth="1"/>
    <col min="24" max="16384" width="11.5546875" style="10"/>
  </cols>
  <sheetData>
    <row r="1" spans="1:23" ht="19.95" customHeight="1" x14ac:dyDescent="0.3">
      <c r="E1" s="155" t="s">
        <v>200</v>
      </c>
      <c r="F1" s="155"/>
      <c r="G1" s="141"/>
      <c r="K1" s="25" t="s">
        <v>174</v>
      </c>
    </row>
    <row r="2" spans="1:23" s="7" customFormat="1" ht="60" customHeight="1" x14ac:dyDescent="0.3">
      <c r="A2" s="4" t="s">
        <v>0</v>
      </c>
      <c r="B2" s="4" t="s">
        <v>1</v>
      </c>
      <c r="C2" s="4" t="s">
        <v>24</v>
      </c>
      <c r="D2" s="68" t="s">
        <v>22</v>
      </c>
      <c r="E2" s="105" t="s">
        <v>154</v>
      </c>
      <c r="F2" s="105" t="s">
        <v>159</v>
      </c>
      <c r="G2" s="142" t="s">
        <v>234</v>
      </c>
      <c r="H2" s="104" t="s">
        <v>59</v>
      </c>
      <c r="I2" s="71" t="s">
        <v>46</v>
      </c>
      <c r="J2" s="64" t="s">
        <v>46</v>
      </c>
      <c r="K2" s="74" t="s">
        <v>45</v>
      </c>
      <c r="L2" s="66" t="s">
        <v>63</v>
      </c>
      <c r="M2" s="6" t="s">
        <v>64</v>
      </c>
      <c r="N2" s="61" t="s">
        <v>76</v>
      </c>
      <c r="O2" s="74" t="s">
        <v>65</v>
      </c>
      <c r="P2" s="60" t="s">
        <v>80</v>
      </c>
      <c r="Q2" s="74" t="s">
        <v>66</v>
      </c>
      <c r="R2" s="60" t="s">
        <v>81</v>
      </c>
      <c r="S2" s="61" t="s">
        <v>77</v>
      </c>
      <c r="T2" s="61" t="s">
        <v>90</v>
      </c>
      <c r="U2" s="61" t="s">
        <v>90</v>
      </c>
      <c r="V2" s="61" t="s">
        <v>91</v>
      </c>
      <c r="W2" s="89" t="s">
        <v>118</v>
      </c>
    </row>
    <row r="3" spans="1:23" s="8" customFormat="1" ht="60" hidden="1" customHeight="1" x14ac:dyDescent="0.3">
      <c r="A3" s="21">
        <v>0</v>
      </c>
      <c r="B3" s="11" t="s">
        <v>170</v>
      </c>
      <c r="C3" s="11" t="s">
        <v>25</v>
      </c>
      <c r="D3" s="69" t="s">
        <v>23</v>
      </c>
      <c r="E3" s="110" t="s">
        <v>162</v>
      </c>
      <c r="F3" s="108"/>
      <c r="G3" s="143" t="str">
        <f>ACTV!V3</f>
        <v>Crítica</v>
      </c>
      <c r="H3" s="107">
        <v>3650</v>
      </c>
      <c r="I3" s="72">
        <f>IF(H3&lt;=4, 20%, IF(H3&lt;=12, 40%, IF(H3&lt;=365, 60%, IF(H3&lt;=3660, 80%, 100%))))</f>
        <v>0.8</v>
      </c>
      <c r="J3" s="65" t="str">
        <f>IF(I3&lt;=20%,"Muy baja",IF(I3&lt;=40%,"Baja",IF(I3&lt;=60%,"Media",IF(I3&lt;=80%,"Alta","Muy alta"))))</f>
        <v>Alta</v>
      </c>
      <c r="K3" s="73">
        <v>2000000</v>
      </c>
      <c r="L3" s="67">
        <v>1300000</v>
      </c>
      <c r="M3" s="26">
        <f t="shared" ref="M3:M35" si="0">K3/L3</f>
        <v>1.5384615384615385</v>
      </c>
      <c r="N3" s="75">
        <f>IF(M3&lt;0.13, 20%, IF(M3&lt;0.26, 40%, IF(M3&lt;0.4, 60%, IF(M3&lt;0.53, 80%, 100%))))</f>
        <v>1</v>
      </c>
      <c r="O3" s="77" t="s">
        <v>67</v>
      </c>
      <c r="P3" s="78">
        <f>IF(O3="Sólo de conocimiento de la emprendedora",10%,IF(O3="No se registra incumplimiento regulatorio",10%,IF(O3="De conocimiento de algunos familiares, amigos y proveedores",20%,IF(O3="Genera recomendación de organismo regulatorio",20%,IF(O3="Afecta la imagen con algunos clientes",30%,IF(O3="Requerimiento del organismo regulatorio",30%,IF(O3="Deterioro de la imagen a nivel regional",40%,IF(O3="Llamado de atención del organismo regulatorio",40%,IF(O3="Deterioro de la imagen a nivel nacional",50%,IF(O3="Sanción de organismo regulatorio",50%,"No válido"))))))))))</f>
        <v>0.1</v>
      </c>
      <c r="Q3" s="77" t="s">
        <v>70</v>
      </c>
      <c r="R3" s="76">
        <f>IF(Q3="Sólo de conocimiento de la emprendedora",10%,IF(Q3="No se registra incumplimiento regulatorio",10%,IF(Q3="De conocimiento de algunos familiares, amigos y proveedores",20%,IF(Q3="Genera recomendación de organismo regulatorio",20%,IF(Q3="Afecta imagen con algunos clientes",30%,IF(Q3="Requerimiento del organismo regulatorio",30%,IF(Q3="Deterioro de la imagen a nivel regional",40%,IF(Q3="Llamado de atención del organismo regulatorio",40%,IF(Q3="Deterioro de la imagen a nivel nacional",50%,IF(Q3="Sanción de organismo regulatorio",50%,"No válido"))))))))))</f>
        <v>0.2</v>
      </c>
      <c r="S3" s="30">
        <f>P3+R3</f>
        <v>0.30000000000000004</v>
      </c>
      <c r="T3" s="62">
        <f>MAX(N3, S3)</f>
        <v>1</v>
      </c>
      <c r="U3" s="63" t="str">
        <f>IF(T3&lt;=20%,"Insignificante",IF(T3&lt;=40%,"Menor",IF(T3&lt;=60%,"Moderado",IF(T3&lt;=80%,"Importante","Mayor"))))</f>
        <v>Mayor</v>
      </c>
      <c r="V3" s="31" t="str">
        <f>CONCATENATE(J3, " ", U3)</f>
        <v>Alta Mayor</v>
      </c>
      <c r="W3" s="88" t="str">
        <f>IF(V3="Muy baja Insignificante","Baja",
 IF(V3="Baja Insignificante","Baja",
 IF(V3="Media Insignificante","Media",
 IF(V3="Alta Insignificante","Media",
 IF(V3="Muy alta Insignificante","Alta",
 IF(V3="Muy baja Menor","Baja",
 IF(V3="Baja Menor","Media",
 IF(V3="Media Menor","Media",
 IF(V3="Alta Menor","Media",
 IF(V3="Muy alta Menor","Alta",
 IF(V3="Muy baja Moderado","Media",
 IF(V3="Baja Moderado","Media",
 IF(V3="Media Moderado","Media",
 IF(V3="Alta Moderado","Alta",
 IF(V3="Muy alta Moderado","Alta",
 IF(V3="Muy baja Importante","Alta",
 IF(V3="Baja Importante","Alta",
 IF(V3="Media Importante","Alta",
 IF(V3="Alta Importante","Alta",
 IF(V3="Muy alta Importante","Alta",
 IF(V3="Muy baja Mayor","Crítica",
 IF(V3="Baja Mayor","Crítica",
 IF(V3="Media Mayor","Crítica",
 IF(V3="Alta Mayor","Crítica",
 IF(V3="Muy alta Mayor","Crítica","")))))))))))))))))))))))))</f>
        <v>Crítica</v>
      </c>
    </row>
    <row r="4" spans="1:23" s="8" customFormat="1" ht="60" hidden="1" customHeight="1" x14ac:dyDescent="0.3">
      <c r="A4" s="21">
        <v>1</v>
      </c>
      <c r="B4" s="11" t="s">
        <v>175</v>
      </c>
      <c r="C4" s="11" t="s">
        <v>43</v>
      </c>
      <c r="D4" s="69" t="s">
        <v>26</v>
      </c>
      <c r="E4" s="110" t="s">
        <v>162</v>
      </c>
      <c r="F4" s="108"/>
      <c r="G4" s="143" t="str">
        <f>ACTV!V4</f>
        <v>Crítica</v>
      </c>
      <c r="H4" s="107">
        <v>0</v>
      </c>
      <c r="I4" s="72">
        <f t="shared" ref="I4:I35" si="1">IF(H4&lt;=4, 20%, IF(H4&lt;=12, 40%, IF(H4&lt;=365, 60%, IF(H4&lt;=3660, 80%, 100%))))</f>
        <v>0.2</v>
      </c>
      <c r="J4" s="65" t="str">
        <f t="shared" ref="J4:J35" si="2">IF(I4&lt;=20%,"Muy baja",IF(I4&lt;=40%,"Baja",IF(I4&lt;=60%,"Media",IF(I4&lt;=80%,"Alta","Muy alta"))))</f>
        <v>Muy baja</v>
      </c>
      <c r="K4" s="73">
        <v>1500000</v>
      </c>
      <c r="L4" s="67">
        <v>1300000</v>
      </c>
      <c r="M4" s="26">
        <f t="shared" si="0"/>
        <v>1.1538461538461537</v>
      </c>
      <c r="N4" s="75">
        <f t="shared" ref="N4:N35" si="3">IF(M4&lt;0.13, 20%, IF(M4&lt;0.26, 40%, IF(M4&lt;0.4, 60%, IF(M4&lt;0.53, 80%, 100%))))</f>
        <v>1</v>
      </c>
      <c r="O4" s="77" t="s">
        <v>67</v>
      </c>
      <c r="P4" s="78">
        <f t="shared" ref="P4:P35" si="4">IF(O4="Sólo de conocimiento de la emprendedora",10%,IF(O4="No se registra incumplimiento regulatorio",10%,IF(O4="De conocimiento de algunos familiares, amigos y proveedores",20%,IF(O4="Genera recomendación de organismo regulatorio",20%,IF(O4="Afecta la imagen con algunos clientes",30%,IF(O4="Requerimiento del organismo regulatorio",30%,IF(O4="Deterioro de la imagen a nivel regional",40%,IF(O4="Llamado de atención del organismo regulatorio",40%,IF(O4="Deterioro de la imagen a nivel nacional",50%,IF(O4="Sanción de organismo regulatorio",50%,"No válido"))))))))))</f>
        <v>0.1</v>
      </c>
      <c r="Q4" s="77" t="s">
        <v>68</v>
      </c>
      <c r="R4" s="76">
        <f t="shared" ref="R4:R35" si="5">IF(Q4="Sólo de conocimiento de la emprendedora",10%,IF(Q4="No se registra incumplimiento regulatorio",10%,IF(Q4="De conocimiento de algunos familiares, amigos y proveedores",20%,IF(Q4="Genera recomendación de organismo regulatorio",20%,IF(Q4="Afecta imagen con algunos clientes",30%,IF(Q4="Requerimiento del organismo regulatorio",30%,IF(Q4="Deterioro de la imagen a nivel regional",40%,IF(Q4="Llamado de atención del organismo regulatorio",40%,IF(Q4="Deterioro de la imagen a nivel nacional",50%,IF(Q4="Sanción de organismo regulatorio",50%,"No válido"))))))))))</f>
        <v>0.1</v>
      </c>
      <c r="S4" s="30">
        <f t="shared" ref="S4:S35" si="6">P4+R4</f>
        <v>0.2</v>
      </c>
      <c r="T4" s="62">
        <f t="shared" ref="T4:T35" si="7">MAX(N4, S4)</f>
        <v>1</v>
      </c>
      <c r="U4" s="63" t="str">
        <f t="shared" ref="U4:U35" si="8">IF(T4&lt;=20%,"Insignificante",IF(T4&lt;=40%,"Menor",IF(T4&lt;=60%,"Moderado",IF(T4&lt;=80%,"Importante","Mayor"))))</f>
        <v>Mayor</v>
      </c>
      <c r="V4" s="31" t="str">
        <f t="shared" ref="V4:V35" si="9">CONCATENATE(J4, " ", U4)</f>
        <v>Muy baja Mayor</v>
      </c>
      <c r="W4" s="88" t="str">
        <f t="shared" ref="W4:W35" si="10">IF(V4="Muy baja Insignificante","Baja",
 IF(V4="Baja Insignificante","Baja",
 IF(V4="Media Insignificante","Media",
 IF(V4="Alta Insignificante","Media",
 IF(V4="Muy alta Insignificante","Alta",
 IF(V4="Muy baja Menor","Baja",
 IF(V4="Baja Menor","Media",
 IF(V4="Media Menor","Media",
 IF(V4="Alta Menor","Media",
 IF(V4="Muy alta Menor","Alta",
 IF(V4="Muy baja Moderado","Media",
 IF(V4="Baja Moderado","Media",
 IF(V4="Media Moderado","Media",
 IF(V4="Alta Moderado","Alta",
 IF(V4="Muy alta Moderado","Alta",
 IF(V4="Muy baja Importante","Alta",
 IF(V4="Baja Importante","Alta",
 IF(V4="Media Importante","Alta",
 IF(V4="Alta Importante","Alta",
 IF(V4="Muy alta Importante","Alta",
 IF(V4="Muy baja Mayor","Crítica",
 IF(V4="Baja Mayor","Crítica",
 IF(V4="Media Mayor","Crítica",
 IF(V4="Alta Mayor","Crítica",
 IF(V4="Muy alta Mayor","Crítica","")))))))))))))))))))))))))</f>
        <v>Crítica</v>
      </c>
    </row>
    <row r="5" spans="1:23" s="8" customFormat="1" ht="60" hidden="1" customHeight="1" x14ac:dyDescent="0.3">
      <c r="A5" s="21">
        <v>2</v>
      </c>
      <c r="B5" s="11" t="s">
        <v>2</v>
      </c>
      <c r="C5" s="11" t="s">
        <v>43</v>
      </c>
      <c r="D5" s="69" t="s">
        <v>27</v>
      </c>
      <c r="E5" s="110" t="s">
        <v>162</v>
      </c>
      <c r="F5" s="108"/>
      <c r="G5" s="143" t="str">
        <f>ACTV!V5</f>
        <v>Crítica</v>
      </c>
      <c r="H5" s="107">
        <v>10</v>
      </c>
      <c r="I5" s="72">
        <f t="shared" si="1"/>
        <v>0.4</v>
      </c>
      <c r="J5" s="65" t="str">
        <f t="shared" si="2"/>
        <v>Baja</v>
      </c>
      <c r="K5" s="73">
        <v>1500000</v>
      </c>
      <c r="L5" s="67">
        <v>1300000</v>
      </c>
      <c r="M5" s="26">
        <f t="shared" si="0"/>
        <v>1.1538461538461537</v>
      </c>
      <c r="N5" s="75">
        <f t="shared" si="3"/>
        <v>1</v>
      </c>
      <c r="O5" s="77" t="s">
        <v>67</v>
      </c>
      <c r="P5" s="78">
        <f t="shared" si="4"/>
        <v>0.1</v>
      </c>
      <c r="Q5" s="77" t="s">
        <v>68</v>
      </c>
      <c r="R5" s="76">
        <f t="shared" si="5"/>
        <v>0.1</v>
      </c>
      <c r="S5" s="30">
        <f t="shared" si="6"/>
        <v>0.2</v>
      </c>
      <c r="T5" s="62">
        <f t="shared" si="7"/>
        <v>1</v>
      </c>
      <c r="U5" s="63" t="str">
        <f t="shared" si="8"/>
        <v>Mayor</v>
      </c>
      <c r="V5" s="31" t="str">
        <f t="shared" si="9"/>
        <v>Baja Mayor</v>
      </c>
      <c r="W5" s="88" t="str">
        <f t="shared" si="10"/>
        <v>Crítica</v>
      </c>
    </row>
    <row r="6" spans="1:23" s="8" customFormat="1" ht="60" hidden="1" customHeight="1" x14ac:dyDescent="0.3">
      <c r="A6" s="21">
        <v>3</v>
      </c>
      <c r="B6" s="11" t="s">
        <v>3</v>
      </c>
      <c r="C6" s="11" t="s">
        <v>43</v>
      </c>
      <c r="D6" s="69" t="s">
        <v>28</v>
      </c>
      <c r="E6" s="110" t="s">
        <v>162</v>
      </c>
      <c r="F6" s="108"/>
      <c r="G6" s="143" t="str">
        <f>ACTV!V6</f>
        <v>Crítica</v>
      </c>
      <c r="H6" s="107">
        <v>30</v>
      </c>
      <c r="I6" s="72">
        <f t="shared" si="1"/>
        <v>0.6</v>
      </c>
      <c r="J6" s="65" t="str">
        <f t="shared" si="2"/>
        <v>Media</v>
      </c>
      <c r="K6" s="73">
        <v>1500000</v>
      </c>
      <c r="L6" s="67">
        <v>1300000</v>
      </c>
      <c r="M6" s="26">
        <f t="shared" si="0"/>
        <v>1.1538461538461537</v>
      </c>
      <c r="N6" s="75">
        <f t="shared" si="3"/>
        <v>1</v>
      </c>
      <c r="O6" s="77" t="s">
        <v>82</v>
      </c>
      <c r="P6" s="78">
        <f t="shared" si="4"/>
        <v>0.3</v>
      </c>
      <c r="Q6" s="77" t="s">
        <v>68</v>
      </c>
      <c r="R6" s="76">
        <f t="shared" si="5"/>
        <v>0.1</v>
      </c>
      <c r="S6" s="30">
        <f t="shared" si="6"/>
        <v>0.4</v>
      </c>
      <c r="T6" s="62">
        <f t="shared" si="7"/>
        <v>1</v>
      </c>
      <c r="U6" s="63" t="str">
        <f t="shared" si="8"/>
        <v>Mayor</v>
      </c>
      <c r="V6" s="31" t="str">
        <f t="shared" si="9"/>
        <v>Media Mayor</v>
      </c>
      <c r="W6" s="88" t="str">
        <f t="shared" si="10"/>
        <v>Crítica</v>
      </c>
    </row>
    <row r="7" spans="1:23" s="8" customFormat="1" ht="60" hidden="1" customHeight="1" x14ac:dyDescent="0.3">
      <c r="A7" s="21">
        <v>4</v>
      </c>
      <c r="B7" s="11" t="s">
        <v>4</v>
      </c>
      <c r="C7" s="11" t="s">
        <v>43</v>
      </c>
      <c r="D7" s="69" t="s">
        <v>29</v>
      </c>
      <c r="E7" s="110" t="s">
        <v>162</v>
      </c>
      <c r="F7" s="108"/>
      <c r="G7" s="143" t="str">
        <f>ACTV!V7</f>
        <v>Crítica</v>
      </c>
      <c r="H7" s="107">
        <v>366</v>
      </c>
      <c r="I7" s="72">
        <f t="shared" si="1"/>
        <v>0.8</v>
      </c>
      <c r="J7" s="65" t="str">
        <f t="shared" si="2"/>
        <v>Alta</v>
      </c>
      <c r="K7" s="73">
        <v>1000000</v>
      </c>
      <c r="L7" s="67">
        <v>1300000</v>
      </c>
      <c r="M7" s="26">
        <f t="shared" si="0"/>
        <v>0.76923076923076927</v>
      </c>
      <c r="N7" s="75">
        <f t="shared" si="3"/>
        <v>1</v>
      </c>
      <c r="O7" s="77" t="s">
        <v>82</v>
      </c>
      <c r="P7" s="78">
        <f t="shared" si="4"/>
        <v>0.3</v>
      </c>
      <c r="Q7" s="77" t="s">
        <v>68</v>
      </c>
      <c r="R7" s="76">
        <f t="shared" si="5"/>
        <v>0.1</v>
      </c>
      <c r="S7" s="30">
        <f t="shared" si="6"/>
        <v>0.4</v>
      </c>
      <c r="T7" s="62">
        <f t="shared" si="7"/>
        <v>1</v>
      </c>
      <c r="U7" s="63" t="str">
        <f t="shared" si="8"/>
        <v>Mayor</v>
      </c>
      <c r="V7" s="31" t="str">
        <f t="shared" si="9"/>
        <v>Alta Mayor</v>
      </c>
      <c r="W7" s="88" t="str">
        <f t="shared" si="10"/>
        <v>Crítica</v>
      </c>
    </row>
    <row r="8" spans="1:23" s="8" customFormat="1" ht="60" hidden="1" customHeight="1" x14ac:dyDescent="0.3">
      <c r="A8" s="21">
        <v>5</v>
      </c>
      <c r="B8" s="11" t="s">
        <v>5</v>
      </c>
      <c r="C8" s="11" t="s">
        <v>44</v>
      </c>
      <c r="D8" s="69" t="s">
        <v>30</v>
      </c>
      <c r="E8" s="110" t="s">
        <v>162</v>
      </c>
      <c r="F8" s="108"/>
      <c r="G8" s="143" t="str">
        <f>ACTV!V8</f>
        <v>Media</v>
      </c>
      <c r="H8" s="107">
        <v>365</v>
      </c>
      <c r="I8" s="72">
        <f t="shared" si="1"/>
        <v>0.6</v>
      </c>
      <c r="J8" s="65" t="str">
        <f t="shared" si="2"/>
        <v>Media</v>
      </c>
      <c r="K8" s="73">
        <v>500000</v>
      </c>
      <c r="L8" s="67">
        <v>1300000</v>
      </c>
      <c r="M8" s="26">
        <f t="shared" si="0"/>
        <v>0.38461538461538464</v>
      </c>
      <c r="N8" s="75">
        <f t="shared" si="3"/>
        <v>0.6</v>
      </c>
      <c r="O8" s="77" t="s">
        <v>82</v>
      </c>
      <c r="P8" s="78">
        <f t="shared" si="4"/>
        <v>0.3</v>
      </c>
      <c r="Q8" s="77" t="s">
        <v>68</v>
      </c>
      <c r="R8" s="76">
        <f t="shared" si="5"/>
        <v>0.1</v>
      </c>
      <c r="S8" s="30">
        <f t="shared" si="6"/>
        <v>0.4</v>
      </c>
      <c r="T8" s="62">
        <f t="shared" si="7"/>
        <v>0.6</v>
      </c>
      <c r="U8" s="63" t="str">
        <f t="shared" si="8"/>
        <v>Moderado</v>
      </c>
      <c r="V8" s="31" t="str">
        <f t="shared" si="9"/>
        <v>Media Moderado</v>
      </c>
      <c r="W8" s="88" t="str">
        <f t="shared" si="10"/>
        <v>Media</v>
      </c>
    </row>
    <row r="9" spans="1:23" s="8" customFormat="1" ht="60" hidden="1" customHeight="1" x14ac:dyDescent="0.3">
      <c r="A9" s="21">
        <v>6</v>
      </c>
      <c r="B9" s="11" t="s">
        <v>6</v>
      </c>
      <c r="C9" s="11" t="s">
        <v>43</v>
      </c>
      <c r="D9" s="69" t="s">
        <v>31</v>
      </c>
      <c r="E9" s="110" t="s">
        <v>160</v>
      </c>
      <c r="F9" s="108" t="s">
        <v>204</v>
      </c>
      <c r="G9" s="143" t="str">
        <f>ACTV!V9</f>
        <v>Alta</v>
      </c>
      <c r="H9" s="107">
        <v>500</v>
      </c>
      <c r="I9" s="72">
        <f t="shared" si="1"/>
        <v>0.8</v>
      </c>
      <c r="J9" s="65" t="str">
        <f t="shared" si="2"/>
        <v>Alta</v>
      </c>
      <c r="K9" s="73">
        <v>1500000</v>
      </c>
      <c r="L9" s="67">
        <v>1300000</v>
      </c>
      <c r="M9" s="26">
        <f t="shared" si="0"/>
        <v>1.1538461538461537</v>
      </c>
      <c r="N9" s="75">
        <f t="shared" si="3"/>
        <v>1</v>
      </c>
      <c r="O9" s="77" t="s">
        <v>82</v>
      </c>
      <c r="P9" s="78">
        <f t="shared" si="4"/>
        <v>0.3</v>
      </c>
      <c r="Q9" s="77" t="s">
        <v>68</v>
      </c>
      <c r="R9" s="76">
        <f t="shared" si="5"/>
        <v>0.1</v>
      </c>
      <c r="S9" s="30">
        <f t="shared" si="6"/>
        <v>0.4</v>
      </c>
      <c r="T9" s="62">
        <f t="shared" si="7"/>
        <v>1</v>
      </c>
      <c r="U9" s="63" t="str">
        <f t="shared" si="8"/>
        <v>Mayor</v>
      </c>
      <c r="V9" s="31" t="str">
        <f t="shared" si="9"/>
        <v>Alta Mayor</v>
      </c>
      <c r="W9" s="88" t="str">
        <f t="shared" si="10"/>
        <v>Crítica</v>
      </c>
    </row>
    <row r="10" spans="1:23" s="8" customFormat="1" ht="60" hidden="1" customHeight="1" x14ac:dyDescent="0.3">
      <c r="A10" s="21">
        <v>7</v>
      </c>
      <c r="B10" s="11" t="s">
        <v>176</v>
      </c>
      <c r="C10" s="11" t="s">
        <v>25</v>
      </c>
      <c r="D10" s="69" t="s">
        <v>32</v>
      </c>
      <c r="E10" s="110" t="s">
        <v>160</v>
      </c>
      <c r="F10" s="108" t="s">
        <v>205</v>
      </c>
      <c r="G10" s="143" t="str">
        <f>ACTV!V10</f>
        <v>Alta</v>
      </c>
      <c r="H10" s="107">
        <v>200</v>
      </c>
      <c r="I10" s="72">
        <f t="shared" si="1"/>
        <v>0.6</v>
      </c>
      <c r="J10" s="65" t="str">
        <f t="shared" si="2"/>
        <v>Media</v>
      </c>
      <c r="K10" s="73">
        <v>500000</v>
      </c>
      <c r="L10" s="67">
        <v>1300000</v>
      </c>
      <c r="M10" s="26">
        <f t="shared" si="0"/>
        <v>0.38461538461538464</v>
      </c>
      <c r="N10" s="75">
        <f t="shared" si="3"/>
        <v>0.6</v>
      </c>
      <c r="O10" s="77" t="s">
        <v>82</v>
      </c>
      <c r="P10" s="78">
        <f t="shared" si="4"/>
        <v>0.3</v>
      </c>
      <c r="Q10" s="77" t="s">
        <v>68</v>
      </c>
      <c r="R10" s="76">
        <f t="shared" si="5"/>
        <v>0.1</v>
      </c>
      <c r="S10" s="30">
        <f t="shared" si="6"/>
        <v>0.4</v>
      </c>
      <c r="T10" s="62">
        <f t="shared" si="7"/>
        <v>0.6</v>
      </c>
      <c r="U10" s="63" t="str">
        <f t="shared" si="8"/>
        <v>Moderado</v>
      </c>
      <c r="V10" s="31" t="str">
        <f t="shared" si="9"/>
        <v>Media Moderado</v>
      </c>
      <c r="W10" s="88" t="str">
        <f t="shared" si="10"/>
        <v>Media</v>
      </c>
    </row>
    <row r="11" spans="1:23" s="8" customFormat="1" ht="60" hidden="1" customHeight="1" x14ac:dyDescent="0.3">
      <c r="A11" s="21">
        <v>8</v>
      </c>
      <c r="B11" s="11" t="s">
        <v>177</v>
      </c>
      <c r="C11" s="11" t="s">
        <v>43</v>
      </c>
      <c r="D11" s="69" t="s">
        <v>33</v>
      </c>
      <c r="E11" s="110" t="s">
        <v>160</v>
      </c>
      <c r="F11" s="108" t="s">
        <v>206</v>
      </c>
      <c r="G11" s="143" t="str">
        <f>ACTV!V11</f>
        <v>Crítica</v>
      </c>
      <c r="H11" s="107">
        <v>10</v>
      </c>
      <c r="I11" s="72">
        <f t="shared" si="1"/>
        <v>0.4</v>
      </c>
      <c r="J11" s="65" t="str">
        <f t="shared" si="2"/>
        <v>Baja</v>
      </c>
      <c r="K11" s="73">
        <v>300000</v>
      </c>
      <c r="L11" s="67">
        <v>1300000</v>
      </c>
      <c r="M11" s="26">
        <f t="shared" si="0"/>
        <v>0.23076923076923078</v>
      </c>
      <c r="N11" s="75">
        <f t="shared" si="3"/>
        <v>0.4</v>
      </c>
      <c r="O11" s="77" t="s">
        <v>82</v>
      </c>
      <c r="P11" s="78">
        <f t="shared" si="4"/>
        <v>0.3</v>
      </c>
      <c r="Q11" s="77" t="s">
        <v>68</v>
      </c>
      <c r="R11" s="76">
        <f t="shared" si="5"/>
        <v>0.1</v>
      </c>
      <c r="S11" s="30">
        <f t="shared" si="6"/>
        <v>0.4</v>
      </c>
      <c r="T11" s="62">
        <f t="shared" si="7"/>
        <v>0.4</v>
      </c>
      <c r="U11" s="63" t="str">
        <f t="shared" si="8"/>
        <v>Menor</v>
      </c>
      <c r="V11" s="31" t="str">
        <f t="shared" si="9"/>
        <v>Baja Menor</v>
      </c>
      <c r="W11" s="88" t="str">
        <f t="shared" si="10"/>
        <v>Media</v>
      </c>
    </row>
    <row r="12" spans="1:23" s="8" customFormat="1" ht="60" hidden="1" customHeight="1" x14ac:dyDescent="0.3">
      <c r="A12" s="21">
        <v>9</v>
      </c>
      <c r="B12" s="11" t="s">
        <v>7</v>
      </c>
      <c r="C12" s="11" t="s">
        <v>43</v>
      </c>
      <c r="D12" s="69" t="s">
        <v>213</v>
      </c>
      <c r="E12" s="110" t="s">
        <v>162</v>
      </c>
      <c r="F12" s="108"/>
      <c r="G12" s="143" t="str">
        <f>ACTV!V12</f>
        <v>Crítica</v>
      </c>
      <c r="H12" s="107">
        <v>2000</v>
      </c>
      <c r="I12" s="72">
        <f t="shared" si="1"/>
        <v>0.8</v>
      </c>
      <c r="J12" s="65" t="str">
        <f t="shared" si="2"/>
        <v>Alta</v>
      </c>
      <c r="K12" s="73">
        <v>1500000</v>
      </c>
      <c r="L12" s="67">
        <v>1300000</v>
      </c>
      <c r="M12" s="26">
        <f t="shared" si="0"/>
        <v>1.1538461538461537</v>
      </c>
      <c r="N12" s="75">
        <f t="shared" si="3"/>
        <v>1</v>
      </c>
      <c r="O12" s="77" t="s">
        <v>82</v>
      </c>
      <c r="P12" s="78">
        <f t="shared" si="4"/>
        <v>0.3</v>
      </c>
      <c r="Q12" s="77" t="s">
        <v>68</v>
      </c>
      <c r="R12" s="76">
        <f t="shared" si="5"/>
        <v>0.1</v>
      </c>
      <c r="S12" s="30">
        <f t="shared" si="6"/>
        <v>0.4</v>
      </c>
      <c r="T12" s="62">
        <f t="shared" si="7"/>
        <v>1</v>
      </c>
      <c r="U12" s="63" t="str">
        <f t="shared" si="8"/>
        <v>Mayor</v>
      </c>
      <c r="V12" s="31" t="str">
        <f t="shared" si="9"/>
        <v>Alta Mayor</v>
      </c>
      <c r="W12" s="88" t="str">
        <f t="shared" si="10"/>
        <v>Crítica</v>
      </c>
    </row>
    <row r="13" spans="1:23" s="8" customFormat="1" ht="60" hidden="1" customHeight="1" x14ac:dyDescent="0.3">
      <c r="A13" s="111">
        <v>10</v>
      </c>
      <c r="B13" s="11" t="s">
        <v>178</v>
      </c>
      <c r="C13" s="11" t="s">
        <v>43</v>
      </c>
      <c r="D13" s="69" t="s">
        <v>179</v>
      </c>
      <c r="E13" s="110" t="s">
        <v>160</v>
      </c>
      <c r="F13" s="108" t="s">
        <v>207</v>
      </c>
      <c r="G13" s="143" t="str">
        <f>ACTV!V13</f>
        <v>Crítica</v>
      </c>
      <c r="H13" s="107">
        <v>3000</v>
      </c>
      <c r="I13" s="72">
        <f t="shared" si="1"/>
        <v>0.8</v>
      </c>
      <c r="J13" s="65" t="str">
        <f t="shared" si="2"/>
        <v>Alta</v>
      </c>
      <c r="K13" s="73">
        <v>1500000</v>
      </c>
      <c r="L13" s="67">
        <v>1300000</v>
      </c>
      <c r="M13" s="26">
        <f t="shared" si="0"/>
        <v>1.1538461538461537</v>
      </c>
      <c r="N13" s="75">
        <f t="shared" si="3"/>
        <v>1</v>
      </c>
      <c r="O13" s="77" t="s">
        <v>82</v>
      </c>
      <c r="P13" s="78">
        <f t="shared" si="4"/>
        <v>0.3</v>
      </c>
      <c r="Q13" s="77" t="s">
        <v>68</v>
      </c>
      <c r="R13" s="76">
        <f t="shared" si="5"/>
        <v>0.1</v>
      </c>
      <c r="S13" s="30">
        <f t="shared" si="6"/>
        <v>0.4</v>
      </c>
      <c r="T13" s="62">
        <f t="shared" si="7"/>
        <v>1</v>
      </c>
      <c r="U13" s="63" t="str">
        <f t="shared" si="8"/>
        <v>Mayor</v>
      </c>
      <c r="V13" s="31" t="str">
        <f t="shared" si="9"/>
        <v>Alta Mayor</v>
      </c>
      <c r="W13" s="88" t="str">
        <f t="shared" si="10"/>
        <v>Crítica</v>
      </c>
    </row>
    <row r="14" spans="1:23" s="8" customFormat="1" ht="60" hidden="1" customHeight="1" x14ac:dyDescent="0.3">
      <c r="A14" s="21">
        <v>11</v>
      </c>
      <c r="B14" s="11" t="s">
        <v>8</v>
      </c>
      <c r="C14" s="11" t="s">
        <v>43</v>
      </c>
      <c r="D14" s="69" t="s">
        <v>34</v>
      </c>
      <c r="E14" s="110" t="s">
        <v>162</v>
      </c>
      <c r="F14" s="108"/>
      <c r="G14" s="143" t="str">
        <f>ACTV!V14</f>
        <v>Alta</v>
      </c>
      <c r="H14" s="107">
        <v>12</v>
      </c>
      <c r="I14" s="72">
        <f t="shared" si="1"/>
        <v>0.4</v>
      </c>
      <c r="J14" s="65" t="str">
        <f t="shared" si="2"/>
        <v>Baja</v>
      </c>
      <c r="K14" s="73">
        <v>1500000</v>
      </c>
      <c r="L14" s="67">
        <v>1300000</v>
      </c>
      <c r="M14" s="26">
        <f t="shared" si="0"/>
        <v>1.1538461538461537</v>
      </c>
      <c r="N14" s="75">
        <f t="shared" si="3"/>
        <v>1</v>
      </c>
      <c r="O14" s="77" t="s">
        <v>82</v>
      </c>
      <c r="P14" s="78">
        <f t="shared" si="4"/>
        <v>0.3</v>
      </c>
      <c r="Q14" s="77" t="s">
        <v>68</v>
      </c>
      <c r="R14" s="76">
        <f t="shared" si="5"/>
        <v>0.1</v>
      </c>
      <c r="S14" s="30">
        <f t="shared" si="6"/>
        <v>0.4</v>
      </c>
      <c r="T14" s="62">
        <f t="shared" si="7"/>
        <v>1</v>
      </c>
      <c r="U14" s="63" t="str">
        <f t="shared" si="8"/>
        <v>Mayor</v>
      </c>
      <c r="V14" s="31" t="str">
        <f t="shared" si="9"/>
        <v>Baja Mayor</v>
      </c>
      <c r="W14" s="88" t="str">
        <f t="shared" si="10"/>
        <v>Crítica</v>
      </c>
    </row>
    <row r="15" spans="1:23" s="8" customFormat="1" ht="60" hidden="1" customHeight="1" x14ac:dyDescent="0.3">
      <c r="A15" s="21">
        <v>12</v>
      </c>
      <c r="B15" s="11" t="s">
        <v>9</v>
      </c>
      <c r="C15" s="11" t="s">
        <v>25</v>
      </c>
      <c r="D15" s="69" t="s">
        <v>35</v>
      </c>
      <c r="E15" s="110" t="s">
        <v>160</v>
      </c>
      <c r="F15" s="108" t="s">
        <v>208</v>
      </c>
      <c r="G15" s="143" t="str">
        <f>ACTV!V15</f>
        <v>Media</v>
      </c>
      <c r="H15" s="107">
        <v>4</v>
      </c>
      <c r="I15" s="72">
        <f t="shared" si="1"/>
        <v>0.2</v>
      </c>
      <c r="J15" s="65" t="str">
        <f t="shared" si="2"/>
        <v>Muy baja</v>
      </c>
      <c r="K15" s="73">
        <v>100000</v>
      </c>
      <c r="L15" s="67">
        <v>1300000</v>
      </c>
      <c r="M15" s="26">
        <f t="shared" si="0"/>
        <v>7.6923076923076927E-2</v>
      </c>
      <c r="N15" s="75">
        <f t="shared" si="3"/>
        <v>0.2</v>
      </c>
      <c r="O15" s="77" t="s">
        <v>82</v>
      </c>
      <c r="P15" s="78">
        <f t="shared" si="4"/>
        <v>0.3</v>
      </c>
      <c r="Q15" s="77" t="s">
        <v>68</v>
      </c>
      <c r="R15" s="76">
        <f t="shared" si="5"/>
        <v>0.1</v>
      </c>
      <c r="S15" s="30">
        <f t="shared" si="6"/>
        <v>0.4</v>
      </c>
      <c r="T15" s="62">
        <f t="shared" si="7"/>
        <v>0.4</v>
      </c>
      <c r="U15" s="63" t="str">
        <f t="shared" si="8"/>
        <v>Menor</v>
      </c>
      <c r="V15" s="31" t="str">
        <f t="shared" si="9"/>
        <v>Muy baja Menor</v>
      </c>
      <c r="W15" s="88" t="str">
        <f t="shared" si="10"/>
        <v>Baja</v>
      </c>
    </row>
    <row r="16" spans="1:23" s="8" customFormat="1" ht="60" hidden="1" customHeight="1" x14ac:dyDescent="0.3">
      <c r="A16" s="21">
        <v>13</v>
      </c>
      <c r="B16" s="11" t="s">
        <v>180</v>
      </c>
      <c r="C16" s="11" t="s">
        <v>25</v>
      </c>
      <c r="D16" s="69" t="s">
        <v>181</v>
      </c>
      <c r="E16" s="110" t="s">
        <v>161</v>
      </c>
      <c r="F16" s="109" t="s">
        <v>202</v>
      </c>
      <c r="G16" s="143" t="str">
        <f>ACTV!V16</f>
        <v>Alta</v>
      </c>
      <c r="H16" s="145">
        <v>12</v>
      </c>
      <c r="I16" s="72">
        <f t="shared" si="1"/>
        <v>0.4</v>
      </c>
      <c r="J16" s="65" t="str">
        <f t="shared" si="2"/>
        <v>Baja</v>
      </c>
      <c r="K16" s="146">
        <v>600000</v>
      </c>
      <c r="L16" s="67">
        <v>1300000</v>
      </c>
      <c r="M16" s="26">
        <f t="shared" si="0"/>
        <v>0.46153846153846156</v>
      </c>
      <c r="N16" s="75">
        <f t="shared" si="3"/>
        <v>0.8</v>
      </c>
      <c r="O16" s="77" t="s">
        <v>67</v>
      </c>
      <c r="P16" s="78">
        <f t="shared" si="4"/>
        <v>0.1</v>
      </c>
      <c r="Q16" s="77" t="s">
        <v>75</v>
      </c>
      <c r="R16" s="76">
        <f t="shared" si="5"/>
        <v>0.5</v>
      </c>
      <c r="S16" s="30">
        <f t="shared" si="6"/>
        <v>0.6</v>
      </c>
      <c r="T16" s="62">
        <f t="shared" si="7"/>
        <v>0.8</v>
      </c>
      <c r="U16" s="63" t="str">
        <f t="shared" si="8"/>
        <v>Importante</v>
      </c>
      <c r="V16" s="31" t="str">
        <f t="shared" si="9"/>
        <v>Baja Importante</v>
      </c>
      <c r="W16" s="88" t="str">
        <f t="shared" si="10"/>
        <v>Alta</v>
      </c>
    </row>
    <row r="17" spans="1:23" s="8" customFormat="1" ht="60" hidden="1" customHeight="1" x14ac:dyDescent="0.3">
      <c r="A17" s="21">
        <v>14</v>
      </c>
      <c r="B17" s="11" t="s">
        <v>11</v>
      </c>
      <c r="C17" s="156" t="s">
        <v>43</v>
      </c>
      <c r="D17" s="158" t="s">
        <v>182</v>
      </c>
      <c r="E17" s="110" t="s">
        <v>160</v>
      </c>
      <c r="F17" s="108" t="s">
        <v>209</v>
      </c>
      <c r="G17" s="143" t="str">
        <f>ACTV!V17</f>
        <v>Crítica</v>
      </c>
      <c r="H17" s="107">
        <v>100</v>
      </c>
      <c r="I17" s="72">
        <f t="shared" si="1"/>
        <v>0.6</v>
      </c>
      <c r="J17" s="65" t="str">
        <f t="shared" si="2"/>
        <v>Media</v>
      </c>
      <c r="K17" s="73">
        <v>1500000</v>
      </c>
      <c r="L17" s="67">
        <v>1300000</v>
      </c>
      <c r="M17" s="26">
        <f t="shared" si="0"/>
        <v>1.1538461538461537</v>
      </c>
      <c r="N17" s="75">
        <f t="shared" si="3"/>
        <v>1</v>
      </c>
      <c r="O17" s="77" t="s">
        <v>82</v>
      </c>
      <c r="P17" s="78">
        <f t="shared" si="4"/>
        <v>0.3</v>
      </c>
      <c r="Q17" s="77" t="s">
        <v>68</v>
      </c>
      <c r="R17" s="76">
        <f t="shared" si="5"/>
        <v>0.1</v>
      </c>
      <c r="S17" s="30">
        <f t="shared" si="6"/>
        <v>0.4</v>
      </c>
      <c r="T17" s="62">
        <f t="shared" si="7"/>
        <v>1</v>
      </c>
      <c r="U17" s="63" t="str">
        <f t="shared" si="8"/>
        <v>Mayor</v>
      </c>
      <c r="V17" s="31" t="str">
        <f t="shared" si="9"/>
        <v>Media Mayor</v>
      </c>
      <c r="W17" s="88" t="str">
        <f t="shared" si="10"/>
        <v>Crítica</v>
      </c>
    </row>
    <row r="18" spans="1:23" s="8" customFormat="1" ht="60" hidden="1" customHeight="1" x14ac:dyDescent="0.3">
      <c r="A18" s="21">
        <v>15</v>
      </c>
      <c r="B18" s="11" t="s">
        <v>10</v>
      </c>
      <c r="C18" s="157"/>
      <c r="D18" s="159"/>
      <c r="E18" s="110" t="s">
        <v>160</v>
      </c>
      <c r="F18" s="108" t="s">
        <v>210</v>
      </c>
      <c r="G18" s="143" t="str">
        <f>ACTV!V18</f>
        <v>Crítica</v>
      </c>
      <c r="H18" s="107">
        <v>366</v>
      </c>
      <c r="I18" s="72">
        <f t="shared" si="1"/>
        <v>0.8</v>
      </c>
      <c r="J18" s="65" t="str">
        <f t="shared" si="2"/>
        <v>Alta</v>
      </c>
      <c r="K18" s="73">
        <v>1500000</v>
      </c>
      <c r="L18" s="67">
        <v>1423500</v>
      </c>
      <c r="M18" s="26">
        <f t="shared" si="0"/>
        <v>1.053740779768177</v>
      </c>
      <c r="N18" s="75">
        <f t="shared" si="3"/>
        <v>1</v>
      </c>
      <c r="O18" s="77" t="s">
        <v>82</v>
      </c>
      <c r="P18" s="78">
        <f t="shared" si="4"/>
        <v>0.3</v>
      </c>
      <c r="Q18" s="77" t="s">
        <v>68</v>
      </c>
      <c r="R18" s="76">
        <f t="shared" si="5"/>
        <v>0.1</v>
      </c>
      <c r="S18" s="30">
        <f t="shared" si="6"/>
        <v>0.4</v>
      </c>
      <c r="T18" s="62">
        <f t="shared" si="7"/>
        <v>1</v>
      </c>
      <c r="U18" s="63" t="str">
        <f t="shared" si="8"/>
        <v>Mayor</v>
      </c>
      <c r="V18" s="31" t="str">
        <f t="shared" si="9"/>
        <v>Alta Mayor</v>
      </c>
      <c r="W18" s="88" t="str">
        <f t="shared" si="10"/>
        <v>Crítica</v>
      </c>
    </row>
    <row r="19" spans="1:23" s="8" customFormat="1" ht="60" hidden="1" customHeight="1" x14ac:dyDescent="0.3">
      <c r="A19" s="21">
        <v>16</v>
      </c>
      <c r="B19" s="11" t="s">
        <v>184</v>
      </c>
      <c r="C19" s="112" t="s">
        <v>43</v>
      </c>
      <c r="D19" s="113" t="s">
        <v>183</v>
      </c>
      <c r="E19" s="110" t="s">
        <v>162</v>
      </c>
      <c r="F19" s="109"/>
      <c r="G19" s="143" t="str">
        <f>ACTV!V19</f>
        <v>Media</v>
      </c>
      <c r="H19" s="107">
        <v>4</v>
      </c>
      <c r="I19" s="72">
        <f t="shared" si="1"/>
        <v>0.2</v>
      </c>
      <c r="J19" s="65" t="str">
        <f t="shared" si="2"/>
        <v>Muy baja</v>
      </c>
      <c r="K19" s="73">
        <v>100000</v>
      </c>
      <c r="L19" s="67">
        <v>1300000</v>
      </c>
      <c r="M19" s="26">
        <f t="shared" si="0"/>
        <v>7.6923076923076927E-2</v>
      </c>
      <c r="N19" s="75">
        <f t="shared" si="3"/>
        <v>0.2</v>
      </c>
      <c r="O19" s="77" t="s">
        <v>82</v>
      </c>
      <c r="P19" s="78">
        <f t="shared" si="4"/>
        <v>0.3</v>
      </c>
      <c r="Q19" s="77" t="s">
        <v>68</v>
      </c>
      <c r="R19" s="76">
        <f t="shared" si="5"/>
        <v>0.1</v>
      </c>
      <c r="S19" s="30">
        <f t="shared" si="6"/>
        <v>0.4</v>
      </c>
      <c r="T19" s="62">
        <f t="shared" si="7"/>
        <v>0.4</v>
      </c>
      <c r="U19" s="63" t="str">
        <f t="shared" si="8"/>
        <v>Menor</v>
      </c>
      <c r="V19" s="31" t="str">
        <f t="shared" si="9"/>
        <v>Muy baja Menor</v>
      </c>
      <c r="W19" s="88" t="str">
        <f t="shared" si="10"/>
        <v>Baja</v>
      </c>
    </row>
    <row r="20" spans="1:23" s="8" customFormat="1" ht="60" hidden="1" customHeight="1" x14ac:dyDescent="0.3">
      <c r="A20" s="21">
        <v>17</v>
      </c>
      <c r="B20" s="11" t="s">
        <v>186</v>
      </c>
      <c r="C20" s="11" t="s">
        <v>25</v>
      </c>
      <c r="D20" s="69" t="s">
        <v>36</v>
      </c>
      <c r="E20" s="110" t="s">
        <v>162</v>
      </c>
      <c r="F20" s="108"/>
      <c r="G20" s="143" t="str">
        <f>ACTV!V20</f>
        <v>Alta</v>
      </c>
      <c r="H20" s="107">
        <v>50</v>
      </c>
      <c r="I20" s="72">
        <f t="shared" si="1"/>
        <v>0.6</v>
      </c>
      <c r="J20" s="65" t="str">
        <f t="shared" si="2"/>
        <v>Media</v>
      </c>
      <c r="K20" s="73">
        <v>100000</v>
      </c>
      <c r="L20" s="67">
        <v>1423500</v>
      </c>
      <c r="M20" s="26">
        <f t="shared" si="0"/>
        <v>7.0249385317878471E-2</v>
      </c>
      <c r="N20" s="75">
        <f t="shared" si="3"/>
        <v>0.2</v>
      </c>
      <c r="O20" s="77" t="s">
        <v>82</v>
      </c>
      <c r="P20" s="78">
        <f t="shared" si="4"/>
        <v>0.3</v>
      </c>
      <c r="Q20" s="77" t="s">
        <v>68</v>
      </c>
      <c r="R20" s="76">
        <f t="shared" si="5"/>
        <v>0.1</v>
      </c>
      <c r="S20" s="30">
        <f t="shared" si="6"/>
        <v>0.4</v>
      </c>
      <c r="T20" s="62">
        <f t="shared" si="7"/>
        <v>0.4</v>
      </c>
      <c r="U20" s="63" t="str">
        <f t="shared" si="8"/>
        <v>Menor</v>
      </c>
      <c r="V20" s="31" t="str">
        <f t="shared" si="9"/>
        <v>Media Menor</v>
      </c>
      <c r="W20" s="88" t="str">
        <f t="shared" si="10"/>
        <v>Media</v>
      </c>
    </row>
    <row r="21" spans="1:23" s="8" customFormat="1" ht="60" hidden="1" customHeight="1" x14ac:dyDescent="0.3">
      <c r="A21" s="21">
        <v>18</v>
      </c>
      <c r="B21" s="11" t="s">
        <v>187</v>
      </c>
      <c r="C21" s="11" t="s">
        <v>43</v>
      </c>
      <c r="D21" s="69" t="s">
        <v>37</v>
      </c>
      <c r="E21" s="110" t="s">
        <v>162</v>
      </c>
      <c r="F21" s="108"/>
      <c r="G21" s="143" t="str">
        <f>ACTV!V21</f>
        <v>Crítica</v>
      </c>
      <c r="H21" s="107">
        <v>20</v>
      </c>
      <c r="I21" s="72">
        <f t="shared" si="1"/>
        <v>0.6</v>
      </c>
      <c r="J21" s="65" t="str">
        <f t="shared" si="2"/>
        <v>Media</v>
      </c>
      <c r="K21" s="73">
        <v>100000</v>
      </c>
      <c r="L21" s="67">
        <v>1423500</v>
      </c>
      <c r="M21" s="26">
        <f t="shared" si="0"/>
        <v>7.0249385317878471E-2</v>
      </c>
      <c r="N21" s="75">
        <f t="shared" si="3"/>
        <v>0.2</v>
      </c>
      <c r="O21" s="77" t="s">
        <v>82</v>
      </c>
      <c r="P21" s="78">
        <f t="shared" si="4"/>
        <v>0.3</v>
      </c>
      <c r="Q21" s="77" t="s">
        <v>68</v>
      </c>
      <c r="R21" s="76">
        <f t="shared" si="5"/>
        <v>0.1</v>
      </c>
      <c r="S21" s="30">
        <f t="shared" si="6"/>
        <v>0.4</v>
      </c>
      <c r="T21" s="62">
        <f t="shared" si="7"/>
        <v>0.4</v>
      </c>
      <c r="U21" s="63" t="str">
        <f t="shared" si="8"/>
        <v>Menor</v>
      </c>
      <c r="V21" s="31" t="str">
        <f t="shared" si="9"/>
        <v>Media Menor</v>
      </c>
      <c r="W21" s="88" t="str">
        <f t="shared" si="10"/>
        <v>Media</v>
      </c>
    </row>
    <row r="22" spans="1:23" s="8" customFormat="1" ht="60" hidden="1" customHeight="1" x14ac:dyDescent="0.3">
      <c r="A22" s="21">
        <v>19</v>
      </c>
      <c r="B22" s="11" t="s">
        <v>12</v>
      </c>
      <c r="C22" s="11" t="s">
        <v>44</v>
      </c>
      <c r="D22" s="69" t="s">
        <v>188</v>
      </c>
      <c r="E22" s="110" t="s">
        <v>162</v>
      </c>
      <c r="F22" s="108"/>
      <c r="G22" s="143" t="str">
        <f>ACTV!V22</f>
        <v>Alta</v>
      </c>
      <c r="H22" s="107">
        <v>5</v>
      </c>
      <c r="I22" s="72">
        <f t="shared" si="1"/>
        <v>0.4</v>
      </c>
      <c r="J22" s="65" t="str">
        <f t="shared" si="2"/>
        <v>Baja</v>
      </c>
      <c r="K22" s="73">
        <v>50000</v>
      </c>
      <c r="L22" s="67">
        <v>1300000</v>
      </c>
      <c r="M22" s="26">
        <f t="shared" si="0"/>
        <v>3.8461538461538464E-2</v>
      </c>
      <c r="N22" s="75">
        <f t="shared" si="3"/>
        <v>0.2</v>
      </c>
      <c r="O22" s="77" t="s">
        <v>82</v>
      </c>
      <c r="P22" s="78">
        <f t="shared" si="4"/>
        <v>0.3</v>
      </c>
      <c r="Q22" s="77" t="s">
        <v>68</v>
      </c>
      <c r="R22" s="76">
        <f t="shared" si="5"/>
        <v>0.1</v>
      </c>
      <c r="S22" s="30">
        <f t="shared" si="6"/>
        <v>0.4</v>
      </c>
      <c r="T22" s="62">
        <f t="shared" si="7"/>
        <v>0.4</v>
      </c>
      <c r="U22" s="63" t="str">
        <f t="shared" si="8"/>
        <v>Menor</v>
      </c>
      <c r="V22" s="31" t="str">
        <f t="shared" si="9"/>
        <v>Baja Menor</v>
      </c>
      <c r="W22" s="88" t="str">
        <f t="shared" si="10"/>
        <v>Media</v>
      </c>
    </row>
    <row r="23" spans="1:23" s="8" customFormat="1" ht="60" hidden="1" customHeight="1" x14ac:dyDescent="0.3">
      <c r="A23" s="21">
        <v>20</v>
      </c>
      <c r="B23" s="11" t="s">
        <v>13</v>
      </c>
      <c r="C23" s="11" t="s">
        <v>44</v>
      </c>
      <c r="D23" s="69" t="s">
        <v>189</v>
      </c>
      <c r="E23" s="110" t="s">
        <v>162</v>
      </c>
      <c r="F23" s="108"/>
      <c r="G23" s="143" t="str">
        <f>ACTV!V23</f>
        <v>Alta</v>
      </c>
      <c r="H23" s="107">
        <v>20</v>
      </c>
      <c r="I23" s="72">
        <f t="shared" si="1"/>
        <v>0.6</v>
      </c>
      <c r="J23" s="65" t="str">
        <f t="shared" si="2"/>
        <v>Media</v>
      </c>
      <c r="K23" s="73">
        <v>50000</v>
      </c>
      <c r="L23" s="67">
        <v>1300000</v>
      </c>
      <c r="M23" s="26">
        <f t="shared" si="0"/>
        <v>3.8461538461538464E-2</v>
      </c>
      <c r="N23" s="75">
        <f t="shared" si="3"/>
        <v>0.2</v>
      </c>
      <c r="O23" s="77" t="s">
        <v>82</v>
      </c>
      <c r="P23" s="78">
        <f t="shared" si="4"/>
        <v>0.3</v>
      </c>
      <c r="Q23" s="77" t="s">
        <v>68</v>
      </c>
      <c r="R23" s="76">
        <f t="shared" si="5"/>
        <v>0.1</v>
      </c>
      <c r="S23" s="30">
        <f t="shared" si="6"/>
        <v>0.4</v>
      </c>
      <c r="T23" s="62">
        <f t="shared" si="7"/>
        <v>0.4</v>
      </c>
      <c r="U23" s="63" t="str">
        <f t="shared" si="8"/>
        <v>Menor</v>
      </c>
      <c r="V23" s="31" t="str">
        <f t="shared" si="9"/>
        <v>Media Menor</v>
      </c>
      <c r="W23" s="88" t="str">
        <f t="shared" si="10"/>
        <v>Media</v>
      </c>
    </row>
    <row r="24" spans="1:23" s="8" customFormat="1" ht="60" hidden="1" customHeight="1" x14ac:dyDescent="0.3">
      <c r="A24" s="21">
        <v>21</v>
      </c>
      <c r="B24" s="11" t="s">
        <v>191</v>
      </c>
      <c r="C24" s="11" t="s">
        <v>25</v>
      </c>
      <c r="D24" s="69" t="s">
        <v>190</v>
      </c>
      <c r="E24" s="110" t="s">
        <v>162</v>
      </c>
      <c r="F24" s="108"/>
      <c r="G24" s="143" t="str">
        <f>ACTV!V24</f>
        <v>Alta</v>
      </c>
      <c r="H24" s="107">
        <v>200</v>
      </c>
      <c r="I24" s="72">
        <f t="shared" si="1"/>
        <v>0.6</v>
      </c>
      <c r="J24" s="65" t="str">
        <f t="shared" si="2"/>
        <v>Media</v>
      </c>
      <c r="K24" s="73">
        <v>200000</v>
      </c>
      <c r="L24" s="67">
        <v>1423500</v>
      </c>
      <c r="M24" s="26">
        <f t="shared" si="0"/>
        <v>0.14049877063575694</v>
      </c>
      <c r="N24" s="75">
        <f t="shared" si="3"/>
        <v>0.4</v>
      </c>
      <c r="O24" s="77" t="s">
        <v>82</v>
      </c>
      <c r="P24" s="78">
        <f t="shared" si="4"/>
        <v>0.3</v>
      </c>
      <c r="Q24" s="77" t="s">
        <v>70</v>
      </c>
      <c r="R24" s="76">
        <f t="shared" si="5"/>
        <v>0.2</v>
      </c>
      <c r="S24" s="30">
        <f t="shared" si="6"/>
        <v>0.5</v>
      </c>
      <c r="T24" s="62">
        <f t="shared" si="7"/>
        <v>0.5</v>
      </c>
      <c r="U24" s="63" t="str">
        <f t="shared" si="8"/>
        <v>Moderado</v>
      </c>
      <c r="V24" s="31" t="str">
        <f t="shared" si="9"/>
        <v>Media Moderado</v>
      </c>
      <c r="W24" s="88" t="str">
        <f t="shared" si="10"/>
        <v>Media</v>
      </c>
    </row>
    <row r="25" spans="1:23" s="8" customFormat="1" ht="60" hidden="1" customHeight="1" x14ac:dyDescent="0.3">
      <c r="A25" s="21">
        <v>22</v>
      </c>
      <c r="B25" s="11" t="s">
        <v>14</v>
      </c>
      <c r="C25" s="11" t="s">
        <v>25</v>
      </c>
      <c r="D25" s="69" t="s">
        <v>38</v>
      </c>
      <c r="E25" s="110" t="s">
        <v>162</v>
      </c>
      <c r="F25" s="108"/>
      <c r="G25" s="143" t="str">
        <f>ACTV!V25</f>
        <v>Alta</v>
      </c>
      <c r="H25" s="107">
        <v>20</v>
      </c>
      <c r="I25" s="72">
        <f t="shared" si="1"/>
        <v>0.6</v>
      </c>
      <c r="J25" s="65" t="str">
        <f t="shared" si="2"/>
        <v>Media</v>
      </c>
      <c r="K25" s="73">
        <v>100000</v>
      </c>
      <c r="L25" s="67">
        <v>1300000</v>
      </c>
      <c r="M25" s="26">
        <f t="shared" si="0"/>
        <v>7.6923076923076927E-2</v>
      </c>
      <c r="N25" s="75">
        <f t="shared" si="3"/>
        <v>0.2</v>
      </c>
      <c r="O25" s="77" t="s">
        <v>82</v>
      </c>
      <c r="P25" s="78">
        <f t="shared" si="4"/>
        <v>0.3</v>
      </c>
      <c r="Q25" s="77" t="s">
        <v>68</v>
      </c>
      <c r="R25" s="76">
        <f t="shared" si="5"/>
        <v>0.1</v>
      </c>
      <c r="S25" s="30">
        <f t="shared" si="6"/>
        <v>0.4</v>
      </c>
      <c r="T25" s="62">
        <f t="shared" si="7"/>
        <v>0.4</v>
      </c>
      <c r="U25" s="63" t="str">
        <f t="shared" si="8"/>
        <v>Menor</v>
      </c>
      <c r="V25" s="31" t="str">
        <f t="shared" si="9"/>
        <v>Media Menor</v>
      </c>
      <c r="W25" s="88" t="str">
        <f t="shared" si="10"/>
        <v>Media</v>
      </c>
    </row>
    <row r="26" spans="1:23" s="8" customFormat="1" ht="60" hidden="1" customHeight="1" x14ac:dyDescent="0.3">
      <c r="A26" s="21">
        <v>23</v>
      </c>
      <c r="B26" s="11" t="s">
        <v>15</v>
      </c>
      <c r="C26" s="11" t="s">
        <v>43</v>
      </c>
      <c r="D26" s="69" t="s">
        <v>39</v>
      </c>
      <c r="E26" s="110" t="s">
        <v>162</v>
      </c>
      <c r="F26" s="108"/>
      <c r="G26" s="143" t="str">
        <f>ACTV!V26</f>
        <v>Crítica</v>
      </c>
      <c r="H26" s="107">
        <v>2</v>
      </c>
      <c r="I26" s="72">
        <f t="shared" si="1"/>
        <v>0.2</v>
      </c>
      <c r="J26" s="65" t="str">
        <f t="shared" si="2"/>
        <v>Muy baja</v>
      </c>
      <c r="K26" s="73">
        <v>50000</v>
      </c>
      <c r="L26" s="67">
        <v>1423500</v>
      </c>
      <c r="M26" s="26">
        <f t="shared" si="0"/>
        <v>3.5124692658939236E-2</v>
      </c>
      <c r="N26" s="75">
        <f t="shared" si="3"/>
        <v>0.2</v>
      </c>
      <c r="O26" s="77" t="s">
        <v>82</v>
      </c>
      <c r="P26" s="78">
        <f t="shared" si="4"/>
        <v>0.3</v>
      </c>
      <c r="Q26" s="77" t="s">
        <v>68</v>
      </c>
      <c r="R26" s="76">
        <f t="shared" si="5"/>
        <v>0.1</v>
      </c>
      <c r="S26" s="30">
        <f t="shared" si="6"/>
        <v>0.4</v>
      </c>
      <c r="T26" s="62">
        <f t="shared" si="7"/>
        <v>0.4</v>
      </c>
      <c r="U26" s="63" t="str">
        <f t="shared" si="8"/>
        <v>Menor</v>
      </c>
      <c r="V26" s="31" t="str">
        <f t="shared" si="9"/>
        <v>Muy baja Menor</v>
      </c>
      <c r="W26" s="88" t="str">
        <f t="shared" si="10"/>
        <v>Baja</v>
      </c>
    </row>
    <row r="27" spans="1:23" s="8" customFormat="1" ht="60" hidden="1" customHeight="1" x14ac:dyDescent="0.3">
      <c r="A27" s="21">
        <v>24</v>
      </c>
      <c r="B27" s="11" t="s">
        <v>16</v>
      </c>
      <c r="C27" s="11" t="s">
        <v>43</v>
      </c>
      <c r="D27" s="69" t="s">
        <v>40</v>
      </c>
      <c r="E27" s="110" t="s">
        <v>160</v>
      </c>
      <c r="F27" s="108" t="s">
        <v>211</v>
      </c>
      <c r="G27" s="143" t="str">
        <f>ACTV!V27</f>
        <v>Crítica</v>
      </c>
      <c r="H27" s="107">
        <v>366</v>
      </c>
      <c r="I27" s="72">
        <f t="shared" si="1"/>
        <v>0.8</v>
      </c>
      <c r="J27" s="65" t="str">
        <f t="shared" si="2"/>
        <v>Alta</v>
      </c>
      <c r="K27" s="73">
        <v>800000</v>
      </c>
      <c r="L27" s="67">
        <v>1423500</v>
      </c>
      <c r="M27" s="26">
        <f t="shared" si="0"/>
        <v>0.56199508254302777</v>
      </c>
      <c r="N27" s="75">
        <f t="shared" si="3"/>
        <v>1</v>
      </c>
      <c r="O27" s="77" t="s">
        <v>82</v>
      </c>
      <c r="P27" s="78">
        <f t="shared" si="4"/>
        <v>0.3</v>
      </c>
      <c r="Q27" s="77" t="s">
        <v>68</v>
      </c>
      <c r="R27" s="76">
        <f t="shared" si="5"/>
        <v>0.1</v>
      </c>
      <c r="S27" s="30">
        <f t="shared" si="6"/>
        <v>0.4</v>
      </c>
      <c r="T27" s="62">
        <f t="shared" si="7"/>
        <v>1</v>
      </c>
      <c r="U27" s="63" t="str">
        <f t="shared" si="8"/>
        <v>Mayor</v>
      </c>
      <c r="V27" s="31" t="str">
        <f t="shared" si="9"/>
        <v>Alta Mayor</v>
      </c>
      <c r="W27" s="88" t="str">
        <f t="shared" si="10"/>
        <v>Crítica</v>
      </c>
    </row>
    <row r="28" spans="1:23" s="8" customFormat="1" ht="60" hidden="1" customHeight="1" x14ac:dyDescent="0.3">
      <c r="A28" s="21">
        <v>25</v>
      </c>
      <c r="B28" s="11" t="s">
        <v>163</v>
      </c>
      <c r="C28" s="11" t="s">
        <v>43</v>
      </c>
      <c r="D28" s="69" t="s">
        <v>192</v>
      </c>
      <c r="E28" s="110" t="s">
        <v>161</v>
      </c>
      <c r="F28" s="108" t="s">
        <v>203</v>
      </c>
      <c r="G28" s="143" t="str">
        <f>ACTV!V28</f>
        <v>Crítica</v>
      </c>
      <c r="H28" s="145">
        <v>1</v>
      </c>
      <c r="I28" s="72">
        <f t="shared" si="1"/>
        <v>0.2</v>
      </c>
      <c r="J28" s="65" t="str">
        <f t="shared" si="2"/>
        <v>Muy baja</v>
      </c>
      <c r="K28" s="122">
        <v>1500000</v>
      </c>
      <c r="L28" s="67">
        <v>1423500</v>
      </c>
      <c r="M28" s="26">
        <f t="shared" si="0"/>
        <v>1.053740779768177</v>
      </c>
      <c r="N28" s="75">
        <f t="shared" si="3"/>
        <v>1</v>
      </c>
      <c r="O28" s="77" t="s">
        <v>72</v>
      </c>
      <c r="P28" s="78">
        <f t="shared" si="4"/>
        <v>0.4</v>
      </c>
      <c r="Q28" s="77" t="s">
        <v>68</v>
      </c>
      <c r="R28" s="76">
        <f t="shared" si="5"/>
        <v>0.1</v>
      </c>
      <c r="S28" s="30">
        <f t="shared" si="6"/>
        <v>0.5</v>
      </c>
      <c r="T28" s="62">
        <f t="shared" si="7"/>
        <v>1</v>
      </c>
      <c r="U28" s="63" t="str">
        <f t="shared" si="8"/>
        <v>Mayor</v>
      </c>
      <c r="V28" s="31" t="str">
        <f t="shared" si="9"/>
        <v>Muy baja Mayor</v>
      </c>
      <c r="W28" s="88" t="str">
        <f t="shared" si="10"/>
        <v>Crítica</v>
      </c>
    </row>
    <row r="29" spans="1:23" s="8" customFormat="1" ht="66.599999999999994" hidden="1" customHeight="1" x14ac:dyDescent="0.3">
      <c r="A29" s="21">
        <v>26</v>
      </c>
      <c r="B29" s="11" t="s">
        <v>17</v>
      </c>
      <c r="C29" s="11" t="s">
        <v>25</v>
      </c>
      <c r="D29" s="69" t="s">
        <v>193</v>
      </c>
      <c r="E29" s="110" t="s">
        <v>162</v>
      </c>
      <c r="F29" s="108"/>
      <c r="G29" s="143">
        <f>ACTV!V29</f>
        <v>0</v>
      </c>
      <c r="H29" s="107">
        <v>12</v>
      </c>
      <c r="I29" s="72">
        <f t="shared" si="1"/>
        <v>0.4</v>
      </c>
      <c r="J29" s="65" t="str">
        <f t="shared" si="2"/>
        <v>Baja</v>
      </c>
      <c r="K29" s="73">
        <v>50000</v>
      </c>
      <c r="L29" s="67">
        <v>1300000</v>
      </c>
      <c r="M29" s="26">
        <f t="shared" si="0"/>
        <v>3.8461538461538464E-2</v>
      </c>
      <c r="N29" s="75">
        <f t="shared" si="3"/>
        <v>0.2</v>
      </c>
      <c r="O29" s="77" t="s">
        <v>82</v>
      </c>
      <c r="P29" s="78">
        <f t="shared" si="4"/>
        <v>0.3</v>
      </c>
      <c r="Q29" s="77" t="s">
        <v>68</v>
      </c>
      <c r="R29" s="76">
        <f t="shared" si="5"/>
        <v>0.1</v>
      </c>
      <c r="S29" s="30">
        <f t="shared" si="6"/>
        <v>0.4</v>
      </c>
      <c r="T29" s="62">
        <f t="shared" si="7"/>
        <v>0.4</v>
      </c>
      <c r="U29" s="63" t="str">
        <f t="shared" si="8"/>
        <v>Menor</v>
      </c>
      <c r="V29" s="31" t="str">
        <f t="shared" si="9"/>
        <v>Baja Menor</v>
      </c>
      <c r="W29" s="88" t="str">
        <f t="shared" si="10"/>
        <v>Media</v>
      </c>
    </row>
    <row r="30" spans="1:23" s="8" customFormat="1" ht="60" hidden="1" customHeight="1" x14ac:dyDescent="0.3">
      <c r="A30" s="21">
        <v>27</v>
      </c>
      <c r="B30" s="11" t="s">
        <v>18</v>
      </c>
      <c r="C30" s="11" t="s">
        <v>43</v>
      </c>
      <c r="D30" s="69" t="s">
        <v>41</v>
      </c>
      <c r="E30" s="110" t="s">
        <v>162</v>
      </c>
      <c r="F30" s="108"/>
      <c r="G30" s="143" t="str">
        <f>ACTV!V30</f>
        <v>Crítica</v>
      </c>
      <c r="H30" s="107">
        <v>50</v>
      </c>
      <c r="I30" s="72">
        <f t="shared" si="1"/>
        <v>0.6</v>
      </c>
      <c r="J30" s="65" t="str">
        <f t="shared" si="2"/>
        <v>Media</v>
      </c>
      <c r="K30" s="73">
        <v>100000</v>
      </c>
      <c r="L30" s="67">
        <v>1423500</v>
      </c>
      <c r="M30" s="26">
        <f t="shared" si="0"/>
        <v>7.0249385317878471E-2</v>
      </c>
      <c r="N30" s="75">
        <f t="shared" si="3"/>
        <v>0.2</v>
      </c>
      <c r="O30" s="77" t="s">
        <v>82</v>
      </c>
      <c r="P30" s="78">
        <f t="shared" si="4"/>
        <v>0.3</v>
      </c>
      <c r="Q30" s="77" t="s">
        <v>68</v>
      </c>
      <c r="R30" s="76">
        <f t="shared" si="5"/>
        <v>0.1</v>
      </c>
      <c r="S30" s="30">
        <f t="shared" si="6"/>
        <v>0.4</v>
      </c>
      <c r="T30" s="62">
        <f t="shared" si="7"/>
        <v>0.4</v>
      </c>
      <c r="U30" s="63" t="str">
        <f t="shared" si="8"/>
        <v>Menor</v>
      </c>
      <c r="V30" s="31" t="str">
        <f t="shared" si="9"/>
        <v>Media Menor</v>
      </c>
      <c r="W30" s="88" t="str">
        <f t="shared" si="10"/>
        <v>Media</v>
      </c>
    </row>
    <row r="31" spans="1:23" s="8" customFormat="1" ht="68.400000000000006" hidden="1" customHeight="1" x14ac:dyDescent="0.3">
      <c r="A31" s="21">
        <v>28</v>
      </c>
      <c r="B31" s="11" t="s">
        <v>194</v>
      </c>
      <c r="C31" s="11" t="s">
        <v>25</v>
      </c>
      <c r="D31" s="69" t="s">
        <v>195</v>
      </c>
      <c r="E31" s="110" t="s">
        <v>162</v>
      </c>
      <c r="F31" s="108"/>
      <c r="G31" s="143" t="str">
        <f>ACTV!V31</f>
        <v>Crítica</v>
      </c>
      <c r="H31" s="107">
        <v>50</v>
      </c>
      <c r="I31" s="72">
        <f t="shared" si="1"/>
        <v>0.6</v>
      </c>
      <c r="J31" s="65" t="str">
        <f t="shared" si="2"/>
        <v>Media</v>
      </c>
      <c r="K31" s="73">
        <v>800000</v>
      </c>
      <c r="L31" s="67">
        <v>1423500</v>
      </c>
      <c r="M31" s="26">
        <f t="shared" si="0"/>
        <v>0.56199508254302777</v>
      </c>
      <c r="N31" s="75">
        <f t="shared" si="3"/>
        <v>1</v>
      </c>
      <c r="O31" s="77" t="s">
        <v>82</v>
      </c>
      <c r="P31" s="78">
        <f t="shared" si="4"/>
        <v>0.3</v>
      </c>
      <c r="Q31" s="77" t="s">
        <v>68</v>
      </c>
      <c r="R31" s="76">
        <f t="shared" si="5"/>
        <v>0.1</v>
      </c>
      <c r="S31" s="30">
        <f t="shared" si="6"/>
        <v>0.4</v>
      </c>
      <c r="T31" s="62">
        <f t="shared" si="7"/>
        <v>1</v>
      </c>
      <c r="U31" s="63" t="str">
        <f t="shared" si="8"/>
        <v>Mayor</v>
      </c>
      <c r="V31" s="31" t="str">
        <f t="shared" si="9"/>
        <v>Media Mayor</v>
      </c>
      <c r="W31" s="88" t="str">
        <f t="shared" si="10"/>
        <v>Crítica</v>
      </c>
    </row>
    <row r="32" spans="1:23" s="8" customFormat="1" ht="60" customHeight="1" x14ac:dyDescent="0.3">
      <c r="A32" s="21">
        <v>29</v>
      </c>
      <c r="B32" s="11" t="s">
        <v>196</v>
      </c>
      <c r="C32" s="11" t="s">
        <v>25</v>
      </c>
      <c r="D32" s="69" t="s">
        <v>42</v>
      </c>
      <c r="E32" s="110" t="s">
        <v>162</v>
      </c>
      <c r="F32" s="108"/>
      <c r="G32" s="143" t="str">
        <f>ACTV!V32</f>
        <v>Media</v>
      </c>
      <c r="H32" s="107">
        <v>12</v>
      </c>
      <c r="I32" s="72">
        <f t="shared" si="1"/>
        <v>0.4</v>
      </c>
      <c r="J32" s="65" t="str">
        <f t="shared" si="2"/>
        <v>Baja</v>
      </c>
      <c r="K32" s="73">
        <v>50000</v>
      </c>
      <c r="L32" s="67">
        <v>1423500</v>
      </c>
      <c r="M32" s="26">
        <f t="shared" si="0"/>
        <v>3.5124692658939236E-2</v>
      </c>
      <c r="N32" s="75">
        <f t="shared" si="3"/>
        <v>0.2</v>
      </c>
      <c r="O32" s="77" t="s">
        <v>82</v>
      </c>
      <c r="P32" s="78">
        <f t="shared" si="4"/>
        <v>0.3</v>
      </c>
      <c r="Q32" s="77" t="s">
        <v>70</v>
      </c>
      <c r="R32" s="76">
        <f t="shared" si="5"/>
        <v>0.2</v>
      </c>
      <c r="S32" s="30">
        <f t="shared" si="6"/>
        <v>0.5</v>
      </c>
      <c r="T32" s="62">
        <f t="shared" si="7"/>
        <v>0.5</v>
      </c>
      <c r="U32" s="63" t="str">
        <f t="shared" si="8"/>
        <v>Moderado</v>
      </c>
      <c r="V32" s="31" t="str">
        <f t="shared" si="9"/>
        <v>Baja Moderado</v>
      </c>
      <c r="W32" s="88" t="str">
        <f t="shared" si="10"/>
        <v>Media</v>
      </c>
    </row>
    <row r="33" spans="1:23" s="8" customFormat="1" ht="60" customHeight="1" x14ac:dyDescent="0.3">
      <c r="A33" s="21">
        <v>30</v>
      </c>
      <c r="B33" s="11" t="s">
        <v>19</v>
      </c>
      <c r="C33" s="11" t="s">
        <v>25</v>
      </c>
      <c r="D33" s="69" t="s">
        <v>197</v>
      </c>
      <c r="E33" s="110" t="s">
        <v>162</v>
      </c>
      <c r="F33" s="108"/>
      <c r="G33" s="143" t="str">
        <f>ACTV!V33</f>
        <v>Media</v>
      </c>
      <c r="H33" s="107">
        <v>20</v>
      </c>
      <c r="I33" s="72">
        <f t="shared" si="1"/>
        <v>0.6</v>
      </c>
      <c r="J33" s="65" t="str">
        <f t="shared" si="2"/>
        <v>Media</v>
      </c>
      <c r="K33" s="73">
        <v>50000</v>
      </c>
      <c r="L33" s="67">
        <v>1423500</v>
      </c>
      <c r="M33" s="26">
        <f t="shared" si="0"/>
        <v>3.5124692658939236E-2</v>
      </c>
      <c r="N33" s="75">
        <f t="shared" si="3"/>
        <v>0.2</v>
      </c>
      <c r="O33" s="77" t="s">
        <v>82</v>
      </c>
      <c r="P33" s="78">
        <f t="shared" si="4"/>
        <v>0.3</v>
      </c>
      <c r="Q33" s="77" t="s">
        <v>68</v>
      </c>
      <c r="R33" s="76">
        <f t="shared" si="5"/>
        <v>0.1</v>
      </c>
      <c r="S33" s="30">
        <f t="shared" si="6"/>
        <v>0.4</v>
      </c>
      <c r="T33" s="62">
        <f t="shared" si="7"/>
        <v>0.4</v>
      </c>
      <c r="U33" s="63" t="str">
        <f t="shared" si="8"/>
        <v>Menor</v>
      </c>
      <c r="V33" s="31" t="str">
        <f t="shared" si="9"/>
        <v>Media Menor</v>
      </c>
      <c r="W33" s="88" t="str">
        <f t="shared" si="10"/>
        <v>Media</v>
      </c>
    </row>
    <row r="34" spans="1:23" s="8" customFormat="1" ht="60" customHeight="1" x14ac:dyDescent="0.3">
      <c r="A34" s="21">
        <v>31</v>
      </c>
      <c r="B34" s="11" t="s">
        <v>20</v>
      </c>
      <c r="C34" s="11" t="s">
        <v>25</v>
      </c>
      <c r="D34" s="69" t="s">
        <v>198</v>
      </c>
      <c r="E34" s="110" t="s">
        <v>162</v>
      </c>
      <c r="F34" s="108"/>
      <c r="G34" s="143" t="str">
        <f>ACTV!V34</f>
        <v>Alta</v>
      </c>
      <c r="H34" s="107">
        <v>12</v>
      </c>
      <c r="I34" s="72">
        <f t="shared" si="1"/>
        <v>0.4</v>
      </c>
      <c r="J34" s="65" t="str">
        <f t="shared" si="2"/>
        <v>Baja</v>
      </c>
      <c r="K34" s="73">
        <v>30000</v>
      </c>
      <c r="L34" s="67">
        <v>1300000</v>
      </c>
      <c r="M34" s="26">
        <f t="shared" si="0"/>
        <v>2.3076923076923078E-2</v>
      </c>
      <c r="N34" s="75">
        <f t="shared" si="3"/>
        <v>0.2</v>
      </c>
      <c r="O34" s="77" t="s">
        <v>82</v>
      </c>
      <c r="P34" s="78">
        <f t="shared" si="4"/>
        <v>0.3</v>
      </c>
      <c r="Q34" s="77" t="s">
        <v>68</v>
      </c>
      <c r="R34" s="76">
        <f t="shared" si="5"/>
        <v>0.1</v>
      </c>
      <c r="S34" s="30">
        <f t="shared" si="6"/>
        <v>0.4</v>
      </c>
      <c r="T34" s="62">
        <f t="shared" si="7"/>
        <v>0.4</v>
      </c>
      <c r="U34" s="63" t="str">
        <f t="shared" si="8"/>
        <v>Menor</v>
      </c>
      <c r="V34" s="31" t="str">
        <f t="shared" si="9"/>
        <v>Baja Menor</v>
      </c>
      <c r="W34" s="88" t="str">
        <f t="shared" si="10"/>
        <v>Media</v>
      </c>
    </row>
    <row r="35" spans="1:23" ht="60" customHeight="1" x14ac:dyDescent="0.3">
      <c r="A35" s="21">
        <v>32</v>
      </c>
      <c r="B35" s="11" t="s">
        <v>21</v>
      </c>
      <c r="C35" s="12" t="s">
        <v>25</v>
      </c>
      <c r="D35" s="70" t="s">
        <v>199</v>
      </c>
      <c r="E35" s="110" t="s">
        <v>160</v>
      </c>
      <c r="F35" s="108" t="s">
        <v>212</v>
      </c>
      <c r="G35" s="143" t="str">
        <f>ACTV!V35</f>
        <v>Crítica</v>
      </c>
      <c r="H35" s="107">
        <v>366</v>
      </c>
      <c r="I35" s="72">
        <f t="shared" si="1"/>
        <v>0.8</v>
      </c>
      <c r="J35" s="65" t="str">
        <f t="shared" si="2"/>
        <v>Alta</v>
      </c>
      <c r="K35" s="73">
        <v>800000</v>
      </c>
      <c r="L35" s="67">
        <v>1423500</v>
      </c>
      <c r="M35" s="26">
        <f t="shared" si="0"/>
        <v>0.56199508254302777</v>
      </c>
      <c r="N35" s="75">
        <f t="shared" si="3"/>
        <v>1</v>
      </c>
      <c r="O35" s="77" t="s">
        <v>82</v>
      </c>
      <c r="P35" s="78">
        <f t="shared" si="4"/>
        <v>0.3</v>
      </c>
      <c r="Q35" s="77" t="s">
        <v>68</v>
      </c>
      <c r="R35" s="76">
        <f t="shared" si="5"/>
        <v>0.1</v>
      </c>
      <c r="S35" s="30">
        <f t="shared" si="6"/>
        <v>0.4</v>
      </c>
      <c r="T35" s="62">
        <f t="shared" si="7"/>
        <v>1</v>
      </c>
      <c r="U35" s="63" t="str">
        <f t="shared" si="8"/>
        <v>Mayor</v>
      </c>
      <c r="V35" s="31" t="str">
        <f t="shared" si="9"/>
        <v>Alta Mayor</v>
      </c>
      <c r="W35" s="88" t="str">
        <f t="shared" si="10"/>
        <v>Crítica</v>
      </c>
    </row>
    <row r="39" spans="1:23" ht="27.6" x14ac:dyDescent="0.3">
      <c r="B39" s="100" t="s">
        <v>119</v>
      </c>
    </row>
    <row r="42" spans="1:23" x14ac:dyDescent="0.3">
      <c r="B42" s="5" t="s">
        <v>120</v>
      </c>
      <c r="C42" s="5" t="s">
        <v>121</v>
      </c>
    </row>
    <row r="43" spans="1:23" ht="27.6" x14ac:dyDescent="0.3">
      <c r="B43" s="5" t="s">
        <v>122</v>
      </c>
      <c r="C43" s="5" t="s">
        <v>123</v>
      </c>
    </row>
    <row r="47" spans="1:23" ht="14.4" x14ac:dyDescent="0.3">
      <c r="B47" s="101" t="s">
        <v>124</v>
      </c>
      <c r="C47" s="102" t="s">
        <v>144</v>
      </c>
    </row>
    <row r="48" spans="1:23" ht="27.6" x14ac:dyDescent="0.3">
      <c r="B48" s="101" t="s">
        <v>125</v>
      </c>
      <c r="C48" s="102" t="s">
        <v>145</v>
      </c>
    </row>
    <row r="49" spans="2:3" ht="28.8" x14ac:dyDescent="0.3">
      <c r="B49" s="101" t="s">
        <v>126</v>
      </c>
      <c r="C49" s="102" t="s">
        <v>146</v>
      </c>
    </row>
    <row r="50" spans="2:3" ht="14.4" x14ac:dyDescent="0.3">
      <c r="B50" s="101" t="s">
        <v>127</v>
      </c>
      <c r="C50" s="103"/>
    </row>
    <row r="51" spans="2:3" ht="14.4" x14ac:dyDescent="0.3">
      <c r="B51" s="101" t="s">
        <v>128</v>
      </c>
      <c r="C51" s="103"/>
    </row>
    <row r="52" spans="2:3" ht="41.4" x14ac:dyDescent="0.3">
      <c r="B52" s="101" t="s">
        <v>129</v>
      </c>
      <c r="C52" s="102" t="s">
        <v>147</v>
      </c>
    </row>
    <row r="53" spans="2:3" ht="27.6" x14ac:dyDescent="0.3">
      <c r="B53" s="101" t="s">
        <v>130</v>
      </c>
      <c r="C53" s="103" t="s">
        <v>148</v>
      </c>
    </row>
    <row r="54" spans="2:3" ht="14.4" x14ac:dyDescent="0.3">
      <c r="B54" s="101" t="s">
        <v>131</v>
      </c>
    </row>
    <row r="55" spans="2:3" ht="27.6" x14ac:dyDescent="0.3">
      <c r="B55" s="101" t="s">
        <v>132</v>
      </c>
      <c r="C55" s="103" t="s">
        <v>149</v>
      </c>
    </row>
    <row r="56" spans="2:3" ht="41.4" x14ac:dyDescent="0.3">
      <c r="B56" s="101" t="s">
        <v>133</v>
      </c>
      <c r="C56" s="103" t="s">
        <v>150</v>
      </c>
    </row>
    <row r="58" spans="2:3" ht="28.8" x14ac:dyDescent="0.3">
      <c r="B58" s="101" t="s">
        <v>134</v>
      </c>
    </row>
    <row r="59" spans="2:3" ht="28.8" x14ac:dyDescent="0.3">
      <c r="B59" s="101" t="s">
        <v>135</v>
      </c>
    </row>
    <row r="60" spans="2:3" ht="28.8" x14ac:dyDescent="0.3">
      <c r="B60" s="101" t="s">
        <v>136</v>
      </c>
    </row>
    <row r="61" spans="2:3" ht="14.4" x14ac:dyDescent="0.3">
      <c r="B61" s="101" t="s">
        <v>137</v>
      </c>
    </row>
    <row r="62" spans="2:3" ht="28.8" x14ac:dyDescent="0.3">
      <c r="B62" s="101" t="s">
        <v>138</v>
      </c>
      <c r="C62" s="5" t="s">
        <v>152</v>
      </c>
    </row>
    <row r="63" spans="2:3" ht="28.8" x14ac:dyDescent="0.3">
      <c r="B63" s="101" t="s">
        <v>139</v>
      </c>
    </row>
    <row r="65" spans="2:2" ht="14.4" x14ac:dyDescent="0.3">
      <c r="B65" s="101" t="s">
        <v>140</v>
      </c>
    </row>
    <row r="66" spans="2:2" ht="14.4" x14ac:dyDescent="0.3">
      <c r="B66" s="101" t="s">
        <v>141</v>
      </c>
    </row>
    <row r="67" spans="2:2" ht="14.4" x14ac:dyDescent="0.3">
      <c r="B67" s="101" t="s">
        <v>142</v>
      </c>
    </row>
    <row r="68" spans="2:2" ht="14.4" x14ac:dyDescent="0.3">
      <c r="B68" s="101" t="s">
        <v>143</v>
      </c>
    </row>
    <row r="70" spans="2:2" ht="27.6" x14ac:dyDescent="0.3">
      <c r="B70" s="5" t="s">
        <v>151</v>
      </c>
    </row>
  </sheetData>
  <autoFilter ref="A2:W35" xr:uid="{E5F66CB0-D90A-4D34-972C-77F4BB93BE3B}"/>
  <mergeCells count="3">
    <mergeCell ref="E1:F1"/>
    <mergeCell ref="C17:C18"/>
    <mergeCell ref="D17:D18"/>
  </mergeCells>
  <conditionalFormatting sqref="I3:I35">
    <cfRule type="cellIs" dxfId="51" priority="20" operator="equal">
      <formula>0.2</formula>
    </cfRule>
    <cfRule type="cellIs" dxfId="50" priority="21" operator="equal">
      <formula>0.4</formula>
    </cfRule>
    <cfRule type="cellIs" dxfId="49" priority="22" operator="equal">
      <formula>0.6</formula>
    </cfRule>
    <cfRule type="cellIs" dxfId="48" priority="23" operator="equal">
      <formula>0.8</formula>
    </cfRule>
    <cfRule type="cellIs" dxfId="47" priority="24" operator="equal">
      <formula>1</formula>
    </cfRule>
  </conditionalFormatting>
  <conditionalFormatting sqref="J3:J35">
    <cfRule type="containsText" dxfId="46" priority="10" operator="containsText" text="Muy baja">
      <formula>NOT(ISERROR(SEARCH("Muy baja",J3)))</formula>
    </cfRule>
    <cfRule type="beginsWith" dxfId="45" priority="11" operator="beginsWith" text="Baja">
      <formula>LEFT(J3,LEN("Baja"))="Baja"</formula>
    </cfRule>
    <cfRule type="containsText" dxfId="44" priority="12" operator="containsText" text="Media">
      <formula>NOT(ISERROR(SEARCH("Media",J3)))</formula>
    </cfRule>
    <cfRule type="beginsWith" dxfId="43" priority="13" operator="beginsWith" text="Alta">
      <formula>LEFT(J3,LEN("Alta"))="Alta"</formula>
    </cfRule>
    <cfRule type="containsText" dxfId="42" priority="14" operator="containsText" text="Muy alta">
      <formula>NOT(ISERROR(SEARCH("Muy alta",J3)))</formula>
    </cfRule>
  </conditionalFormatting>
  <conditionalFormatting sqref="T3:T35">
    <cfRule type="cellIs" dxfId="41" priority="15" operator="equal">
      <formula>0.2</formula>
    </cfRule>
    <cfRule type="cellIs" dxfId="40" priority="16" operator="equal">
      <formula>0.4</formula>
    </cfRule>
    <cfRule type="cellIs" dxfId="39" priority="17" operator="equal">
      <formula>0.6</formula>
    </cfRule>
    <cfRule type="cellIs" dxfId="38" priority="18" operator="equal">
      <formula>0.8</formula>
    </cfRule>
    <cfRule type="cellIs" dxfId="37" priority="19" operator="equal">
      <formula>1</formula>
    </cfRule>
  </conditionalFormatting>
  <conditionalFormatting sqref="U3:U35">
    <cfRule type="containsText" dxfId="36" priority="5" operator="containsText" text="Insignificante">
      <formula>NOT(ISERROR(SEARCH("Insignificante",U3)))</formula>
    </cfRule>
    <cfRule type="beginsWith" dxfId="35" priority="6" operator="beginsWith" text="Menor">
      <formula>LEFT(U3,LEN("Menor"))="Menor"</formula>
    </cfRule>
    <cfRule type="containsText" dxfId="34" priority="7" operator="containsText" text="Moderado">
      <formula>NOT(ISERROR(SEARCH("Moderado",U3)))</formula>
    </cfRule>
    <cfRule type="beginsWith" dxfId="33" priority="8" operator="beginsWith" text="Importante">
      <formula>LEFT(U3,LEN("Importante"))="Importante"</formula>
    </cfRule>
    <cfRule type="containsText" dxfId="32" priority="9" operator="containsText" text="Mayor">
      <formula>NOT(ISERROR(SEARCH("Mayor",U3)))</formula>
    </cfRule>
  </conditionalFormatting>
  <conditionalFormatting sqref="W3:W35">
    <cfRule type="containsText" dxfId="31" priority="1" operator="containsText" text="Crítica">
      <formula>NOT(ISERROR(SEARCH("Crítica",W3)))</formula>
    </cfRule>
    <cfRule type="containsText" dxfId="30" priority="2" operator="containsText" text="Alta">
      <formula>NOT(ISERROR(SEARCH("Alta",W3)))</formula>
    </cfRule>
    <cfRule type="containsText" dxfId="29" priority="3" operator="containsText" text="Media">
      <formula>NOT(ISERROR(SEARCH("Media",W3)))</formula>
    </cfRule>
    <cfRule type="containsText" dxfId="28" priority="4" operator="containsText" text="Baja">
      <formula>NOT(ISERROR(SEARCH("Baja",W3)))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4E1FC23-B01C-4BFD-B9AD-4A657B4A33E2}">
          <x14:formula1>
            <xm:f>Reputación!$C$11:$C$15</xm:f>
          </x14:formula1>
          <xm:sqref>Q3:Q35</xm:sqref>
        </x14:dataValidation>
        <x14:dataValidation type="list" allowBlank="1" showInputMessage="1" showErrorMessage="1" xr:uid="{10B0E4ED-AC9E-4E56-AFA2-48BFA04E9AAD}">
          <x14:formula1>
            <xm:f>Reputación!$C$4:$C$8</xm:f>
          </x14:formula1>
          <xm:sqref>O3:O35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2758-D9E3-49A8-BCC8-B93755F8A406}">
  <dimension ref="A1:W70"/>
  <sheetViews>
    <sheetView showGridLines="0" zoomScaleNormal="100" workbookViewId="0">
      <pane ySplit="1" topLeftCell="A2" activePane="bottomLeft" state="frozen"/>
      <selection pane="bottomLeft" activeCell="E1" sqref="E1:F1"/>
    </sheetView>
  </sheetViews>
  <sheetFormatPr baseColWidth="10" defaultColWidth="11.5546875" defaultRowHeight="13.8" x14ac:dyDescent="0.3"/>
  <cols>
    <col min="1" max="1" width="6.44140625" style="9" customWidth="1"/>
    <col min="2" max="2" width="41" style="5" customWidth="1"/>
    <col min="3" max="3" width="30.77734375" style="5" customWidth="1"/>
    <col min="4" max="4" width="48.88671875" style="13" customWidth="1"/>
    <col min="5" max="5" width="6.109375" style="106" customWidth="1"/>
    <col min="6" max="7" width="19.77734375" style="13" customWidth="1"/>
    <col min="8" max="8" width="15.109375" style="9" customWidth="1"/>
    <col min="9" max="9" width="15.77734375" style="59" customWidth="1"/>
    <col min="10" max="10" width="16.109375" style="9" customWidth="1"/>
    <col min="11" max="11" width="23.6640625" style="25" customWidth="1"/>
    <col min="12" max="12" width="15.77734375" style="10" customWidth="1"/>
    <col min="13" max="13" width="17.6640625" style="9" customWidth="1"/>
    <col min="14" max="14" width="13.6640625" style="9" customWidth="1"/>
    <col min="15" max="15" width="41.77734375" style="10" customWidth="1"/>
    <col min="16" max="16" width="17.109375" style="9" customWidth="1"/>
    <col min="17" max="17" width="41.77734375" style="10" customWidth="1"/>
    <col min="18" max="18" width="17.109375" style="9" customWidth="1"/>
    <col min="19" max="19" width="16.21875" style="9" customWidth="1"/>
    <col min="20" max="20" width="17.33203125" style="9" customWidth="1"/>
    <col min="21" max="21" width="17.109375" style="10" customWidth="1"/>
    <col min="22" max="22" width="30.88671875" style="10" customWidth="1"/>
    <col min="23" max="23" width="38.33203125" style="10" customWidth="1"/>
    <col min="24" max="16384" width="11.5546875" style="10"/>
  </cols>
  <sheetData>
    <row r="1" spans="1:23" ht="19.95" customHeight="1" x14ac:dyDescent="0.3">
      <c r="E1" s="155" t="s">
        <v>200</v>
      </c>
      <c r="F1" s="155"/>
      <c r="G1" s="141"/>
    </row>
    <row r="2" spans="1:23" s="7" customFormat="1" ht="60" customHeight="1" x14ac:dyDescent="0.3">
      <c r="A2" s="4" t="s">
        <v>0</v>
      </c>
      <c r="B2" s="4" t="s">
        <v>1</v>
      </c>
      <c r="C2" s="4" t="s">
        <v>24</v>
      </c>
      <c r="D2" s="68" t="s">
        <v>22</v>
      </c>
      <c r="E2" s="105" t="s">
        <v>153</v>
      </c>
      <c r="F2" s="105" t="s">
        <v>159</v>
      </c>
      <c r="G2" s="144" t="s">
        <v>234</v>
      </c>
      <c r="H2" s="104" t="s">
        <v>59</v>
      </c>
      <c r="I2" s="71" t="s">
        <v>46</v>
      </c>
      <c r="J2" s="64" t="s">
        <v>46</v>
      </c>
      <c r="K2" s="74" t="s">
        <v>45</v>
      </c>
      <c r="L2" s="66" t="s">
        <v>63</v>
      </c>
      <c r="M2" s="6" t="s">
        <v>64</v>
      </c>
      <c r="N2" s="61" t="s">
        <v>76</v>
      </c>
      <c r="O2" s="74" t="s">
        <v>65</v>
      </c>
      <c r="P2" s="60" t="s">
        <v>80</v>
      </c>
      <c r="Q2" s="74" t="s">
        <v>66</v>
      </c>
      <c r="R2" s="60" t="s">
        <v>81</v>
      </c>
      <c r="S2" s="61" t="s">
        <v>77</v>
      </c>
      <c r="T2" s="61" t="s">
        <v>90</v>
      </c>
      <c r="U2" s="61" t="s">
        <v>90</v>
      </c>
      <c r="V2" s="61" t="s">
        <v>91</v>
      </c>
      <c r="W2" s="89" t="s">
        <v>118</v>
      </c>
    </row>
    <row r="3" spans="1:23" s="8" customFormat="1" ht="60" customHeight="1" x14ac:dyDescent="0.3">
      <c r="A3" s="21">
        <v>0</v>
      </c>
      <c r="B3" s="11" t="s">
        <v>170</v>
      </c>
      <c r="C3" s="11" t="s">
        <v>25</v>
      </c>
      <c r="D3" s="69" t="s">
        <v>23</v>
      </c>
      <c r="E3" s="110" t="s">
        <v>162</v>
      </c>
      <c r="F3" s="108"/>
      <c r="G3" s="143" t="str">
        <f>ACTV!V3</f>
        <v>Crítica</v>
      </c>
      <c r="H3" s="107">
        <v>365</v>
      </c>
      <c r="I3" s="72">
        <f>IF(H3&lt;=4, 20%, IF(H3&lt;=12, 40%, IF(H3&lt;=365, 60%, IF(H3&lt;=3660, 80%, 100%))))</f>
        <v>0.6</v>
      </c>
      <c r="J3" s="65" t="str">
        <f>IF(I3&lt;=20%,"Muy baja",IF(I3&lt;=40%,"Baja",IF(I3&lt;=60%,"Media",IF(I3&lt;=80%,"Alta","Muy alta"))))</f>
        <v>Media</v>
      </c>
      <c r="K3" s="73">
        <v>2000000</v>
      </c>
      <c r="L3" s="67">
        <v>1300000</v>
      </c>
      <c r="M3" s="26">
        <f t="shared" ref="M3:M35" si="0">K3/L3</f>
        <v>1.5384615384615385</v>
      </c>
      <c r="N3" s="75">
        <f>IF(M3&lt;0.13, 20%, IF(M3&lt;0.26, 40%, IF(M3&lt;0.4, 60%, IF(M3&lt;0.53, 80%, 100%))))</f>
        <v>1</v>
      </c>
      <c r="O3" s="77" t="s">
        <v>67</v>
      </c>
      <c r="P3" s="78">
        <f>IF(O3="Sólo de conocimiento de la emprendedora",10%,IF(O3="No se registra incumplimiento regulatorio",10%,IF(O3="De conocimiento de algunos familiares, amigos y proveedores",20%,IF(O3="Genera recomendación de organismo regulatorio",20%,IF(O3="Afecta la imagen con algunos clientes",30%,IF(O3="Requerimiento del organismo regulatorio",30%,IF(O3="Deterioro de la imagen a nivel regional",40%,IF(O3="Llamado de atención del organismo regulatorio",40%,IF(O3="Deterioro de la imagen a nivel nacional",50%,IF(O3="Sanción de organismo regulatorio",50%,"No válido"))))))))))</f>
        <v>0.1</v>
      </c>
      <c r="Q3" s="77" t="s">
        <v>70</v>
      </c>
      <c r="R3" s="76">
        <f>IF(Q3="Sólo de conocimiento de la emprendedora",10%,IF(Q3="No se registra incumplimiento regulatorio",10%,IF(Q3="De conocimiento de algunos familiares, amigos y proveedores",20%,IF(Q3="Genera recomendación de organismo regulatorio",20%,IF(Q3="Afecta imagen con algunos clientes",30%,IF(Q3="Requerimiento del organismo regulatorio",30%,IF(Q3="Deterioro de la imagen a nivel regional",40%,IF(Q3="Llamado de atención del organismo regulatorio",40%,IF(Q3="Deterioro de la imagen a nivel nacional",50%,IF(Q3="Sanción de organismo regulatorio",50%,"No válido"))))))))))</f>
        <v>0.2</v>
      </c>
      <c r="S3" s="30">
        <f>P3+R3</f>
        <v>0.30000000000000004</v>
      </c>
      <c r="T3" s="62">
        <f>MAX(N3, S3)</f>
        <v>1</v>
      </c>
      <c r="U3" s="63" t="str">
        <f>IF(T3&lt;=20%,"Insignificante",IF(T3&lt;=40%,"Menor",IF(T3&lt;=60%,"Moderado",IF(T3&lt;=80%,"Importante","Mayor"))))</f>
        <v>Mayor</v>
      </c>
      <c r="V3" s="31" t="str">
        <f>CONCATENATE(J3, " ", U3)</f>
        <v>Media Mayor</v>
      </c>
      <c r="W3" s="88" t="str">
        <f>IF(V3="Muy baja Insignificante","Baja",
 IF(V3="Baja Insignificante","Baja",
 IF(V3="Media Insignificante","Media",
 IF(V3="Alta Insignificante","Media",
 IF(V3="Muy alta Insignificante","Alta",
 IF(V3="Muy baja Menor","Baja",
 IF(V3="Baja Menor","Media",
 IF(V3="Media Menor","Media",
 IF(V3="Alta Menor","Media",
 IF(V3="Muy alta Menor","Alta",
 IF(V3="Muy baja Moderado","Media",
 IF(V3="Baja Moderado","Media",
 IF(V3="Media Moderado","Media",
 IF(V3="Alta Moderado","Alta",
 IF(V3="Muy alta Moderado","Alta",
 IF(V3="Muy baja Importante","Alta",
 IF(V3="Baja Importante","Alta",
 IF(V3="Media Importante","Alta",
 IF(V3="Alta Importante","Alta",
 IF(V3="Muy alta Importante","Alta",
 IF(V3="Muy baja Mayor","Crítica",
 IF(V3="Baja Mayor","Crítica",
 IF(V3="Media Mayor","Crítica",
 IF(V3="Alta Mayor","Crítica",
 IF(V3="Muy alta Mayor","Crítica","")))))))))))))))))))))))))</f>
        <v>Crítica</v>
      </c>
    </row>
    <row r="4" spans="1:23" s="8" customFormat="1" ht="60" customHeight="1" x14ac:dyDescent="0.3">
      <c r="A4" s="21">
        <v>1</v>
      </c>
      <c r="B4" s="11" t="s">
        <v>175</v>
      </c>
      <c r="C4" s="11" t="s">
        <v>43</v>
      </c>
      <c r="D4" s="69" t="s">
        <v>26</v>
      </c>
      <c r="E4" s="110" t="s">
        <v>160</v>
      </c>
      <c r="F4" s="108" t="s">
        <v>169</v>
      </c>
      <c r="G4" s="143" t="str">
        <f>ACTV!V4</f>
        <v>Crítica</v>
      </c>
      <c r="H4" s="107">
        <v>36500</v>
      </c>
      <c r="I4" s="72">
        <f t="shared" ref="I4:I35" si="1">IF(H4&lt;=4, 20%, IF(H4&lt;=12, 40%, IF(H4&lt;=365, 60%, IF(H4&lt;=3660, 80%, 100%))))</f>
        <v>1</v>
      </c>
      <c r="J4" s="65" t="str">
        <f t="shared" ref="J4:J35" si="2">IF(I4&lt;=20%,"Muy baja",IF(I4&lt;=40%,"Baja",IF(I4&lt;=60%,"Media",IF(I4&lt;=80%,"Alta","Muy alta"))))</f>
        <v>Muy alta</v>
      </c>
      <c r="K4" s="73">
        <v>10000000</v>
      </c>
      <c r="L4" s="67">
        <v>1300000</v>
      </c>
      <c r="M4" s="26">
        <f t="shared" si="0"/>
        <v>7.6923076923076925</v>
      </c>
      <c r="N4" s="75">
        <f t="shared" ref="N4:N35" si="3">IF(M4&lt;0.13, 20%, IF(M4&lt;0.26, 40%, IF(M4&lt;0.4, 60%, IF(M4&lt;0.53, 80%, 100%))))</f>
        <v>1</v>
      </c>
      <c r="O4" s="77" t="s">
        <v>74</v>
      </c>
      <c r="P4" s="78">
        <f t="shared" ref="P4:P35" si="4">IF(O4="Sólo de conocimiento de la emprendedora",10%,IF(O4="No se registra incumplimiento regulatorio",10%,IF(O4="De conocimiento de algunos familiares, amigos y proveedores",20%,IF(O4="Genera recomendación de organismo regulatorio",20%,IF(O4="Afecta la imagen con algunos clientes",30%,IF(O4="Requerimiento del organismo regulatorio",30%,IF(O4="Deterioro de la imagen a nivel regional",40%,IF(O4="Llamado de atención del organismo regulatorio",40%,IF(O4="Deterioro de la imagen a nivel nacional",50%,IF(O4="Sanción de organismo regulatorio",50%,"No válido"))))))))))</f>
        <v>0.5</v>
      </c>
      <c r="Q4" s="77" t="s">
        <v>75</v>
      </c>
      <c r="R4" s="76">
        <f t="shared" ref="R4:R35" si="5">IF(Q4="Sólo de conocimiento de la emprendedora",10%,IF(Q4="No se registra incumplimiento regulatorio",10%,IF(Q4="De conocimiento de algunos familiares, amigos y proveedores",20%,IF(Q4="Genera recomendación de organismo regulatorio",20%,IF(Q4="Afecta imagen con algunos clientes",30%,IF(Q4="Requerimiento del organismo regulatorio",30%,IF(Q4="Deterioro de la imagen a nivel regional",40%,IF(Q4="Llamado de atención del organismo regulatorio",40%,IF(Q4="Deterioro de la imagen a nivel nacional",50%,IF(Q4="Sanción de organismo regulatorio",50%,"No válido"))))))))))</f>
        <v>0.5</v>
      </c>
      <c r="S4" s="30">
        <f t="shared" ref="S4:S35" si="6">P4+R4</f>
        <v>1</v>
      </c>
      <c r="T4" s="62">
        <f t="shared" ref="T4:T35" si="7">MAX(N4, S4)</f>
        <v>1</v>
      </c>
      <c r="U4" s="63" t="str">
        <f t="shared" ref="U4:U35" si="8">IF(T4&lt;=20%,"Insignificante",IF(T4&lt;=40%,"Menor",IF(T4&lt;=60%,"Moderado",IF(T4&lt;=80%,"Importante","Mayor"))))</f>
        <v>Mayor</v>
      </c>
      <c r="V4" s="31" t="str">
        <f t="shared" ref="V4:V35" si="9">CONCATENATE(J4, " ", U4)</f>
        <v>Muy alta Mayor</v>
      </c>
      <c r="W4" s="88" t="str">
        <f t="shared" ref="W4:W35" si="10">IF(V4="Muy baja Insignificante","Baja",
 IF(V4="Baja Insignificante","Baja",
 IF(V4="Media Insignificante","Media",
 IF(V4="Alta Insignificante","Media",
 IF(V4="Muy alta Insignificante","Alta",
 IF(V4="Muy baja Menor","Baja",
 IF(V4="Baja Menor","Media",
 IF(V4="Media Menor","Media",
 IF(V4="Alta Menor","Media",
 IF(V4="Muy alta Menor","Alta",
 IF(V4="Muy baja Moderado","Media",
 IF(V4="Baja Moderado","Media",
 IF(V4="Media Moderado","Media",
 IF(V4="Alta Moderado","Alta",
 IF(V4="Muy alta Moderado","Alta",
 IF(V4="Muy baja Importante","Alta",
 IF(V4="Baja Importante","Alta",
 IF(V4="Media Importante","Alta",
 IF(V4="Alta Importante","Alta",
 IF(V4="Muy alta Importante","Alta",
 IF(V4="Muy baja Mayor","Crítica",
 IF(V4="Baja Mayor","Crítica",
 IF(V4="Media Mayor","Crítica",
 IF(V4="Alta Mayor","Crítica",
 IF(V4="Muy alta Mayor","Crítica","")))))))))))))))))))))))))</f>
        <v>Crítica</v>
      </c>
    </row>
    <row r="5" spans="1:23" s="8" customFormat="1" ht="60" customHeight="1" x14ac:dyDescent="0.3">
      <c r="A5" s="21">
        <v>2</v>
      </c>
      <c r="B5" s="11" t="s">
        <v>2</v>
      </c>
      <c r="C5" s="11" t="s">
        <v>43</v>
      </c>
      <c r="D5" s="69" t="s">
        <v>27</v>
      </c>
      <c r="E5" s="110" t="s">
        <v>161</v>
      </c>
      <c r="F5" s="108" t="s">
        <v>171</v>
      </c>
      <c r="G5" s="143" t="str">
        <f>ACTV!V5</f>
        <v>Crítica</v>
      </c>
      <c r="H5" s="145">
        <v>12</v>
      </c>
      <c r="I5" s="72">
        <f t="shared" si="1"/>
        <v>0.4</v>
      </c>
      <c r="J5" s="65" t="str">
        <f t="shared" si="2"/>
        <v>Baja</v>
      </c>
      <c r="K5" s="146">
        <v>1300000</v>
      </c>
      <c r="L5" s="67">
        <v>1300000</v>
      </c>
      <c r="M5" s="26">
        <f t="shared" si="0"/>
        <v>1</v>
      </c>
      <c r="N5" s="75">
        <f t="shared" si="3"/>
        <v>1</v>
      </c>
      <c r="O5" s="77" t="s">
        <v>72</v>
      </c>
      <c r="P5" s="78">
        <f t="shared" si="4"/>
        <v>0.4</v>
      </c>
      <c r="Q5" s="77" t="s">
        <v>73</v>
      </c>
      <c r="R5" s="76">
        <f t="shared" si="5"/>
        <v>0.4</v>
      </c>
      <c r="S5" s="30">
        <f t="shared" si="6"/>
        <v>0.8</v>
      </c>
      <c r="T5" s="62">
        <f t="shared" si="7"/>
        <v>1</v>
      </c>
      <c r="U5" s="63" t="str">
        <f t="shared" si="8"/>
        <v>Mayor</v>
      </c>
      <c r="V5" s="31" t="str">
        <f t="shared" si="9"/>
        <v>Baja Mayor</v>
      </c>
      <c r="W5" s="88" t="str">
        <f t="shared" si="10"/>
        <v>Crítica</v>
      </c>
    </row>
    <row r="6" spans="1:23" s="8" customFormat="1" ht="60" customHeight="1" x14ac:dyDescent="0.3">
      <c r="A6" s="21">
        <v>3</v>
      </c>
      <c r="B6" s="11" t="s">
        <v>3</v>
      </c>
      <c r="C6" s="11" t="s">
        <v>43</v>
      </c>
      <c r="D6" s="69" t="s">
        <v>28</v>
      </c>
      <c r="E6" s="110" t="s">
        <v>161</v>
      </c>
      <c r="F6" s="108" t="s">
        <v>172</v>
      </c>
      <c r="G6" s="143" t="str">
        <f>ACTV!V6</f>
        <v>Crítica</v>
      </c>
      <c r="H6" s="145">
        <v>12</v>
      </c>
      <c r="I6" s="72">
        <f t="shared" si="1"/>
        <v>0.4</v>
      </c>
      <c r="J6" s="65" t="str">
        <f t="shared" si="2"/>
        <v>Baja</v>
      </c>
      <c r="K6" s="146">
        <v>1300000</v>
      </c>
      <c r="L6" s="67">
        <v>1300000</v>
      </c>
      <c r="M6" s="26">
        <f t="shared" si="0"/>
        <v>1</v>
      </c>
      <c r="N6" s="75">
        <f t="shared" si="3"/>
        <v>1</v>
      </c>
      <c r="O6" s="77" t="s">
        <v>74</v>
      </c>
      <c r="P6" s="78">
        <f t="shared" si="4"/>
        <v>0.5</v>
      </c>
      <c r="Q6" s="77" t="s">
        <v>71</v>
      </c>
      <c r="R6" s="76">
        <f t="shared" si="5"/>
        <v>0.3</v>
      </c>
      <c r="S6" s="30">
        <f t="shared" si="6"/>
        <v>0.8</v>
      </c>
      <c r="T6" s="62">
        <f t="shared" si="7"/>
        <v>1</v>
      </c>
      <c r="U6" s="63" t="str">
        <f t="shared" si="8"/>
        <v>Mayor</v>
      </c>
      <c r="V6" s="31" t="str">
        <f t="shared" si="9"/>
        <v>Baja Mayor</v>
      </c>
      <c r="W6" s="88" t="str">
        <f t="shared" si="10"/>
        <v>Crítica</v>
      </c>
    </row>
    <row r="7" spans="1:23" s="8" customFormat="1" ht="60" customHeight="1" x14ac:dyDescent="0.3">
      <c r="A7" s="21">
        <v>4</v>
      </c>
      <c r="B7" s="11" t="s">
        <v>4</v>
      </c>
      <c r="C7" s="11" t="s">
        <v>43</v>
      </c>
      <c r="D7" s="69" t="s">
        <v>29</v>
      </c>
      <c r="E7" s="110" t="s">
        <v>162</v>
      </c>
      <c r="F7" s="108"/>
      <c r="G7" s="143" t="str">
        <f>ACTV!V7</f>
        <v>Crítica</v>
      </c>
      <c r="H7" s="107">
        <v>2</v>
      </c>
      <c r="I7" s="72">
        <f t="shared" si="1"/>
        <v>0.2</v>
      </c>
      <c r="J7" s="65" t="str">
        <f t="shared" si="2"/>
        <v>Muy baja</v>
      </c>
      <c r="K7" s="73">
        <f>600000*12</f>
        <v>7200000</v>
      </c>
      <c r="L7" s="67">
        <v>1300000</v>
      </c>
      <c r="M7" s="26">
        <f t="shared" si="0"/>
        <v>5.5384615384615383</v>
      </c>
      <c r="N7" s="75">
        <f t="shared" si="3"/>
        <v>1</v>
      </c>
      <c r="O7" s="77" t="s">
        <v>67</v>
      </c>
      <c r="P7" s="78">
        <f t="shared" si="4"/>
        <v>0.1</v>
      </c>
      <c r="Q7" s="77" t="s">
        <v>68</v>
      </c>
      <c r="R7" s="76">
        <f t="shared" si="5"/>
        <v>0.1</v>
      </c>
      <c r="S7" s="30">
        <f t="shared" si="6"/>
        <v>0.2</v>
      </c>
      <c r="T7" s="62">
        <f t="shared" si="7"/>
        <v>1</v>
      </c>
      <c r="U7" s="63" t="str">
        <f t="shared" si="8"/>
        <v>Mayor</v>
      </c>
      <c r="V7" s="31" t="str">
        <f t="shared" si="9"/>
        <v>Muy baja Mayor</v>
      </c>
      <c r="W7" s="88" t="str">
        <f t="shared" si="10"/>
        <v>Crítica</v>
      </c>
    </row>
    <row r="8" spans="1:23" s="8" customFormat="1" ht="60" customHeight="1" x14ac:dyDescent="0.3">
      <c r="A8" s="21">
        <v>5</v>
      </c>
      <c r="B8" s="11" t="s">
        <v>5</v>
      </c>
      <c r="C8" s="11" t="s">
        <v>44</v>
      </c>
      <c r="D8" s="69" t="s">
        <v>30</v>
      </c>
      <c r="E8" s="110" t="s">
        <v>161</v>
      </c>
      <c r="F8" s="108" t="s">
        <v>171</v>
      </c>
      <c r="G8" s="143" t="str">
        <f>ACTV!V8</f>
        <v>Media</v>
      </c>
      <c r="H8" s="145">
        <v>12</v>
      </c>
      <c r="I8" s="72">
        <f t="shared" si="1"/>
        <v>0.4</v>
      </c>
      <c r="J8" s="65" t="str">
        <f t="shared" si="2"/>
        <v>Baja</v>
      </c>
      <c r="K8" s="73">
        <v>250000</v>
      </c>
      <c r="L8" s="67">
        <v>1300000</v>
      </c>
      <c r="M8" s="26">
        <f t="shared" si="0"/>
        <v>0.19230769230769232</v>
      </c>
      <c r="N8" s="75">
        <f t="shared" si="3"/>
        <v>0.4</v>
      </c>
      <c r="O8" s="77" t="s">
        <v>67</v>
      </c>
      <c r="P8" s="78">
        <f t="shared" si="4"/>
        <v>0.1</v>
      </c>
      <c r="Q8" s="77" t="s">
        <v>75</v>
      </c>
      <c r="R8" s="76">
        <f t="shared" si="5"/>
        <v>0.5</v>
      </c>
      <c r="S8" s="30">
        <f t="shared" si="6"/>
        <v>0.6</v>
      </c>
      <c r="T8" s="62">
        <f t="shared" si="7"/>
        <v>0.6</v>
      </c>
      <c r="U8" s="63" t="str">
        <f t="shared" si="8"/>
        <v>Moderado</v>
      </c>
      <c r="V8" s="31" t="str">
        <f t="shared" si="9"/>
        <v>Baja Moderado</v>
      </c>
      <c r="W8" s="88" t="str">
        <f t="shared" si="10"/>
        <v>Media</v>
      </c>
    </row>
    <row r="9" spans="1:23" s="8" customFormat="1" ht="60" customHeight="1" x14ac:dyDescent="0.3">
      <c r="A9" s="21">
        <v>6</v>
      </c>
      <c r="B9" s="11" t="s">
        <v>6</v>
      </c>
      <c r="C9" s="11" t="s">
        <v>43</v>
      </c>
      <c r="D9" s="69" t="s">
        <v>31</v>
      </c>
      <c r="E9" s="110" t="s">
        <v>162</v>
      </c>
      <c r="F9" s="108"/>
      <c r="G9" s="143" t="str">
        <f>ACTV!V9</f>
        <v>Alta</v>
      </c>
      <c r="H9" s="107">
        <v>1</v>
      </c>
      <c r="I9" s="72">
        <f t="shared" si="1"/>
        <v>0.2</v>
      </c>
      <c r="J9" s="65" t="str">
        <f t="shared" si="2"/>
        <v>Muy baja</v>
      </c>
      <c r="K9" s="73">
        <f>4000000</f>
        <v>4000000</v>
      </c>
      <c r="L9" s="67">
        <v>1300000</v>
      </c>
      <c r="M9" s="26">
        <f t="shared" si="0"/>
        <v>3.0769230769230771</v>
      </c>
      <c r="N9" s="75">
        <f t="shared" si="3"/>
        <v>1</v>
      </c>
      <c r="O9" s="77" t="s">
        <v>82</v>
      </c>
      <c r="P9" s="78">
        <f t="shared" si="4"/>
        <v>0.3</v>
      </c>
      <c r="Q9" s="77" t="s">
        <v>68</v>
      </c>
      <c r="R9" s="76">
        <f t="shared" si="5"/>
        <v>0.1</v>
      </c>
      <c r="S9" s="30">
        <f t="shared" si="6"/>
        <v>0.4</v>
      </c>
      <c r="T9" s="62">
        <f t="shared" si="7"/>
        <v>1</v>
      </c>
      <c r="U9" s="63" t="str">
        <f t="shared" si="8"/>
        <v>Mayor</v>
      </c>
      <c r="V9" s="31" t="str">
        <f t="shared" si="9"/>
        <v>Muy baja Mayor</v>
      </c>
      <c r="W9" s="88" t="str">
        <f t="shared" si="10"/>
        <v>Crítica</v>
      </c>
    </row>
    <row r="10" spans="1:23" s="8" customFormat="1" ht="60" customHeight="1" x14ac:dyDescent="0.3">
      <c r="A10" s="21">
        <v>7</v>
      </c>
      <c r="B10" s="11" t="s">
        <v>176</v>
      </c>
      <c r="C10" s="11" t="s">
        <v>25</v>
      </c>
      <c r="D10" s="69" t="s">
        <v>32</v>
      </c>
      <c r="E10" s="110" t="s">
        <v>160</v>
      </c>
      <c r="F10" s="108" t="s">
        <v>164</v>
      </c>
      <c r="G10" s="143" t="str">
        <f>ACTV!V10</f>
        <v>Alta</v>
      </c>
      <c r="H10" s="107"/>
      <c r="I10" s="72">
        <f t="shared" si="1"/>
        <v>0.2</v>
      </c>
      <c r="J10" s="65" t="str">
        <f t="shared" si="2"/>
        <v>Muy baja</v>
      </c>
      <c r="K10" s="73">
        <v>250000</v>
      </c>
      <c r="L10" s="67">
        <v>1300000</v>
      </c>
      <c r="M10" s="26">
        <f t="shared" si="0"/>
        <v>0.19230769230769232</v>
      </c>
      <c r="N10" s="75">
        <f t="shared" si="3"/>
        <v>0.4</v>
      </c>
      <c r="O10" s="77" t="s">
        <v>67</v>
      </c>
      <c r="P10" s="78">
        <f t="shared" si="4"/>
        <v>0.1</v>
      </c>
      <c r="Q10" s="77" t="s">
        <v>75</v>
      </c>
      <c r="R10" s="76">
        <f t="shared" si="5"/>
        <v>0.5</v>
      </c>
      <c r="S10" s="30">
        <f t="shared" si="6"/>
        <v>0.6</v>
      </c>
      <c r="T10" s="62">
        <f t="shared" si="7"/>
        <v>0.6</v>
      </c>
      <c r="U10" s="63" t="str">
        <f t="shared" si="8"/>
        <v>Moderado</v>
      </c>
      <c r="V10" s="31" t="str">
        <f t="shared" si="9"/>
        <v>Muy baja Moderado</v>
      </c>
      <c r="W10" s="88" t="str">
        <f t="shared" si="10"/>
        <v>Media</v>
      </c>
    </row>
    <row r="11" spans="1:23" s="8" customFormat="1" ht="60" customHeight="1" x14ac:dyDescent="0.3">
      <c r="A11" s="21">
        <v>8</v>
      </c>
      <c r="B11" s="11" t="s">
        <v>177</v>
      </c>
      <c r="C11" s="11" t="s">
        <v>43</v>
      </c>
      <c r="D11" s="69" t="s">
        <v>33</v>
      </c>
      <c r="E11" s="110" t="s">
        <v>162</v>
      </c>
      <c r="F11" s="108"/>
      <c r="G11" s="143" t="str">
        <f>ACTV!V11</f>
        <v>Crítica</v>
      </c>
      <c r="H11" s="107">
        <v>3</v>
      </c>
      <c r="I11" s="72">
        <f t="shared" si="1"/>
        <v>0.2</v>
      </c>
      <c r="J11" s="65" t="str">
        <f t="shared" si="2"/>
        <v>Muy baja</v>
      </c>
      <c r="K11" s="73">
        <v>2000000</v>
      </c>
      <c r="L11" s="67">
        <v>1300000</v>
      </c>
      <c r="M11" s="26">
        <f t="shared" si="0"/>
        <v>1.5384615384615385</v>
      </c>
      <c r="N11" s="75">
        <f t="shared" si="3"/>
        <v>1</v>
      </c>
      <c r="O11" s="77" t="s">
        <v>82</v>
      </c>
      <c r="P11" s="78">
        <f t="shared" si="4"/>
        <v>0.3</v>
      </c>
      <c r="Q11" s="77" t="s">
        <v>68</v>
      </c>
      <c r="R11" s="76">
        <f t="shared" si="5"/>
        <v>0.1</v>
      </c>
      <c r="S11" s="30">
        <f t="shared" si="6"/>
        <v>0.4</v>
      </c>
      <c r="T11" s="62">
        <f t="shared" si="7"/>
        <v>1</v>
      </c>
      <c r="U11" s="63" t="str">
        <f t="shared" si="8"/>
        <v>Mayor</v>
      </c>
      <c r="V11" s="31" t="str">
        <f t="shared" si="9"/>
        <v>Muy baja Mayor</v>
      </c>
      <c r="W11" s="88" t="str">
        <f t="shared" si="10"/>
        <v>Crítica</v>
      </c>
    </row>
    <row r="12" spans="1:23" s="8" customFormat="1" ht="60" customHeight="1" x14ac:dyDescent="0.3">
      <c r="A12" s="21">
        <v>9</v>
      </c>
      <c r="B12" s="11" t="s">
        <v>7</v>
      </c>
      <c r="C12" s="11" t="s">
        <v>43</v>
      </c>
      <c r="D12" s="69" t="s">
        <v>213</v>
      </c>
      <c r="E12" s="110" t="s">
        <v>161</v>
      </c>
      <c r="F12" s="108" t="s">
        <v>165</v>
      </c>
      <c r="G12" s="143" t="str">
        <f>ACTV!V12</f>
        <v>Crítica</v>
      </c>
      <c r="H12" s="145">
        <v>12</v>
      </c>
      <c r="I12" s="72">
        <f t="shared" si="1"/>
        <v>0.4</v>
      </c>
      <c r="J12" s="65" t="str">
        <f t="shared" si="2"/>
        <v>Baja</v>
      </c>
      <c r="K12" s="146">
        <v>1300000</v>
      </c>
      <c r="L12" s="67">
        <v>1300000</v>
      </c>
      <c r="M12" s="26">
        <f t="shared" si="0"/>
        <v>1</v>
      </c>
      <c r="N12" s="75">
        <f t="shared" si="3"/>
        <v>1</v>
      </c>
      <c r="O12" s="77" t="s">
        <v>67</v>
      </c>
      <c r="P12" s="78">
        <f t="shared" si="4"/>
        <v>0.1</v>
      </c>
      <c r="Q12" s="77" t="s">
        <v>75</v>
      </c>
      <c r="R12" s="76">
        <f t="shared" si="5"/>
        <v>0.5</v>
      </c>
      <c r="S12" s="30">
        <f t="shared" si="6"/>
        <v>0.6</v>
      </c>
      <c r="T12" s="62">
        <f t="shared" si="7"/>
        <v>1</v>
      </c>
      <c r="U12" s="63" t="str">
        <f t="shared" si="8"/>
        <v>Mayor</v>
      </c>
      <c r="V12" s="31" t="str">
        <f t="shared" si="9"/>
        <v>Baja Mayor</v>
      </c>
      <c r="W12" s="88" t="str">
        <f t="shared" si="10"/>
        <v>Crítica</v>
      </c>
    </row>
    <row r="13" spans="1:23" s="8" customFormat="1" ht="60" customHeight="1" x14ac:dyDescent="0.3">
      <c r="A13" s="111">
        <v>10</v>
      </c>
      <c r="B13" s="11" t="s">
        <v>178</v>
      </c>
      <c r="C13" s="11" t="s">
        <v>43</v>
      </c>
      <c r="D13" s="69" t="s">
        <v>179</v>
      </c>
      <c r="E13" s="110" t="s">
        <v>160</v>
      </c>
      <c r="F13" s="108" t="s">
        <v>172</v>
      </c>
      <c r="G13" s="143" t="str">
        <f>ACTV!V13</f>
        <v>Crítica</v>
      </c>
      <c r="H13" s="107"/>
      <c r="I13" s="72">
        <f t="shared" si="1"/>
        <v>0.2</v>
      </c>
      <c r="J13" s="65" t="str">
        <f t="shared" si="2"/>
        <v>Muy baja</v>
      </c>
      <c r="K13" s="73">
        <v>250000</v>
      </c>
      <c r="L13" s="67">
        <v>1300000</v>
      </c>
      <c r="M13" s="26">
        <f t="shared" si="0"/>
        <v>0.19230769230769232</v>
      </c>
      <c r="N13" s="75">
        <f t="shared" si="3"/>
        <v>0.4</v>
      </c>
      <c r="O13" s="77" t="s">
        <v>67</v>
      </c>
      <c r="P13" s="78">
        <f t="shared" si="4"/>
        <v>0.1</v>
      </c>
      <c r="Q13" s="77" t="s">
        <v>75</v>
      </c>
      <c r="R13" s="76">
        <f t="shared" si="5"/>
        <v>0.5</v>
      </c>
      <c r="S13" s="30">
        <f t="shared" si="6"/>
        <v>0.6</v>
      </c>
      <c r="T13" s="62">
        <f t="shared" si="7"/>
        <v>0.6</v>
      </c>
      <c r="U13" s="63" t="str">
        <f t="shared" si="8"/>
        <v>Moderado</v>
      </c>
      <c r="V13" s="31" t="str">
        <f t="shared" si="9"/>
        <v>Muy baja Moderado</v>
      </c>
      <c r="W13" s="88" t="str">
        <f t="shared" si="10"/>
        <v>Media</v>
      </c>
    </row>
    <row r="14" spans="1:23" s="8" customFormat="1" ht="60" customHeight="1" x14ac:dyDescent="0.3">
      <c r="A14" s="21">
        <v>11</v>
      </c>
      <c r="B14" s="11" t="s">
        <v>8</v>
      </c>
      <c r="C14" s="11" t="s">
        <v>43</v>
      </c>
      <c r="D14" s="69" t="s">
        <v>34</v>
      </c>
      <c r="E14" s="110" t="s">
        <v>162</v>
      </c>
      <c r="F14" s="108"/>
      <c r="G14" s="143" t="str">
        <f>ACTV!V14</f>
        <v>Alta</v>
      </c>
      <c r="H14" s="107">
        <v>1</v>
      </c>
      <c r="I14" s="72">
        <f t="shared" si="1"/>
        <v>0.2</v>
      </c>
      <c r="J14" s="65" t="str">
        <f t="shared" si="2"/>
        <v>Muy baja</v>
      </c>
      <c r="K14" s="73">
        <v>1500000</v>
      </c>
      <c r="L14" s="67">
        <v>1300000</v>
      </c>
      <c r="M14" s="26">
        <f t="shared" si="0"/>
        <v>1.1538461538461537</v>
      </c>
      <c r="N14" s="75">
        <f t="shared" si="3"/>
        <v>1</v>
      </c>
      <c r="O14" s="77" t="s">
        <v>72</v>
      </c>
      <c r="P14" s="78">
        <f t="shared" si="4"/>
        <v>0.4</v>
      </c>
      <c r="Q14" s="77" t="s">
        <v>68</v>
      </c>
      <c r="R14" s="76">
        <f t="shared" si="5"/>
        <v>0.1</v>
      </c>
      <c r="S14" s="30">
        <f t="shared" si="6"/>
        <v>0.5</v>
      </c>
      <c r="T14" s="62">
        <f t="shared" si="7"/>
        <v>1</v>
      </c>
      <c r="U14" s="63" t="str">
        <f t="shared" si="8"/>
        <v>Mayor</v>
      </c>
      <c r="V14" s="31" t="str">
        <f t="shared" si="9"/>
        <v>Muy baja Mayor</v>
      </c>
      <c r="W14" s="88" t="str">
        <f t="shared" si="10"/>
        <v>Crítica</v>
      </c>
    </row>
    <row r="15" spans="1:23" s="8" customFormat="1" ht="60" customHeight="1" x14ac:dyDescent="0.3">
      <c r="A15" s="21">
        <v>12</v>
      </c>
      <c r="B15" s="11" t="s">
        <v>9</v>
      </c>
      <c r="C15" s="11" t="s">
        <v>25</v>
      </c>
      <c r="D15" s="69" t="s">
        <v>35</v>
      </c>
      <c r="E15" s="110" t="s">
        <v>160</v>
      </c>
      <c r="F15" s="108" t="s">
        <v>166</v>
      </c>
      <c r="G15" s="143" t="str">
        <f>ACTV!V15</f>
        <v>Media</v>
      </c>
      <c r="H15" s="107"/>
      <c r="I15" s="72">
        <f t="shared" si="1"/>
        <v>0.2</v>
      </c>
      <c r="J15" s="65" t="str">
        <f t="shared" si="2"/>
        <v>Muy baja</v>
      </c>
      <c r="K15" s="73">
        <v>250000</v>
      </c>
      <c r="L15" s="67">
        <v>1300000</v>
      </c>
      <c r="M15" s="26">
        <f t="shared" si="0"/>
        <v>0.19230769230769232</v>
      </c>
      <c r="N15" s="75">
        <f t="shared" si="3"/>
        <v>0.4</v>
      </c>
      <c r="O15" s="77" t="s">
        <v>67</v>
      </c>
      <c r="P15" s="78">
        <f t="shared" si="4"/>
        <v>0.1</v>
      </c>
      <c r="Q15" s="77" t="s">
        <v>75</v>
      </c>
      <c r="R15" s="76">
        <f t="shared" si="5"/>
        <v>0.5</v>
      </c>
      <c r="S15" s="30">
        <f t="shared" si="6"/>
        <v>0.6</v>
      </c>
      <c r="T15" s="62">
        <f t="shared" si="7"/>
        <v>0.6</v>
      </c>
      <c r="U15" s="63" t="str">
        <f t="shared" si="8"/>
        <v>Moderado</v>
      </c>
      <c r="V15" s="31" t="str">
        <f t="shared" si="9"/>
        <v>Muy baja Moderado</v>
      </c>
      <c r="W15" s="88" t="str">
        <f t="shared" si="10"/>
        <v>Media</v>
      </c>
    </row>
    <row r="16" spans="1:23" s="8" customFormat="1" ht="60" customHeight="1" x14ac:dyDescent="0.3">
      <c r="A16" s="21">
        <v>13</v>
      </c>
      <c r="B16" s="11" t="s">
        <v>180</v>
      </c>
      <c r="C16" s="11" t="s">
        <v>25</v>
      </c>
      <c r="D16" s="69" t="s">
        <v>181</v>
      </c>
      <c r="E16" s="110" t="s">
        <v>161</v>
      </c>
      <c r="F16" s="109" t="s">
        <v>167</v>
      </c>
      <c r="G16" s="143" t="str">
        <f>ACTV!V16</f>
        <v>Alta</v>
      </c>
      <c r="H16" s="145">
        <v>12</v>
      </c>
      <c r="I16" s="72">
        <f t="shared" si="1"/>
        <v>0.4</v>
      </c>
      <c r="J16" s="65" t="str">
        <f t="shared" si="2"/>
        <v>Baja</v>
      </c>
      <c r="K16" s="146">
        <v>600000</v>
      </c>
      <c r="L16" s="67">
        <v>1300000</v>
      </c>
      <c r="M16" s="26">
        <f t="shared" si="0"/>
        <v>0.46153846153846156</v>
      </c>
      <c r="N16" s="75">
        <f t="shared" si="3"/>
        <v>0.8</v>
      </c>
      <c r="O16" s="77" t="s">
        <v>67</v>
      </c>
      <c r="P16" s="78">
        <f t="shared" si="4"/>
        <v>0.1</v>
      </c>
      <c r="Q16" s="77" t="s">
        <v>75</v>
      </c>
      <c r="R16" s="76">
        <f t="shared" si="5"/>
        <v>0.5</v>
      </c>
      <c r="S16" s="30">
        <f t="shared" si="6"/>
        <v>0.6</v>
      </c>
      <c r="T16" s="62">
        <f t="shared" si="7"/>
        <v>0.8</v>
      </c>
      <c r="U16" s="63" t="str">
        <f t="shared" si="8"/>
        <v>Importante</v>
      </c>
      <c r="V16" s="31" t="str">
        <f t="shared" si="9"/>
        <v>Baja Importante</v>
      </c>
      <c r="W16" s="88" t="str">
        <f t="shared" si="10"/>
        <v>Alta</v>
      </c>
    </row>
    <row r="17" spans="1:23" s="8" customFormat="1" ht="60" customHeight="1" x14ac:dyDescent="0.3">
      <c r="A17" s="21">
        <v>14</v>
      </c>
      <c r="B17" s="11" t="s">
        <v>11</v>
      </c>
      <c r="C17" s="156" t="s">
        <v>43</v>
      </c>
      <c r="D17" s="158" t="s">
        <v>182</v>
      </c>
      <c r="E17" s="110" t="s">
        <v>162</v>
      </c>
      <c r="F17" s="108"/>
      <c r="G17" s="143" t="str">
        <f>ACTV!V17</f>
        <v>Crítica</v>
      </c>
      <c r="H17" s="107"/>
      <c r="I17" s="72">
        <f t="shared" si="1"/>
        <v>0.2</v>
      </c>
      <c r="J17" s="65" t="str">
        <f t="shared" si="2"/>
        <v>Muy baja</v>
      </c>
      <c r="K17" s="73">
        <v>250000</v>
      </c>
      <c r="L17" s="67">
        <v>1300000</v>
      </c>
      <c r="M17" s="26">
        <f t="shared" si="0"/>
        <v>0.19230769230769232</v>
      </c>
      <c r="N17" s="75">
        <f t="shared" si="3"/>
        <v>0.4</v>
      </c>
      <c r="O17" s="77" t="s">
        <v>67</v>
      </c>
      <c r="P17" s="78">
        <f t="shared" si="4"/>
        <v>0.1</v>
      </c>
      <c r="Q17" s="77" t="s">
        <v>75</v>
      </c>
      <c r="R17" s="76">
        <f t="shared" si="5"/>
        <v>0.5</v>
      </c>
      <c r="S17" s="30">
        <f t="shared" si="6"/>
        <v>0.6</v>
      </c>
      <c r="T17" s="62">
        <f t="shared" si="7"/>
        <v>0.6</v>
      </c>
      <c r="U17" s="63" t="str">
        <f t="shared" si="8"/>
        <v>Moderado</v>
      </c>
      <c r="V17" s="31" t="str">
        <f t="shared" si="9"/>
        <v>Muy baja Moderado</v>
      </c>
      <c r="W17" s="88" t="str">
        <f t="shared" si="10"/>
        <v>Media</v>
      </c>
    </row>
    <row r="18" spans="1:23" s="8" customFormat="1" ht="60" customHeight="1" x14ac:dyDescent="0.3">
      <c r="A18" s="21">
        <v>15</v>
      </c>
      <c r="B18" s="11" t="s">
        <v>10</v>
      </c>
      <c r="C18" s="157"/>
      <c r="D18" s="159"/>
      <c r="E18" s="110" t="s">
        <v>161</v>
      </c>
      <c r="F18" s="108" t="s">
        <v>172</v>
      </c>
      <c r="G18" s="143" t="str">
        <f>ACTV!V18</f>
        <v>Crítica</v>
      </c>
      <c r="H18" s="145">
        <v>12</v>
      </c>
      <c r="I18" s="72">
        <f t="shared" si="1"/>
        <v>0.4</v>
      </c>
      <c r="J18" s="65" t="str">
        <f t="shared" si="2"/>
        <v>Baja</v>
      </c>
      <c r="K18" s="73">
        <v>4000000</v>
      </c>
      <c r="L18" s="67">
        <v>1423500</v>
      </c>
      <c r="M18" s="26">
        <f t="shared" si="0"/>
        <v>2.8099754127151386</v>
      </c>
      <c r="N18" s="75">
        <f t="shared" si="3"/>
        <v>1</v>
      </c>
      <c r="O18" s="77" t="s">
        <v>69</v>
      </c>
      <c r="P18" s="78">
        <f t="shared" si="4"/>
        <v>0.2</v>
      </c>
      <c r="Q18" s="77" t="s">
        <v>68</v>
      </c>
      <c r="R18" s="76">
        <f t="shared" si="5"/>
        <v>0.1</v>
      </c>
      <c r="S18" s="30">
        <f t="shared" si="6"/>
        <v>0.30000000000000004</v>
      </c>
      <c r="T18" s="62">
        <f t="shared" si="7"/>
        <v>1</v>
      </c>
      <c r="U18" s="63" t="str">
        <f t="shared" si="8"/>
        <v>Mayor</v>
      </c>
      <c r="V18" s="31" t="str">
        <f t="shared" si="9"/>
        <v>Baja Mayor</v>
      </c>
      <c r="W18" s="88" t="str">
        <f t="shared" si="10"/>
        <v>Crítica</v>
      </c>
    </row>
    <row r="19" spans="1:23" s="8" customFormat="1" ht="60" customHeight="1" x14ac:dyDescent="0.3">
      <c r="A19" s="21">
        <v>16</v>
      </c>
      <c r="B19" s="11" t="s">
        <v>184</v>
      </c>
      <c r="C19" s="112" t="s">
        <v>43</v>
      </c>
      <c r="D19" s="113" t="s">
        <v>183</v>
      </c>
      <c r="E19" s="110" t="s">
        <v>160</v>
      </c>
      <c r="F19" s="109" t="s">
        <v>185</v>
      </c>
      <c r="G19" s="143" t="str">
        <f>ACTV!V19</f>
        <v>Media</v>
      </c>
      <c r="H19" s="107"/>
      <c r="I19" s="72">
        <f t="shared" si="1"/>
        <v>0.2</v>
      </c>
      <c r="J19" s="65" t="str">
        <f t="shared" si="2"/>
        <v>Muy baja</v>
      </c>
      <c r="K19" s="73">
        <v>250000</v>
      </c>
      <c r="L19" s="67">
        <v>1300000</v>
      </c>
      <c r="M19" s="26">
        <f t="shared" si="0"/>
        <v>0.19230769230769232</v>
      </c>
      <c r="N19" s="75">
        <f t="shared" si="3"/>
        <v>0.4</v>
      </c>
      <c r="O19" s="77" t="s">
        <v>67</v>
      </c>
      <c r="P19" s="78">
        <f t="shared" si="4"/>
        <v>0.1</v>
      </c>
      <c r="Q19" s="77" t="s">
        <v>75</v>
      </c>
      <c r="R19" s="76">
        <f t="shared" si="5"/>
        <v>0.5</v>
      </c>
      <c r="S19" s="30">
        <f t="shared" si="6"/>
        <v>0.6</v>
      </c>
      <c r="T19" s="62">
        <f t="shared" si="7"/>
        <v>0.6</v>
      </c>
      <c r="U19" s="63" t="str">
        <f t="shared" si="8"/>
        <v>Moderado</v>
      </c>
      <c r="V19" s="31" t="str">
        <f t="shared" si="9"/>
        <v>Muy baja Moderado</v>
      </c>
      <c r="W19" s="88" t="str">
        <f t="shared" si="10"/>
        <v>Media</v>
      </c>
    </row>
    <row r="20" spans="1:23" s="8" customFormat="1" ht="60" customHeight="1" x14ac:dyDescent="0.3">
      <c r="A20" s="21">
        <v>17</v>
      </c>
      <c r="B20" s="11" t="s">
        <v>186</v>
      </c>
      <c r="C20" s="11" t="s">
        <v>25</v>
      </c>
      <c r="D20" s="69" t="s">
        <v>36</v>
      </c>
      <c r="E20" s="110" t="s">
        <v>162</v>
      </c>
      <c r="F20" s="108"/>
      <c r="G20" s="143" t="str">
        <f>ACTV!V20</f>
        <v>Alta</v>
      </c>
      <c r="H20" s="107">
        <v>1</v>
      </c>
      <c r="I20" s="72">
        <f t="shared" si="1"/>
        <v>0.2</v>
      </c>
      <c r="J20" s="65" t="str">
        <f t="shared" si="2"/>
        <v>Muy baja</v>
      </c>
      <c r="K20" s="73">
        <v>7000000</v>
      </c>
      <c r="L20" s="67">
        <v>1423500</v>
      </c>
      <c r="M20" s="26">
        <f t="shared" si="0"/>
        <v>4.9174569722514931</v>
      </c>
      <c r="N20" s="75">
        <f t="shared" si="3"/>
        <v>1</v>
      </c>
      <c r="O20" s="77" t="s">
        <v>72</v>
      </c>
      <c r="P20" s="78">
        <f t="shared" si="4"/>
        <v>0.4</v>
      </c>
      <c r="Q20" s="77" t="s">
        <v>68</v>
      </c>
      <c r="R20" s="76">
        <f t="shared" si="5"/>
        <v>0.1</v>
      </c>
      <c r="S20" s="30">
        <f t="shared" si="6"/>
        <v>0.5</v>
      </c>
      <c r="T20" s="62">
        <f t="shared" si="7"/>
        <v>1</v>
      </c>
      <c r="U20" s="63" t="str">
        <f t="shared" si="8"/>
        <v>Mayor</v>
      </c>
      <c r="V20" s="31" t="str">
        <f t="shared" si="9"/>
        <v>Muy baja Mayor</v>
      </c>
      <c r="W20" s="88" t="str">
        <f t="shared" si="10"/>
        <v>Crítica</v>
      </c>
    </row>
    <row r="21" spans="1:23" s="8" customFormat="1" ht="60" customHeight="1" x14ac:dyDescent="0.3">
      <c r="A21" s="21">
        <v>18</v>
      </c>
      <c r="B21" s="11" t="s">
        <v>187</v>
      </c>
      <c r="C21" s="11" t="s">
        <v>43</v>
      </c>
      <c r="D21" s="69" t="s">
        <v>37</v>
      </c>
      <c r="E21" s="110" t="s">
        <v>162</v>
      </c>
      <c r="F21" s="108"/>
      <c r="G21" s="143" t="str">
        <f>ACTV!V21</f>
        <v>Crítica</v>
      </c>
      <c r="H21" s="107">
        <v>4</v>
      </c>
      <c r="I21" s="72">
        <f t="shared" si="1"/>
        <v>0.2</v>
      </c>
      <c r="J21" s="65" t="str">
        <f t="shared" si="2"/>
        <v>Muy baja</v>
      </c>
      <c r="K21" s="73">
        <v>7000000</v>
      </c>
      <c r="L21" s="67">
        <v>1423500</v>
      </c>
      <c r="M21" s="26">
        <f t="shared" si="0"/>
        <v>4.9174569722514931</v>
      </c>
      <c r="N21" s="75">
        <f t="shared" si="3"/>
        <v>1</v>
      </c>
      <c r="O21" s="77" t="s">
        <v>74</v>
      </c>
      <c r="P21" s="78">
        <f t="shared" si="4"/>
        <v>0.5</v>
      </c>
      <c r="Q21" s="77" t="s">
        <v>70</v>
      </c>
      <c r="R21" s="76">
        <f t="shared" si="5"/>
        <v>0.2</v>
      </c>
      <c r="S21" s="30">
        <f t="shared" si="6"/>
        <v>0.7</v>
      </c>
      <c r="T21" s="62">
        <f t="shared" si="7"/>
        <v>1</v>
      </c>
      <c r="U21" s="63" t="str">
        <f t="shared" si="8"/>
        <v>Mayor</v>
      </c>
      <c r="V21" s="31" t="str">
        <f t="shared" si="9"/>
        <v>Muy baja Mayor</v>
      </c>
      <c r="W21" s="88" t="str">
        <f t="shared" si="10"/>
        <v>Crítica</v>
      </c>
    </row>
    <row r="22" spans="1:23" s="8" customFormat="1" ht="60" customHeight="1" x14ac:dyDescent="0.3">
      <c r="A22" s="21">
        <v>19</v>
      </c>
      <c r="B22" s="11" t="s">
        <v>12</v>
      </c>
      <c r="C22" s="11" t="s">
        <v>44</v>
      </c>
      <c r="D22" s="69" t="s">
        <v>188</v>
      </c>
      <c r="E22" s="110" t="s">
        <v>162</v>
      </c>
      <c r="F22" s="108"/>
      <c r="G22" s="143" t="str">
        <f>ACTV!V22</f>
        <v>Alta</v>
      </c>
      <c r="H22" s="107">
        <v>40</v>
      </c>
      <c r="I22" s="72">
        <f t="shared" si="1"/>
        <v>0.6</v>
      </c>
      <c r="J22" s="65" t="str">
        <f t="shared" si="2"/>
        <v>Media</v>
      </c>
      <c r="K22" s="73">
        <v>5000000</v>
      </c>
      <c r="L22" s="67">
        <v>1300000</v>
      </c>
      <c r="M22" s="26">
        <f t="shared" si="0"/>
        <v>3.8461538461538463</v>
      </c>
      <c r="N22" s="75">
        <f t="shared" si="3"/>
        <v>1</v>
      </c>
      <c r="O22" s="77" t="s">
        <v>82</v>
      </c>
      <c r="P22" s="78">
        <f t="shared" si="4"/>
        <v>0.3</v>
      </c>
      <c r="Q22" s="77" t="s">
        <v>68</v>
      </c>
      <c r="R22" s="76">
        <f t="shared" si="5"/>
        <v>0.1</v>
      </c>
      <c r="S22" s="30">
        <f t="shared" si="6"/>
        <v>0.4</v>
      </c>
      <c r="T22" s="62">
        <f t="shared" si="7"/>
        <v>1</v>
      </c>
      <c r="U22" s="63" t="str">
        <f t="shared" si="8"/>
        <v>Mayor</v>
      </c>
      <c r="V22" s="31" t="str">
        <f t="shared" si="9"/>
        <v>Media Mayor</v>
      </c>
      <c r="W22" s="88" t="str">
        <f t="shared" si="10"/>
        <v>Crítica</v>
      </c>
    </row>
    <row r="23" spans="1:23" s="8" customFormat="1" ht="60" customHeight="1" x14ac:dyDescent="0.3">
      <c r="A23" s="21">
        <v>20</v>
      </c>
      <c r="B23" s="11" t="s">
        <v>13</v>
      </c>
      <c r="C23" s="11" t="s">
        <v>44</v>
      </c>
      <c r="D23" s="69" t="s">
        <v>189</v>
      </c>
      <c r="E23" s="110" t="s">
        <v>162</v>
      </c>
      <c r="F23" s="108"/>
      <c r="G23" s="143" t="str">
        <f>ACTV!V23</f>
        <v>Alta</v>
      </c>
      <c r="H23" s="107">
        <v>15</v>
      </c>
      <c r="I23" s="72">
        <f t="shared" si="1"/>
        <v>0.6</v>
      </c>
      <c r="J23" s="65" t="str">
        <f t="shared" si="2"/>
        <v>Media</v>
      </c>
      <c r="K23" s="73">
        <v>5000000</v>
      </c>
      <c r="L23" s="67">
        <v>1300000</v>
      </c>
      <c r="M23" s="26">
        <f t="shared" si="0"/>
        <v>3.8461538461538463</v>
      </c>
      <c r="N23" s="75">
        <f t="shared" si="3"/>
        <v>1</v>
      </c>
      <c r="O23" s="77" t="s">
        <v>72</v>
      </c>
      <c r="P23" s="78">
        <f t="shared" si="4"/>
        <v>0.4</v>
      </c>
      <c r="Q23" s="77" t="s">
        <v>70</v>
      </c>
      <c r="R23" s="76">
        <f t="shared" si="5"/>
        <v>0.2</v>
      </c>
      <c r="S23" s="30">
        <f t="shared" si="6"/>
        <v>0.60000000000000009</v>
      </c>
      <c r="T23" s="62">
        <f t="shared" si="7"/>
        <v>1</v>
      </c>
      <c r="U23" s="63" t="str">
        <f t="shared" si="8"/>
        <v>Mayor</v>
      </c>
      <c r="V23" s="31" t="str">
        <f t="shared" si="9"/>
        <v>Media Mayor</v>
      </c>
      <c r="W23" s="88" t="str">
        <f t="shared" si="10"/>
        <v>Crítica</v>
      </c>
    </row>
    <row r="24" spans="1:23" s="8" customFormat="1" ht="60" customHeight="1" x14ac:dyDescent="0.3">
      <c r="A24" s="21">
        <v>21</v>
      </c>
      <c r="B24" s="11" t="s">
        <v>191</v>
      </c>
      <c r="C24" s="11" t="s">
        <v>25</v>
      </c>
      <c r="D24" s="69" t="s">
        <v>190</v>
      </c>
      <c r="E24" s="110" t="s">
        <v>162</v>
      </c>
      <c r="F24" s="108"/>
      <c r="G24" s="143" t="str">
        <f>ACTV!V24</f>
        <v>Alta</v>
      </c>
      <c r="H24" s="107">
        <v>8</v>
      </c>
      <c r="I24" s="72">
        <f t="shared" si="1"/>
        <v>0.4</v>
      </c>
      <c r="J24" s="65" t="str">
        <f t="shared" si="2"/>
        <v>Baja</v>
      </c>
      <c r="K24" s="73">
        <v>5000000</v>
      </c>
      <c r="L24" s="67">
        <v>1423500</v>
      </c>
      <c r="M24" s="26">
        <f t="shared" si="0"/>
        <v>3.5124692658939236</v>
      </c>
      <c r="N24" s="75">
        <f t="shared" si="3"/>
        <v>1</v>
      </c>
      <c r="O24" s="77" t="s">
        <v>72</v>
      </c>
      <c r="P24" s="78">
        <f t="shared" si="4"/>
        <v>0.4</v>
      </c>
      <c r="Q24" s="77" t="s">
        <v>68</v>
      </c>
      <c r="R24" s="76">
        <f t="shared" si="5"/>
        <v>0.1</v>
      </c>
      <c r="S24" s="30">
        <f t="shared" si="6"/>
        <v>0.5</v>
      </c>
      <c r="T24" s="62">
        <f t="shared" si="7"/>
        <v>1</v>
      </c>
      <c r="U24" s="63" t="str">
        <f t="shared" si="8"/>
        <v>Mayor</v>
      </c>
      <c r="V24" s="31" t="str">
        <f t="shared" si="9"/>
        <v>Baja Mayor</v>
      </c>
      <c r="W24" s="88" t="str">
        <f t="shared" si="10"/>
        <v>Crítica</v>
      </c>
    </row>
    <row r="25" spans="1:23" s="8" customFormat="1" ht="60" customHeight="1" x14ac:dyDescent="0.3">
      <c r="A25" s="21">
        <v>22</v>
      </c>
      <c r="B25" s="11" t="s">
        <v>14</v>
      </c>
      <c r="C25" s="11" t="s">
        <v>25</v>
      </c>
      <c r="D25" s="69" t="s">
        <v>38</v>
      </c>
      <c r="E25" s="110" t="s">
        <v>162</v>
      </c>
      <c r="F25" s="108"/>
      <c r="G25" s="143" t="str">
        <f>ACTV!V25</f>
        <v>Alta</v>
      </c>
      <c r="H25" s="107">
        <v>40</v>
      </c>
      <c r="I25" s="72">
        <f t="shared" si="1"/>
        <v>0.6</v>
      </c>
      <c r="J25" s="65" t="str">
        <f t="shared" si="2"/>
        <v>Media</v>
      </c>
      <c r="K25" s="73">
        <v>7000000</v>
      </c>
      <c r="L25" s="67">
        <v>1300000</v>
      </c>
      <c r="M25" s="26">
        <f t="shared" si="0"/>
        <v>5.384615384615385</v>
      </c>
      <c r="N25" s="75">
        <f t="shared" si="3"/>
        <v>1</v>
      </c>
      <c r="O25" s="77" t="s">
        <v>74</v>
      </c>
      <c r="P25" s="78">
        <f t="shared" si="4"/>
        <v>0.5</v>
      </c>
      <c r="Q25" s="77" t="s">
        <v>70</v>
      </c>
      <c r="R25" s="76">
        <f t="shared" si="5"/>
        <v>0.2</v>
      </c>
      <c r="S25" s="30">
        <f t="shared" si="6"/>
        <v>0.7</v>
      </c>
      <c r="T25" s="62">
        <f t="shared" si="7"/>
        <v>1</v>
      </c>
      <c r="U25" s="63" t="str">
        <f t="shared" si="8"/>
        <v>Mayor</v>
      </c>
      <c r="V25" s="31" t="str">
        <f t="shared" si="9"/>
        <v>Media Mayor</v>
      </c>
      <c r="W25" s="88" t="str">
        <f t="shared" si="10"/>
        <v>Crítica</v>
      </c>
    </row>
    <row r="26" spans="1:23" s="8" customFormat="1" ht="60" customHeight="1" x14ac:dyDescent="0.3">
      <c r="A26" s="21">
        <v>23</v>
      </c>
      <c r="B26" s="11" t="s">
        <v>15</v>
      </c>
      <c r="C26" s="11" t="s">
        <v>43</v>
      </c>
      <c r="D26" s="69" t="s">
        <v>39</v>
      </c>
      <c r="E26" s="110" t="s">
        <v>160</v>
      </c>
      <c r="F26" s="108" t="s">
        <v>168</v>
      </c>
      <c r="G26" s="143" t="str">
        <f>ACTV!V26</f>
        <v>Crítica</v>
      </c>
      <c r="H26" s="121">
        <v>12</v>
      </c>
      <c r="I26" s="72">
        <f t="shared" si="1"/>
        <v>0.4</v>
      </c>
      <c r="J26" s="65" t="str">
        <f t="shared" si="2"/>
        <v>Baja</v>
      </c>
      <c r="K26" s="73">
        <v>250000</v>
      </c>
      <c r="L26" s="67">
        <v>1423500</v>
      </c>
      <c r="M26" s="26">
        <f t="shared" si="0"/>
        <v>0.17562346329469616</v>
      </c>
      <c r="N26" s="75">
        <f t="shared" si="3"/>
        <v>0.4</v>
      </c>
      <c r="O26" s="77" t="s">
        <v>67</v>
      </c>
      <c r="P26" s="78">
        <f t="shared" si="4"/>
        <v>0.1</v>
      </c>
      <c r="Q26" s="77" t="s">
        <v>75</v>
      </c>
      <c r="R26" s="76">
        <f t="shared" si="5"/>
        <v>0.5</v>
      </c>
      <c r="S26" s="30">
        <f t="shared" si="6"/>
        <v>0.6</v>
      </c>
      <c r="T26" s="62">
        <f t="shared" si="7"/>
        <v>0.6</v>
      </c>
      <c r="U26" s="63" t="str">
        <f t="shared" si="8"/>
        <v>Moderado</v>
      </c>
      <c r="V26" s="31" t="str">
        <f t="shared" si="9"/>
        <v>Baja Moderado</v>
      </c>
      <c r="W26" s="88" t="str">
        <f t="shared" si="10"/>
        <v>Media</v>
      </c>
    </row>
    <row r="27" spans="1:23" s="8" customFormat="1" ht="60" customHeight="1" x14ac:dyDescent="0.3">
      <c r="A27" s="21">
        <v>24</v>
      </c>
      <c r="B27" s="11" t="s">
        <v>16</v>
      </c>
      <c r="C27" s="11" t="s">
        <v>43</v>
      </c>
      <c r="D27" s="69" t="s">
        <v>40</v>
      </c>
      <c r="E27" s="110" t="s">
        <v>161</v>
      </c>
      <c r="F27" s="108" t="s">
        <v>172</v>
      </c>
      <c r="G27" s="143" t="str">
        <f>ACTV!V27</f>
        <v>Crítica</v>
      </c>
      <c r="H27" s="145">
        <v>12</v>
      </c>
      <c r="I27" s="72">
        <f t="shared" si="1"/>
        <v>0.4</v>
      </c>
      <c r="J27" s="65" t="str">
        <f t="shared" si="2"/>
        <v>Baja</v>
      </c>
      <c r="K27" s="146">
        <v>1300000</v>
      </c>
      <c r="L27" s="67">
        <v>1423500</v>
      </c>
      <c r="M27" s="26">
        <f t="shared" si="0"/>
        <v>0.91324200913242004</v>
      </c>
      <c r="N27" s="75">
        <f t="shared" si="3"/>
        <v>1</v>
      </c>
      <c r="O27" s="77" t="s">
        <v>67</v>
      </c>
      <c r="P27" s="78">
        <f t="shared" si="4"/>
        <v>0.1</v>
      </c>
      <c r="Q27" s="77" t="s">
        <v>75</v>
      </c>
      <c r="R27" s="76">
        <f t="shared" si="5"/>
        <v>0.5</v>
      </c>
      <c r="S27" s="30">
        <f t="shared" si="6"/>
        <v>0.6</v>
      </c>
      <c r="T27" s="62">
        <f t="shared" si="7"/>
        <v>1</v>
      </c>
      <c r="U27" s="63" t="str">
        <f t="shared" si="8"/>
        <v>Mayor</v>
      </c>
      <c r="V27" s="31" t="str">
        <f t="shared" si="9"/>
        <v>Baja Mayor</v>
      </c>
      <c r="W27" s="88" t="str">
        <f t="shared" si="10"/>
        <v>Crítica</v>
      </c>
    </row>
    <row r="28" spans="1:23" s="8" customFormat="1" ht="60" customHeight="1" x14ac:dyDescent="0.3">
      <c r="A28" s="21">
        <v>25</v>
      </c>
      <c r="B28" s="11" t="s">
        <v>163</v>
      </c>
      <c r="C28" s="11" t="s">
        <v>43</v>
      </c>
      <c r="D28" s="69" t="s">
        <v>192</v>
      </c>
      <c r="E28" s="110" t="s">
        <v>162</v>
      </c>
      <c r="F28" s="108"/>
      <c r="G28" s="143" t="str">
        <f>ACTV!V28</f>
        <v>Crítica</v>
      </c>
      <c r="H28" s="107">
        <v>3</v>
      </c>
      <c r="I28" s="72">
        <f t="shared" si="1"/>
        <v>0.2</v>
      </c>
      <c r="J28" s="65" t="str">
        <f t="shared" si="2"/>
        <v>Muy baja</v>
      </c>
      <c r="K28" s="73">
        <v>5000000</v>
      </c>
      <c r="L28" s="67">
        <v>1423500</v>
      </c>
      <c r="M28" s="26">
        <f t="shared" si="0"/>
        <v>3.5124692658939236</v>
      </c>
      <c r="N28" s="75">
        <f t="shared" si="3"/>
        <v>1</v>
      </c>
      <c r="O28" s="77" t="s">
        <v>72</v>
      </c>
      <c r="P28" s="78">
        <f t="shared" si="4"/>
        <v>0.4</v>
      </c>
      <c r="Q28" s="77" t="s">
        <v>68</v>
      </c>
      <c r="R28" s="76">
        <f t="shared" si="5"/>
        <v>0.1</v>
      </c>
      <c r="S28" s="30">
        <f t="shared" si="6"/>
        <v>0.5</v>
      </c>
      <c r="T28" s="62">
        <f t="shared" si="7"/>
        <v>1</v>
      </c>
      <c r="U28" s="63" t="str">
        <f t="shared" si="8"/>
        <v>Mayor</v>
      </c>
      <c r="V28" s="31" t="str">
        <f t="shared" si="9"/>
        <v>Muy baja Mayor</v>
      </c>
      <c r="W28" s="88" t="str">
        <f t="shared" si="10"/>
        <v>Crítica</v>
      </c>
    </row>
    <row r="29" spans="1:23" s="8" customFormat="1" ht="66.599999999999994" customHeight="1" x14ac:dyDescent="0.3">
      <c r="A29" s="21">
        <v>26</v>
      </c>
      <c r="B29" s="11" t="s">
        <v>17</v>
      </c>
      <c r="C29" s="11" t="s">
        <v>25</v>
      </c>
      <c r="D29" s="69" t="s">
        <v>193</v>
      </c>
      <c r="E29" s="110" t="s">
        <v>162</v>
      </c>
      <c r="F29" s="108"/>
      <c r="G29" s="143">
        <f>ACTV!V29</f>
        <v>0</v>
      </c>
      <c r="H29" s="107">
        <v>40</v>
      </c>
      <c r="I29" s="72">
        <f t="shared" si="1"/>
        <v>0.6</v>
      </c>
      <c r="J29" s="65" t="str">
        <f t="shared" si="2"/>
        <v>Media</v>
      </c>
      <c r="K29" s="73">
        <v>3000000</v>
      </c>
      <c r="L29" s="67">
        <v>1300000</v>
      </c>
      <c r="M29" s="26">
        <f t="shared" si="0"/>
        <v>2.3076923076923075</v>
      </c>
      <c r="N29" s="75">
        <f t="shared" si="3"/>
        <v>1</v>
      </c>
      <c r="O29" s="77" t="s">
        <v>72</v>
      </c>
      <c r="P29" s="78">
        <f t="shared" si="4"/>
        <v>0.4</v>
      </c>
      <c r="Q29" s="77" t="s">
        <v>68</v>
      </c>
      <c r="R29" s="76">
        <f t="shared" si="5"/>
        <v>0.1</v>
      </c>
      <c r="S29" s="30">
        <f t="shared" si="6"/>
        <v>0.5</v>
      </c>
      <c r="T29" s="62">
        <f t="shared" si="7"/>
        <v>1</v>
      </c>
      <c r="U29" s="63" t="str">
        <f t="shared" si="8"/>
        <v>Mayor</v>
      </c>
      <c r="V29" s="31" t="str">
        <f t="shared" si="9"/>
        <v>Media Mayor</v>
      </c>
      <c r="W29" s="88" t="str">
        <f t="shared" si="10"/>
        <v>Crítica</v>
      </c>
    </row>
    <row r="30" spans="1:23" s="8" customFormat="1" ht="60" customHeight="1" x14ac:dyDescent="0.3">
      <c r="A30" s="21">
        <v>27</v>
      </c>
      <c r="B30" s="11" t="s">
        <v>18</v>
      </c>
      <c r="C30" s="11" t="s">
        <v>43</v>
      </c>
      <c r="D30" s="69" t="s">
        <v>41</v>
      </c>
      <c r="E30" s="110" t="s">
        <v>162</v>
      </c>
      <c r="F30" s="108"/>
      <c r="G30" s="143" t="str">
        <f>ACTV!V30</f>
        <v>Crítica</v>
      </c>
      <c r="H30" s="107">
        <v>12</v>
      </c>
      <c r="I30" s="72">
        <f t="shared" si="1"/>
        <v>0.4</v>
      </c>
      <c r="J30" s="65" t="str">
        <f t="shared" si="2"/>
        <v>Baja</v>
      </c>
      <c r="K30" s="73">
        <v>2000000</v>
      </c>
      <c r="L30" s="67">
        <v>1423500</v>
      </c>
      <c r="M30" s="26">
        <f t="shared" si="0"/>
        <v>1.4049877063575693</v>
      </c>
      <c r="N30" s="75">
        <f t="shared" si="3"/>
        <v>1</v>
      </c>
      <c r="O30" s="77" t="s">
        <v>72</v>
      </c>
      <c r="P30" s="78">
        <f t="shared" si="4"/>
        <v>0.4</v>
      </c>
      <c r="Q30" s="77" t="s">
        <v>68</v>
      </c>
      <c r="R30" s="76">
        <f t="shared" si="5"/>
        <v>0.1</v>
      </c>
      <c r="S30" s="30">
        <f t="shared" si="6"/>
        <v>0.5</v>
      </c>
      <c r="T30" s="62">
        <f t="shared" si="7"/>
        <v>1</v>
      </c>
      <c r="U30" s="63" t="str">
        <f t="shared" si="8"/>
        <v>Mayor</v>
      </c>
      <c r="V30" s="31" t="str">
        <f t="shared" si="9"/>
        <v>Baja Mayor</v>
      </c>
      <c r="W30" s="88" t="str">
        <f t="shared" si="10"/>
        <v>Crítica</v>
      </c>
    </row>
    <row r="31" spans="1:23" s="8" customFormat="1" ht="68.400000000000006" customHeight="1" x14ac:dyDescent="0.3">
      <c r="A31" s="21">
        <v>28</v>
      </c>
      <c r="B31" s="11" t="s">
        <v>194</v>
      </c>
      <c r="C31" s="11" t="s">
        <v>25</v>
      </c>
      <c r="D31" s="69" t="s">
        <v>195</v>
      </c>
      <c r="E31" s="110" t="s">
        <v>162</v>
      </c>
      <c r="F31" s="108"/>
      <c r="G31" s="143" t="str">
        <f>ACTV!V31</f>
        <v>Crítica</v>
      </c>
      <c r="H31" s="107">
        <v>40</v>
      </c>
      <c r="I31" s="72">
        <f t="shared" si="1"/>
        <v>0.6</v>
      </c>
      <c r="J31" s="65" t="str">
        <f t="shared" si="2"/>
        <v>Media</v>
      </c>
      <c r="K31" s="73">
        <v>7000000</v>
      </c>
      <c r="L31" s="67">
        <v>1423500</v>
      </c>
      <c r="M31" s="26">
        <f t="shared" si="0"/>
        <v>4.9174569722514931</v>
      </c>
      <c r="N31" s="75">
        <f t="shared" si="3"/>
        <v>1</v>
      </c>
      <c r="O31" s="77" t="s">
        <v>74</v>
      </c>
      <c r="P31" s="78">
        <f t="shared" si="4"/>
        <v>0.5</v>
      </c>
      <c r="Q31" s="77" t="s">
        <v>73</v>
      </c>
      <c r="R31" s="76">
        <f t="shared" si="5"/>
        <v>0.4</v>
      </c>
      <c r="S31" s="30">
        <f t="shared" si="6"/>
        <v>0.9</v>
      </c>
      <c r="T31" s="62">
        <f t="shared" si="7"/>
        <v>1</v>
      </c>
      <c r="U31" s="63" t="str">
        <f t="shared" si="8"/>
        <v>Mayor</v>
      </c>
      <c r="V31" s="31" t="str">
        <f t="shared" si="9"/>
        <v>Media Mayor</v>
      </c>
      <c r="W31" s="88" t="str">
        <f t="shared" si="10"/>
        <v>Crítica</v>
      </c>
    </row>
    <row r="32" spans="1:23" s="8" customFormat="1" ht="60" customHeight="1" x14ac:dyDescent="0.3">
      <c r="A32" s="21">
        <v>29</v>
      </c>
      <c r="B32" s="11" t="s">
        <v>196</v>
      </c>
      <c r="C32" s="11" t="s">
        <v>25</v>
      </c>
      <c r="D32" s="69" t="s">
        <v>42</v>
      </c>
      <c r="E32" s="110" t="s">
        <v>162</v>
      </c>
      <c r="F32" s="108"/>
      <c r="G32" s="143" t="str">
        <f>ACTV!V32</f>
        <v>Media</v>
      </c>
      <c r="H32" s="107">
        <v>40</v>
      </c>
      <c r="I32" s="72">
        <f t="shared" si="1"/>
        <v>0.6</v>
      </c>
      <c r="J32" s="65" t="str">
        <f t="shared" si="2"/>
        <v>Media</v>
      </c>
      <c r="K32" s="73">
        <v>7000000</v>
      </c>
      <c r="L32" s="67">
        <v>1423500</v>
      </c>
      <c r="M32" s="26">
        <f t="shared" si="0"/>
        <v>4.9174569722514931</v>
      </c>
      <c r="N32" s="75">
        <f t="shared" si="3"/>
        <v>1</v>
      </c>
      <c r="O32" s="77" t="s">
        <v>74</v>
      </c>
      <c r="P32" s="78">
        <f t="shared" si="4"/>
        <v>0.5</v>
      </c>
      <c r="Q32" s="77" t="s">
        <v>75</v>
      </c>
      <c r="R32" s="76">
        <f t="shared" si="5"/>
        <v>0.5</v>
      </c>
      <c r="S32" s="30">
        <f t="shared" si="6"/>
        <v>1</v>
      </c>
      <c r="T32" s="62">
        <f t="shared" si="7"/>
        <v>1</v>
      </c>
      <c r="U32" s="63" t="str">
        <f t="shared" si="8"/>
        <v>Mayor</v>
      </c>
      <c r="V32" s="31" t="str">
        <f t="shared" si="9"/>
        <v>Media Mayor</v>
      </c>
      <c r="W32" s="88" t="str">
        <f t="shared" si="10"/>
        <v>Crítica</v>
      </c>
    </row>
    <row r="33" spans="1:23" s="8" customFormat="1" ht="60" customHeight="1" x14ac:dyDescent="0.3">
      <c r="A33" s="21">
        <v>30</v>
      </c>
      <c r="B33" s="11" t="s">
        <v>19</v>
      </c>
      <c r="C33" s="11" t="s">
        <v>25</v>
      </c>
      <c r="D33" s="69" t="s">
        <v>197</v>
      </c>
      <c r="E33" s="110" t="s">
        <v>162</v>
      </c>
      <c r="F33" s="108"/>
      <c r="G33" s="143" t="str">
        <f>ACTV!V33</f>
        <v>Media</v>
      </c>
      <c r="H33" s="107">
        <v>40</v>
      </c>
      <c r="I33" s="72">
        <f t="shared" si="1"/>
        <v>0.6</v>
      </c>
      <c r="J33" s="65" t="str">
        <f t="shared" si="2"/>
        <v>Media</v>
      </c>
      <c r="K33" s="73">
        <v>6000000</v>
      </c>
      <c r="L33" s="67">
        <v>1423500</v>
      </c>
      <c r="M33" s="26">
        <f t="shared" si="0"/>
        <v>4.2149631190727082</v>
      </c>
      <c r="N33" s="75">
        <f t="shared" si="3"/>
        <v>1</v>
      </c>
      <c r="O33" s="77" t="s">
        <v>72</v>
      </c>
      <c r="P33" s="78">
        <f t="shared" si="4"/>
        <v>0.4</v>
      </c>
      <c r="Q33" s="77" t="s">
        <v>68</v>
      </c>
      <c r="R33" s="76">
        <f t="shared" si="5"/>
        <v>0.1</v>
      </c>
      <c r="S33" s="30">
        <f t="shared" si="6"/>
        <v>0.5</v>
      </c>
      <c r="T33" s="62">
        <f t="shared" si="7"/>
        <v>1</v>
      </c>
      <c r="U33" s="63" t="str">
        <f t="shared" si="8"/>
        <v>Mayor</v>
      </c>
      <c r="V33" s="31" t="str">
        <f t="shared" si="9"/>
        <v>Media Mayor</v>
      </c>
      <c r="W33" s="88" t="str">
        <f t="shared" si="10"/>
        <v>Crítica</v>
      </c>
    </row>
    <row r="34" spans="1:23" s="8" customFormat="1" ht="60" customHeight="1" x14ac:dyDescent="0.3">
      <c r="A34" s="21">
        <v>31</v>
      </c>
      <c r="B34" s="11" t="s">
        <v>20</v>
      </c>
      <c r="C34" s="11" t="s">
        <v>25</v>
      </c>
      <c r="D34" s="69" t="s">
        <v>198</v>
      </c>
      <c r="E34" s="110" t="s">
        <v>162</v>
      </c>
      <c r="F34" s="108"/>
      <c r="G34" s="143" t="str">
        <f>ACTV!V34</f>
        <v>Alta</v>
      </c>
      <c r="H34" s="107">
        <v>8</v>
      </c>
      <c r="I34" s="72">
        <f t="shared" si="1"/>
        <v>0.4</v>
      </c>
      <c r="J34" s="65" t="str">
        <f t="shared" si="2"/>
        <v>Baja</v>
      </c>
      <c r="K34" s="73">
        <v>6000000</v>
      </c>
      <c r="L34" s="67">
        <v>1300000</v>
      </c>
      <c r="M34" s="26">
        <f t="shared" si="0"/>
        <v>4.615384615384615</v>
      </c>
      <c r="N34" s="75">
        <f t="shared" si="3"/>
        <v>1</v>
      </c>
      <c r="O34" s="77" t="s">
        <v>72</v>
      </c>
      <c r="P34" s="78">
        <f t="shared" si="4"/>
        <v>0.4</v>
      </c>
      <c r="Q34" s="77" t="s">
        <v>68</v>
      </c>
      <c r="R34" s="76">
        <f t="shared" si="5"/>
        <v>0.1</v>
      </c>
      <c r="S34" s="30">
        <f t="shared" si="6"/>
        <v>0.5</v>
      </c>
      <c r="T34" s="62">
        <f t="shared" si="7"/>
        <v>1</v>
      </c>
      <c r="U34" s="63" t="str">
        <f t="shared" si="8"/>
        <v>Mayor</v>
      </c>
      <c r="V34" s="31" t="str">
        <f t="shared" si="9"/>
        <v>Baja Mayor</v>
      </c>
      <c r="W34" s="88" t="str">
        <f t="shared" si="10"/>
        <v>Crítica</v>
      </c>
    </row>
    <row r="35" spans="1:23" ht="60" customHeight="1" x14ac:dyDescent="0.3">
      <c r="A35" s="21">
        <v>32</v>
      </c>
      <c r="B35" s="11" t="s">
        <v>21</v>
      </c>
      <c r="C35" s="12" t="s">
        <v>25</v>
      </c>
      <c r="D35" s="70" t="s">
        <v>199</v>
      </c>
      <c r="E35" s="110" t="s">
        <v>161</v>
      </c>
      <c r="F35" s="108" t="s">
        <v>171</v>
      </c>
      <c r="G35" s="143" t="str">
        <f>ACTV!V35</f>
        <v>Crítica</v>
      </c>
      <c r="H35" s="145">
        <v>12</v>
      </c>
      <c r="I35" s="72">
        <f t="shared" si="1"/>
        <v>0.4</v>
      </c>
      <c r="J35" s="65" t="str">
        <f t="shared" si="2"/>
        <v>Baja</v>
      </c>
      <c r="K35" s="146">
        <v>1300000</v>
      </c>
      <c r="L35" s="67">
        <v>1423500</v>
      </c>
      <c r="M35" s="26">
        <f t="shared" si="0"/>
        <v>0.91324200913242004</v>
      </c>
      <c r="N35" s="75">
        <f t="shared" si="3"/>
        <v>1</v>
      </c>
      <c r="O35" s="77" t="s">
        <v>67</v>
      </c>
      <c r="P35" s="78">
        <f t="shared" si="4"/>
        <v>0.1</v>
      </c>
      <c r="Q35" s="77" t="s">
        <v>75</v>
      </c>
      <c r="R35" s="76">
        <f t="shared" si="5"/>
        <v>0.5</v>
      </c>
      <c r="S35" s="30">
        <f t="shared" si="6"/>
        <v>0.6</v>
      </c>
      <c r="T35" s="62">
        <f t="shared" si="7"/>
        <v>1</v>
      </c>
      <c r="U35" s="63" t="str">
        <f t="shared" si="8"/>
        <v>Mayor</v>
      </c>
      <c r="V35" s="31" t="str">
        <f t="shared" si="9"/>
        <v>Baja Mayor</v>
      </c>
      <c r="W35" s="88" t="str">
        <f t="shared" si="10"/>
        <v>Crítica</v>
      </c>
    </row>
    <row r="39" spans="1:23" ht="27.6" x14ac:dyDescent="0.3">
      <c r="B39" s="100" t="s">
        <v>119</v>
      </c>
    </row>
    <row r="42" spans="1:23" x14ac:dyDescent="0.3">
      <c r="B42" s="5" t="s">
        <v>120</v>
      </c>
      <c r="C42" s="5" t="s">
        <v>121</v>
      </c>
    </row>
    <row r="43" spans="1:23" ht="27.6" x14ac:dyDescent="0.3">
      <c r="B43" s="5" t="s">
        <v>122</v>
      </c>
      <c r="C43" s="5" t="s">
        <v>123</v>
      </c>
    </row>
    <row r="47" spans="1:23" ht="14.4" x14ac:dyDescent="0.3">
      <c r="B47" s="101" t="s">
        <v>124</v>
      </c>
      <c r="C47" s="102" t="s">
        <v>144</v>
      </c>
    </row>
    <row r="48" spans="1:23" ht="27.6" x14ac:dyDescent="0.3">
      <c r="B48" s="101" t="s">
        <v>125</v>
      </c>
      <c r="C48" s="102" t="s">
        <v>145</v>
      </c>
    </row>
    <row r="49" spans="2:3" ht="28.8" x14ac:dyDescent="0.3">
      <c r="B49" s="101" t="s">
        <v>126</v>
      </c>
      <c r="C49" s="102" t="s">
        <v>146</v>
      </c>
    </row>
    <row r="50" spans="2:3" ht="14.4" x14ac:dyDescent="0.3">
      <c r="B50" s="101" t="s">
        <v>127</v>
      </c>
      <c r="C50" s="103"/>
    </row>
    <row r="51" spans="2:3" ht="14.4" x14ac:dyDescent="0.3">
      <c r="B51" s="101" t="s">
        <v>128</v>
      </c>
      <c r="C51" s="103"/>
    </row>
    <row r="52" spans="2:3" ht="41.4" x14ac:dyDescent="0.3">
      <c r="B52" s="101" t="s">
        <v>129</v>
      </c>
      <c r="C52" s="102" t="s">
        <v>147</v>
      </c>
    </row>
    <row r="53" spans="2:3" ht="27.6" x14ac:dyDescent="0.3">
      <c r="B53" s="101" t="s">
        <v>130</v>
      </c>
      <c r="C53" s="103" t="s">
        <v>148</v>
      </c>
    </row>
    <row r="54" spans="2:3" ht="14.4" x14ac:dyDescent="0.3">
      <c r="B54" s="101" t="s">
        <v>131</v>
      </c>
    </row>
    <row r="55" spans="2:3" ht="27.6" x14ac:dyDescent="0.3">
      <c r="B55" s="101" t="s">
        <v>132</v>
      </c>
      <c r="C55" s="103" t="s">
        <v>149</v>
      </c>
    </row>
    <row r="56" spans="2:3" ht="41.4" x14ac:dyDescent="0.3">
      <c r="B56" s="101" t="s">
        <v>133</v>
      </c>
      <c r="C56" s="103" t="s">
        <v>150</v>
      </c>
    </row>
    <row r="58" spans="2:3" ht="28.8" x14ac:dyDescent="0.3">
      <c r="B58" s="101" t="s">
        <v>134</v>
      </c>
    </row>
    <row r="59" spans="2:3" ht="28.8" x14ac:dyDescent="0.3">
      <c r="B59" s="101" t="s">
        <v>135</v>
      </c>
    </row>
    <row r="60" spans="2:3" ht="28.8" x14ac:dyDescent="0.3">
      <c r="B60" s="101" t="s">
        <v>136</v>
      </c>
    </row>
    <row r="61" spans="2:3" ht="14.4" x14ac:dyDescent="0.3">
      <c r="B61" s="101" t="s">
        <v>137</v>
      </c>
    </row>
    <row r="62" spans="2:3" ht="28.8" x14ac:dyDescent="0.3">
      <c r="B62" s="101" t="s">
        <v>138</v>
      </c>
      <c r="C62" s="5" t="s">
        <v>152</v>
      </c>
    </row>
    <row r="63" spans="2:3" ht="28.8" x14ac:dyDescent="0.3">
      <c r="B63" s="101" t="s">
        <v>139</v>
      </c>
    </row>
    <row r="65" spans="2:2" ht="14.4" x14ac:dyDescent="0.3">
      <c r="B65" s="101" t="s">
        <v>140</v>
      </c>
    </row>
    <row r="66" spans="2:2" ht="14.4" x14ac:dyDescent="0.3">
      <c r="B66" s="101" t="s">
        <v>141</v>
      </c>
    </row>
    <row r="67" spans="2:2" ht="14.4" x14ac:dyDescent="0.3">
      <c r="B67" s="101" t="s">
        <v>142</v>
      </c>
    </row>
    <row r="68" spans="2:2" ht="14.4" x14ac:dyDescent="0.3">
      <c r="B68" s="101" t="s">
        <v>143</v>
      </c>
    </row>
    <row r="70" spans="2:2" ht="27.6" x14ac:dyDescent="0.3">
      <c r="B70" s="5" t="s">
        <v>151</v>
      </c>
    </row>
  </sheetData>
  <autoFilter ref="A2:W35" xr:uid="{B75F2758-D9E3-49A8-BCC8-B93755F8A406}"/>
  <mergeCells count="3">
    <mergeCell ref="E1:F1"/>
    <mergeCell ref="C17:C18"/>
    <mergeCell ref="D17:D18"/>
  </mergeCells>
  <phoneticPr fontId="24" type="noConversion"/>
  <conditionalFormatting sqref="I3:I35">
    <cfRule type="cellIs" dxfId="27" priority="32" operator="equal">
      <formula>0.2</formula>
    </cfRule>
    <cfRule type="cellIs" dxfId="26" priority="33" operator="equal">
      <formula>0.4</formula>
    </cfRule>
    <cfRule type="cellIs" dxfId="25" priority="34" operator="equal">
      <formula>0.6</formula>
    </cfRule>
    <cfRule type="cellIs" dxfId="24" priority="35" operator="equal">
      <formula>0.8</formula>
    </cfRule>
    <cfRule type="cellIs" dxfId="23" priority="36" operator="equal">
      <formula>1</formula>
    </cfRule>
  </conditionalFormatting>
  <conditionalFormatting sqref="J3:J35">
    <cfRule type="containsText" dxfId="22" priority="15" operator="containsText" text="Muy baja">
      <formula>NOT(ISERROR(SEARCH("Muy baja",J3)))</formula>
    </cfRule>
    <cfRule type="beginsWith" dxfId="21" priority="16" operator="beginsWith" text="Baja">
      <formula>LEFT(J3,LEN("Baja"))="Baja"</formula>
    </cfRule>
    <cfRule type="containsText" dxfId="20" priority="17" operator="containsText" text="Media">
      <formula>NOT(ISERROR(SEARCH("Media",J3)))</formula>
    </cfRule>
    <cfRule type="beginsWith" dxfId="19" priority="18" operator="beginsWith" text="Alta">
      <formula>LEFT(J3,LEN("Alta"))="Alta"</formula>
    </cfRule>
    <cfRule type="containsText" dxfId="18" priority="19" operator="containsText" text="Muy alta">
      <formula>NOT(ISERROR(SEARCH("Muy alta",J3)))</formula>
    </cfRule>
  </conditionalFormatting>
  <conditionalFormatting sqref="T3:T35">
    <cfRule type="cellIs" dxfId="17" priority="22" operator="equal">
      <formula>0.2</formula>
    </cfRule>
    <cfRule type="cellIs" dxfId="16" priority="23" operator="equal">
      <formula>0.4</formula>
    </cfRule>
    <cfRule type="cellIs" dxfId="15" priority="24" operator="equal">
      <formula>0.6</formula>
    </cfRule>
    <cfRule type="cellIs" dxfId="14" priority="25" operator="equal">
      <formula>0.8</formula>
    </cfRule>
    <cfRule type="cellIs" dxfId="13" priority="26" operator="equal">
      <formula>1</formula>
    </cfRule>
  </conditionalFormatting>
  <conditionalFormatting sqref="U3:U35">
    <cfRule type="containsText" dxfId="12" priority="10" operator="containsText" text="Insignificante">
      <formula>NOT(ISERROR(SEARCH("Insignificante",U3)))</formula>
    </cfRule>
    <cfRule type="beginsWith" dxfId="11" priority="11" operator="beginsWith" text="Menor">
      <formula>LEFT(U3,LEN("Menor"))="Menor"</formula>
    </cfRule>
    <cfRule type="containsText" dxfId="10" priority="12" operator="containsText" text="Moderado">
      <formula>NOT(ISERROR(SEARCH("Moderado",U3)))</formula>
    </cfRule>
    <cfRule type="beginsWith" dxfId="9" priority="13" operator="beginsWith" text="Importante">
      <formula>LEFT(U3,LEN("Importante"))="Importante"</formula>
    </cfRule>
    <cfRule type="containsText" dxfId="8" priority="14" operator="containsText" text="Mayor">
      <formula>NOT(ISERROR(SEARCH("Mayor",U3)))</formula>
    </cfRule>
  </conditionalFormatting>
  <conditionalFormatting sqref="W3:W35">
    <cfRule type="containsText" dxfId="7" priority="1" operator="containsText" text="Crítica">
      <formula>NOT(ISERROR(SEARCH("Crítica",W3)))</formula>
    </cfRule>
    <cfRule type="containsText" dxfId="6" priority="2" operator="containsText" text="Alta">
      <formula>NOT(ISERROR(SEARCH("Alta",W3)))</formula>
    </cfRule>
    <cfRule type="containsText" dxfId="5" priority="3" operator="containsText" text="Media">
      <formula>NOT(ISERROR(SEARCH("Media",W3)))</formula>
    </cfRule>
    <cfRule type="containsText" dxfId="4" priority="4" operator="containsText" text="Baja">
      <formula>NOT(ISERROR(SEARCH("Baja",W3)))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2B9C2C5-EDB3-498D-883E-3933DD11428D}">
          <x14:formula1>
            <xm:f>Reputación!$C$4:$C$8</xm:f>
          </x14:formula1>
          <xm:sqref>O3:O35</xm:sqref>
        </x14:dataValidation>
        <x14:dataValidation type="list" allowBlank="1" showInputMessage="1" showErrorMessage="1" xr:uid="{9731B0C5-0E93-4FE7-B49B-C29433D9277F}">
          <x14:formula1>
            <xm:f>Reputación!$C$11:$C$15</xm:f>
          </x14:formula1>
          <xm:sqref>Q3:Q35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5704A-CC6C-4A2F-97E0-6C911443845A}">
  <dimension ref="B1:V35"/>
  <sheetViews>
    <sheetView showGridLines="0" topLeftCell="A2" workbookViewId="0">
      <selection activeCell="Z8" sqref="Z8"/>
    </sheetView>
  </sheetViews>
  <sheetFormatPr baseColWidth="10" defaultRowHeight="14.4" x14ac:dyDescent="0.3"/>
  <cols>
    <col min="2" max="2" width="6.5546875" style="42" customWidth="1"/>
    <col min="3" max="3" width="42.77734375" style="42" customWidth="1"/>
    <col min="4" max="4" width="11.5546875" style="3" customWidth="1"/>
    <col min="5" max="5" width="11.5546875" style="42" hidden="1" customWidth="1"/>
    <col min="6" max="6" width="38.109375" style="42" hidden="1" customWidth="1"/>
    <col min="7" max="7" width="11.5546875" style="3" customWidth="1"/>
    <col min="8" max="8" width="11.5546875" style="42" hidden="1" customWidth="1"/>
    <col min="9" max="9" width="46" style="42" hidden="1" customWidth="1"/>
    <col min="10" max="10" width="11.5546875" style="3" customWidth="1"/>
    <col min="11" max="11" width="11.5546875" style="42" hidden="1" customWidth="1"/>
    <col min="12" max="12" width="48.44140625" style="42" hidden="1" customWidth="1"/>
    <col min="13" max="13" width="11.5546875" style="3" customWidth="1"/>
    <col min="14" max="14" width="11.5546875" style="42" hidden="1" customWidth="1"/>
    <col min="15" max="15" width="40.6640625" style="42" hidden="1" customWidth="1"/>
    <col min="16" max="16" width="11.5546875" style="3" customWidth="1"/>
    <col min="17" max="17" width="11.5546875" hidden="1" customWidth="1"/>
    <col min="18" max="18" width="36.88671875" hidden="1" customWidth="1"/>
    <col min="19" max="19" width="11.5546875" style="3" customWidth="1"/>
    <col min="20" max="20" width="11.5546875" hidden="1" customWidth="1"/>
    <col min="21" max="21" width="38.77734375" hidden="1" customWidth="1"/>
    <col min="22" max="22" width="0" hidden="1" customWidth="1"/>
  </cols>
  <sheetData>
    <row r="1" spans="2:22" ht="41.4" customHeight="1" x14ac:dyDescent="0.3"/>
    <row r="2" spans="2:22" x14ac:dyDescent="0.3">
      <c r="B2" s="124"/>
      <c r="C2" s="124"/>
      <c r="D2" s="125" t="s">
        <v>153</v>
      </c>
      <c r="E2" s="125" t="s">
        <v>228</v>
      </c>
      <c r="F2" s="125" t="s">
        <v>261</v>
      </c>
      <c r="G2" s="125" t="s">
        <v>154</v>
      </c>
      <c r="H2" s="125" t="s">
        <v>229</v>
      </c>
      <c r="I2" s="125" t="s">
        <v>262</v>
      </c>
      <c r="J2" s="125" t="s">
        <v>155</v>
      </c>
      <c r="K2" s="125" t="s">
        <v>230</v>
      </c>
      <c r="L2" s="125" t="s">
        <v>263</v>
      </c>
      <c r="M2" s="125" t="s">
        <v>156</v>
      </c>
      <c r="N2" s="125" t="s">
        <v>231</v>
      </c>
      <c r="O2" s="125" t="s">
        <v>265</v>
      </c>
      <c r="P2" s="125" t="s">
        <v>157</v>
      </c>
      <c r="Q2" s="128" t="s">
        <v>232</v>
      </c>
      <c r="R2" s="125" t="s">
        <v>264</v>
      </c>
      <c r="S2" s="125" t="s">
        <v>158</v>
      </c>
      <c r="T2" s="129" t="s">
        <v>233</v>
      </c>
      <c r="U2" s="125" t="s">
        <v>266</v>
      </c>
      <c r="V2" s="132" t="s">
        <v>234</v>
      </c>
    </row>
    <row r="3" spans="2:22" x14ac:dyDescent="0.3">
      <c r="B3" s="123">
        <v>0</v>
      </c>
      <c r="C3" s="109" t="s">
        <v>170</v>
      </c>
      <c r="D3" s="135" t="str">
        <f>'1. Brigadeiros'!E3</f>
        <v>S</v>
      </c>
      <c r="E3" s="136" t="str">
        <f>'1. Brigadeiros'!W3</f>
        <v>Crítica</v>
      </c>
      <c r="F3" s="176">
        <f>'1. Brigadeiros'!F3</f>
        <v>0</v>
      </c>
      <c r="G3" s="137" t="str">
        <f>'2. Galletas'!E3</f>
        <v>S</v>
      </c>
      <c r="H3" s="138" t="str">
        <f>'2. Galletas'!W3</f>
        <v>Crítica</v>
      </c>
      <c r="I3" s="177">
        <f>'2. Galletas'!F3</f>
        <v>0</v>
      </c>
      <c r="J3" s="139" t="str">
        <f>'3. Pinchos'!E3</f>
        <v>S</v>
      </c>
      <c r="K3" s="140" t="str">
        <f>'3. Pinchos'!W3</f>
        <v>Media</v>
      </c>
      <c r="L3" s="178">
        <f>'3. Pinchos'!F3</f>
        <v>0</v>
      </c>
      <c r="M3" s="126" t="str">
        <f>'4. Granolitas'!E3</f>
        <v>S</v>
      </c>
      <c r="N3" s="127" t="str">
        <f>'4. Granolitas'!W3</f>
        <v>Media</v>
      </c>
      <c r="O3" s="126" t="str">
        <f>'4. Granolitas'!F3</f>
        <v>OPORTUNIDAD</v>
      </c>
      <c r="P3" s="172" t="str">
        <f>'5. Hamburguesas'!E3</f>
        <v>S</v>
      </c>
      <c r="Q3" s="173" t="str">
        <f>'5. Hamburguesas'!W3</f>
        <v>Crítica</v>
      </c>
      <c r="R3" s="179">
        <f>'5. Hamburguesas'!F3</f>
        <v>0</v>
      </c>
      <c r="S3" s="174" t="str">
        <f>'6. Tortas'!E3</f>
        <v>S</v>
      </c>
      <c r="T3" s="175" t="str">
        <f>'6. Tortas'!W3</f>
        <v>Media</v>
      </c>
      <c r="U3" s="180">
        <f>'6. Tortas'!F3</f>
        <v>0</v>
      </c>
      <c r="V3" s="133" t="s">
        <v>83</v>
      </c>
    </row>
    <row r="4" spans="2:22" ht="24" x14ac:dyDescent="0.3">
      <c r="B4" s="123">
        <v>1</v>
      </c>
      <c r="C4" s="109" t="s">
        <v>175</v>
      </c>
      <c r="D4" s="135" t="str">
        <f>'1. Brigadeiros'!E4</f>
        <v>D</v>
      </c>
      <c r="E4" s="136" t="str">
        <f>'1. Brigadeiros'!W4</f>
        <v>Crítica</v>
      </c>
      <c r="F4" s="176" t="str">
        <f>'1. Brigadeiros'!F4</f>
        <v>No es una idea que se ajuste a las pasiones</v>
      </c>
      <c r="G4" s="137" t="str">
        <f>'2. Galletas'!E4</f>
        <v>S</v>
      </c>
      <c r="H4" s="138" t="str">
        <f>'2. Galletas'!W4</f>
        <v>Crítica</v>
      </c>
      <c r="I4" s="177">
        <f>'2. Galletas'!F4</f>
        <v>0</v>
      </c>
      <c r="J4" s="139" t="str">
        <f>'3. Pinchos'!E4</f>
        <v>N</v>
      </c>
      <c r="K4" s="131" t="s">
        <v>83</v>
      </c>
      <c r="L4" s="178" t="str">
        <f>'3. Pinchos'!F4</f>
        <v>Porque emprendió por necesidad económica</v>
      </c>
      <c r="M4" s="126" t="str">
        <f>'4. Granolitas'!E4</f>
        <v>S</v>
      </c>
      <c r="N4" s="127" t="str">
        <f>'4. Granolitas'!W4</f>
        <v>Baja</v>
      </c>
      <c r="O4" s="126">
        <f>'4. Granolitas'!F4</f>
        <v>0</v>
      </c>
      <c r="P4" s="172" t="str">
        <f>'5. Hamburguesas'!E4</f>
        <v>S</v>
      </c>
      <c r="Q4" s="173" t="str">
        <f>'5. Hamburguesas'!W4</f>
        <v>Crítica</v>
      </c>
      <c r="R4" s="179">
        <f>'5. Hamburguesas'!F4</f>
        <v>0</v>
      </c>
      <c r="S4" s="174" t="str">
        <f>'6. Tortas'!E4</f>
        <v>S</v>
      </c>
      <c r="T4" s="175" t="str">
        <f>'6. Tortas'!W4</f>
        <v>Baja</v>
      </c>
      <c r="U4" s="180">
        <f>'6. Tortas'!F4</f>
        <v>0</v>
      </c>
      <c r="V4" s="133" t="s">
        <v>83</v>
      </c>
    </row>
    <row r="5" spans="2:22" ht="43.2" x14ac:dyDescent="0.3">
      <c r="B5" s="123">
        <v>2</v>
      </c>
      <c r="C5" s="109" t="s">
        <v>2</v>
      </c>
      <c r="D5" s="135" t="str">
        <f>'1. Brigadeiros'!E5</f>
        <v>N</v>
      </c>
      <c r="E5" s="131" t="s">
        <v>83</v>
      </c>
      <c r="F5" s="176" t="str">
        <f>'1. Brigadeiros'!F5</f>
        <v>No sabía que se debía hacer</v>
      </c>
      <c r="G5" s="137" t="str">
        <f>'2. Galletas'!E5</f>
        <v>S</v>
      </c>
      <c r="H5" s="138" t="str">
        <f>'2. Galletas'!W5</f>
        <v>Crítica</v>
      </c>
      <c r="I5" s="177">
        <f>'2. Galletas'!F5</f>
        <v>0</v>
      </c>
      <c r="J5" s="139" t="str">
        <f>'3. Pinchos'!E5</f>
        <v>N</v>
      </c>
      <c r="K5" s="131" t="s">
        <v>83</v>
      </c>
      <c r="L5" s="178" t="str">
        <f>'3. Pinchos'!F5</f>
        <v>Por desconocimiento</v>
      </c>
      <c r="M5" s="126" t="str">
        <f>'4. Granolitas'!E5</f>
        <v>D</v>
      </c>
      <c r="N5" s="127" t="str">
        <f>'4. Granolitas'!W5</f>
        <v>Baja</v>
      </c>
      <c r="O5" s="126" t="str">
        <f>'4. Granolitas'!F5</f>
        <v>FALTA DE TIEMPO Y DESCONOCIMIENTO</v>
      </c>
      <c r="P5" s="172" t="str">
        <f>'5. Hamburguesas'!E5</f>
        <v>S</v>
      </c>
      <c r="Q5" s="173" t="str">
        <f>'5. Hamburguesas'!W5</f>
        <v>Crítica</v>
      </c>
      <c r="R5" s="179">
        <f>'5. Hamburguesas'!F5</f>
        <v>0</v>
      </c>
      <c r="S5" s="174" t="str">
        <f>'6. Tortas'!E5</f>
        <v>D</v>
      </c>
      <c r="T5" s="175" t="str">
        <f>'6. Tortas'!W5</f>
        <v>Crítica</v>
      </c>
      <c r="U5" s="180" t="str">
        <f>'6. Tortas'!F5</f>
        <v>Porque empezó a conocer a medida de la evolución del negocio, no estaba tan claro a quién iba dirigido</v>
      </c>
      <c r="V5" s="133" t="s">
        <v>83</v>
      </c>
    </row>
    <row r="6" spans="2:22" ht="28.8" x14ac:dyDescent="0.3">
      <c r="B6" s="123">
        <v>3</v>
      </c>
      <c r="C6" s="109" t="s">
        <v>3</v>
      </c>
      <c r="D6" s="135" t="str">
        <f>'1. Brigadeiros'!E6</f>
        <v>N</v>
      </c>
      <c r="E6" s="131" t="s">
        <v>83</v>
      </c>
      <c r="F6" s="176" t="str">
        <f>'1. Brigadeiros'!F6</f>
        <v>No sabía cómo hacerlo</v>
      </c>
      <c r="G6" s="137" t="str">
        <f>'2. Galletas'!E6</f>
        <v>S</v>
      </c>
      <c r="H6" s="138" t="str">
        <f>'2. Galletas'!W6</f>
        <v>Crítica</v>
      </c>
      <c r="I6" s="177">
        <f>'2. Galletas'!F6</f>
        <v>0</v>
      </c>
      <c r="J6" s="139" t="str">
        <f>'3. Pinchos'!E6</f>
        <v>D</v>
      </c>
      <c r="K6" s="140" t="str">
        <f>'3. Pinchos'!W6</f>
        <v>Baja</v>
      </c>
      <c r="L6" s="178" t="str">
        <f>'3. Pinchos'!F6</f>
        <v>Solo con precios y algunos productos de la zona</v>
      </c>
      <c r="M6" s="126" t="str">
        <f>'4. Granolitas'!E6</f>
        <v>D</v>
      </c>
      <c r="N6" s="127" t="str">
        <f>'4. Granolitas'!W6</f>
        <v>Baja</v>
      </c>
      <c r="O6" s="126" t="str">
        <f>'4. Granolitas'!F6</f>
        <v>DESCONOCIMIENTO</v>
      </c>
      <c r="P6" s="172" t="str">
        <f>'5. Hamburguesas'!E6</f>
        <v>S</v>
      </c>
      <c r="Q6" s="173" t="str">
        <f>'5. Hamburguesas'!W6</f>
        <v>Crítica</v>
      </c>
      <c r="R6" s="179">
        <f>'5. Hamburguesas'!F6</f>
        <v>0</v>
      </c>
      <c r="S6" s="174" t="str">
        <f>'6. Tortas'!E6</f>
        <v>D</v>
      </c>
      <c r="T6" s="175" t="str">
        <f>'6. Tortas'!W6</f>
        <v>Crítica</v>
      </c>
      <c r="U6" s="180" t="str">
        <f>'6. Tortas'!F6</f>
        <v>Porque todo el proceso ha ido evolucionando a medida que van conociendo el entorno</v>
      </c>
      <c r="V6" s="133" t="s">
        <v>83</v>
      </c>
    </row>
    <row r="7" spans="2:22" ht="36" x14ac:dyDescent="0.3">
      <c r="B7" s="123">
        <v>4</v>
      </c>
      <c r="C7" s="109" t="s">
        <v>4</v>
      </c>
      <c r="D7" s="135" t="str">
        <f>'1. Brigadeiros'!E7</f>
        <v>S</v>
      </c>
      <c r="E7" s="136" t="str">
        <f>'1. Brigadeiros'!W7</f>
        <v>Crítica</v>
      </c>
      <c r="F7" s="176">
        <f>'1. Brigadeiros'!F7</f>
        <v>0</v>
      </c>
      <c r="G7" s="137" t="str">
        <f>'2. Galletas'!E7</f>
        <v>S</v>
      </c>
      <c r="H7" s="138" t="str">
        <f>'2. Galletas'!W7</f>
        <v>Crítica</v>
      </c>
      <c r="I7" s="177">
        <f>'2. Galletas'!F7</f>
        <v>0</v>
      </c>
      <c r="J7" s="139" t="str">
        <f>'3. Pinchos'!E7</f>
        <v>N</v>
      </c>
      <c r="K7" s="131" t="s">
        <v>83</v>
      </c>
      <c r="L7" s="178" t="str">
        <f>'3. Pinchos'!F7</f>
        <v>Desconocimiento</v>
      </c>
      <c r="M7" s="126" t="str">
        <f>'4. Granolitas'!E7</f>
        <v>N</v>
      </c>
      <c r="N7" s="131" t="s">
        <v>83</v>
      </c>
      <c r="O7" s="126" t="str">
        <f>'4. Granolitas'!F7</f>
        <v>DESCONOCIMIENTO</v>
      </c>
      <c r="P7" s="172" t="str">
        <f>'5. Hamburguesas'!E7</f>
        <v>D</v>
      </c>
      <c r="Q7" s="173" t="str">
        <f>'5. Hamburguesas'!W7</f>
        <v>Crítica</v>
      </c>
      <c r="R7" s="179" t="str">
        <f>'5. Hamburguesas'!F7</f>
        <v>Considera q se hizo a un 40%</v>
      </c>
      <c r="S7" s="174" t="str">
        <f>'6. Tortas'!E7</f>
        <v>S</v>
      </c>
      <c r="T7" s="175" t="str">
        <f>'6. Tortas'!W7</f>
        <v>Crítica</v>
      </c>
      <c r="U7" s="180">
        <f>'6. Tortas'!F7</f>
        <v>0</v>
      </c>
      <c r="V7" s="133" t="s">
        <v>83</v>
      </c>
    </row>
    <row r="8" spans="2:22" ht="36" x14ac:dyDescent="0.3">
      <c r="B8" s="123">
        <v>5</v>
      </c>
      <c r="C8" s="109" t="s">
        <v>5</v>
      </c>
      <c r="D8" s="135" t="str">
        <f>'1. Brigadeiros'!E8</f>
        <v>N</v>
      </c>
      <c r="E8" s="131" t="s">
        <v>49</v>
      </c>
      <c r="F8" s="176" t="str">
        <f>'1. Brigadeiros'!F8</f>
        <v>No sabía que se debía hacer</v>
      </c>
      <c r="G8" s="137" t="str">
        <f>'2. Galletas'!E8</f>
        <v>S</v>
      </c>
      <c r="H8" s="138" t="str">
        <f>'2. Galletas'!W8</f>
        <v>Media</v>
      </c>
      <c r="I8" s="177">
        <f>'2. Galletas'!F8</f>
        <v>0</v>
      </c>
      <c r="J8" s="139" t="str">
        <f>'3. Pinchos'!E8</f>
        <v>S</v>
      </c>
      <c r="K8" s="140" t="str">
        <f>'3. Pinchos'!W8</f>
        <v>Baja</v>
      </c>
      <c r="L8" s="178">
        <f>'3. Pinchos'!F8</f>
        <v>0</v>
      </c>
      <c r="M8" s="126" t="str">
        <f>'4. Granolitas'!E8</f>
        <v>S</v>
      </c>
      <c r="N8" s="127" t="str">
        <f>'4. Granolitas'!W8</f>
        <v>Baja</v>
      </c>
      <c r="O8" s="126">
        <f>'4. Granolitas'!F8</f>
        <v>0</v>
      </c>
      <c r="P8" s="172" t="str">
        <f>'5. Hamburguesas'!E8</f>
        <v>S</v>
      </c>
      <c r="Q8" s="173" t="str">
        <f>'5. Hamburguesas'!W8</f>
        <v>Crítica</v>
      </c>
      <c r="R8" s="179">
        <f>'5. Hamburguesas'!F8</f>
        <v>0</v>
      </c>
      <c r="S8" s="174" t="str">
        <f>'6. Tortas'!E8</f>
        <v>D</v>
      </c>
      <c r="T8" s="175" t="str">
        <f>'6. Tortas'!W8</f>
        <v>Crítica</v>
      </c>
      <c r="U8" s="180">
        <f>'6. Tortas'!F8</f>
        <v>0</v>
      </c>
      <c r="V8" s="133" t="s">
        <v>49</v>
      </c>
    </row>
    <row r="9" spans="2:22" ht="28.8" x14ac:dyDescent="0.3">
      <c r="B9" s="123">
        <v>6</v>
      </c>
      <c r="C9" s="109" t="s">
        <v>6</v>
      </c>
      <c r="D9" s="135" t="str">
        <f>'1. Brigadeiros'!E9</f>
        <v>S</v>
      </c>
      <c r="E9" s="136" t="str">
        <f>'1. Brigadeiros'!W9</f>
        <v>Crítica</v>
      </c>
      <c r="F9" s="176">
        <f>'1. Brigadeiros'!F9</f>
        <v>0</v>
      </c>
      <c r="G9" s="137" t="str">
        <f>'2. Galletas'!E9</f>
        <v>D</v>
      </c>
      <c r="H9" s="138" t="str">
        <f>'2. Galletas'!W9</f>
        <v>Crítica</v>
      </c>
      <c r="I9" s="177" t="str">
        <f>'2. Galletas'!F9</f>
        <v>No son novedosas</v>
      </c>
      <c r="J9" s="139" t="str">
        <f>'3. Pinchos'!E9</f>
        <v>S</v>
      </c>
      <c r="K9" s="140" t="str">
        <f>'3. Pinchos'!W9</f>
        <v>Baja</v>
      </c>
      <c r="L9" s="178">
        <f>'3. Pinchos'!F9</f>
        <v>0</v>
      </c>
      <c r="M9" s="126" t="str">
        <f>'4. Granolitas'!E9</f>
        <v>S</v>
      </c>
      <c r="N9" s="127" t="str">
        <f>'4. Granolitas'!W9</f>
        <v>Baja</v>
      </c>
      <c r="O9" s="126">
        <f>'4. Granolitas'!F9</f>
        <v>0</v>
      </c>
      <c r="P9" s="172" t="str">
        <f>'5. Hamburguesas'!E9</f>
        <v>S</v>
      </c>
      <c r="Q9" s="173" t="str">
        <f>'5. Hamburguesas'!W9</f>
        <v>Crítica</v>
      </c>
      <c r="R9" s="179">
        <f>'5. Hamburguesas'!F9</f>
        <v>0</v>
      </c>
      <c r="S9" s="174" t="str">
        <f>'6. Tortas'!E9</f>
        <v>D</v>
      </c>
      <c r="T9" s="175" t="str">
        <f>'6. Tortas'!W9</f>
        <v>Baja</v>
      </c>
      <c r="U9" s="180" t="str">
        <f>'6. Tortas'!F9</f>
        <v>Se hizo en un primer momento pero luego no se continuó</v>
      </c>
      <c r="V9" s="133" t="s">
        <v>48</v>
      </c>
    </row>
    <row r="10" spans="2:22" ht="57.6" x14ac:dyDescent="0.3">
      <c r="B10" s="123">
        <v>7</v>
      </c>
      <c r="C10" s="109" t="s">
        <v>176</v>
      </c>
      <c r="D10" s="135" t="str">
        <f>'1. Brigadeiros'!E10</f>
        <v>D</v>
      </c>
      <c r="E10" s="136" t="str">
        <f>'1. Brigadeiros'!W10</f>
        <v>Media</v>
      </c>
      <c r="F10" s="176" t="str">
        <f>'1. Brigadeiros'!F10</f>
        <v xml:space="preserve">Análisis de valores nutricionales; Análisis de valores culturales y sociales;  Análisis microbiológicos;  Análisis oxidación; Sostenibilidad     </v>
      </c>
      <c r="G10" s="137" t="str">
        <f>'2. Galletas'!E10</f>
        <v>D</v>
      </c>
      <c r="H10" s="138" t="str">
        <f>'2. Galletas'!W10</f>
        <v>Media</v>
      </c>
      <c r="I10" s="177" t="str">
        <f>'2. Galletas'!F10</f>
        <v>Hay variables que no contempló</v>
      </c>
      <c r="J10" s="139" t="str">
        <f>'3. Pinchos'!E10</f>
        <v>S</v>
      </c>
      <c r="K10" s="140" t="str">
        <f>'3. Pinchos'!W10</f>
        <v>Baja</v>
      </c>
      <c r="L10" s="178">
        <f>'3. Pinchos'!F10</f>
        <v>0</v>
      </c>
      <c r="M10" s="126" t="str">
        <f>'4. Granolitas'!E10</f>
        <v>N</v>
      </c>
      <c r="N10" s="131" t="s">
        <v>48</v>
      </c>
      <c r="O10" s="126" t="str">
        <f>'4. Granolitas'!F10</f>
        <v>DESCONOCIMIENTO</v>
      </c>
      <c r="P10" s="172" t="str">
        <f>'5. Hamburguesas'!E10</f>
        <v>D</v>
      </c>
      <c r="Q10" s="173" t="str">
        <f>'5. Hamburguesas'!W10</f>
        <v>Crítica</v>
      </c>
      <c r="R10" s="179" t="str">
        <f>'5. Hamburguesas'!F10</f>
        <v>Nunca se analizó la propuesta de valor</v>
      </c>
      <c r="S10" s="174" t="str">
        <f>'6. Tortas'!E10</f>
        <v>N</v>
      </c>
      <c r="T10" s="175" t="str">
        <f>'6. Tortas'!W10</f>
        <v>Crítica</v>
      </c>
      <c r="U10" s="180" t="str">
        <f>'6. Tortas'!F10</f>
        <v>Porque todo el proceso ha ido evolucionando a medida que van conociendo el entorno, pero no se planeó así</v>
      </c>
      <c r="V10" s="133" t="s">
        <v>48</v>
      </c>
    </row>
    <row r="11" spans="2:22" ht="36" x14ac:dyDescent="0.3">
      <c r="B11" s="123">
        <v>8</v>
      </c>
      <c r="C11" s="109" t="s">
        <v>177</v>
      </c>
      <c r="D11" s="135" t="str">
        <f>'1. Brigadeiros'!E11</f>
        <v>S</v>
      </c>
      <c r="E11" s="136" t="str">
        <f>'1. Brigadeiros'!W11</f>
        <v>Crítica</v>
      </c>
      <c r="F11" s="176">
        <f>'1. Brigadeiros'!F11</f>
        <v>0</v>
      </c>
      <c r="G11" s="137" t="str">
        <f>'2. Galletas'!E11</f>
        <v>D</v>
      </c>
      <c r="H11" s="138" t="str">
        <f>'2. Galletas'!W11</f>
        <v>Media</v>
      </c>
      <c r="I11" s="177" t="str">
        <f>'2. Galletas'!F11</f>
        <v>No lo vio necesario</v>
      </c>
      <c r="J11" s="139" t="str">
        <f>'3. Pinchos'!E11</f>
        <v>S</v>
      </c>
      <c r="K11" s="140" t="str">
        <f>'3. Pinchos'!W11</f>
        <v>Baja</v>
      </c>
      <c r="L11" s="178">
        <f>'3. Pinchos'!F11</f>
        <v>0</v>
      </c>
      <c r="M11" s="126" t="str">
        <f>'4. Granolitas'!E11</f>
        <v>D</v>
      </c>
      <c r="N11" s="127" t="str">
        <f>'4. Granolitas'!W11</f>
        <v>Baja</v>
      </c>
      <c r="O11" s="126">
        <f>'4. Granolitas'!F11</f>
        <v>0</v>
      </c>
      <c r="P11" s="172" t="str">
        <f>'5. Hamburguesas'!E11</f>
        <v>S</v>
      </c>
      <c r="Q11" s="173" t="str">
        <f>'5. Hamburguesas'!W11</f>
        <v>Crítica</v>
      </c>
      <c r="R11" s="179">
        <f>'5. Hamburguesas'!F11</f>
        <v>0</v>
      </c>
      <c r="S11" s="174" t="str">
        <f>'6. Tortas'!E11</f>
        <v>S</v>
      </c>
      <c r="T11" s="175" t="str">
        <f>'6. Tortas'!W11</f>
        <v>Crítica</v>
      </c>
      <c r="U11" s="180">
        <f>'6. Tortas'!F11</f>
        <v>0</v>
      </c>
      <c r="V11" s="133" t="s">
        <v>83</v>
      </c>
    </row>
    <row r="12" spans="2:22" ht="24" x14ac:dyDescent="0.3">
      <c r="B12" s="123">
        <v>9</v>
      </c>
      <c r="C12" s="109" t="s">
        <v>7</v>
      </c>
      <c r="D12" s="135" t="str">
        <f>'1. Brigadeiros'!E12</f>
        <v>N</v>
      </c>
      <c r="E12" s="131" t="s">
        <v>83</v>
      </c>
      <c r="F12" s="176" t="str">
        <f>'1. Brigadeiros'!F12</f>
        <v>Propósito; valores; principios</v>
      </c>
      <c r="G12" s="137" t="str">
        <f>'2. Galletas'!E12</f>
        <v>S</v>
      </c>
      <c r="H12" s="138" t="str">
        <f>'2. Galletas'!W12</f>
        <v>Crítica</v>
      </c>
      <c r="I12" s="177">
        <f>'2. Galletas'!F12</f>
        <v>0</v>
      </c>
      <c r="J12" s="139" t="str">
        <f>'3. Pinchos'!E12</f>
        <v>N</v>
      </c>
      <c r="K12" s="131" t="s">
        <v>83</v>
      </c>
      <c r="L12" s="178" t="str">
        <f>'3. Pinchos'!F12</f>
        <v>Desconocimiento</v>
      </c>
      <c r="M12" s="126" t="str">
        <f>'4. Granolitas'!E12</f>
        <v>N</v>
      </c>
      <c r="N12" s="131" t="s">
        <v>83</v>
      </c>
      <c r="O12" s="126" t="str">
        <f>'4. Granolitas'!F12</f>
        <v>NO LO VIO IMPORTANTE</v>
      </c>
      <c r="P12" s="172" t="str">
        <f>'5. Hamburguesas'!E12</f>
        <v>D</v>
      </c>
      <c r="Q12" s="173" t="str">
        <f>'5. Hamburguesas'!W12</f>
        <v>Crítica</v>
      </c>
      <c r="R12" s="179" t="str">
        <f>'5. Hamburguesas'!F12</f>
        <v>Faltó incoporar valores y propósito</v>
      </c>
      <c r="S12" s="174" t="str">
        <f>'6. Tortas'!E12</f>
        <v>D</v>
      </c>
      <c r="T12" s="175" t="str">
        <f>'6. Tortas'!W12</f>
        <v>Crítica</v>
      </c>
      <c r="U12" s="180" t="str">
        <f>'6. Tortas'!F12</f>
        <v>Se hizo tiempo después y no desde el inicio</v>
      </c>
      <c r="V12" s="133" t="s">
        <v>83</v>
      </c>
    </row>
    <row r="13" spans="2:22" ht="28.8" x14ac:dyDescent="0.3">
      <c r="B13" s="123">
        <v>10</v>
      </c>
      <c r="C13" s="109" t="s">
        <v>178</v>
      </c>
      <c r="D13" s="135" t="str">
        <f>'1. Brigadeiros'!E13</f>
        <v>D</v>
      </c>
      <c r="E13" s="136" t="str">
        <f>'1. Brigadeiros'!W13</f>
        <v>Media</v>
      </c>
      <c r="F13" s="176" t="str">
        <f>'1. Brigadeiros'!F13</f>
        <v>No sabía cómo hacerlo</v>
      </c>
      <c r="G13" s="137" t="str">
        <f>'2. Galletas'!E13</f>
        <v>D</v>
      </c>
      <c r="H13" s="138" t="str">
        <f>'2. Galletas'!W13</f>
        <v>Crítica</v>
      </c>
      <c r="I13" s="177" t="str">
        <f>'2. Galletas'!F13</f>
        <v xml:space="preserve">No sabe materializar las estrategias </v>
      </c>
      <c r="J13" s="139" t="str">
        <f>'3. Pinchos'!E13</f>
        <v>D</v>
      </c>
      <c r="K13" s="140" t="str">
        <f>'3. Pinchos'!W13</f>
        <v>Crítica</v>
      </c>
      <c r="L13" s="178" t="str">
        <f>'3. Pinchos'!F13</f>
        <v>Desconocimiento</v>
      </c>
      <c r="M13" s="126" t="str">
        <f>'4. Granolitas'!E13</f>
        <v>N</v>
      </c>
      <c r="N13" s="131" t="s">
        <v>83</v>
      </c>
      <c r="O13" s="126" t="str">
        <f>'4. Granolitas'!F13</f>
        <v>DESCONOCIMIENTO</v>
      </c>
      <c r="P13" s="172" t="str">
        <f>'5. Hamburguesas'!E13</f>
        <v>D</v>
      </c>
      <c r="Q13" s="173" t="str">
        <f>'5. Hamburguesas'!W13</f>
        <v>Crítica</v>
      </c>
      <c r="R13" s="179" t="str">
        <f>'5. Hamburguesas'!F13</f>
        <v>Si se diseñaron pero no ganadora. DESCONOCIMIENTO</v>
      </c>
      <c r="S13" s="174" t="str">
        <f>'6. Tortas'!E13</f>
        <v>D</v>
      </c>
      <c r="T13" s="175" t="str">
        <f>'6. Tortas'!W13</f>
        <v>Crítica</v>
      </c>
      <c r="U13" s="180" t="str">
        <f>'6. Tortas'!F13</f>
        <v>Por no priorizarlo dentro de las actividades del negocio</v>
      </c>
      <c r="V13" s="133" t="s">
        <v>83</v>
      </c>
    </row>
    <row r="14" spans="2:22" ht="24" x14ac:dyDescent="0.3">
      <c r="B14" s="123">
        <v>11</v>
      </c>
      <c r="C14" s="109" t="s">
        <v>8</v>
      </c>
      <c r="D14" s="135" t="str">
        <f>'1. Brigadeiros'!E14</f>
        <v>S</v>
      </c>
      <c r="E14" s="136" t="str">
        <f>'1. Brigadeiros'!W14</f>
        <v>Crítica</v>
      </c>
      <c r="F14" s="176">
        <f>'1. Brigadeiros'!F14</f>
        <v>0</v>
      </c>
      <c r="G14" s="137" t="str">
        <f>'2. Galletas'!E14</f>
        <v>S</v>
      </c>
      <c r="H14" s="138" t="str">
        <f>'2. Galletas'!W14</f>
        <v>Crítica</v>
      </c>
      <c r="I14" s="177">
        <f>'2. Galletas'!F14</f>
        <v>0</v>
      </c>
      <c r="J14" s="139" t="str">
        <f>'3. Pinchos'!E14</f>
        <v>S</v>
      </c>
      <c r="K14" s="140" t="str">
        <f>'3. Pinchos'!W14</f>
        <v>Crítica</v>
      </c>
      <c r="L14" s="178">
        <f>'3. Pinchos'!F14</f>
        <v>0</v>
      </c>
      <c r="M14" s="126" t="str">
        <f>'4. Granolitas'!E14</f>
        <v>D</v>
      </c>
      <c r="N14" s="127" t="str">
        <f>'4. Granolitas'!W14</f>
        <v>Baja</v>
      </c>
      <c r="O14" s="126" t="str">
        <f>'4. Granolitas'!F14</f>
        <v>DEDICACIÓN</v>
      </c>
      <c r="P14" s="172" t="str">
        <f>'5. Hamburguesas'!E14</f>
        <v>S</v>
      </c>
      <c r="Q14" s="173" t="str">
        <f>'5. Hamburguesas'!W14</f>
        <v>Crítica</v>
      </c>
      <c r="R14" s="179">
        <f>'5. Hamburguesas'!F14</f>
        <v>0</v>
      </c>
      <c r="S14" s="174" t="str">
        <f>'6. Tortas'!E14</f>
        <v>D</v>
      </c>
      <c r="T14" s="175" t="str">
        <f>'6. Tortas'!W14</f>
        <v>Crítica</v>
      </c>
      <c r="U14" s="180" t="str">
        <f>'6. Tortas'!F14</f>
        <v>No se ha aplicado hasta el momento</v>
      </c>
      <c r="V14" s="133" t="s">
        <v>48</v>
      </c>
    </row>
    <row r="15" spans="2:22" ht="24" x14ac:dyDescent="0.3">
      <c r="B15" s="123">
        <v>12</v>
      </c>
      <c r="C15" s="109" t="s">
        <v>9</v>
      </c>
      <c r="D15" s="135" t="str">
        <f>'1. Brigadeiros'!E15</f>
        <v>D</v>
      </c>
      <c r="E15" s="136" t="str">
        <f>'1. Brigadeiros'!W15</f>
        <v>Media</v>
      </c>
      <c r="F15" s="176" t="str">
        <f>'1. Brigadeiros'!F15</f>
        <v>No para todas las materias primas</v>
      </c>
      <c r="G15" s="137" t="str">
        <f>'2. Galletas'!E15</f>
        <v>D</v>
      </c>
      <c r="H15" s="138" t="str">
        <f>'2. Galletas'!W15</f>
        <v>Baja</v>
      </c>
      <c r="I15" s="177" t="str">
        <f>'2. Galletas'!F15</f>
        <v>Se casó con un solo proveedor</v>
      </c>
      <c r="J15" s="139" t="str">
        <f>'3. Pinchos'!E15</f>
        <v>N</v>
      </c>
      <c r="K15" s="131" t="s">
        <v>49</v>
      </c>
      <c r="L15" s="178" t="str">
        <f>'3. Pinchos'!F15</f>
        <v>No lo vió necesario</v>
      </c>
      <c r="M15" s="126" t="str">
        <f>'4. Granolitas'!E15</f>
        <v>D</v>
      </c>
      <c r="N15" s="127" t="str">
        <f>'4. Granolitas'!W15</f>
        <v>Baja</v>
      </c>
      <c r="O15" s="126" t="str">
        <f>'4. Granolitas'!F15</f>
        <v>NO LO VIO IMPORTANTE</v>
      </c>
      <c r="P15" s="172" t="str">
        <f>'5. Hamburguesas'!E15</f>
        <v>S</v>
      </c>
      <c r="Q15" s="173" t="str">
        <f>'5. Hamburguesas'!W15</f>
        <v>Crítica</v>
      </c>
      <c r="R15" s="179">
        <f>'5. Hamburguesas'!F15</f>
        <v>0</v>
      </c>
      <c r="S15" s="174" t="str">
        <f>'6. Tortas'!E15</f>
        <v>S</v>
      </c>
      <c r="T15" s="175" t="str">
        <f>'6. Tortas'!W15</f>
        <v>Baja</v>
      </c>
      <c r="U15" s="180">
        <f>'6. Tortas'!F15</f>
        <v>0</v>
      </c>
      <c r="V15" s="133" t="s">
        <v>49</v>
      </c>
    </row>
    <row r="16" spans="2:22" ht="28.8" x14ac:dyDescent="0.3">
      <c r="B16" s="123">
        <v>13</v>
      </c>
      <c r="C16" s="109" t="s">
        <v>180</v>
      </c>
      <c r="D16" s="135" t="str">
        <f>'1. Brigadeiros'!E16</f>
        <v>N</v>
      </c>
      <c r="E16" s="131" t="s">
        <v>48</v>
      </c>
      <c r="F16" s="176" t="str">
        <f>'1. Brigadeiros'!F16</f>
        <v>No diseñaron completa la estrategia de captura de valor</v>
      </c>
      <c r="G16" s="137" t="str">
        <f>'2. Galletas'!E16</f>
        <v>N</v>
      </c>
      <c r="H16" s="131" t="s">
        <v>48</v>
      </c>
      <c r="I16" s="177" t="str">
        <f>'2. Galletas'!F16</f>
        <v>por desconocimiento sobre el tema</v>
      </c>
      <c r="J16" s="139" t="str">
        <f>'3. Pinchos'!E16</f>
        <v>N</v>
      </c>
      <c r="K16" s="131" t="s">
        <v>48</v>
      </c>
      <c r="L16" s="178" t="str">
        <f>'3. Pinchos'!F16</f>
        <v>Desconocimiento</v>
      </c>
      <c r="M16" s="126" t="str">
        <f>'4. Granolitas'!E16</f>
        <v>N</v>
      </c>
      <c r="N16" s="131" t="s">
        <v>48</v>
      </c>
      <c r="O16" s="126" t="str">
        <f>'4. Granolitas'!F16</f>
        <v>DESCONOCIMIENTO</v>
      </c>
      <c r="P16" s="172" t="str">
        <f>'5. Hamburguesas'!E16</f>
        <v>D</v>
      </c>
      <c r="Q16" s="173" t="str">
        <f>'5. Hamburguesas'!W16</f>
        <v>Crítica</v>
      </c>
      <c r="R16" s="179" t="str">
        <f>'5. Hamburguesas'!F16</f>
        <v>Si posicionamiento, pero no captura de valor</v>
      </c>
      <c r="S16" s="174" t="str">
        <f>'6. Tortas'!E16</f>
        <v>D</v>
      </c>
      <c r="T16" s="175" t="str">
        <f>'6. Tortas'!W16</f>
        <v>Crítica</v>
      </c>
      <c r="U16" s="180" t="str">
        <f>'6. Tortas'!F16</f>
        <v>Por la forma de costear, por mantener precio bajo y uso de ingredientes premium</v>
      </c>
      <c r="V16" s="133" t="s">
        <v>48</v>
      </c>
    </row>
    <row r="17" spans="2:22" ht="28.8" x14ac:dyDescent="0.3">
      <c r="B17" s="123">
        <v>14</v>
      </c>
      <c r="C17" s="109" t="s">
        <v>11</v>
      </c>
      <c r="D17" s="135" t="str">
        <f>'1. Brigadeiros'!E17</f>
        <v>S</v>
      </c>
      <c r="E17" s="136" t="str">
        <f>'1. Brigadeiros'!W17</f>
        <v>Media</v>
      </c>
      <c r="F17" s="176">
        <f>'1. Brigadeiros'!F17</f>
        <v>0</v>
      </c>
      <c r="G17" s="137" t="str">
        <f>'2. Galletas'!E17</f>
        <v>D</v>
      </c>
      <c r="H17" s="138" t="str">
        <f>'2. Galletas'!W17</f>
        <v>Crítica</v>
      </c>
      <c r="I17" s="177" t="str">
        <f>'2. Galletas'!F17</f>
        <v>No le vio importancia al inicio, ahora está aprendiendo y modificando</v>
      </c>
      <c r="J17" s="139" t="str">
        <f>'3. Pinchos'!E17</f>
        <v>N</v>
      </c>
      <c r="K17" s="131" t="s">
        <v>83</v>
      </c>
      <c r="L17" s="178" t="str">
        <f>'3. Pinchos'!F17</f>
        <v>Falta de tiempo</v>
      </c>
      <c r="M17" s="126" t="str">
        <f>'4. Granolitas'!E17</f>
        <v>S</v>
      </c>
      <c r="N17" s="127" t="str">
        <f>'4. Granolitas'!W17</f>
        <v>Media</v>
      </c>
      <c r="O17" s="126">
        <f>'4. Granolitas'!F17</f>
        <v>0</v>
      </c>
      <c r="P17" s="172" t="str">
        <f>'5. Hamburguesas'!E17</f>
        <v>D</v>
      </c>
      <c r="Q17" s="173" t="str">
        <f>'5. Hamburguesas'!W17</f>
        <v>Crítica</v>
      </c>
      <c r="R17" s="179" t="str">
        <f>'5. Hamburguesas'!F17</f>
        <v>Si sacaron costos, pero no formal</v>
      </c>
      <c r="S17" s="174" t="str">
        <f>'6. Tortas'!E17</f>
        <v>S</v>
      </c>
      <c r="T17" s="175" t="str">
        <f>'6. Tortas'!W17</f>
        <v>Crítica</v>
      </c>
      <c r="U17" s="180">
        <f>'6. Tortas'!F17</f>
        <v>0</v>
      </c>
      <c r="V17" s="133" t="s">
        <v>83</v>
      </c>
    </row>
    <row r="18" spans="2:22" ht="28.8" x14ac:dyDescent="0.3">
      <c r="B18" s="123">
        <v>15</v>
      </c>
      <c r="C18" s="109" t="s">
        <v>10</v>
      </c>
      <c r="D18" s="135" t="str">
        <f>'1. Brigadeiros'!E18</f>
        <v>N</v>
      </c>
      <c r="E18" s="131" t="str">
        <f>'1. Brigadeiros'!W18</f>
        <v>Crítica</v>
      </c>
      <c r="F18" s="176" t="str">
        <f>'1. Brigadeiros'!F18</f>
        <v>No sabía cómo hacerlo</v>
      </c>
      <c r="G18" s="137" t="str">
        <f>'2. Galletas'!E18</f>
        <v>D</v>
      </c>
      <c r="H18" s="138" t="str">
        <f>'2. Galletas'!W18</f>
        <v>Crítica</v>
      </c>
      <c r="I18" s="177" t="str">
        <f>'2. Galletas'!F18</f>
        <v>No lo vio importante al principio</v>
      </c>
      <c r="J18" s="139" t="str">
        <f>'3. Pinchos'!E18</f>
        <v>D</v>
      </c>
      <c r="K18" s="140" t="str">
        <f>'3. Pinchos'!W18</f>
        <v>Crítica</v>
      </c>
      <c r="L18" s="178" t="str">
        <f>'3. Pinchos'!F18</f>
        <v>Negocio informal</v>
      </c>
      <c r="M18" s="126" t="str">
        <f>'4. Granolitas'!E18</f>
        <v>N</v>
      </c>
      <c r="N18" s="131" t="s">
        <v>83</v>
      </c>
      <c r="O18" s="126" t="str">
        <f>'4. Granolitas'!F18</f>
        <v>DESCONOCIMIENTO</v>
      </c>
      <c r="P18" s="172" t="str">
        <f>'5. Hamburguesas'!E18</f>
        <v>N</v>
      </c>
      <c r="Q18" s="173" t="str">
        <f>'5. Hamburguesas'!W18</f>
        <v>Crítica</v>
      </c>
      <c r="R18" s="179">
        <f>'5. Hamburguesas'!F18</f>
        <v>0</v>
      </c>
      <c r="S18" s="174" t="str">
        <f>'6. Tortas'!E18</f>
        <v>N</v>
      </c>
      <c r="T18" s="175" t="str">
        <f>'6. Tortas'!W18</f>
        <v>Crítica</v>
      </c>
      <c r="U18" s="180" t="str">
        <f>'6. Tortas'!F18</f>
        <v>No se hizo completo, ni se actualizó al nuevo negocio (Abierto café)</v>
      </c>
      <c r="V18" s="133" t="s">
        <v>83</v>
      </c>
    </row>
    <row r="19" spans="2:22" ht="28.8" x14ac:dyDescent="0.3">
      <c r="B19" s="123">
        <v>16</v>
      </c>
      <c r="C19" s="109" t="s">
        <v>184</v>
      </c>
      <c r="D19" s="135" t="str">
        <f>'1. Brigadeiros'!E19</f>
        <v>D</v>
      </c>
      <c r="E19" s="136" t="str">
        <f>'1. Brigadeiros'!W19</f>
        <v>Media</v>
      </c>
      <c r="F19" s="176" t="str">
        <f>'1. Brigadeiros'!F19</f>
        <v>Solo los medios y formas de pago más comunes</v>
      </c>
      <c r="G19" s="137" t="str">
        <f>'2. Galletas'!E19</f>
        <v>S</v>
      </c>
      <c r="H19" s="138" t="str">
        <f>'2. Galletas'!W19</f>
        <v>Baja</v>
      </c>
      <c r="I19" s="177">
        <f>'2. Galletas'!F19</f>
        <v>0</v>
      </c>
      <c r="J19" s="139" t="str">
        <f>'3. Pinchos'!E19</f>
        <v>S</v>
      </c>
      <c r="K19" s="140" t="str">
        <f>'3. Pinchos'!W19</f>
        <v>Baja</v>
      </c>
      <c r="L19" s="178">
        <f>'3. Pinchos'!F19</f>
        <v>0</v>
      </c>
      <c r="M19" s="126" t="str">
        <f>'4. Granolitas'!E19</f>
        <v>D</v>
      </c>
      <c r="N19" s="127" t="str">
        <f>'4. Granolitas'!W19</f>
        <v>Baja</v>
      </c>
      <c r="O19" s="126" t="str">
        <f>'4. Granolitas'!F19</f>
        <v>DESCONOCIMIENTO</v>
      </c>
      <c r="P19" s="172" t="str">
        <f>'5. Hamburguesas'!E19</f>
        <v>S</v>
      </c>
      <c r="Q19" s="173" t="str">
        <f>'5. Hamburguesas'!W19</f>
        <v>Crítica</v>
      </c>
      <c r="R19" s="179">
        <f>'5. Hamburguesas'!F19</f>
        <v>0</v>
      </c>
      <c r="S19" s="174" t="str">
        <f>'6. Tortas'!E19</f>
        <v>S</v>
      </c>
      <c r="T19" s="175" t="str">
        <f>'6. Tortas'!W19</f>
        <v>Crítica</v>
      </c>
      <c r="U19" s="180">
        <f>'6. Tortas'!F19</f>
        <v>0</v>
      </c>
      <c r="V19" s="133" t="s">
        <v>49</v>
      </c>
    </row>
    <row r="20" spans="2:22" ht="36" x14ac:dyDescent="0.3">
      <c r="B20" s="123">
        <v>17</v>
      </c>
      <c r="C20" s="109" t="s">
        <v>186</v>
      </c>
      <c r="D20" s="135" t="str">
        <f>'1. Brigadeiros'!E20</f>
        <v>S</v>
      </c>
      <c r="E20" s="136" t="str">
        <f>'1. Brigadeiros'!W20</f>
        <v>Crítica</v>
      </c>
      <c r="F20" s="176">
        <f>'1. Brigadeiros'!F20</f>
        <v>0</v>
      </c>
      <c r="G20" s="137" t="str">
        <f>'2. Galletas'!E20</f>
        <v>S</v>
      </c>
      <c r="H20" s="138" t="str">
        <f>'2. Galletas'!W20</f>
        <v>Media</v>
      </c>
      <c r="I20" s="177">
        <f>'2. Galletas'!F20</f>
        <v>0</v>
      </c>
      <c r="J20" s="139" t="str">
        <f>'3. Pinchos'!E20</f>
        <v>S</v>
      </c>
      <c r="K20" s="140" t="str">
        <f>'3. Pinchos'!W20</f>
        <v>Baja</v>
      </c>
      <c r="L20" s="178">
        <f>'3. Pinchos'!F20</f>
        <v>0</v>
      </c>
      <c r="M20" s="126" t="str">
        <f>'4. Granolitas'!E20</f>
        <v>D</v>
      </c>
      <c r="N20" s="127" t="str">
        <f>'4. Granolitas'!W20</f>
        <v>Media</v>
      </c>
      <c r="O20" s="126" t="str">
        <f>'4. Granolitas'!F20</f>
        <v>NO LO VIO IMPORTANTE</v>
      </c>
      <c r="P20" s="172" t="str">
        <f>'5. Hamburguesas'!E20</f>
        <v>N</v>
      </c>
      <c r="Q20" s="173" t="str">
        <f>'5. Hamburguesas'!W20</f>
        <v>Media</v>
      </c>
      <c r="R20" s="179">
        <f>'5. Hamburguesas'!F20</f>
        <v>0</v>
      </c>
      <c r="S20" s="174" t="str">
        <f>'6. Tortas'!E20</f>
        <v>D</v>
      </c>
      <c r="T20" s="175" t="str">
        <f>'6. Tortas'!W20</f>
        <v>Crítica</v>
      </c>
      <c r="U20" s="180" t="str">
        <f>'6. Tortas'!F20</f>
        <v>No se ha hecho de forma periódica, solo al inicio.</v>
      </c>
      <c r="V20" s="133" t="s">
        <v>48</v>
      </c>
    </row>
    <row r="21" spans="2:22" ht="28.8" x14ac:dyDescent="0.3">
      <c r="B21" s="123">
        <v>18</v>
      </c>
      <c r="C21" s="109" t="s">
        <v>187</v>
      </c>
      <c r="D21" s="135" t="str">
        <f>'1. Brigadeiros'!E21</f>
        <v>S</v>
      </c>
      <c r="E21" s="136" t="str">
        <f>'1. Brigadeiros'!W21</f>
        <v>Crítica</v>
      </c>
      <c r="F21" s="176">
        <f>'1. Brigadeiros'!F21</f>
        <v>0</v>
      </c>
      <c r="G21" s="137" t="str">
        <f>'2. Galletas'!E21</f>
        <v>S</v>
      </c>
      <c r="H21" s="138" t="str">
        <f>'2. Galletas'!W21</f>
        <v>Media</v>
      </c>
      <c r="I21" s="177">
        <f>'2. Galletas'!F21</f>
        <v>0</v>
      </c>
      <c r="J21" s="139" t="str">
        <f>'3. Pinchos'!E21</f>
        <v>N</v>
      </c>
      <c r="K21" s="131" t="s">
        <v>83</v>
      </c>
      <c r="L21" s="178">
        <f>'3. Pinchos'!F21</f>
        <v>0</v>
      </c>
      <c r="M21" s="126" t="str">
        <f>'4. Granolitas'!E21</f>
        <v>S</v>
      </c>
      <c r="N21" s="127" t="str">
        <f>'4. Granolitas'!W21</f>
        <v>Baja</v>
      </c>
      <c r="O21" s="126">
        <f>'4. Granolitas'!F21</f>
        <v>0</v>
      </c>
      <c r="P21" s="172" t="str">
        <f>'5. Hamburguesas'!E21</f>
        <v>N</v>
      </c>
      <c r="Q21" s="173" t="str">
        <f>'5. Hamburguesas'!W21</f>
        <v>Crítica</v>
      </c>
      <c r="R21" s="179">
        <f>'5. Hamburguesas'!F21</f>
        <v>0</v>
      </c>
      <c r="S21" s="174" t="str">
        <f>'6. Tortas'!E21</f>
        <v>D</v>
      </c>
      <c r="T21" s="175" t="str">
        <f>'6. Tortas'!W21</f>
        <v>Crítica</v>
      </c>
      <c r="U21" s="180" t="str">
        <f>'6. Tortas'!F21</f>
        <v>No se ha hecho de forma periódica, solo al inicio.</v>
      </c>
      <c r="V21" s="133" t="s">
        <v>83</v>
      </c>
    </row>
    <row r="22" spans="2:22" ht="24" x14ac:dyDescent="0.3">
      <c r="B22" s="123">
        <v>19</v>
      </c>
      <c r="C22" s="109" t="s">
        <v>12</v>
      </c>
      <c r="D22" s="135" t="str">
        <f>'1. Brigadeiros'!E22</f>
        <v>S</v>
      </c>
      <c r="E22" s="136" t="str">
        <f>'1. Brigadeiros'!W22</f>
        <v>Crítica</v>
      </c>
      <c r="F22" s="176">
        <f>'1. Brigadeiros'!F22</f>
        <v>0</v>
      </c>
      <c r="G22" s="137" t="str">
        <f>'2. Galletas'!E22</f>
        <v>S</v>
      </c>
      <c r="H22" s="138" t="str">
        <f>'2. Galletas'!W22</f>
        <v>Media</v>
      </c>
      <c r="I22" s="177">
        <f>'2. Galletas'!F22</f>
        <v>0</v>
      </c>
      <c r="J22" s="139" t="str">
        <f>'3. Pinchos'!E22</f>
        <v>S</v>
      </c>
      <c r="K22" s="140" t="str">
        <f>'3. Pinchos'!W22</f>
        <v>Media</v>
      </c>
      <c r="L22" s="178">
        <f>'3. Pinchos'!F22</f>
        <v>0</v>
      </c>
      <c r="M22" s="126" t="str">
        <f>'4. Granolitas'!E22</f>
        <v>S</v>
      </c>
      <c r="N22" s="127" t="str">
        <f>'4. Granolitas'!W22</f>
        <v>Baja</v>
      </c>
      <c r="O22" s="126">
        <f>'4. Granolitas'!F22</f>
        <v>0</v>
      </c>
      <c r="P22" s="172" t="str">
        <f>'5. Hamburguesas'!E22</f>
        <v>S</v>
      </c>
      <c r="Q22" s="173" t="str">
        <f>'5. Hamburguesas'!W22</f>
        <v>Crítica</v>
      </c>
      <c r="R22" s="179">
        <f>'5. Hamburguesas'!F22</f>
        <v>0</v>
      </c>
      <c r="S22" s="174" t="str">
        <f>'6. Tortas'!E22</f>
        <v>S</v>
      </c>
      <c r="T22" s="175" t="str">
        <f>'6. Tortas'!W22</f>
        <v>Crítica</v>
      </c>
      <c r="U22" s="180">
        <f>'6. Tortas'!F22</f>
        <v>0</v>
      </c>
      <c r="V22" s="133" t="s">
        <v>48</v>
      </c>
    </row>
    <row r="23" spans="2:22" x14ac:dyDescent="0.3">
      <c r="B23" s="123">
        <v>20</v>
      </c>
      <c r="C23" s="109" t="s">
        <v>13</v>
      </c>
      <c r="D23" s="135" t="str">
        <f>'1. Brigadeiros'!E23</f>
        <v>S</v>
      </c>
      <c r="E23" s="136" t="str">
        <f>'1. Brigadeiros'!W23</f>
        <v>Crítica</v>
      </c>
      <c r="F23" s="176">
        <f>'1. Brigadeiros'!F23</f>
        <v>0</v>
      </c>
      <c r="G23" s="137" t="str">
        <f>'2. Galletas'!E23</f>
        <v>S</v>
      </c>
      <c r="H23" s="138" t="str">
        <f>'2. Galletas'!W23</f>
        <v>Media</v>
      </c>
      <c r="I23" s="177">
        <f>'2. Galletas'!F23</f>
        <v>0</v>
      </c>
      <c r="J23" s="139" t="str">
        <f>'3. Pinchos'!E23</f>
        <v>D</v>
      </c>
      <c r="K23" s="140" t="str">
        <f>'3. Pinchos'!W23</f>
        <v>Media</v>
      </c>
      <c r="L23" s="178" t="str">
        <f>'3. Pinchos'!F23</f>
        <v>Desconocimiento</v>
      </c>
      <c r="M23" s="126" t="str">
        <f>'4. Granolitas'!E23</f>
        <v>S</v>
      </c>
      <c r="N23" s="127" t="str">
        <f>'4. Granolitas'!W23</f>
        <v>Baja</v>
      </c>
      <c r="O23" s="126">
        <f>'4. Granolitas'!F23</f>
        <v>0</v>
      </c>
      <c r="P23" s="172" t="str">
        <f>'5. Hamburguesas'!E23</f>
        <v>S</v>
      </c>
      <c r="Q23" s="173" t="str">
        <f>'5. Hamburguesas'!W23</f>
        <v>Crítica</v>
      </c>
      <c r="R23" s="179">
        <f>'5. Hamburguesas'!F23</f>
        <v>0</v>
      </c>
      <c r="S23" s="174" t="str">
        <f>'6. Tortas'!E23</f>
        <v>S</v>
      </c>
      <c r="T23" s="175" t="str">
        <f>'6. Tortas'!W23</f>
        <v>Crítica</v>
      </c>
      <c r="U23" s="180">
        <f>'6. Tortas'!F23</f>
        <v>0</v>
      </c>
      <c r="V23" s="133" t="s">
        <v>48</v>
      </c>
    </row>
    <row r="24" spans="2:22" ht="36" x14ac:dyDescent="0.3">
      <c r="B24" s="123">
        <v>21</v>
      </c>
      <c r="C24" s="109" t="s">
        <v>191</v>
      </c>
      <c r="D24" s="135" t="str">
        <f>'1. Brigadeiros'!E24</f>
        <v>S</v>
      </c>
      <c r="E24" s="136" t="str">
        <f>'1. Brigadeiros'!W24</f>
        <v>Crítica</v>
      </c>
      <c r="F24" s="176">
        <f>'1. Brigadeiros'!F24</f>
        <v>0</v>
      </c>
      <c r="G24" s="137" t="str">
        <f>'2. Galletas'!E24</f>
        <v>S</v>
      </c>
      <c r="H24" s="138" t="str">
        <f>'2. Galletas'!W24</f>
        <v>Media</v>
      </c>
      <c r="I24" s="177">
        <f>'2. Galletas'!F24</f>
        <v>0</v>
      </c>
      <c r="J24" s="139" t="str">
        <f>'3. Pinchos'!E24</f>
        <v>S</v>
      </c>
      <c r="K24" s="140" t="str">
        <f>'3. Pinchos'!W24</f>
        <v>Baja</v>
      </c>
      <c r="L24" s="178">
        <f>'3. Pinchos'!F24</f>
        <v>0</v>
      </c>
      <c r="M24" s="126" t="str">
        <f>'4. Granolitas'!E24</f>
        <v>D</v>
      </c>
      <c r="N24" s="127" t="str">
        <f>'4. Granolitas'!W24</f>
        <v>Baja</v>
      </c>
      <c r="O24" s="126" t="str">
        <f>'4. Granolitas'!F24</f>
        <v>DESCONOCIMIENTO</v>
      </c>
      <c r="P24" s="172" t="str">
        <f>'5. Hamburguesas'!E24</f>
        <v>N</v>
      </c>
      <c r="Q24" s="173" t="str">
        <f>'5. Hamburguesas'!W24</f>
        <v>Media</v>
      </c>
      <c r="R24" s="179">
        <f>'5. Hamburguesas'!F24</f>
        <v>0</v>
      </c>
      <c r="S24" s="174" t="str">
        <f>'6. Tortas'!E24</f>
        <v>S</v>
      </c>
      <c r="T24" s="175" t="str">
        <f>'6. Tortas'!W24</f>
        <v>Crítica</v>
      </c>
      <c r="U24" s="180">
        <f>'6. Tortas'!F24</f>
        <v>0</v>
      </c>
      <c r="V24" s="133" t="s">
        <v>48</v>
      </c>
    </row>
    <row r="25" spans="2:22" ht="36" x14ac:dyDescent="0.3">
      <c r="B25" s="123">
        <v>22</v>
      </c>
      <c r="C25" s="109" t="s">
        <v>14</v>
      </c>
      <c r="D25" s="135" t="str">
        <f>'1. Brigadeiros'!E25</f>
        <v>S</v>
      </c>
      <c r="E25" s="136" t="str">
        <f>'1. Brigadeiros'!W25</f>
        <v>Crítica</v>
      </c>
      <c r="F25" s="176">
        <f>'1. Brigadeiros'!F25</f>
        <v>0</v>
      </c>
      <c r="G25" s="137" t="str">
        <f>'2. Galletas'!E25</f>
        <v>S</v>
      </c>
      <c r="H25" s="138" t="str">
        <f>'2. Galletas'!W25</f>
        <v>Media</v>
      </c>
      <c r="I25" s="177">
        <f>'2. Galletas'!F25</f>
        <v>0</v>
      </c>
      <c r="J25" s="139" t="str">
        <f>'3. Pinchos'!E25</f>
        <v>S</v>
      </c>
      <c r="K25" s="140" t="str">
        <f>'3. Pinchos'!W25</f>
        <v>Media</v>
      </c>
      <c r="L25" s="178">
        <f>'3. Pinchos'!F25</f>
        <v>0</v>
      </c>
      <c r="M25" s="126" t="str">
        <f>'4. Granolitas'!E25</f>
        <v>N</v>
      </c>
      <c r="N25" s="131" t="s">
        <v>48</v>
      </c>
      <c r="O25" s="126" t="str">
        <f>'4. Granolitas'!F25</f>
        <v>DESCONOCIMIENTO</v>
      </c>
      <c r="P25" s="172" t="str">
        <f>'5. Hamburguesas'!E25</f>
        <v>S</v>
      </c>
      <c r="Q25" s="173" t="str">
        <f>'5. Hamburguesas'!W25</f>
        <v>Crítica</v>
      </c>
      <c r="R25" s="179">
        <f>'5. Hamburguesas'!F25</f>
        <v>0</v>
      </c>
      <c r="S25" s="174" t="str">
        <f>'6. Tortas'!E25</f>
        <v>S</v>
      </c>
      <c r="T25" s="175" t="str">
        <f>'6. Tortas'!W25</f>
        <v>Crítica</v>
      </c>
      <c r="U25" s="180">
        <f>'6. Tortas'!F25</f>
        <v>0</v>
      </c>
      <c r="V25" s="133" t="s">
        <v>48</v>
      </c>
    </row>
    <row r="26" spans="2:22" ht="24" x14ac:dyDescent="0.3">
      <c r="B26" s="123">
        <v>23</v>
      </c>
      <c r="C26" s="109" t="s">
        <v>15</v>
      </c>
      <c r="D26" s="135" t="str">
        <f>'1. Brigadeiros'!E26</f>
        <v>D</v>
      </c>
      <c r="E26" s="136" t="str">
        <f>'1. Brigadeiros'!W26</f>
        <v>Media</v>
      </c>
      <c r="F26" s="176" t="str">
        <f>'1. Brigadeiros'!F26</f>
        <v>No validaron FANS</v>
      </c>
      <c r="G26" s="137" t="str">
        <f>'2. Galletas'!E26</f>
        <v>S</v>
      </c>
      <c r="H26" s="138" t="str">
        <f>'2. Galletas'!W26</f>
        <v>Baja</v>
      </c>
      <c r="I26" s="177">
        <f>'2. Galletas'!F26</f>
        <v>0</v>
      </c>
      <c r="J26" s="139" t="str">
        <f>'3. Pinchos'!E26</f>
        <v>S</v>
      </c>
      <c r="K26" s="140" t="str">
        <f>'3. Pinchos'!W26</f>
        <v>Media</v>
      </c>
      <c r="L26" s="178">
        <f>'3. Pinchos'!F26</f>
        <v>0</v>
      </c>
      <c r="M26" s="126" t="str">
        <f>'4. Granolitas'!E26</f>
        <v>S</v>
      </c>
      <c r="N26" s="127" t="str">
        <f>'4. Granolitas'!W26</f>
        <v>Baja</v>
      </c>
      <c r="O26" s="126">
        <f>'4. Granolitas'!F26</f>
        <v>0</v>
      </c>
      <c r="P26" s="172" t="str">
        <f>'5. Hamburguesas'!E26</f>
        <v>N</v>
      </c>
      <c r="Q26" s="173" t="str">
        <f>'5. Hamburguesas'!W26</f>
        <v>Crítica</v>
      </c>
      <c r="R26" s="179">
        <f>'5. Hamburguesas'!F26</f>
        <v>0</v>
      </c>
      <c r="S26" s="174" t="str">
        <f>'6. Tortas'!E26</f>
        <v>S</v>
      </c>
      <c r="T26" s="175" t="str">
        <f>'6. Tortas'!W26</f>
        <v>Crítica</v>
      </c>
      <c r="U26" s="180">
        <f>'6. Tortas'!F26</f>
        <v>0</v>
      </c>
      <c r="V26" s="133" t="s">
        <v>83</v>
      </c>
    </row>
    <row r="27" spans="2:22" x14ac:dyDescent="0.3">
      <c r="B27" s="123">
        <v>24</v>
      </c>
      <c r="C27" s="109" t="s">
        <v>16</v>
      </c>
      <c r="D27" s="135" t="str">
        <f>'1. Brigadeiros'!E27</f>
        <v>N</v>
      </c>
      <c r="E27" s="131" t="s">
        <v>83</v>
      </c>
      <c r="F27" s="176" t="str">
        <f>'1. Brigadeiros'!F27</f>
        <v>No sabía cómo hacerlo</v>
      </c>
      <c r="G27" s="137" t="str">
        <f>'2. Galletas'!E27</f>
        <v>D</v>
      </c>
      <c r="H27" s="138" t="str">
        <f>'2. Galletas'!W27</f>
        <v>Crítica</v>
      </c>
      <c r="I27" s="177" t="str">
        <f>'2. Galletas'!F27</f>
        <v xml:space="preserve">No sabe materializar las estrategias, se queda en ideas </v>
      </c>
      <c r="J27" s="139" t="str">
        <f>'3. Pinchos'!E27</f>
        <v>N</v>
      </c>
      <c r="K27" s="131" t="s">
        <v>83</v>
      </c>
      <c r="L27" s="178" t="str">
        <f>'3. Pinchos'!F27</f>
        <v>Desconocimiento</v>
      </c>
      <c r="M27" s="126" t="str">
        <f>'4. Granolitas'!E27</f>
        <v>N</v>
      </c>
      <c r="N27" s="131" t="s">
        <v>83</v>
      </c>
      <c r="O27" s="126" t="str">
        <f>'4. Granolitas'!F27</f>
        <v>DESCONOCIMIENTO</v>
      </c>
      <c r="P27" s="172" t="str">
        <f>'5. Hamburguesas'!E27</f>
        <v>N</v>
      </c>
      <c r="Q27" s="173" t="str">
        <f>'5. Hamburguesas'!W27</f>
        <v>Crítica</v>
      </c>
      <c r="R27" s="179">
        <f>'5. Hamburguesas'!F27</f>
        <v>0</v>
      </c>
      <c r="S27" s="174" t="str">
        <f>'6. Tortas'!E27</f>
        <v>N</v>
      </c>
      <c r="T27" s="175" t="str">
        <f>'6. Tortas'!W27</f>
        <v>Crítica</v>
      </c>
      <c r="U27" s="180">
        <f>'6. Tortas'!F27</f>
        <v>0</v>
      </c>
      <c r="V27" s="133" t="s">
        <v>83</v>
      </c>
    </row>
    <row r="28" spans="2:22" x14ac:dyDescent="0.3">
      <c r="B28" s="123">
        <v>25</v>
      </c>
      <c r="C28" s="109" t="s">
        <v>163</v>
      </c>
      <c r="D28" s="135" t="str">
        <f>'1. Brigadeiros'!E28</f>
        <v>S</v>
      </c>
      <c r="E28" s="136" t="str">
        <f>'1. Brigadeiros'!W28</f>
        <v>Crítica</v>
      </c>
      <c r="F28" s="176">
        <f>'1. Brigadeiros'!F28</f>
        <v>0</v>
      </c>
      <c r="G28" s="137" t="str">
        <f>'2. Galletas'!E28</f>
        <v>N</v>
      </c>
      <c r="H28" s="131" t="str">
        <f>'2. Galletas'!W28</f>
        <v>Crítica</v>
      </c>
      <c r="I28" s="177" t="str">
        <f>'2. Galletas'!F28</f>
        <v>Dificultad en crecer, corta de ideas para crecer</v>
      </c>
      <c r="J28" s="139" t="str">
        <f>'3. Pinchos'!E28</f>
        <v>D</v>
      </c>
      <c r="K28" s="140" t="str">
        <f>'3. Pinchos'!W28</f>
        <v>Crítica</v>
      </c>
      <c r="L28" s="178" t="str">
        <f>'3. Pinchos'!F28</f>
        <v>Temor, y por falta de inversión</v>
      </c>
      <c r="M28" s="126" t="str">
        <f>'4. Granolitas'!E28</f>
        <v>S</v>
      </c>
      <c r="N28" s="127" t="str">
        <f>'4. Granolitas'!W28</f>
        <v>Baja</v>
      </c>
      <c r="O28" s="126">
        <f>'4. Granolitas'!F28</f>
        <v>0</v>
      </c>
      <c r="P28" s="172" t="str">
        <f>'5. Hamburguesas'!E28</f>
        <v>N</v>
      </c>
      <c r="Q28" s="173" t="str">
        <f>'5. Hamburguesas'!W28</f>
        <v>Crítica</v>
      </c>
      <c r="R28" s="179">
        <f>'5. Hamburguesas'!F28</f>
        <v>0</v>
      </c>
      <c r="S28" s="174" t="str">
        <f>'6. Tortas'!E28</f>
        <v>N</v>
      </c>
      <c r="T28" s="175" t="str">
        <f>'6. Tortas'!W28</f>
        <v>Crítica</v>
      </c>
      <c r="U28" s="180">
        <f>'6. Tortas'!F28</f>
        <v>0</v>
      </c>
      <c r="V28" s="134" t="s">
        <v>83</v>
      </c>
    </row>
    <row r="29" spans="2:22" x14ac:dyDescent="0.3">
      <c r="B29" s="123">
        <v>26</v>
      </c>
      <c r="C29" s="109" t="s">
        <v>17</v>
      </c>
      <c r="D29" s="135" t="str">
        <f>'1. Brigadeiros'!E29</f>
        <v>S</v>
      </c>
      <c r="E29" s="136" t="str">
        <f>'1. Brigadeiros'!W29</f>
        <v>Crítica</v>
      </c>
      <c r="F29" s="176">
        <f>'1. Brigadeiros'!F29</f>
        <v>0</v>
      </c>
      <c r="G29" s="137" t="str">
        <f>'2. Galletas'!E29</f>
        <v>S</v>
      </c>
      <c r="H29" s="138" t="str">
        <f>'2. Galletas'!W29</f>
        <v>Media</v>
      </c>
      <c r="I29" s="177">
        <f>'2. Galletas'!F29</f>
        <v>0</v>
      </c>
      <c r="J29" s="139" t="str">
        <f>'3. Pinchos'!E29</f>
        <v>S</v>
      </c>
      <c r="K29" s="140" t="str">
        <f>'3. Pinchos'!W29</f>
        <v>Media</v>
      </c>
      <c r="L29" s="178">
        <f>'3. Pinchos'!F29</f>
        <v>0</v>
      </c>
      <c r="M29" s="126" t="str">
        <f>'4. Granolitas'!E29</f>
        <v>S</v>
      </c>
      <c r="N29" s="127" t="str">
        <f>'4. Granolitas'!W29</f>
        <v>Baja</v>
      </c>
      <c r="O29" s="126">
        <f>'4. Granolitas'!F29</f>
        <v>0</v>
      </c>
      <c r="P29" s="172" t="str">
        <f>'5. Hamburguesas'!E29</f>
        <v>S</v>
      </c>
      <c r="Q29" s="173" t="str">
        <f>'5. Hamburguesas'!W29</f>
        <v>Crítica</v>
      </c>
      <c r="R29" s="179">
        <f>'5. Hamburguesas'!F29</f>
        <v>0</v>
      </c>
      <c r="S29" s="174" t="str">
        <f>'6. Tortas'!E29</f>
        <v>S</v>
      </c>
      <c r="T29" s="175" t="str">
        <f>'6. Tortas'!W29</f>
        <v>Crítica</v>
      </c>
      <c r="U29" s="180">
        <f>'6. Tortas'!F29</f>
        <v>0</v>
      </c>
      <c r="V29" s="130"/>
    </row>
    <row r="30" spans="2:22" ht="24" x14ac:dyDescent="0.3">
      <c r="B30" s="123">
        <v>27</v>
      </c>
      <c r="C30" s="109" t="s">
        <v>18</v>
      </c>
      <c r="D30" s="135" t="str">
        <f>'1. Brigadeiros'!E30</f>
        <v>S</v>
      </c>
      <c r="E30" s="136" t="str">
        <f>'1. Brigadeiros'!W30</f>
        <v>Crítica</v>
      </c>
      <c r="F30" s="176">
        <f>'1. Brigadeiros'!F30</f>
        <v>0</v>
      </c>
      <c r="G30" s="137" t="str">
        <f>'2. Galletas'!E30</f>
        <v>S</v>
      </c>
      <c r="H30" s="138" t="str">
        <f>'2. Galletas'!W30</f>
        <v>Media</v>
      </c>
      <c r="I30" s="177">
        <f>'2. Galletas'!F30</f>
        <v>0</v>
      </c>
      <c r="J30" s="139" t="str">
        <f>'3. Pinchos'!E30</f>
        <v>D</v>
      </c>
      <c r="K30" s="140" t="str">
        <f>'3. Pinchos'!W30</f>
        <v>Crítica</v>
      </c>
      <c r="L30" s="178" t="str">
        <f>'3. Pinchos'!F30</f>
        <v>Desconocimiento</v>
      </c>
      <c r="M30" s="126" t="str">
        <f>'4. Granolitas'!E30</f>
        <v>N</v>
      </c>
      <c r="N30" s="131" t="s">
        <v>83</v>
      </c>
      <c r="O30" s="126" t="str">
        <f>'4. Granolitas'!F30</f>
        <v>DESCONOCIMIENTO</v>
      </c>
      <c r="P30" s="172" t="str">
        <f>'5. Hamburguesas'!E30</f>
        <v>N</v>
      </c>
      <c r="Q30" s="173" t="str">
        <f>'5. Hamburguesas'!W30</f>
        <v>Crítica</v>
      </c>
      <c r="R30" s="179">
        <f>'5. Hamburguesas'!F30</f>
        <v>0</v>
      </c>
      <c r="S30" s="174" t="str">
        <f>'6. Tortas'!E30</f>
        <v>S</v>
      </c>
      <c r="T30" s="175" t="str">
        <f>'6. Tortas'!W30</f>
        <v>Baja</v>
      </c>
      <c r="U30" s="180">
        <f>'6. Tortas'!F30</f>
        <v>0</v>
      </c>
      <c r="V30" s="133" t="s">
        <v>83</v>
      </c>
    </row>
    <row r="31" spans="2:22" ht="24" x14ac:dyDescent="0.3">
      <c r="B31" s="123">
        <v>28</v>
      </c>
      <c r="C31" s="109" t="s">
        <v>194</v>
      </c>
      <c r="D31" s="135" t="str">
        <f>'1. Brigadeiros'!E31</f>
        <v>S</v>
      </c>
      <c r="E31" s="136" t="str">
        <f>'1. Brigadeiros'!W31</f>
        <v>Crítica</v>
      </c>
      <c r="F31" s="176">
        <f>'1. Brigadeiros'!F31</f>
        <v>0</v>
      </c>
      <c r="G31" s="137" t="str">
        <f>'2. Galletas'!E31</f>
        <v>S</v>
      </c>
      <c r="H31" s="138" t="str">
        <f>'2. Galletas'!W31</f>
        <v>Crítica</v>
      </c>
      <c r="I31" s="177">
        <f>'2. Galletas'!F31</f>
        <v>0</v>
      </c>
      <c r="J31" s="139" t="str">
        <f>'3. Pinchos'!E31</f>
        <v>N</v>
      </c>
      <c r="K31" s="131" t="s">
        <v>83</v>
      </c>
      <c r="L31" s="178" t="str">
        <f>'3. Pinchos'!F31</f>
        <v>No consideró importante</v>
      </c>
      <c r="M31" s="126" t="str">
        <f>'4. Granolitas'!E31</f>
        <v>S</v>
      </c>
      <c r="N31" s="127" t="str">
        <f>'4. Granolitas'!W31</f>
        <v>Media</v>
      </c>
      <c r="O31" s="126">
        <f>'4. Granolitas'!F31</f>
        <v>0</v>
      </c>
      <c r="P31" s="172" t="str">
        <f>'5. Hamburguesas'!E31</f>
        <v>N</v>
      </c>
      <c r="Q31" s="173" t="str">
        <f>'5. Hamburguesas'!W31</f>
        <v>Crítica</v>
      </c>
      <c r="R31" s="179">
        <f>'5. Hamburguesas'!F31</f>
        <v>0</v>
      </c>
      <c r="S31" s="174" t="str">
        <f>'6. Tortas'!E31</f>
        <v>D</v>
      </c>
      <c r="T31" s="175" t="str">
        <f>'6. Tortas'!W31</f>
        <v>Alta</v>
      </c>
      <c r="U31" s="180">
        <f>'6. Tortas'!F31</f>
        <v>0</v>
      </c>
      <c r="V31" s="133" t="s">
        <v>83</v>
      </c>
    </row>
    <row r="32" spans="2:22" ht="24" x14ac:dyDescent="0.3">
      <c r="B32" s="123">
        <v>29</v>
      </c>
      <c r="C32" s="109" t="s">
        <v>196</v>
      </c>
      <c r="D32" s="135" t="str">
        <f>'1. Brigadeiros'!E32</f>
        <v>S</v>
      </c>
      <c r="E32" s="136" t="str">
        <f>'1. Brigadeiros'!W32</f>
        <v>Crítica</v>
      </c>
      <c r="F32" s="176">
        <f>'1. Brigadeiros'!F32</f>
        <v>0</v>
      </c>
      <c r="G32" s="137" t="str">
        <f>'2. Galletas'!E32</f>
        <v>S</v>
      </c>
      <c r="H32" s="138" t="str">
        <f>'2. Galletas'!W32</f>
        <v>Media</v>
      </c>
      <c r="I32" s="177">
        <f>'2. Galletas'!F32</f>
        <v>0</v>
      </c>
      <c r="J32" s="139" t="str">
        <f>'3. Pinchos'!E32</f>
        <v>S</v>
      </c>
      <c r="K32" s="140" t="str">
        <f>'3. Pinchos'!W32</f>
        <v>Media</v>
      </c>
      <c r="L32" s="178">
        <f>'3. Pinchos'!F32</f>
        <v>0</v>
      </c>
      <c r="M32" s="126" t="str">
        <f>'4. Granolitas'!E32</f>
        <v>S</v>
      </c>
      <c r="N32" s="127" t="str">
        <f>'4. Granolitas'!W32</f>
        <v>Media</v>
      </c>
      <c r="O32" s="126">
        <f>'4. Granolitas'!F32</f>
        <v>0</v>
      </c>
      <c r="P32" s="172" t="str">
        <f>'5. Hamburguesas'!E32</f>
        <v>S</v>
      </c>
      <c r="Q32" s="173" t="str">
        <f>'5. Hamburguesas'!W32</f>
        <v>Media</v>
      </c>
      <c r="R32" s="179">
        <f>'5. Hamburguesas'!F32</f>
        <v>0</v>
      </c>
      <c r="S32" s="174" t="str">
        <f>'6. Tortas'!E32</f>
        <v>S</v>
      </c>
      <c r="T32" s="175" t="str">
        <f>'6. Tortas'!W32</f>
        <v>Media</v>
      </c>
      <c r="U32" s="180">
        <f>'6. Tortas'!F32</f>
        <v>0</v>
      </c>
      <c r="V32" s="133" t="s">
        <v>49</v>
      </c>
    </row>
    <row r="33" spans="2:22" ht="43.2" x14ac:dyDescent="0.3">
      <c r="B33" s="123">
        <v>30</v>
      </c>
      <c r="C33" s="109" t="s">
        <v>19</v>
      </c>
      <c r="D33" s="135" t="str">
        <f>'1. Brigadeiros'!E33</f>
        <v>S</v>
      </c>
      <c r="E33" s="136" t="str">
        <f>'1. Brigadeiros'!W33</f>
        <v>Crítica</v>
      </c>
      <c r="F33" s="176">
        <f>'1. Brigadeiros'!F33</f>
        <v>0</v>
      </c>
      <c r="G33" s="137" t="str">
        <f>'2. Galletas'!E33</f>
        <v>S</v>
      </c>
      <c r="H33" s="138" t="str">
        <f>'2. Galletas'!W33</f>
        <v>Media</v>
      </c>
      <c r="I33" s="177">
        <f>'2. Galletas'!F33</f>
        <v>0</v>
      </c>
      <c r="J33" s="139" t="str">
        <f>'3. Pinchos'!E33</f>
        <v>S</v>
      </c>
      <c r="K33" s="140" t="str">
        <f>'3. Pinchos'!W33</f>
        <v>Media</v>
      </c>
      <c r="L33" s="178">
        <f>'3. Pinchos'!F33</f>
        <v>0</v>
      </c>
      <c r="M33" s="126" t="str">
        <f>'4. Granolitas'!E33</f>
        <v>S</v>
      </c>
      <c r="N33" s="127" t="str">
        <f>'4. Granolitas'!W33</f>
        <v>Alta</v>
      </c>
      <c r="O33" s="126">
        <f>'4. Granolitas'!F33</f>
        <v>0</v>
      </c>
      <c r="P33" s="172" t="str">
        <f>'5. Hamburguesas'!E33</f>
        <v>S</v>
      </c>
      <c r="Q33" s="173" t="str">
        <f>'5. Hamburguesas'!W33</f>
        <v>Media</v>
      </c>
      <c r="R33" s="179">
        <f>'5. Hamburguesas'!F33</f>
        <v>0</v>
      </c>
      <c r="S33" s="174" t="str">
        <f>'6. Tortas'!E33</f>
        <v>D</v>
      </c>
      <c r="T33" s="175" t="str">
        <f>'6. Tortas'!W33</f>
        <v>Media</v>
      </c>
      <c r="U33" s="180" t="str">
        <f>'6. Tortas'!F33</f>
        <v>Gestión inadecuada porque no hay un esquema de administración de los pedidos de los domicilios</v>
      </c>
      <c r="V33" s="133" t="s">
        <v>49</v>
      </c>
    </row>
    <row r="34" spans="2:22" x14ac:dyDescent="0.3">
      <c r="B34" s="123">
        <v>31</v>
      </c>
      <c r="C34" s="109" t="s">
        <v>20</v>
      </c>
      <c r="D34" s="135" t="str">
        <f>'1. Brigadeiros'!E34</f>
        <v>S</v>
      </c>
      <c r="E34" s="136" t="str">
        <f>'1. Brigadeiros'!W34</f>
        <v>Crítica</v>
      </c>
      <c r="F34" s="176">
        <f>'1. Brigadeiros'!F34</f>
        <v>0</v>
      </c>
      <c r="G34" s="137" t="str">
        <f>'2. Galletas'!E34</f>
        <v>S</v>
      </c>
      <c r="H34" s="138" t="str">
        <f>'2. Galletas'!W34</f>
        <v>Media</v>
      </c>
      <c r="I34" s="177">
        <f>'2. Galletas'!F34</f>
        <v>0</v>
      </c>
      <c r="J34" s="139" t="str">
        <f>'3. Pinchos'!E34</f>
        <v>D</v>
      </c>
      <c r="K34" s="140" t="str">
        <f>'3. Pinchos'!W34</f>
        <v>Crítica</v>
      </c>
      <c r="L34" s="178" t="str">
        <f>'3. Pinchos'!F34</f>
        <v>Desconocimiento</v>
      </c>
      <c r="M34" s="126" t="str">
        <f>'4. Granolitas'!E34</f>
        <v>S</v>
      </c>
      <c r="N34" s="127" t="str">
        <f>'4. Granolitas'!W34</f>
        <v>Media</v>
      </c>
      <c r="O34" s="126">
        <f>'4. Granolitas'!F34</f>
        <v>0</v>
      </c>
      <c r="P34" s="172" t="str">
        <f>'5. Hamburguesas'!E34</f>
        <v>S</v>
      </c>
      <c r="Q34" s="173" t="str">
        <f>'5. Hamburguesas'!W34</f>
        <v>Crítica</v>
      </c>
      <c r="R34" s="179">
        <f>'5. Hamburguesas'!F34</f>
        <v>0</v>
      </c>
      <c r="S34" s="174" t="str">
        <f>'6. Tortas'!E34</f>
        <v>D</v>
      </c>
      <c r="T34" s="175" t="str">
        <f>'6. Tortas'!W34</f>
        <v>Crítica</v>
      </c>
      <c r="U34" s="180" t="str">
        <f>'6. Tortas'!F34</f>
        <v>Escuchar y no hacer</v>
      </c>
      <c r="V34" s="133" t="s">
        <v>48</v>
      </c>
    </row>
    <row r="35" spans="2:22" ht="24" x14ac:dyDescent="0.3">
      <c r="B35" s="123">
        <v>32</v>
      </c>
      <c r="C35" s="109" t="s">
        <v>21</v>
      </c>
      <c r="D35" s="135" t="str">
        <f>'1. Brigadeiros'!E35</f>
        <v>N</v>
      </c>
      <c r="E35" s="131" t="s">
        <v>83</v>
      </c>
      <c r="F35" s="176" t="str">
        <f>'1. Brigadeiros'!F35</f>
        <v>No sabía que se debía hacer</v>
      </c>
      <c r="G35" s="137" t="str">
        <f>'2. Galletas'!E35</f>
        <v>D</v>
      </c>
      <c r="H35" s="138" t="str">
        <f>'2. Galletas'!W35</f>
        <v>Crítica</v>
      </c>
      <c r="I35" s="177" t="str">
        <f>'2. Galletas'!F35</f>
        <v>Lo ha visto x encima, por desconocimiento y no saber</v>
      </c>
      <c r="J35" s="139" t="str">
        <f>'3. Pinchos'!E35</f>
        <v>N</v>
      </c>
      <c r="K35" s="131" t="s">
        <v>83</v>
      </c>
      <c r="L35" s="178" t="str">
        <f>'3. Pinchos'!F35</f>
        <v>Desconocimiento</v>
      </c>
      <c r="M35" s="126" t="str">
        <f>'4. Granolitas'!E35</f>
        <v>N</v>
      </c>
      <c r="N35" s="131" t="s">
        <v>83</v>
      </c>
      <c r="O35" s="126" t="str">
        <f>'4. Granolitas'!F35</f>
        <v>DESCONOCIMIENTO</v>
      </c>
      <c r="P35" s="172" t="str">
        <f>'5. Hamburguesas'!E35</f>
        <v>N</v>
      </c>
      <c r="Q35" s="173" t="str">
        <f>'5. Hamburguesas'!W35</f>
        <v>Crítica</v>
      </c>
      <c r="R35" s="179">
        <f>'5. Hamburguesas'!F35</f>
        <v>0</v>
      </c>
      <c r="S35" s="174" t="str">
        <f>'6. Tortas'!E35</f>
        <v>D</v>
      </c>
      <c r="T35" s="175" t="str">
        <f>'6. Tortas'!W35</f>
        <v>Crítica</v>
      </c>
      <c r="U35" s="180" t="str">
        <f>'6. Tortas'!F35</f>
        <v>No se ha hecho de forma rigurosa</v>
      </c>
      <c r="V35" s="133" t="s">
        <v>83</v>
      </c>
    </row>
  </sheetData>
  <autoFilter ref="B2:T35" xr:uid="{B355704A-CC6C-4A2F-97E0-6C911443845A}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B205E-C3C0-4A17-BF4D-B990DBC0B481}">
  <dimension ref="B2:F65"/>
  <sheetViews>
    <sheetView showGridLines="0" tabSelected="1" workbookViewId="0">
      <selection activeCell="F43" sqref="F43"/>
    </sheetView>
  </sheetViews>
  <sheetFormatPr baseColWidth="10" defaultRowHeight="14.4" x14ac:dyDescent="0.3"/>
  <cols>
    <col min="3" max="3" width="39.5546875" bestFit="1" customWidth="1"/>
    <col min="4" max="4" width="9.44140625" bestFit="1" customWidth="1"/>
    <col min="5" max="5" width="12.6640625" customWidth="1"/>
    <col min="6" max="6" width="53.5546875" bestFit="1" customWidth="1"/>
  </cols>
  <sheetData>
    <row r="2" spans="2:6" x14ac:dyDescent="0.3">
      <c r="B2" s="181" t="s">
        <v>267</v>
      </c>
      <c r="C2" s="181" t="s">
        <v>1</v>
      </c>
      <c r="D2" s="181" t="s">
        <v>327</v>
      </c>
      <c r="E2" s="181" t="s">
        <v>268</v>
      </c>
      <c r="F2" s="181" t="s">
        <v>269</v>
      </c>
    </row>
    <row r="3" spans="2:6" x14ac:dyDescent="0.3">
      <c r="B3" s="182">
        <v>1</v>
      </c>
      <c r="C3" s="85" t="s">
        <v>270</v>
      </c>
      <c r="D3" s="182" t="s">
        <v>271</v>
      </c>
      <c r="E3" s="182" t="s">
        <v>271</v>
      </c>
      <c r="F3" s="85" t="s">
        <v>272</v>
      </c>
    </row>
    <row r="4" spans="2:6" x14ac:dyDescent="0.3">
      <c r="B4" s="182">
        <v>2</v>
      </c>
      <c r="C4" s="85" t="s">
        <v>273</v>
      </c>
      <c r="D4" s="182" t="s">
        <v>271</v>
      </c>
      <c r="E4" s="182" t="s">
        <v>271</v>
      </c>
      <c r="F4" s="85" t="s">
        <v>274</v>
      </c>
    </row>
    <row r="5" spans="2:6" x14ac:dyDescent="0.3">
      <c r="B5" s="182">
        <v>3</v>
      </c>
      <c r="C5" s="85" t="s">
        <v>275</v>
      </c>
      <c r="D5" s="182" t="s">
        <v>271</v>
      </c>
      <c r="E5" s="182" t="s">
        <v>271</v>
      </c>
      <c r="F5" s="85" t="s">
        <v>276</v>
      </c>
    </row>
    <row r="6" spans="2:6" x14ac:dyDescent="0.3">
      <c r="B6" s="182">
        <v>4</v>
      </c>
      <c r="C6" s="85" t="s">
        <v>277</v>
      </c>
      <c r="D6" s="182" t="s">
        <v>271</v>
      </c>
      <c r="E6" s="182" t="s">
        <v>271</v>
      </c>
      <c r="F6" s="85" t="s">
        <v>217</v>
      </c>
    </row>
    <row r="7" spans="2:6" x14ac:dyDescent="0.3">
      <c r="B7" s="182">
        <v>5</v>
      </c>
      <c r="C7" s="85" t="s">
        <v>278</v>
      </c>
      <c r="D7" s="182" t="s">
        <v>271</v>
      </c>
      <c r="E7" s="182" t="s">
        <v>271</v>
      </c>
      <c r="F7" s="85" t="s">
        <v>279</v>
      </c>
    </row>
    <row r="8" spans="2:6" x14ac:dyDescent="0.3">
      <c r="B8" s="182">
        <v>6</v>
      </c>
      <c r="C8" s="85" t="s">
        <v>280</v>
      </c>
      <c r="D8" s="182" t="s">
        <v>271</v>
      </c>
      <c r="E8" s="182" t="s">
        <v>271</v>
      </c>
      <c r="F8" s="85" t="s">
        <v>281</v>
      </c>
    </row>
    <row r="9" spans="2:6" x14ac:dyDescent="0.3">
      <c r="B9" s="182">
        <v>7</v>
      </c>
      <c r="C9" s="85" t="s">
        <v>282</v>
      </c>
      <c r="D9" s="182" t="s">
        <v>271</v>
      </c>
      <c r="E9" s="182" t="s">
        <v>271</v>
      </c>
      <c r="F9" s="85" t="s">
        <v>276</v>
      </c>
    </row>
    <row r="10" spans="2:6" x14ac:dyDescent="0.3">
      <c r="B10" s="182">
        <v>8</v>
      </c>
      <c r="C10" s="85" t="s">
        <v>283</v>
      </c>
      <c r="D10" s="182" t="s">
        <v>271</v>
      </c>
      <c r="E10" s="182" t="s">
        <v>271</v>
      </c>
      <c r="F10" s="85" t="s">
        <v>206</v>
      </c>
    </row>
    <row r="11" spans="2:6" x14ac:dyDescent="0.3">
      <c r="B11" s="182">
        <v>9</v>
      </c>
      <c r="C11" s="85" t="s">
        <v>284</v>
      </c>
      <c r="D11" s="182" t="s">
        <v>271</v>
      </c>
      <c r="E11" s="182" t="s">
        <v>271</v>
      </c>
      <c r="F11" s="85" t="s">
        <v>285</v>
      </c>
    </row>
    <row r="12" spans="2:6" x14ac:dyDescent="0.3">
      <c r="B12" s="182">
        <v>10</v>
      </c>
      <c r="C12" s="85" t="s">
        <v>286</v>
      </c>
      <c r="D12" s="182" t="s">
        <v>271</v>
      </c>
      <c r="E12" s="182" t="s">
        <v>271</v>
      </c>
      <c r="F12" s="85" t="s">
        <v>287</v>
      </c>
    </row>
    <row r="13" spans="2:6" x14ac:dyDescent="0.3">
      <c r="B13" s="182">
        <v>11</v>
      </c>
      <c r="C13" s="85" t="s">
        <v>288</v>
      </c>
      <c r="D13" s="182" t="s">
        <v>271</v>
      </c>
      <c r="E13" s="182" t="s">
        <v>271</v>
      </c>
      <c r="F13" s="85" t="s">
        <v>289</v>
      </c>
    </row>
    <row r="14" spans="2:6" x14ac:dyDescent="0.3">
      <c r="B14" s="182">
        <v>12</v>
      </c>
      <c r="C14" s="85" t="s">
        <v>290</v>
      </c>
      <c r="D14" s="182" t="s">
        <v>271</v>
      </c>
      <c r="E14" s="182" t="s">
        <v>271</v>
      </c>
      <c r="F14" s="85" t="s">
        <v>291</v>
      </c>
    </row>
    <row r="15" spans="2:6" x14ac:dyDescent="0.3">
      <c r="B15" s="182">
        <v>13</v>
      </c>
      <c r="C15" s="85" t="s">
        <v>292</v>
      </c>
      <c r="D15" s="182" t="s">
        <v>271</v>
      </c>
      <c r="E15" s="182" t="s">
        <v>271</v>
      </c>
      <c r="F15" s="85" t="s">
        <v>293</v>
      </c>
    </row>
    <row r="16" spans="2:6" x14ac:dyDescent="0.3">
      <c r="B16" s="182">
        <v>14</v>
      </c>
      <c r="C16" s="85" t="s">
        <v>294</v>
      </c>
      <c r="D16" s="182" t="s">
        <v>271</v>
      </c>
      <c r="E16" s="182" t="s">
        <v>271</v>
      </c>
      <c r="F16" s="85" t="s">
        <v>295</v>
      </c>
    </row>
    <row r="17" spans="2:6" x14ac:dyDescent="0.3">
      <c r="B17" s="182">
        <v>15</v>
      </c>
      <c r="C17" s="85" t="s">
        <v>296</v>
      </c>
      <c r="D17" s="182" t="s">
        <v>271</v>
      </c>
      <c r="E17" s="182" t="s">
        <v>271</v>
      </c>
      <c r="F17" s="85" t="s">
        <v>297</v>
      </c>
    </row>
    <row r="18" spans="2:6" x14ac:dyDescent="0.3">
      <c r="B18" s="182">
        <v>16</v>
      </c>
      <c r="C18" s="85" t="s">
        <v>298</v>
      </c>
      <c r="D18" s="182" t="s">
        <v>271</v>
      </c>
      <c r="E18" s="182" t="s">
        <v>271</v>
      </c>
      <c r="F18" s="85" t="s">
        <v>299</v>
      </c>
    </row>
    <row r="19" spans="2:6" x14ac:dyDescent="0.3">
      <c r="B19" s="182">
        <v>17</v>
      </c>
      <c r="C19" s="85" t="s">
        <v>300</v>
      </c>
      <c r="D19" s="182" t="s">
        <v>271</v>
      </c>
      <c r="E19" s="182" t="s">
        <v>271</v>
      </c>
      <c r="F19" s="85" t="s">
        <v>301</v>
      </c>
    </row>
    <row r="20" spans="2:6" x14ac:dyDescent="0.3">
      <c r="B20" s="182">
        <v>18</v>
      </c>
      <c r="C20" s="85" t="s">
        <v>302</v>
      </c>
      <c r="D20" s="182" t="s">
        <v>271</v>
      </c>
      <c r="E20" s="182" t="s">
        <v>271</v>
      </c>
      <c r="F20" s="85" t="s">
        <v>303</v>
      </c>
    </row>
    <row r="21" spans="2:6" x14ac:dyDescent="0.3">
      <c r="B21" s="182">
        <v>19</v>
      </c>
      <c r="C21" s="85" t="s">
        <v>304</v>
      </c>
      <c r="D21" s="182" t="s">
        <v>271</v>
      </c>
      <c r="E21" s="182" t="s">
        <v>305</v>
      </c>
      <c r="F21" s="85" t="s">
        <v>306</v>
      </c>
    </row>
    <row r="22" spans="2:6" x14ac:dyDescent="0.3">
      <c r="B22" s="182">
        <v>20</v>
      </c>
      <c r="C22" s="85" t="s">
        <v>307</v>
      </c>
      <c r="D22" s="182" t="s">
        <v>271</v>
      </c>
      <c r="E22" s="182" t="s">
        <v>271</v>
      </c>
      <c r="F22" s="85" t="s">
        <v>217</v>
      </c>
    </row>
    <row r="23" spans="2:6" x14ac:dyDescent="0.3">
      <c r="B23" s="182">
        <v>21</v>
      </c>
      <c r="C23" s="85" t="s">
        <v>308</v>
      </c>
      <c r="D23" s="182" t="s">
        <v>271</v>
      </c>
      <c r="E23" s="182" t="s">
        <v>271</v>
      </c>
      <c r="F23" s="85" t="s">
        <v>217</v>
      </c>
    </row>
    <row r="24" spans="2:6" x14ac:dyDescent="0.3">
      <c r="B24" s="182">
        <v>22</v>
      </c>
      <c r="C24" s="85" t="s">
        <v>309</v>
      </c>
      <c r="D24" s="182" t="s">
        <v>271</v>
      </c>
      <c r="E24" s="182" t="s">
        <v>271</v>
      </c>
      <c r="F24" s="85" t="s">
        <v>217</v>
      </c>
    </row>
    <row r="25" spans="2:6" x14ac:dyDescent="0.3">
      <c r="B25" s="182">
        <v>23</v>
      </c>
      <c r="C25" s="85" t="s">
        <v>310</v>
      </c>
      <c r="D25" s="182" t="s">
        <v>271</v>
      </c>
      <c r="E25" s="182" t="s">
        <v>271</v>
      </c>
      <c r="F25" s="85" t="s">
        <v>311</v>
      </c>
    </row>
    <row r="26" spans="2:6" x14ac:dyDescent="0.3">
      <c r="B26" s="182">
        <v>24</v>
      </c>
      <c r="C26" s="85" t="s">
        <v>312</v>
      </c>
      <c r="D26" s="182" t="s">
        <v>271</v>
      </c>
      <c r="E26" s="182" t="s">
        <v>271</v>
      </c>
      <c r="F26" s="85" t="s">
        <v>313</v>
      </c>
    </row>
    <row r="27" spans="2:6" x14ac:dyDescent="0.3">
      <c r="B27" s="182">
        <v>25</v>
      </c>
      <c r="C27" s="85" t="s">
        <v>314</v>
      </c>
      <c r="D27" s="182" t="s">
        <v>271</v>
      </c>
      <c r="E27" s="182" t="s">
        <v>271</v>
      </c>
      <c r="F27" s="85" t="s">
        <v>315</v>
      </c>
    </row>
    <row r="28" spans="2:6" x14ac:dyDescent="0.3">
      <c r="B28" s="182">
        <v>26</v>
      </c>
      <c r="C28" s="85" t="s">
        <v>316</v>
      </c>
      <c r="D28" s="182" t="s">
        <v>271</v>
      </c>
      <c r="E28" s="182" t="s">
        <v>305</v>
      </c>
      <c r="F28" s="85" t="s">
        <v>306</v>
      </c>
    </row>
    <row r="29" spans="2:6" x14ac:dyDescent="0.3">
      <c r="B29" s="182">
        <v>27</v>
      </c>
      <c r="C29" s="85" t="s">
        <v>317</v>
      </c>
      <c r="D29" s="182" t="s">
        <v>271</v>
      </c>
      <c r="E29" s="182" t="s">
        <v>271</v>
      </c>
      <c r="F29" s="85" t="s">
        <v>297</v>
      </c>
    </row>
    <row r="30" spans="2:6" x14ac:dyDescent="0.3">
      <c r="B30" s="182">
        <v>28</v>
      </c>
      <c r="C30" s="85" t="s">
        <v>318</v>
      </c>
      <c r="D30" s="182" t="s">
        <v>271</v>
      </c>
      <c r="E30" s="182" t="s">
        <v>271</v>
      </c>
      <c r="F30" s="85" t="s">
        <v>319</v>
      </c>
    </row>
    <row r="31" spans="2:6" x14ac:dyDescent="0.3">
      <c r="B31" s="182">
        <v>29</v>
      </c>
      <c r="C31" s="85" t="s">
        <v>320</v>
      </c>
      <c r="D31" s="182" t="s">
        <v>271</v>
      </c>
      <c r="E31" s="182" t="s">
        <v>305</v>
      </c>
      <c r="F31" s="85" t="s">
        <v>306</v>
      </c>
    </row>
    <row r="32" spans="2:6" x14ac:dyDescent="0.3">
      <c r="B32" s="182">
        <v>30</v>
      </c>
      <c r="C32" s="85" t="s">
        <v>321</v>
      </c>
      <c r="D32" s="182" t="s">
        <v>271</v>
      </c>
      <c r="E32" s="182" t="s">
        <v>271</v>
      </c>
      <c r="F32" s="85" t="s">
        <v>322</v>
      </c>
    </row>
    <row r="33" spans="2:6" x14ac:dyDescent="0.3">
      <c r="B33" s="182">
        <v>31</v>
      </c>
      <c r="C33" s="85" t="s">
        <v>323</v>
      </c>
      <c r="D33" s="182" t="s">
        <v>271</v>
      </c>
      <c r="E33" s="182" t="s">
        <v>271</v>
      </c>
      <c r="F33" s="85" t="s">
        <v>324</v>
      </c>
    </row>
    <row r="34" spans="2:6" x14ac:dyDescent="0.3">
      <c r="B34" s="182">
        <v>32</v>
      </c>
      <c r="C34" s="85" t="s">
        <v>325</v>
      </c>
      <c r="D34" s="182" t="s">
        <v>271</v>
      </c>
      <c r="E34" s="182" t="s">
        <v>271</v>
      </c>
      <c r="F34" s="85" t="s">
        <v>326</v>
      </c>
    </row>
    <row r="37" spans="2:6" x14ac:dyDescent="0.3">
      <c r="D37" s="186" t="s">
        <v>153</v>
      </c>
    </row>
    <row r="38" spans="2:6" x14ac:dyDescent="0.3">
      <c r="D38" s="183" t="s">
        <v>160</v>
      </c>
      <c r="E38" s="182">
        <v>8</v>
      </c>
    </row>
    <row r="39" spans="2:6" x14ac:dyDescent="0.3">
      <c r="D39" s="183" t="s">
        <v>161</v>
      </c>
      <c r="E39" s="182">
        <v>7</v>
      </c>
    </row>
    <row r="40" spans="2:6" x14ac:dyDescent="0.3">
      <c r="D40" s="183" t="s">
        <v>162</v>
      </c>
      <c r="E40" s="182">
        <v>18</v>
      </c>
    </row>
    <row r="42" spans="2:6" x14ac:dyDescent="0.3">
      <c r="D42" s="186" t="s">
        <v>154</v>
      </c>
    </row>
    <row r="43" spans="2:6" x14ac:dyDescent="0.3">
      <c r="D43" s="183" t="s">
        <v>160</v>
      </c>
      <c r="E43" s="182">
        <v>9</v>
      </c>
    </row>
    <row r="44" spans="2:6" x14ac:dyDescent="0.3">
      <c r="D44" s="183" t="s">
        <v>161</v>
      </c>
      <c r="E44" s="182">
        <v>5</v>
      </c>
    </row>
    <row r="45" spans="2:6" x14ac:dyDescent="0.3">
      <c r="D45" s="183" t="s">
        <v>162</v>
      </c>
      <c r="E45" s="182">
        <v>19</v>
      </c>
    </row>
    <row r="47" spans="2:6" x14ac:dyDescent="0.3">
      <c r="D47" s="184" t="s">
        <v>155</v>
      </c>
    </row>
    <row r="48" spans="2:6" x14ac:dyDescent="0.3">
      <c r="D48" s="183" t="s">
        <v>160</v>
      </c>
      <c r="E48" s="182">
        <v>8</v>
      </c>
    </row>
    <row r="49" spans="4:5" x14ac:dyDescent="0.3">
      <c r="D49" s="183" t="s">
        <v>161</v>
      </c>
      <c r="E49" s="182">
        <v>11</v>
      </c>
    </row>
    <row r="50" spans="4:5" x14ac:dyDescent="0.3">
      <c r="D50" s="183" t="s">
        <v>162</v>
      </c>
      <c r="E50" s="182">
        <v>14</v>
      </c>
    </row>
    <row r="52" spans="4:5" x14ac:dyDescent="0.3">
      <c r="D52" s="185" t="s">
        <v>156</v>
      </c>
    </row>
    <row r="53" spans="4:5" x14ac:dyDescent="0.3">
      <c r="D53" s="183" t="s">
        <v>160</v>
      </c>
      <c r="E53" s="182">
        <v>12</v>
      </c>
    </row>
    <row r="54" spans="4:5" x14ac:dyDescent="0.3">
      <c r="D54" s="183" t="s">
        <v>161</v>
      </c>
      <c r="E54" s="182">
        <v>10</v>
      </c>
    </row>
    <row r="55" spans="4:5" x14ac:dyDescent="0.3">
      <c r="D55" s="183" t="s">
        <v>162</v>
      </c>
      <c r="E55" s="182">
        <v>11</v>
      </c>
    </row>
    <row r="57" spans="4:5" x14ac:dyDescent="0.3">
      <c r="D57" s="186" t="s">
        <v>157</v>
      </c>
    </row>
    <row r="58" spans="4:5" x14ac:dyDescent="0.3">
      <c r="D58" s="183" t="s">
        <v>160</v>
      </c>
      <c r="E58" s="182">
        <v>10</v>
      </c>
    </row>
    <row r="59" spans="4:5" x14ac:dyDescent="0.3">
      <c r="D59" s="183" t="s">
        <v>161</v>
      </c>
      <c r="E59" s="182">
        <v>9</v>
      </c>
    </row>
    <row r="60" spans="4:5" x14ac:dyDescent="0.3">
      <c r="D60" s="183" t="s">
        <v>162</v>
      </c>
      <c r="E60" s="182">
        <v>14</v>
      </c>
    </row>
    <row r="62" spans="4:5" x14ac:dyDescent="0.3">
      <c r="D62" s="185" t="s">
        <v>158</v>
      </c>
    </row>
    <row r="63" spans="4:5" x14ac:dyDescent="0.3">
      <c r="D63" s="183" t="s">
        <v>160</v>
      </c>
      <c r="E63" s="182">
        <v>12</v>
      </c>
    </row>
    <row r="64" spans="4:5" x14ac:dyDescent="0.3">
      <c r="D64" s="183" t="s">
        <v>161</v>
      </c>
      <c r="E64" s="182">
        <v>8</v>
      </c>
    </row>
    <row r="65" spans="4:5" x14ac:dyDescent="0.3">
      <c r="D65" s="183" t="s">
        <v>162</v>
      </c>
      <c r="E65" s="182">
        <v>13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Matrices</vt:lpstr>
      <vt:lpstr>6. Tortas</vt:lpstr>
      <vt:lpstr>5. Hamburguesas</vt:lpstr>
      <vt:lpstr>4. Granolitas</vt:lpstr>
      <vt:lpstr>3. Pinchos</vt:lpstr>
      <vt:lpstr>2. Galletas</vt:lpstr>
      <vt:lpstr>1. Brigadeiros</vt:lpstr>
      <vt:lpstr>ACTV</vt:lpstr>
      <vt:lpstr>Hoja1</vt:lpstr>
      <vt:lpstr>Frecuencias</vt:lpstr>
      <vt:lpstr>Reputación</vt:lpstr>
      <vt:lpstr>Impacto E</vt:lpstr>
      <vt:lpstr>Severidad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RODRIGUEZ</dc:creator>
  <cp:lastModifiedBy>JENNY RODRIGUEZ</cp:lastModifiedBy>
  <dcterms:created xsi:type="dcterms:W3CDTF">2024-09-29T01:27:02Z</dcterms:created>
  <dcterms:modified xsi:type="dcterms:W3CDTF">2025-05-13T05:47:55Z</dcterms:modified>
</cp:coreProperties>
</file>