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nicolas/Downloads/"/>
    </mc:Choice>
  </mc:AlternateContent>
  <xr:revisionPtr revIDLastSave="0" documentId="8_{705AE2DF-A5B7-CA45-AFB0-AD2A380B76D4}" xr6:coauthVersionLast="47" xr6:coauthVersionMax="47" xr10:uidLastSave="{00000000-0000-0000-0000-000000000000}"/>
  <bookViews>
    <workbookView xWindow="4180" yWindow="500" windowWidth="29420" windowHeight="19320" xr2:uid="{EBCF9462-8535-4456-9A98-3F51C8274758}"/>
  </bookViews>
  <sheets>
    <sheet name="U23 CÁLCULOS" sheetId="10" r:id="rId1"/>
    <sheet name="Hoja4" sheetId="15" r:id="rId2"/>
    <sheet name="Hoja1 (2)" sheetId="2" r:id="rId3"/>
    <sheet name="Hoja1" sheetId="1" r:id="rId4"/>
    <sheet name="Hoja3" sheetId="3" r:id="rId5"/>
    <sheet name="julian" sheetId="12" r:id="rId6"/>
    <sheet name="Tuberias (2)" sheetId="6" r:id="rId7"/>
    <sheet name="Tuberias (3)" sheetId="18" r:id="rId8"/>
    <sheet name="Tuberias" sheetId="5" r:id="rId9"/>
    <sheet name="Hoja2" sheetId="4" r:id="rId10"/>
    <sheet name="REACTOR JULIAN" sheetId="11" r:id="rId11"/>
    <sheet name="Tornillos sin fin" sheetId="7" r:id="rId12"/>
    <sheet name="Sheet1" sheetId="19" r:id="rId13"/>
    <sheet name="Agua enfriamiento" sheetId="8" r:id="rId14"/>
    <sheet name="Diseño intercambiador (2)" sheetId="17" r:id="rId15"/>
    <sheet name="Sheet2" sheetId="20" r:id="rId16"/>
    <sheet name="Tanques+" sheetId="13" r:id="rId17"/>
    <sheet name="Diseño intercambiador" sheetId="9" r:id="rId18"/>
    <sheet name="Bomba" sheetId="14" r:id="rId19"/>
    <sheet name="Compresores" sheetId="16" r:id="rId20"/>
  </sheets>
  <definedNames>
    <definedName name="_Int_MPEneR7n" localSheetId="5">julian!$E$2</definedName>
    <definedName name="_Int_MPEneR7n" localSheetId="0">'U23 CÁLCULOS'!$E$2</definedName>
    <definedName name="solver_adj" localSheetId="19" hidden="1">Compresores!$J$21</definedName>
    <definedName name="solver_cvg" localSheetId="19" hidden="1">0.0001</definedName>
    <definedName name="solver_drv" localSheetId="19" hidden="1">1</definedName>
    <definedName name="solver_eng" localSheetId="19" hidden="1">1</definedName>
    <definedName name="solver_est" localSheetId="19" hidden="1">1</definedName>
    <definedName name="solver_itr" localSheetId="19" hidden="1">2147483647</definedName>
    <definedName name="solver_mip" localSheetId="19" hidden="1">2147483647</definedName>
    <definedName name="solver_mni" localSheetId="19" hidden="1">30</definedName>
    <definedName name="solver_mrt" localSheetId="19" hidden="1">0.075</definedName>
    <definedName name="solver_msl" localSheetId="19" hidden="1">2</definedName>
    <definedName name="solver_neg" localSheetId="19" hidden="1">1</definedName>
    <definedName name="solver_nod" localSheetId="19" hidden="1">2147483647</definedName>
    <definedName name="solver_num" localSheetId="19" hidden="1">0</definedName>
    <definedName name="solver_nwt" localSheetId="19" hidden="1">1</definedName>
    <definedName name="solver_opt" localSheetId="19" hidden="1">Compresores!$I$21</definedName>
    <definedName name="solver_pre" localSheetId="19" hidden="1">0.000001</definedName>
    <definedName name="solver_rbv" localSheetId="19" hidden="1">1</definedName>
    <definedName name="solver_rlx" localSheetId="19" hidden="1">2</definedName>
    <definedName name="solver_rsd" localSheetId="19" hidden="1">0</definedName>
    <definedName name="solver_scl" localSheetId="19" hidden="1">1</definedName>
    <definedName name="solver_sho" localSheetId="19" hidden="1">2</definedName>
    <definedName name="solver_ssz" localSheetId="19" hidden="1">100</definedName>
    <definedName name="solver_tim" localSheetId="19" hidden="1">2147483647</definedName>
    <definedName name="solver_tol" localSheetId="19" hidden="1">0.01</definedName>
    <definedName name="solver_typ" localSheetId="19" hidden="1">3</definedName>
    <definedName name="solver_val" localSheetId="19" hidden="1">819.67</definedName>
    <definedName name="solver_ver" localSheetId="19" hidden="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66" i="10" l="1"/>
  <c r="B1281" i="10" s="1"/>
  <c r="J1322" i="10"/>
  <c r="J1319" i="10"/>
  <c r="I58" i="10"/>
  <c r="L1310" i="10"/>
  <c r="K1310" i="10"/>
  <c r="H1310" i="10"/>
  <c r="I1310" i="10"/>
  <c r="G1310" i="10"/>
  <c r="D1309" i="10"/>
  <c r="E1309" i="10"/>
  <c r="C1309" i="10"/>
  <c r="B1267" i="10"/>
  <c r="B1266" i="10"/>
  <c r="E1431" i="10"/>
  <c r="E1432" i="10" s="1"/>
  <c r="B1432" i="10"/>
  <c r="B1435" i="10"/>
  <c r="B1438" i="10"/>
  <c r="C12" i="16"/>
  <c r="B11" i="20"/>
  <c r="B10" i="20"/>
  <c r="J4" i="20"/>
  <c r="I4" i="20"/>
  <c r="L4" i="20"/>
  <c r="E4" i="20"/>
  <c r="D4" i="20"/>
  <c r="G4" i="20" s="1"/>
  <c r="D1421" i="10"/>
  <c r="A1421" i="10"/>
  <c r="A1422" i="10" s="1"/>
  <c r="A1423" i="10" s="1"/>
  <c r="A1424" i="10" s="1"/>
  <c r="D1422" i="10" s="1"/>
  <c r="V1113" i="10"/>
  <c r="U1113" i="10"/>
  <c r="J1113" i="10" s="1"/>
  <c r="L1113" i="10" s="1"/>
  <c r="M1113" i="10" s="1"/>
  <c r="O1113" i="10" s="1"/>
  <c r="P1113" i="10" s="1"/>
  <c r="Q1113" i="10" s="1"/>
  <c r="M1117" i="10"/>
  <c r="N1117" i="10" s="1"/>
  <c r="L1114" i="10"/>
  <c r="I1114" i="10"/>
  <c r="M1115" i="10" s="1"/>
  <c r="I1099" i="10"/>
  <c r="M1101" i="10" s="1"/>
  <c r="U1098" i="10"/>
  <c r="J1098" i="10" s="1"/>
  <c r="V1098" i="10"/>
  <c r="P987" i="10"/>
  <c r="E986" i="10"/>
  <c r="I1058" i="10"/>
  <c r="M1061" i="10" s="1"/>
  <c r="N1061" i="10" s="1"/>
  <c r="F1385" i="10"/>
  <c r="F1377" i="10"/>
  <c r="F1369" i="10"/>
  <c r="F1376" i="10"/>
  <c r="F1378" i="10" s="1"/>
  <c r="F1368" i="10"/>
  <c r="F1370" i="10" s="1"/>
  <c r="F1356" i="10"/>
  <c r="E1294" i="10"/>
  <c r="E1295" i="10" s="1"/>
  <c r="E1296" i="10" s="1"/>
  <c r="F1362" i="10" s="1"/>
  <c r="G1358" i="10"/>
  <c r="G1357" i="10"/>
  <c r="G1356" i="10"/>
  <c r="F1350" i="10"/>
  <c r="G1349" i="10"/>
  <c r="G1355" i="10" s="1"/>
  <c r="F1343" i="10"/>
  <c r="F1284" i="10"/>
  <c r="F1285" i="10" s="1"/>
  <c r="F1291" i="10"/>
  <c r="F1336" i="10"/>
  <c r="F1338" i="10" s="1"/>
  <c r="F1339" i="10" s="1"/>
  <c r="H1340" i="10" s="1"/>
  <c r="E1333" i="10"/>
  <c r="E1332" i="10"/>
  <c r="F1326" i="10"/>
  <c r="F1327" i="10" s="1"/>
  <c r="F1328" i="10" s="1"/>
  <c r="F1282" i="10"/>
  <c r="F1283" i="10" s="1"/>
  <c r="F1274" i="10"/>
  <c r="F1277" i="10" s="1"/>
  <c r="F1278" i="10" s="1"/>
  <c r="B1261" i="10"/>
  <c r="B1265" i="10"/>
  <c r="G1248" i="10"/>
  <c r="Q1077" i="10"/>
  <c r="G1242" i="10"/>
  <c r="G1244" i="10" s="1"/>
  <c r="G1238" i="10"/>
  <c r="B710" i="10"/>
  <c r="B714" i="10" s="1"/>
  <c r="F935" i="10"/>
  <c r="L18" i="11"/>
  <c r="I13" i="11" s="1"/>
  <c r="I14" i="11" s="1"/>
  <c r="H8" i="11"/>
  <c r="H6" i="11"/>
  <c r="D4" i="11"/>
  <c r="D36" i="18"/>
  <c r="L57" i="18"/>
  <c r="R34" i="18" s="1"/>
  <c r="P34" i="18"/>
  <c r="I34" i="18"/>
  <c r="F34" i="18"/>
  <c r="G34" i="18" s="1"/>
  <c r="R33" i="18"/>
  <c r="P33" i="18"/>
  <c r="I33" i="18"/>
  <c r="G33" i="18"/>
  <c r="F33" i="18"/>
  <c r="R32" i="18"/>
  <c r="P32" i="18"/>
  <c r="I32" i="18"/>
  <c r="E32" i="18"/>
  <c r="F32" i="18" s="1"/>
  <c r="G32" i="18" s="1"/>
  <c r="R31" i="18"/>
  <c r="P31" i="18"/>
  <c r="I31" i="18"/>
  <c r="E31" i="18"/>
  <c r="D54" i="18"/>
  <c r="F31" i="18" s="1"/>
  <c r="G31" i="18" s="1"/>
  <c r="R30" i="18"/>
  <c r="P30" i="18"/>
  <c r="I30" i="18"/>
  <c r="E30" i="18"/>
  <c r="D53" i="18"/>
  <c r="F30" i="18" s="1"/>
  <c r="G30" i="18" s="1"/>
  <c r="R29" i="18"/>
  <c r="P29" i="18"/>
  <c r="I29" i="18"/>
  <c r="D52" i="18"/>
  <c r="F29" i="18" s="1"/>
  <c r="G29" i="18" s="1"/>
  <c r="R28" i="18"/>
  <c r="P28" i="18"/>
  <c r="I28" i="18"/>
  <c r="F28" i="18"/>
  <c r="F27" i="18" s="1"/>
  <c r="G27" i="18" s="1"/>
  <c r="R27" i="18"/>
  <c r="P27" i="18"/>
  <c r="I27" i="18"/>
  <c r="D50" i="18"/>
  <c r="R26" i="18"/>
  <c r="P26" i="18"/>
  <c r="I26" i="18"/>
  <c r="F26" i="18"/>
  <c r="G26" i="18" s="1"/>
  <c r="R25" i="18"/>
  <c r="P25" i="18"/>
  <c r="I25" i="18"/>
  <c r="F25" i="18"/>
  <c r="G25" i="18" s="1"/>
  <c r="R24" i="18"/>
  <c r="P24" i="18"/>
  <c r="I24" i="18"/>
  <c r="D47" i="18"/>
  <c r="F24" i="18" s="1"/>
  <c r="G24" i="18" s="1"/>
  <c r="R23" i="18"/>
  <c r="P23" i="18"/>
  <c r="I23" i="18"/>
  <c r="E23" i="18"/>
  <c r="D46" i="18"/>
  <c r="F23" i="18" s="1"/>
  <c r="G23" i="18" s="1"/>
  <c r="R22" i="18"/>
  <c r="P22" i="18"/>
  <c r="I22" i="18"/>
  <c r="E22" i="18"/>
  <c r="F22" i="18" s="1"/>
  <c r="G22" i="18" s="1"/>
  <c r="D45" i="18"/>
  <c r="R21" i="18"/>
  <c r="P21" i="18"/>
  <c r="I21" i="18"/>
  <c r="F21" i="18"/>
  <c r="G21" i="18" s="1"/>
  <c r="R20" i="18"/>
  <c r="P20" i="18"/>
  <c r="I20" i="18"/>
  <c r="F20" i="18"/>
  <c r="G20" i="18" s="1"/>
  <c r="M13" i="18"/>
  <c r="H13" i="18"/>
  <c r="I13" i="18" s="1"/>
  <c r="C13" i="18"/>
  <c r="M12" i="18"/>
  <c r="H12" i="18"/>
  <c r="I12" i="18" s="1"/>
  <c r="M11" i="18"/>
  <c r="E11" i="18"/>
  <c r="H11" i="18" s="1"/>
  <c r="I11" i="18" s="1"/>
  <c r="M10" i="18"/>
  <c r="E10" i="18"/>
  <c r="H10" i="18" s="1"/>
  <c r="I10" i="18" s="1"/>
  <c r="M9" i="18"/>
  <c r="H9" i="18"/>
  <c r="I9" i="18" s="1"/>
  <c r="M8" i="18"/>
  <c r="H8" i="18"/>
  <c r="I8" i="18" s="1"/>
  <c r="E8" i="18"/>
  <c r="M5" i="18"/>
  <c r="H5" i="18"/>
  <c r="I5" i="18" s="1"/>
  <c r="F5" i="18"/>
  <c r="L5" i="18" s="1"/>
  <c r="I27" i="5"/>
  <c r="G34" i="5"/>
  <c r="G27" i="5"/>
  <c r="G28" i="5"/>
  <c r="G29" i="5"/>
  <c r="G30" i="5"/>
  <c r="G31" i="5"/>
  <c r="G32" i="5"/>
  <c r="G33" i="5"/>
  <c r="F27" i="5"/>
  <c r="P31" i="5"/>
  <c r="C40" i="17"/>
  <c r="C39" i="17"/>
  <c r="C26" i="17"/>
  <c r="I17" i="11"/>
  <c r="L49" i="13"/>
  <c r="M45" i="13"/>
  <c r="E15" i="14"/>
  <c r="F15" i="14"/>
  <c r="E12" i="14"/>
  <c r="E14" i="14"/>
  <c r="E13" i="14"/>
  <c r="C873" i="10"/>
  <c r="G1077" i="10"/>
  <c r="G1076" i="10"/>
  <c r="J16" i="16"/>
  <c r="J15" i="16"/>
  <c r="B55" i="9"/>
  <c r="F15" i="7"/>
  <c r="F12" i="7"/>
  <c r="B54" i="9"/>
  <c r="C51" i="9"/>
  <c r="F33" i="9"/>
  <c r="E33" i="9"/>
  <c r="C33" i="9"/>
  <c r="C34" i="9" s="1"/>
  <c r="C39" i="9" s="1"/>
  <c r="C40" i="9" s="1"/>
  <c r="C27" i="9"/>
  <c r="C26" i="9"/>
  <c r="C48" i="17"/>
  <c r="C50" i="17" s="1"/>
  <c r="C51" i="17" s="1"/>
  <c r="C52" i="17" s="1"/>
  <c r="C45" i="17"/>
  <c r="C27" i="17"/>
  <c r="C20" i="17"/>
  <c r="C19" i="17"/>
  <c r="C17" i="17"/>
  <c r="C22" i="17" s="1"/>
  <c r="F16" i="17"/>
  <c r="C14" i="17"/>
  <c r="J8" i="16"/>
  <c r="E9" i="16"/>
  <c r="E8" i="16"/>
  <c r="B9" i="16"/>
  <c r="B27" i="8"/>
  <c r="B26" i="8"/>
  <c r="I21" i="16"/>
  <c r="J13" i="16"/>
  <c r="J44" i="13"/>
  <c r="J43" i="13" s="1"/>
  <c r="Q34" i="5"/>
  <c r="J17" i="16"/>
  <c r="J18" i="16" s="1"/>
  <c r="F8" i="16"/>
  <c r="D36" i="5"/>
  <c r="J14" i="16"/>
  <c r="J1131" i="10"/>
  <c r="J1132" i="10"/>
  <c r="J1133" i="10"/>
  <c r="J1134" i="10"/>
  <c r="J1135" i="10"/>
  <c r="J1129" i="10"/>
  <c r="H988" i="10"/>
  <c r="K988" i="10" s="1"/>
  <c r="E1135" i="10"/>
  <c r="F1135" i="10" s="1"/>
  <c r="E1129" i="10"/>
  <c r="F1129" i="10" s="1"/>
  <c r="C1134" i="10"/>
  <c r="E1134" i="10" s="1"/>
  <c r="F1134" i="10" s="1"/>
  <c r="C1132" i="10"/>
  <c r="C1133" i="10" s="1"/>
  <c r="E1133" i="10" s="1"/>
  <c r="F1133" i="10" s="1"/>
  <c r="C1131" i="10"/>
  <c r="E1131" i="10" s="1"/>
  <c r="F1131" i="10" s="1"/>
  <c r="C1130" i="10"/>
  <c r="C1129" i="10"/>
  <c r="C1128" i="10"/>
  <c r="J40" i="6"/>
  <c r="B1093" i="10"/>
  <c r="B1073" i="10"/>
  <c r="B1090" i="10"/>
  <c r="F1146" i="10" s="1"/>
  <c r="B1087" i="10"/>
  <c r="B1257" i="10" s="1"/>
  <c r="B1086" i="10"/>
  <c r="B1256" i="10" s="1"/>
  <c r="B1085" i="10"/>
  <c r="B1254" i="10" s="1"/>
  <c r="B1066" i="10"/>
  <c r="B1061" i="10"/>
  <c r="B1088" i="10" s="1"/>
  <c r="B1259" i="10" s="1"/>
  <c r="B1057" i="10"/>
  <c r="B1084" i="10" s="1"/>
  <c r="B1255" i="10" s="1"/>
  <c r="B1043" i="10"/>
  <c r="B1044" i="10" s="1"/>
  <c r="B1091" i="10" s="1"/>
  <c r="B1048" i="10"/>
  <c r="B825" i="10"/>
  <c r="B1024" i="10"/>
  <c r="B1027" i="10"/>
  <c r="B1028" i="10" s="1"/>
  <c r="B1030" i="10" s="1"/>
  <c r="B1031" i="10" s="1"/>
  <c r="B1032" i="10" s="1"/>
  <c r="B862" i="10"/>
  <c r="C850" i="10"/>
  <c r="D1423" i="10" l="1"/>
  <c r="D1424" i="10" s="1"/>
  <c r="B1433" i="10"/>
  <c r="E1434" i="10"/>
  <c r="M1100" i="10"/>
  <c r="G1243" i="10"/>
  <c r="F1371" i="10"/>
  <c r="F1372" i="10" s="1"/>
  <c r="B1264" i="10"/>
  <c r="K1097" i="10"/>
  <c r="J1104" i="10"/>
  <c r="L1104" i="10" s="1"/>
  <c r="M1104" i="10" s="1"/>
  <c r="O1104" i="10" s="1"/>
  <c r="P1104" i="10" s="1"/>
  <c r="Q1104" i="10" s="1"/>
  <c r="U1104" i="10" s="1"/>
  <c r="F1379" i="10"/>
  <c r="F1380" i="10" s="1"/>
  <c r="G1392" i="10" s="1"/>
  <c r="F1286" i="10"/>
  <c r="F1384" i="10"/>
  <c r="F1386" i="10" s="1"/>
  <c r="F1387" i="10" s="1"/>
  <c r="F1388" i="10" s="1"/>
  <c r="G1393" i="10" s="1"/>
  <c r="K1112" i="10"/>
  <c r="J1119" i="10"/>
  <c r="L1119" i="10" s="1"/>
  <c r="M1119" i="10" s="1"/>
  <c r="O1119" i="10" s="1"/>
  <c r="P1119" i="10" s="1"/>
  <c r="Q1119" i="10" s="1"/>
  <c r="U1119" i="10" s="1"/>
  <c r="M1116" i="10"/>
  <c r="F1375" i="10"/>
  <c r="F1383" i="10"/>
  <c r="F1367" i="10"/>
  <c r="F1342" i="10"/>
  <c r="F1276" i="10"/>
  <c r="F1279" i="10" s="1"/>
  <c r="F1311" i="10"/>
  <c r="J1311" i="10" s="1"/>
  <c r="E1145" i="10"/>
  <c r="F1145" i="10"/>
  <c r="H1145" i="10"/>
  <c r="J1146" i="10"/>
  <c r="L1145" i="10" s="1"/>
  <c r="J1145" i="10"/>
  <c r="G1145" i="10"/>
  <c r="C1145" i="10"/>
  <c r="D1145" i="10"/>
  <c r="R35" i="18"/>
  <c r="R36" i="18" s="1"/>
  <c r="G28" i="18"/>
  <c r="C33" i="17"/>
  <c r="C34" i="17" s="1"/>
  <c r="I1145" i="10"/>
  <c r="E1132" i="10"/>
  <c r="F1132" i="10" s="1"/>
  <c r="B1077" i="10"/>
  <c r="B1033" i="10"/>
  <c r="B1034" i="10" s="1"/>
  <c r="B1036" i="10" s="1"/>
  <c r="B1037" i="10" s="1"/>
  <c r="B1038" i="10" s="1"/>
  <c r="B1104" i="10" s="1"/>
  <c r="B1277" i="10" s="1"/>
  <c r="B1080" i="10"/>
  <c r="B717" i="10"/>
  <c r="B1081" i="10" s="1"/>
  <c r="B1095" i="10" s="1"/>
  <c r="B1260" i="10" s="1"/>
  <c r="B760" i="10"/>
  <c r="B1278" i="10" s="1"/>
  <c r="J14" i="7"/>
  <c r="J13" i="7"/>
  <c r="G7" i="7"/>
  <c r="E7" i="7"/>
  <c r="C45" i="9"/>
  <c r="H21" i="14"/>
  <c r="H22" i="14"/>
  <c r="F55" i="13"/>
  <c r="F54" i="13"/>
  <c r="D60" i="13"/>
  <c r="F60" i="13"/>
  <c r="F49" i="13"/>
  <c r="M47" i="13"/>
  <c r="M51" i="13" s="1"/>
  <c r="F53" i="13"/>
  <c r="D53" i="13"/>
  <c r="F44" i="13"/>
  <c r="D49" i="13"/>
  <c r="D58" i="13"/>
  <c r="R29" i="5"/>
  <c r="R25" i="5"/>
  <c r="R20" i="5"/>
  <c r="R21" i="5"/>
  <c r="R22" i="5"/>
  <c r="R23" i="5"/>
  <c r="R24" i="5"/>
  <c r="R26" i="5"/>
  <c r="R27" i="5"/>
  <c r="R28" i="5"/>
  <c r="R30" i="5"/>
  <c r="R31" i="5"/>
  <c r="R32" i="5"/>
  <c r="R33" i="5"/>
  <c r="R34" i="5"/>
  <c r="F32" i="5"/>
  <c r="J47" i="13"/>
  <c r="J48" i="13" s="1"/>
  <c r="E29" i="13"/>
  <c r="A22" i="16"/>
  <c r="F22" i="16" s="1"/>
  <c r="A20" i="16"/>
  <c r="F20" i="16" s="1"/>
  <c r="A19" i="16"/>
  <c r="F19" i="16" s="1"/>
  <c r="F7" i="16"/>
  <c r="F6" i="16"/>
  <c r="B6" i="16"/>
  <c r="B7" i="16"/>
  <c r="C2" i="16"/>
  <c r="G16" i="16"/>
  <c r="H16" i="16" s="1"/>
  <c r="E12" i="16"/>
  <c r="E11" i="16"/>
  <c r="F35" i="11"/>
  <c r="D35" i="11"/>
  <c r="D36" i="11"/>
  <c r="D16" i="11"/>
  <c r="D33" i="11"/>
  <c r="L19" i="11"/>
  <c r="L16" i="11"/>
  <c r="L15" i="11"/>
  <c r="L14" i="11"/>
  <c r="L11" i="11"/>
  <c r="L10" i="11"/>
  <c r="L9" i="11"/>
  <c r="J6" i="11"/>
  <c r="J5" i="11"/>
  <c r="G19" i="7"/>
  <c r="E19" i="7"/>
  <c r="G31" i="14"/>
  <c r="F31" i="14"/>
  <c r="C30" i="14"/>
  <c r="F30" i="14"/>
  <c r="F29" i="14"/>
  <c r="E29" i="14"/>
  <c r="F50" i="13"/>
  <c r="B1001" i="10"/>
  <c r="B1002" i="10" s="1"/>
  <c r="N1020" i="10"/>
  <c r="K1027" i="10"/>
  <c r="F1020" i="10"/>
  <c r="C35" i="14"/>
  <c r="C34" i="14"/>
  <c r="C33" i="14"/>
  <c r="C31" i="14"/>
  <c r="C8" i="14"/>
  <c r="G27" i="14"/>
  <c r="G26" i="14"/>
  <c r="G25" i="14"/>
  <c r="D59" i="13"/>
  <c r="P24" i="5"/>
  <c r="E25" i="14"/>
  <c r="G15" i="14"/>
  <c r="G16" i="14" s="1"/>
  <c r="G17" i="14" s="1"/>
  <c r="C21" i="14" s="1"/>
  <c r="C22" i="14" s="1"/>
  <c r="C23" i="14" s="1"/>
  <c r="C37" i="14" s="1"/>
  <c r="C38" i="14" s="1"/>
  <c r="P21" i="5"/>
  <c r="P22" i="5"/>
  <c r="P23" i="5"/>
  <c r="P25" i="5"/>
  <c r="P26" i="5"/>
  <c r="P27" i="5"/>
  <c r="P28" i="5"/>
  <c r="P29" i="5"/>
  <c r="P30" i="5"/>
  <c r="P32" i="5"/>
  <c r="P33" i="5"/>
  <c r="P34" i="5"/>
  <c r="P20" i="5"/>
  <c r="I21" i="5"/>
  <c r="I22" i="5"/>
  <c r="I23" i="5"/>
  <c r="I24" i="5"/>
  <c r="I25" i="5"/>
  <c r="I26" i="5"/>
  <c r="I28" i="5"/>
  <c r="I29" i="5"/>
  <c r="I30" i="5"/>
  <c r="I31" i="5"/>
  <c r="I32" i="5"/>
  <c r="I33" i="5"/>
  <c r="I34" i="5"/>
  <c r="I20" i="5"/>
  <c r="M5" i="5"/>
  <c r="G21" i="5"/>
  <c r="G22" i="5"/>
  <c r="G23" i="5"/>
  <c r="G24" i="5"/>
  <c r="G25" i="5"/>
  <c r="G26" i="5"/>
  <c r="G20" i="5"/>
  <c r="F21" i="5"/>
  <c r="F22" i="5"/>
  <c r="F23" i="5"/>
  <c r="F24" i="5"/>
  <c r="F25" i="5"/>
  <c r="F26" i="5"/>
  <c r="F28" i="5"/>
  <c r="F29" i="5"/>
  <c r="F30" i="5"/>
  <c r="F31" i="5"/>
  <c r="F33" i="5"/>
  <c r="F34" i="5"/>
  <c r="F20" i="5"/>
  <c r="E22" i="5"/>
  <c r="D1000" i="10"/>
  <c r="D22" i="5"/>
  <c r="P997" i="10"/>
  <c r="Q997" i="10" s="1"/>
  <c r="E23" i="5"/>
  <c r="D23" i="5"/>
  <c r="E31" i="5"/>
  <c r="E32" i="5"/>
  <c r="E30" i="5"/>
  <c r="D30" i="5"/>
  <c r="D31" i="5"/>
  <c r="D29" i="5"/>
  <c r="D27" i="5"/>
  <c r="D24" i="5"/>
  <c r="C9" i="14"/>
  <c r="D56" i="13"/>
  <c r="D57" i="13" s="1"/>
  <c r="D48" i="13"/>
  <c r="D47" i="13"/>
  <c r="D50" i="13"/>
  <c r="D15" i="11"/>
  <c r="D44" i="13"/>
  <c r="F3" i="8"/>
  <c r="D1013" i="10"/>
  <c r="D1014" i="10" s="1"/>
  <c r="B1013" i="10"/>
  <c r="B1014" i="10" s="1"/>
  <c r="B1006" i="10"/>
  <c r="B1017" i="10" s="1"/>
  <c r="K961" i="10"/>
  <c r="K972" i="10" s="1"/>
  <c r="K973" i="10" s="1"/>
  <c r="D987" i="10"/>
  <c r="J1057" i="10" s="1"/>
  <c r="U1057" i="10" s="1"/>
  <c r="O987" i="10"/>
  <c r="E810" i="10"/>
  <c r="E11" i="5"/>
  <c r="E10" i="5"/>
  <c r="E8" i="5"/>
  <c r="C20" i="9"/>
  <c r="C14" i="9"/>
  <c r="C13" i="8"/>
  <c r="G41" i="11"/>
  <c r="G27" i="7"/>
  <c r="F27" i="7" s="1"/>
  <c r="C21" i="7"/>
  <c r="C22" i="7" s="1"/>
  <c r="K966" i="10"/>
  <c r="K974" i="10"/>
  <c r="G991" i="10"/>
  <c r="M1102" i="10" s="1"/>
  <c r="N1102" i="10" s="1"/>
  <c r="G990" i="10"/>
  <c r="N988" i="10"/>
  <c r="Q988" i="10" s="1"/>
  <c r="L988" i="10"/>
  <c r="O988" i="10" s="1"/>
  <c r="G988" i="10"/>
  <c r="J988" i="10" s="1"/>
  <c r="M988" i="10" s="1"/>
  <c r="P988" i="10" s="1"/>
  <c r="F988" i="10"/>
  <c r="E954" i="10"/>
  <c r="F954" i="10" s="1"/>
  <c r="E953" i="10"/>
  <c r="G953" i="10" s="1"/>
  <c r="H953" i="10" s="1"/>
  <c r="I953" i="10" s="1"/>
  <c r="F946" i="10"/>
  <c r="E952" i="10" s="1"/>
  <c r="G952" i="10" s="1"/>
  <c r="H952" i="10" s="1"/>
  <c r="J952" i="10" s="1"/>
  <c r="B945" i="10"/>
  <c r="B947" i="10" s="1"/>
  <c r="C42" i="10"/>
  <c r="C43" i="10" s="1"/>
  <c r="X36" i="11"/>
  <c r="Y36" i="11" s="1"/>
  <c r="Z35" i="11"/>
  <c r="W39" i="11"/>
  <c r="W45" i="11" s="1"/>
  <c r="T35" i="11"/>
  <c r="X35" i="11"/>
  <c r="W44" i="11"/>
  <c r="W43" i="11"/>
  <c r="W42" i="11"/>
  <c r="T57" i="11"/>
  <c r="C44" i="3"/>
  <c r="C45" i="3" s="1"/>
  <c r="C47" i="3" s="1"/>
  <c r="C46" i="3"/>
  <c r="B896" i="10"/>
  <c r="B841" i="10"/>
  <c r="B898" i="10"/>
  <c r="B895" i="10"/>
  <c r="B900" i="10" s="1"/>
  <c r="B894" i="10"/>
  <c r="B899" i="10" s="1"/>
  <c r="F1391" i="10" l="1"/>
  <c r="K1366" i="10"/>
  <c r="F1393" i="10"/>
  <c r="K1368" i="10"/>
  <c r="F1392" i="10"/>
  <c r="K1367" i="10"/>
  <c r="G1391" i="10"/>
  <c r="L1058" i="10"/>
  <c r="L1099" i="10"/>
  <c r="F1344" i="10"/>
  <c r="F1345" i="10" s="1"/>
  <c r="H1341" i="10" s="1"/>
  <c r="F1349" i="10"/>
  <c r="K1145" i="10"/>
  <c r="H991" i="10"/>
  <c r="B985" i="10"/>
  <c r="H1111" i="10" s="1"/>
  <c r="K1056" i="10"/>
  <c r="I990" i="10"/>
  <c r="K990" i="10" s="1"/>
  <c r="L990" i="10" s="1"/>
  <c r="M990" i="10" s="1"/>
  <c r="M1060" i="10"/>
  <c r="O994" i="10"/>
  <c r="K975" i="10"/>
  <c r="K976" i="10" s="1"/>
  <c r="D994" i="10"/>
  <c r="F15" i="8"/>
  <c r="F16" i="8" s="1"/>
  <c r="D15" i="8"/>
  <c r="D16" i="8" s="1"/>
  <c r="M48" i="13"/>
  <c r="B8" i="16"/>
  <c r="I10" i="16"/>
  <c r="J49" i="13"/>
  <c r="G989" i="10"/>
  <c r="B1105" i="10"/>
  <c r="B761" i="10"/>
  <c r="B773" i="10" s="1"/>
  <c r="B718" i="10"/>
  <c r="B738" i="10" s="1"/>
  <c r="C738" i="10" s="1"/>
  <c r="D738" i="10" s="1"/>
  <c r="R35" i="5"/>
  <c r="R36" i="5" s="1"/>
  <c r="C11" i="16"/>
  <c r="B1015" i="10"/>
  <c r="E997" i="10" s="1"/>
  <c r="F997" i="10" s="1"/>
  <c r="C849" i="12"/>
  <c r="D849" i="12"/>
  <c r="E849" i="12"/>
  <c r="F849" i="12"/>
  <c r="G849" i="12"/>
  <c r="H849" i="12"/>
  <c r="I849" i="12"/>
  <c r="J849" i="12"/>
  <c r="K849" i="12"/>
  <c r="L849" i="12"/>
  <c r="C852" i="12"/>
  <c r="C853" i="12"/>
  <c r="C854" i="12" s="1"/>
  <c r="B854" i="12"/>
  <c r="Q24" i="3"/>
  <c r="O58" i="3"/>
  <c r="B17" i="4"/>
  <c r="B877" i="12"/>
  <c r="G374" i="12"/>
  <c r="G375" i="12"/>
  <c r="B485" i="12"/>
  <c r="B566" i="12"/>
  <c r="B572" i="12" s="1"/>
  <c r="B573" i="12" s="1"/>
  <c r="B575" i="12" s="1"/>
  <c r="B571" i="12"/>
  <c r="G583" i="12"/>
  <c r="G589" i="12" s="1"/>
  <c r="G584" i="12"/>
  <c r="G590" i="12"/>
  <c r="E601" i="12"/>
  <c r="E603" i="12"/>
  <c r="E606" i="12"/>
  <c r="E607" i="12"/>
  <c r="E608" i="12" s="1"/>
  <c r="E609" i="12" s="1"/>
  <c r="B771" i="12" s="1"/>
  <c r="B614" i="12"/>
  <c r="B616" i="12"/>
  <c r="B617" i="12"/>
  <c r="B618" i="12"/>
  <c r="B620" i="12"/>
  <c r="B621" i="12"/>
  <c r="B622" i="12"/>
  <c r="B627" i="12" s="1"/>
  <c r="B629" i="12" s="1"/>
  <c r="B634" i="12" s="1"/>
  <c r="B638" i="12" s="1"/>
  <c r="B623" i="12"/>
  <c r="B646" i="12"/>
  <c r="B648" i="12"/>
  <c r="C648" i="12"/>
  <c r="D648" i="12"/>
  <c r="B649" i="12"/>
  <c r="C649" i="12"/>
  <c r="C651" i="12" s="1"/>
  <c r="D649" i="12"/>
  <c r="D651" i="12" s="1"/>
  <c r="C653" i="12"/>
  <c r="C654" i="12" s="1"/>
  <c r="D653" i="12"/>
  <c r="D654" i="12" s="1"/>
  <c r="B661" i="12"/>
  <c r="B663" i="12"/>
  <c r="B666" i="12" s="1"/>
  <c r="B667" i="12" s="1"/>
  <c r="B672" i="12"/>
  <c r="B673" i="12"/>
  <c r="B677" i="12"/>
  <c r="B678" i="12"/>
  <c r="B735" i="12" s="1"/>
  <c r="C735" i="12" s="1"/>
  <c r="D735" i="12" s="1"/>
  <c r="B714" i="12"/>
  <c r="B717" i="12"/>
  <c r="B718" i="12" s="1"/>
  <c r="E717" i="12"/>
  <c r="D724" i="12"/>
  <c r="B725" i="12"/>
  <c r="B728" i="12"/>
  <c r="B729" i="12"/>
  <c r="B734" i="12"/>
  <c r="C734" i="12" s="1"/>
  <c r="F734" i="12"/>
  <c r="B736" i="12"/>
  <c r="C736" i="12"/>
  <c r="D736" i="12" s="1"/>
  <c r="B737" i="12"/>
  <c r="C737" i="12"/>
  <c r="D737" i="12"/>
  <c r="B738" i="12"/>
  <c r="C738" i="12"/>
  <c r="D738" i="12"/>
  <c r="F738" i="12"/>
  <c r="F742" i="12" s="1"/>
  <c r="F745" i="12" s="1"/>
  <c r="F746" i="12" s="1"/>
  <c r="B748" i="12"/>
  <c r="C748" i="12"/>
  <c r="F748" i="12"/>
  <c r="H735" i="12" s="1"/>
  <c r="B749" i="12"/>
  <c r="D749" i="12"/>
  <c r="B751" i="12"/>
  <c r="G753" i="12"/>
  <c r="G754" i="12"/>
  <c r="G756" i="12"/>
  <c r="G757" i="12"/>
  <c r="G758" i="12"/>
  <c r="B760" i="12"/>
  <c r="B761" i="12"/>
  <c r="B773" i="12" s="1"/>
  <c r="B765" i="12"/>
  <c r="B766" i="12" s="1"/>
  <c r="B772" i="12" s="1"/>
  <c r="B776" i="12"/>
  <c r="B777" i="12"/>
  <c r="B778" i="12"/>
  <c r="C781" i="12"/>
  <c r="E803" i="12"/>
  <c r="B805" i="12"/>
  <c r="B806" i="12" s="1"/>
  <c r="B810" i="12"/>
  <c r="E810" i="12"/>
  <c r="E813" i="12"/>
  <c r="E814" i="12" s="1"/>
  <c r="E818" i="12" s="1"/>
  <c r="E824" i="12" s="1"/>
  <c r="D814" i="12"/>
  <c r="B815" i="12"/>
  <c r="E817" i="12"/>
  <c r="B820" i="12"/>
  <c r="B821" i="12"/>
  <c r="B825" i="12"/>
  <c r="E826" i="12"/>
  <c r="B814" i="12" s="1"/>
  <c r="B816" i="12" s="1"/>
  <c r="B829" i="12"/>
  <c r="B830" i="12"/>
  <c r="B831" i="12"/>
  <c r="D831" i="12"/>
  <c r="F831" i="12"/>
  <c r="B834" i="12"/>
  <c r="B835" i="12"/>
  <c r="B836" i="12"/>
  <c r="B841" i="12"/>
  <c r="B842" i="12"/>
  <c r="C868" i="12" s="1"/>
  <c r="B843" i="12"/>
  <c r="D846" i="12"/>
  <c r="D852" i="12" s="1"/>
  <c r="D853" i="12" s="1"/>
  <c r="E846" i="12"/>
  <c r="F846" i="12" s="1"/>
  <c r="G846" i="12"/>
  <c r="H846" i="12" s="1"/>
  <c r="D848" i="12"/>
  <c r="E848" i="12" s="1"/>
  <c r="F848" i="12"/>
  <c r="G848" i="12"/>
  <c r="H848" i="12" s="1"/>
  <c r="I848" i="12" s="1"/>
  <c r="J848" i="12" s="1"/>
  <c r="K848" i="12" s="1"/>
  <c r="L848" i="12" s="1"/>
  <c r="E851" i="12"/>
  <c r="F851" i="12"/>
  <c r="J851" i="12"/>
  <c r="L851" i="12"/>
  <c r="B862" i="12"/>
  <c r="B863" i="12"/>
  <c r="C869" i="12"/>
  <c r="C872" i="12"/>
  <c r="D872" i="12"/>
  <c r="E872" i="12"/>
  <c r="F872" i="12"/>
  <c r="G872" i="12"/>
  <c r="H872" i="12"/>
  <c r="I872" i="12"/>
  <c r="J872" i="12"/>
  <c r="K872" i="12"/>
  <c r="L872" i="12"/>
  <c r="C873" i="12"/>
  <c r="D873" i="12"/>
  <c r="E873" i="12"/>
  <c r="F873" i="12"/>
  <c r="E874" i="12"/>
  <c r="F874" i="12"/>
  <c r="J874" i="12"/>
  <c r="L874" i="12"/>
  <c r="B882" i="12"/>
  <c r="B884" i="12" s="1"/>
  <c r="C870" i="12" s="1"/>
  <c r="D870" i="12" s="1"/>
  <c r="E870" i="12" s="1"/>
  <c r="F870" i="12" s="1"/>
  <c r="G870" i="12" s="1"/>
  <c r="H870" i="12" s="1"/>
  <c r="I870" i="12" s="1"/>
  <c r="J870" i="12" s="1"/>
  <c r="K870" i="12" s="1"/>
  <c r="L870" i="12" s="1"/>
  <c r="B90" i="12"/>
  <c r="C93" i="12" s="1"/>
  <c r="D93" i="12" s="1"/>
  <c r="F93" i="12" s="1"/>
  <c r="B92" i="12"/>
  <c r="C92" i="12"/>
  <c r="D92" i="12"/>
  <c r="E92" i="12"/>
  <c r="F92" i="12"/>
  <c r="B93" i="12"/>
  <c r="B96" i="12" s="1"/>
  <c r="B94" i="12"/>
  <c r="C94" i="12"/>
  <c r="D94" i="12"/>
  <c r="F94" i="12"/>
  <c r="D106" i="12" s="1"/>
  <c r="B95" i="12"/>
  <c r="C95" i="12"/>
  <c r="D95" i="12" s="1"/>
  <c r="F95" i="12" s="1"/>
  <c r="B86" i="12"/>
  <c r="B87" i="12"/>
  <c r="B82" i="12"/>
  <c r="B83" i="12"/>
  <c r="B78" i="12"/>
  <c r="B79" i="12"/>
  <c r="B75" i="12"/>
  <c r="B76" i="12"/>
  <c r="B70" i="12"/>
  <c r="B71" i="12"/>
  <c r="B62" i="12"/>
  <c r="B63" i="12"/>
  <c r="B67" i="12"/>
  <c r="B68" i="12"/>
  <c r="I31" i="12"/>
  <c r="C34" i="12"/>
  <c r="I34" i="12"/>
  <c r="K35" i="12"/>
  <c r="B809" i="12" s="1"/>
  <c r="B811" i="12" s="1"/>
  <c r="C37" i="12"/>
  <c r="I37" i="12"/>
  <c r="I38" i="12"/>
  <c r="K38" i="12"/>
  <c r="K39" i="12"/>
  <c r="C40" i="12"/>
  <c r="K40" i="12"/>
  <c r="K41" i="12"/>
  <c r="C42" i="12"/>
  <c r="C43" i="12" s="1"/>
  <c r="C55" i="12" s="1"/>
  <c r="C56" i="12" s="1"/>
  <c r="K42" i="12"/>
  <c r="K43" i="12"/>
  <c r="K44" i="12" s="1"/>
  <c r="K52" i="12"/>
  <c r="D57" i="12"/>
  <c r="I58" i="12"/>
  <c r="I59" i="12" s="1"/>
  <c r="I60" i="12" s="1"/>
  <c r="E52" i="12" s="1"/>
  <c r="B59" i="12"/>
  <c r="B60" i="12"/>
  <c r="C20" i="12"/>
  <c r="C23" i="12" s="1"/>
  <c r="E23" i="12" s="1"/>
  <c r="E20" i="12"/>
  <c r="C27" i="12" s="1"/>
  <c r="E27" i="12" s="1"/>
  <c r="C22" i="12"/>
  <c r="E22" i="12" s="1"/>
  <c r="C17" i="12"/>
  <c r="C4" i="12"/>
  <c r="C21" i="12" s="1"/>
  <c r="A5" i="12"/>
  <c r="O52" i="3"/>
  <c r="O53" i="3"/>
  <c r="O54" i="3"/>
  <c r="O55" i="3"/>
  <c r="O50" i="3"/>
  <c r="O49" i="3"/>
  <c r="O48" i="3"/>
  <c r="O47" i="3"/>
  <c r="O46" i="3"/>
  <c r="O44" i="3"/>
  <c r="O57" i="3" s="1"/>
  <c r="Z48" i="11"/>
  <c r="Y37" i="11"/>
  <c r="Y41" i="11" s="1"/>
  <c r="Y17" i="11"/>
  <c r="Y16" i="11"/>
  <c r="Y13" i="11"/>
  <c r="F24" i="7"/>
  <c r="G15" i="7"/>
  <c r="E606" i="10"/>
  <c r="E607" i="10" s="1"/>
  <c r="E608" i="10" s="1"/>
  <c r="E609" i="10" s="1"/>
  <c r="B771" i="10" s="1"/>
  <c r="B874" i="10"/>
  <c r="B877" i="10" s="1"/>
  <c r="B882" i="10"/>
  <c r="B884" i="10" s="1"/>
  <c r="C1306" i="10" s="1"/>
  <c r="D1306" i="10" s="1"/>
  <c r="E1306" i="10" s="1"/>
  <c r="F1306" i="10" s="1"/>
  <c r="G1306" i="10" s="1"/>
  <c r="H1306" i="10" s="1"/>
  <c r="I1306" i="10" s="1"/>
  <c r="J1306" i="10" s="1"/>
  <c r="K1306" i="10" s="1"/>
  <c r="L1306" i="10" s="1"/>
  <c r="F874" i="10"/>
  <c r="J874" i="10"/>
  <c r="L874" i="10"/>
  <c r="E874" i="10"/>
  <c r="F873" i="10"/>
  <c r="E873" i="10"/>
  <c r="D873" i="10"/>
  <c r="J851" i="10"/>
  <c r="F851" i="10"/>
  <c r="F850" i="10"/>
  <c r="E850" i="10"/>
  <c r="D850" i="10"/>
  <c r="B851" i="10"/>
  <c r="L851" i="10"/>
  <c r="E851" i="10"/>
  <c r="B863" i="10"/>
  <c r="B830" i="10"/>
  <c r="B836" i="10"/>
  <c r="B843" i="10"/>
  <c r="C846" i="10" s="1"/>
  <c r="D846" i="10" s="1"/>
  <c r="G803" i="10"/>
  <c r="F831" i="10"/>
  <c r="B829" i="10"/>
  <c r="B815" i="10"/>
  <c r="B820" i="10" s="1"/>
  <c r="B821" i="10" s="1"/>
  <c r="B1054" i="10" s="1"/>
  <c r="B1102" i="10" s="1"/>
  <c r="B1275" i="10" s="1"/>
  <c r="B810" i="10"/>
  <c r="E817" i="10"/>
  <c r="E813" i="10"/>
  <c r="D814" i="10"/>
  <c r="K52" i="10"/>
  <c r="I31" i="10"/>
  <c r="I37" i="10"/>
  <c r="I38" i="10" s="1"/>
  <c r="H965" i="10" s="1"/>
  <c r="I34" i="10"/>
  <c r="K35" i="10"/>
  <c r="B809" i="10" s="1"/>
  <c r="K38" i="10"/>
  <c r="B805" i="10"/>
  <c r="B806" i="10" s="1"/>
  <c r="B1058" i="10" s="1"/>
  <c r="G756" i="10"/>
  <c r="G757" i="10" s="1"/>
  <c r="G758" i="10" s="1"/>
  <c r="G753" i="10"/>
  <c r="G754" i="10" s="1"/>
  <c r="F748" i="10"/>
  <c r="H735" i="10" s="1"/>
  <c r="F738" i="10"/>
  <c r="F742" i="10" s="1"/>
  <c r="F745" i="10" s="1"/>
  <c r="F746" i="10" s="1"/>
  <c r="D724" i="10"/>
  <c r="F734" i="10"/>
  <c r="B748" i="10"/>
  <c r="C748" i="10" s="1"/>
  <c r="B485" i="10"/>
  <c r="C781" i="10"/>
  <c r="A5" i="10"/>
  <c r="B777" i="10"/>
  <c r="B835" i="10" s="1"/>
  <c r="B1107" i="10" s="1"/>
  <c r="B1282" i="10" s="1"/>
  <c r="B776" i="10"/>
  <c r="B834" i="10" s="1"/>
  <c r="B1106" i="10" s="1"/>
  <c r="B1280" i="10" s="1"/>
  <c r="B765" i="10"/>
  <c r="B749" i="10"/>
  <c r="D749" i="10" s="1"/>
  <c r="B751" i="10"/>
  <c r="E717" i="10"/>
  <c r="B737" i="10" s="1"/>
  <c r="B725" i="10"/>
  <c r="B728" i="10" s="1"/>
  <c r="B729" i="10" s="1"/>
  <c r="B677" i="10"/>
  <c r="B678" i="10" s="1"/>
  <c r="B735" i="10" s="1"/>
  <c r="C735" i="10" s="1"/>
  <c r="D735" i="10" s="1"/>
  <c r="B672" i="10"/>
  <c r="B673" i="10" s="1"/>
  <c r="B734" i="10" s="1"/>
  <c r="C734" i="10" s="1"/>
  <c r="D734" i="10" s="1"/>
  <c r="B661" i="10"/>
  <c r="C653" i="10"/>
  <c r="D653" i="10" s="1"/>
  <c r="D654" i="10" s="1"/>
  <c r="D648" i="10"/>
  <c r="D649" i="10" s="1"/>
  <c r="C648" i="10"/>
  <c r="C649" i="10" s="1"/>
  <c r="B646" i="10"/>
  <c r="B648" i="10" s="1"/>
  <c r="B649" i="10" s="1"/>
  <c r="G583" i="10"/>
  <c r="G584" i="10" s="1"/>
  <c r="P1116" i="10" l="1"/>
  <c r="R1116" i="10" s="1"/>
  <c r="S1116" i="10" s="1"/>
  <c r="P1101" i="10"/>
  <c r="R1101" i="10" s="1"/>
  <c r="S1101" i="10" s="1"/>
  <c r="O1116" i="10"/>
  <c r="O1101" i="10"/>
  <c r="H1055" i="10"/>
  <c r="H1096" i="10"/>
  <c r="F1351" i="10"/>
  <c r="F1352" i="10" s="1"/>
  <c r="H1342" i="10" s="1"/>
  <c r="F1355" i="10"/>
  <c r="F1357" i="10" s="1"/>
  <c r="F1358" i="10" s="1"/>
  <c r="H1343" i="10" s="1"/>
  <c r="H974" i="10"/>
  <c r="B1288" i="10"/>
  <c r="H975" i="10"/>
  <c r="C847" i="10"/>
  <c r="D847" i="10" s="1"/>
  <c r="E847" i="10" s="1"/>
  <c r="C1142" i="10"/>
  <c r="D1142" i="10" s="1"/>
  <c r="E1142" i="10" s="1"/>
  <c r="F1142" i="10" s="1"/>
  <c r="G1142" i="10" s="1"/>
  <c r="H1142" i="10" s="1"/>
  <c r="I1142" i="10" s="1"/>
  <c r="J1142" i="10" s="1"/>
  <c r="K1142" i="10" s="1"/>
  <c r="L1142" i="10" s="1"/>
  <c r="P1060" i="10"/>
  <c r="R1060" i="10" s="1"/>
  <c r="S1060" i="10" s="1"/>
  <c r="O1060" i="10"/>
  <c r="I989" i="10"/>
  <c r="K989" i="10" s="1"/>
  <c r="L989" i="10" s="1"/>
  <c r="N989" i="10" s="1"/>
  <c r="M1059" i="10"/>
  <c r="B1112" i="10"/>
  <c r="F994" i="10"/>
  <c r="J1063" i="10"/>
  <c r="J10" i="16"/>
  <c r="H849" i="10"/>
  <c r="H872" i="10"/>
  <c r="E826" i="10"/>
  <c r="B814" i="10" s="1"/>
  <c r="B816" i="10" s="1"/>
  <c r="E814" i="10"/>
  <c r="E818" i="10" s="1"/>
  <c r="E824" i="10" s="1"/>
  <c r="B854" i="10"/>
  <c r="C849" i="10"/>
  <c r="B903" i="10"/>
  <c r="B906" i="10" s="1"/>
  <c r="B909" i="10" s="1"/>
  <c r="B912" i="10" s="1"/>
  <c r="C869" i="10"/>
  <c r="C654" i="10"/>
  <c r="B663" i="10"/>
  <c r="B666" i="10" s="1"/>
  <c r="B667" i="10" s="1"/>
  <c r="B736" i="10" s="1"/>
  <c r="C736" i="10" s="1"/>
  <c r="D736" i="10" s="1"/>
  <c r="B576" i="12"/>
  <c r="B585" i="12" s="1"/>
  <c r="B578" i="12"/>
  <c r="B580" i="12" s="1"/>
  <c r="E116" i="12"/>
  <c r="F116" i="12" s="1"/>
  <c r="G116" i="12" s="1"/>
  <c r="E107" i="12"/>
  <c r="E111" i="12"/>
  <c r="E102" i="12"/>
  <c r="E108" i="12"/>
  <c r="E110" i="12"/>
  <c r="E114" i="12"/>
  <c r="E112" i="12"/>
  <c r="E105" i="12"/>
  <c r="E103" i="12"/>
  <c r="E109" i="12"/>
  <c r="E115" i="12"/>
  <c r="E99" i="12"/>
  <c r="E106" i="12"/>
  <c r="D96" i="12"/>
  <c r="C96" i="12"/>
  <c r="H852" i="12"/>
  <c r="H853" i="12" s="1"/>
  <c r="I846" i="12"/>
  <c r="H854" i="12"/>
  <c r="E29" i="12"/>
  <c r="C99" i="12"/>
  <c r="C101" i="12"/>
  <c r="F101" i="12" s="1"/>
  <c r="G101" i="12" s="1"/>
  <c r="C106" i="12"/>
  <c r="C110" i="12"/>
  <c r="C113" i="12"/>
  <c r="F113" i="12" s="1"/>
  <c r="G113" i="12" s="1"/>
  <c r="C105" i="12"/>
  <c r="C103" i="12"/>
  <c r="C107" i="12"/>
  <c r="C109" i="12"/>
  <c r="C115" i="12"/>
  <c r="C111" i="12"/>
  <c r="C102" i="12"/>
  <c r="C108" i="12"/>
  <c r="C114" i="12"/>
  <c r="D864" i="12"/>
  <c r="D868" i="12"/>
  <c r="E53" i="12"/>
  <c r="E54" i="12" s="1"/>
  <c r="E51" i="12"/>
  <c r="E50" i="12" s="1"/>
  <c r="E55" i="12"/>
  <c r="D734" i="12"/>
  <c r="E21" i="12"/>
  <c r="C28" i="12" s="1"/>
  <c r="E28" i="12" s="1"/>
  <c r="G8" i="12"/>
  <c r="K45" i="12"/>
  <c r="K46" i="12"/>
  <c r="K47" i="12" s="1"/>
  <c r="K48" i="12" s="1"/>
  <c r="K49" i="12" s="1"/>
  <c r="K50" i="12" s="1"/>
  <c r="K51" i="12" s="1"/>
  <c r="B106" i="12"/>
  <c r="B110" i="12"/>
  <c r="B114" i="12"/>
  <c r="B108" i="12"/>
  <c r="F108" i="12" s="1"/>
  <c r="G108" i="12" s="1"/>
  <c r="B102" i="12"/>
  <c r="D104" i="12"/>
  <c r="F104" i="12" s="1"/>
  <c r="G104" i="12" s="1"/>
  <c r="D107" i="12"/>
  <c r="D111" i="12"/>
  <c r="D101" i="12"/>
  <c r="D99" i="12"/>
  <c r="F96" i="12"/>
  <c r="G852" i="12"/>
  <c r="G853" i="12" s="1"/>
  <c r="G854" i="12" s="1"/>
  <c r="D115" i="12"/>
  <c r="B111" i="12"/>
  <c r="D109" i="12"/>
  <c r="D103" i="12"/>
  <c r="B99" i="12"/>
  <c r="F852" i="12"/>
  <c r="F853" i="12" s="1"/>
  <c r="F854" i="12" s="1"/>
  <c r="E852" i="12"/>
  <c r="E853" i="12" s="1"/>
  <c r="E854" i="12" s="1"/>
  <c r="B115" i="12"/>
  <c r="B109" i="12"/>
  <c r="B107" i="12"/>
  <c r="B103" i="12"/>
  <c r="F103" i="12" s="1"/>
  <c r="G103" i="12" s="1"/>
  <c r="D854" i="12"/>
  <c r="B628" i="12"/>
  <c r="B630" i="12" s="1"/>
  <c r="B635" i="12" s="1"/>
  <c r="B639" i="12" s="1"/>
  <c r="B739" i="12" s="1"/>
  <c r="C739" i="12" s="1"/>
  <c r="D739" i="12" s="1"/>
  <c r="D112" i="12"/>
  <c r="B105" i="12"/>
  <c r="B100" i="12"/>
  <c r="F100" i="12" s="1"/>
  <c r="G100" i="12" s="1"/>
  <c r="E821" i="12"/>
  <c r="B752" i="12"/>
  <c r="B753" i="12" s="1"/>
  <c r="D114" i="12"/>
  <c r="B112" i="12"/>
  <c r="F112" i="12" s="1"/>
  <c r="G112" i="12" s="1"/>
  <c r="D110" i="12"/>
  <c r="D108" i="12"/>
  <c r="D102" i="12"/>
  <c r="O45" i="3"/>
  <c r="C870" i="10"/>
  <c r="D870" i="10" s="1"/>
  <c r="E870" i="10" s="1"/>
  <c r="F870" i="10" s="1"/>
  <c r="G870" i="10" s="1"/>
  <c r="E849" i="10"/>
  <c r="C872" i="10"/>
  <c r="K872" i="10"/>
  <c r="F849" i="10"/>
  <c r="D872" i="10"/>
  <c r="L872" i="10"/>
  <c r="G849" i="10"/>
  <c r="G872" i="10"/>
  <c r="K849" i="10"/>
  <c r="I872" i="10"/>
  <c r="E872" i="10"/>
  <c r="F872" i="10"/>
  <c r="I849" i="10"/>
  <c r="J849" i="10"/>
  <c r="D849" i="10"/>
  <c r="L849" i="10"/>
  <c r="J872" i="10"/>
  <c r="B811" i="10"/>
  <c r="B831" i="10"/>
  <c r="D831" i="10" s="1"/>
  <c r="B842" i="10"/>
  <c r="C868" i="10" s="1"/>
  <c r="D864" i="10" s="1"/>
  <c r="E821" i="10"/>
  <c r="B778" i="10"/>
  <c r="D651" i="10"/>
  <c r="B752" i="10"/>
  <c r="B753" i="10" s="1"/>
  <c r="B766" i="10"/>
  <c r="B772" i="10" s="1"/>
  <c r="C651" i="10"/>
  <c r="G589" i="10"/>
  <c r="G590" i="10" s="1"/>
  <c r="C737" i="10"/>
  <c r="D737" i="10" s="1"/>
  <c r="P1100" i="10" l="1"/>
  <c r="Q1100" i="10" s="1"/>
  <c r="P1115" i="10"/>
  <c r="Q1115" i="10" s="1"/>
  <c r="O1100" i="10"/>
  <c r="O1115" i="10"/>
  <c r="B1113" i="10"/>
  <c r="B1289" i="10"/>
  <c r="P1059" i="10"/>
  <c r="Q1059" i="10" s="1"/>
  <c r="O1059" i="10"/>
  <c r="G994" i="10"/>
  <c r="L1063" i="10"/>
  <c r="H870" i="10"/>
  <c r="I870" i="10" s="1"/>
  <c r="J870" i="10" s="1"/>
  <c r="K870" i="10" s="1"/>
  <c r="L870" i="10" s="1"/>
  <c r="H966" i="10"/>
  <c r="H967" i="10" s="1"/>
  <c r="E868" i="12"/>
  <c r="F114" i="12"/>
  <c r="B740" i="12"/>
  <c r="F99" i="12"/>
  <c r="B755" i="12"/>
  <c r="D751" i="12"/>
  <c r="J846" i="12"/>
  <c r="I852" i="12"/>
  <c r="I853" i="12" s="1"/>
  <c r="I854" i="12"/>
  <c r="F115" i="12"/>
  <c r="G115" i="12" s="1"/>
  <c r="F105" i="12"/>
  <c r="G105" i="12" s="1"/>
  <c r="F111" i="12"/>
  <c r="G111" i="12" s="1"/>
  <c r="B586" i="12"/>
  <c r="B581" i="12"/>
  <c r="C740" i="12"/>
  <c r="D740" i="12"/>
  <c r="F110" i="12"/>
  <c r="G110" i="12" s="1"/>
  <c r="E30" i="12"/>
  <c r="B782" i="12"/>
  <c r="B783" i="12" s="1"/>
  <c r="F31" i="12"/>
  <c r="C51" i="12"/>
  <c r="C52" i="12" s="1"/>
  <c r="F107" i="12"/>
  <c r="G107" i="12" s="1"/>
  <c r="F106" i="12"/>
  <c r="G106" i="12" s="1"/>
  <c r="E822" i="12"/>
  <c r="E823" i="12"/>
  <c r="E825" i="12" s="1"/>
  <c r="F109" i="12"/>
  <c r="G109" i="12" s="1"/>
  <c r="F102" i="12"/>
  <c r="G102" i="12" s="1"/>
  <c r="F847" i="10"/>
  <c r="E822" i="10"/>
  <c r="E823" i="10" s="1"/>
  <c r="E825" i="10" s="1"/>
  <c r="B755" i="10"/>
  <c r="B756" i="10" s="1"/>
  <c r="D751" i="10"/>
  <c r="U1115" i="10" l="1"/>
  <c r="U1121" i="10" s="1"/>
  <c r="U1122" i="10" s="1"/>
  <c r="V1115" i="10"/>
  <c r="U1100" i="10"/>
  <c r="U1106" i="10" s="1"/>
  <c r="U1107" i="10" s="1"/>
  <c r="V1100" i="10"/>
  <c r="V1106" i="10" s="1"/>
  <c r="V1107" i="10" s="1"/>
  <c r="U1059" i="10"/>
  <c r="V1059" i="10"/>
  <c r="I994" i="10"/>
  <c r="J994" i="10" s="1"/>
  <c r="M1063" i="10"/>
  <c r="K1022" i="10"/>
  <c r="K1023" i="10" s="1"/>
  <c r="K1024" i="10" s="1"/>
  <c r="K1028" i="10" s="1"/>
  <c r="K1029" i="10" s="1"/>
  <c r="O1020" i="10" s="1"/>
  <c r="P1020" i="10" s="1"/>
  <c r="P1021" i="10" s="1"/>
  <c r="H969" i="10"/>
  <c r="B774" i="10"/>
  <c r="B775" i="10" s="1"/>
  <c r="B779" i="10" s="1"/>
  <c r="C796" i="10" s="1"/>
  <c r="D796" i="10" s="1"/>
  <c r="E796" i="10" s="1"/>
  <c r="F796" i="10" s="1"/>
  <c r="G796" i="10" s="1"/>
  <c r="B1047" i="10"/>
  <c r="D1047" i="10" s="1"/>
  <c r="B824" i="10"/>
  <c r="B756" i="12"/>
  <c r="B774" i="12"/>
  <c r="B775" i="12" s="1"/>
  <c r="B779" i="12" s="1"/>
  <c r="C796" i="12" s="1"/>
  <c r="D796" i="12" s="1"/>
  <c r="E796" i="12" s="1"/>
  <c r="F796" i="12" s="1"/>
  <c r="G796" i="12" s="1"/>
  <c r="H796" i="12" s="1"/>
  <c r="I796" i="12" s="1"/>
  <c r="J796" i="12" s="1"/>
  <c r="K796" i="12" s="1"/>
  <c r="G114" i="12"/>
  <c r="F118" i="12"/>
  <c r="G118" i="12" s="1"/>
  <c r="C800" i="12"/>
  <c r="B800" i="12"/>
  <c r="K846" i="12"/>
  <c r="J852" i="12"/>
  <c r="J853" i="12" s="1"/>
  <c r="J854" i="12" s="1"/>
  <c r="G99" i="12"/>
  <c r="F117" i="12"/>
  <c r="G117" i="12" s="1"/>
  <c r="H117" i="12" s="1"/>
  <c r="I117" i="12" s="1"/>
  <c r="B785" i="12"/>
  <c r="B788" i="12" s="1"/>
  <c r="B786" i="12"/>
  <c r="D752" i="12"/>
  <c r="D753" i="12" s="1"/>
  <c r="B824" i="12"/>
  <c r="B826" i="12" s="1"/>
  <c r="F868" i="12"/>
  <c r="G847" i="10"/>
  <c r="H847" i="10" s="1"/>
  <c r="I847" i="10" s="1"/>
  <c r="D868" i="10"/>
  <c r="D752" i="10"/>
  <c r="D753" i="10" s="1"/>
  <c r="G1200" i="10" s="1"/>
  <c r="G1201" i="10" s="1"/>
  <c r="G1202" i="10" s="1"/>
  <c r="G1203" i="10" s="1"/>
  <c r="G1207" i="10" s="1"/>
  <c r="G1210" i="10" s="1"/>
  <c r="G1211" i="10" s="1"/>
  <c r="B1258" i="10" s="1"/>
  <c r="B1268" i="10" s="1"/>
  <c r="B1311" i="10" l="1"/>
  <c r="B1269" i="10"/>
  <c r="B1314" i="10"/>
  <c r="O1063" i="10"/>
  <c r="P1063" i="10"/>
  <c r="Q1063" i="10" s="1"/>
  <c r="U1063" i="10" s="1"/>
  <c r="U1065" i="10" s="1"/>
  <c r="U1066" i="10" s="1"/>
  <c r="H796" i="10"/>
  <c r="I796" i="10" s="1"/>
  <c r="J796" i="10" s="1"/>
  <c r="K796" i="10" s="1"/>
  <c r="Q993" i="10"/>
  <c r="B1049" i="10"/>
  <c r="B1103" i="10" s="1"/>
  <c r="B826" i="10"/>
  <c r="B838" i="10" s="1"/>
  <c r="L846" i="12"/>
  <c r="K852" i="12"/>
  <c r="K853" i="12" s="1"/>
  <c r="K854" i="12"/>
  <c r="B789" i="12"/>
  <c r="C795" i="12"/>
  <c r="B838" i="12"/>
  <c r="C838" i="12"/>
  <c r="G868" i="12"/>
  <c r="E846" i="10"/>
  <c r="E868" i="10"/>
  <c r="B1108" i="10" l="1"/>
  <c r="C1143" i="10" s="1"/>
  <c r="D1143" i="10" s="1"/>
  <c r="E1143" i="10" s="1"/>
  <c r="F1143" i="10" s="1"/>
  <c r="G1143" i="10" s="1"/>
  <c r="H1143" i="10" s="1"/>
  <c r="I1143" i="10" s="1"/>
  <c r="J1143" i="10" s="1"/>
  <c r="K1143" i="10" s="1"/>
  <c r="L1143" i="10" s="1"/>
  <c r="B1276" i="10"/>
  <c r="B1283" i="10" s="1"/>
  <c r="C838" i="10"/>
  <c r="B865" i="10" s="1"/>
  <c r="B864" i="10"/>
  <c r="B861" i="10"/>
  <c r="B839" i="10"/>
  <c r="C848" i="10" s="1"/>
  <c r="D848" i="10" s="1"/>
  <c r="D852" i="10" s="1"/>
  <c r="D853" i="10" s="1"/>
  <c r="B839" i="12"/>
  <c r="B861" i="12"/>
  <c r="B864" i="12"/>
  <c r="D795" i="12"/>
  <c r="C797" i="12"/>
  <c r="L852" i="12"/>
  <c r="L853" i="12" s="1"/>
  <c r="L854" i="12"/>
  <c r="B855" i="12" s="1"/>
  <c r="H868" i="12"/>
  <c r="C871" i="12"/>
  <c r="B865" i="12"/>
  <c r="F868" i="10"/>
  <c r="F846" i="10"/>
  <c r="C1307" i="10" l="1"/>
  <c r="C871" i="10"/>
  <c r="C875" i="10" s="1"/>
  <c r="C876" i="10" s="1"/>
  <c r="C877" i="10" s="1"/>
  <c r="D871" i="10"/>
  <c r="D875" i="10" s="1"/>
  <c r="D876" i="10" s="1"/>
  <c r="D877" i="10" s="1"/>
  <c r="C852" i="10"/>
  <c r="C853" i="10" s="1"/>
  <c r="C854" i="10" s="1"/>
  <c r="C798" i="12"/>
  <c r="C799" i="12" s="1"/>
  <c r="E795" i="12"/>
  <c r="D797" i="12"/>
  <c r="I868" i="12"/>
  <c r="D871" i="12"/>
  <c r="C875" i="12"/>
  <c r="C876" i="12" s="1"/>
  <c r="C877" i="12"/>
  <c r="B856" i="12"/>
  <c r="J847" i="10"/>
  <c r="G868" i="10"/>
  <c r="H868" i="10" s="1"/>
  <c r="G846" i="10"/>
  <c r="H846" i="10" s="1"/>
  <c r="D854" i="10"/>
  <c r="E848" i="10"/>
  <c r="E852" i="10" s="1"/>
  <c r="E853" i="10" s="1"/>
  <c r="D1307" i="10" l="1"/>
  <c r="E1307" i="10" s="1"/>
  <c r="F1307" i="10" s="1"/>
  <c r="G1307" i="10" s="1"/>
  <c r="H1307" i="10" s="1"/>
  <c r="I1307" i="10" s="1"/>
  <c r="J1307" i="10" s="1"/>
  <c r="K1307" i="10" s="1"/>
  <c r="L1307" i="10" s="1"/>
  <c r="J1320" i="10" s="1"/>
  <c r="J1321" i="10" s="1"/>
  <c r="J1323" i="10" s="1"/>
  <c r="E871" i="10"/>
  <c r="E875" i="10" s="1"/>
  <c r="E876" i="10" s="1"/>
  <c r="E877" i="10" s="1"/>
  <c r="F871" i="10"/>
  <c r="F875" i="10" s="1"/>
  <c r="I846" i="10"/>
  <c r="I868" i="10"/>
  <c r="E871" i="12"/>
  <c r="D875" i="12"/>
  <c r="D876" i="12" s="1"/>
  <c r="D877" i="12" s="1"/>
  <c r="J868" i="12"/>
  <c r="D798" i="12"/>
  <c r="D799" i="12" s="1"/>
  <c r="E797" i="12"/>
  <c r="F795" i="12"/>
  <c r="K847" i="10"/>
  <c r="F848" i="10"/>
  <c r="F852" i="10" s="1"/>
  <c r="F853" i="10" s="1"/>
  <c r="F854" i="10" s="1"/>
  <c r="E854" i="10"/>
  <c r="G871" i="10" l="1"/>
  <c r="G875" i="10" s="1"/>
  <c r="K868" i="12"/>
  <c r="G795" i="12"/>
  <c r="F797" i="12"/>
  <c r="E799" i="12"/>
  <c r="E798" i="12"/>
  <c r="F871" i="12"/>
  <c r="E875" i="12"/>
  <c r="E876" i="12" s="1"/>
  <c r="E877" i="12"/>
  <c r="F876" i="10"/>
  <c r="F877" i="10" s="1"/>
  <c r="L847" i="10"/>
  <c r="G848" i="10"/>
  <c r="H871" i="10" l="1"/>
  <c r="I871" i="10" s="1"/>
  <c r="I875" i="10" s="1"/>
  <c r="G852" i="10"/>
  <c r="G853" i="10" s="1"/>
  <c r="G854" i="10" s="1"/>
  <c r="H848" i="10"/>
  <c r="F798" i="12"/>
  <c r="F799" i="12" s="1"/>
  <c r="H795" i="12"/>
  <c r="G797" i="12"/>
  <c r="L868" i="12"/>
  <c r="G871" i="12"/>
  <c r="F875" i="12"/>
  <c r="F876" i="12" s="1"/>
  <c r="F877" i="12"/>
  <c r="G876" i="10"/>
  <c r="G877" i="10" s="1"/>
  <c r="J868" i="10"/>
  <c r="J846" i="10"/>
  <c r="H875" i="10" l="1"/>
  <c r="H876" i="10" s="1"/>
  <c r="H877" i="10" s="1"/>
  <c r="I848" i="10"/>
  <c r="I852" i="10" s="1"/>
  <c r="I853" i="10" s="1"/>
  <c r="H852" i="10"/>
  <c r="H853" i="10" s="1"/>
  <c r="H854" i="10" s="1"/>
  <c r="G798" i="12"/>
  <c r="G799" i="12"/>
  <c r="I795" i="12"/>
  <c r="H797" i="12"/>
  <c r="H871" i="12"/>
  <c r="G875" i="12"/>
  <c r="G876" i="12" s="1"/>
  <c r="G877" i="12" s="1"/>
  <c r="J871" i="10"/>
  <c r="J875" i="10" s="1"/>
  <c r="K846" i="10"/>
  <c r="K868" i="10"/>
  <c r="H798" i="12" l="1"/>
  <c r="H799" i="12" s="1"/>
  <c r="I797" i="12"/>
  <c r="J795" i="12"/>
  <c r="I871" i="12"/>
  <c r="H875" i="12"/>
  <c r="H876" i="12" s="1"/>
  <c r="H877" i="12" s="1"/>
  <c r="I876" i="10"/>
  <c r="I877" i="10" s="1"/>
  <c r="K871" i="10"/>
  <c r="K875" i="10" s="1"/>
  <c r="L868" i="10"/>
  <c r="I854" i="10"/>
  <c r="L846" i="10"/>
  <c r="J848" i="10"/>
  <c r="J852" i="10" s="1"/>
  <c r="J853" i="10" s="1"/>
  <c r="J854" i="10" s="1"/>
  <c r="J871" i="12" l="1"/>
  <c r="I875" i="12"/>
  <c r="I876" i="12" s="1"/>
  <c r="I877" i="12"/>
  <c r="J797" i="12"/>
  <c r="K795" i="12"/>
  <c r="K797" i="12" s="1"/>
  <c r="I798" i="12"/>
  <c r="I799" i="12"/>
  <c r="J876" i="10"/>
  <c r="J877" i="10" s="1"/>
  <c r="L871" i="10"/>
  <c r="L875" i="10" s="1"/>
  <c r="K848" i="10"/>
  <c r="K852" i="10" s="1"/>
  <c r="K853" i="10" s="1"/>
  <c r="K798" i="12" l="1"/>
  <c r="K799" i="12" s="1"/>
  <c r="J798" i="12"/>
  <c r="J799" i="12"/>
  <c r="K871" i="12"/>
  <c r="J875" i="12"/>
  <c r="J876" i="12" s="1"/>
  <c r="J877" i="12" s="1"/>
  <c r="K876" i="10"/>
  <c r="K877" i="10" s="1"/>
  <c r="L876" i="10"/>
  <c r="L848" i="10"/>
  <c r="L852" i="10" s="1"/>
  <c r="L853" i="10" s="1"/>
  <c r="K854" i="10"/>
  <c r="L871" i="12" l="1"/>
  <c r="K875" i="12"/>
  <c r="K876" i="12" s="1"/>
  <c r="K877" i="12"/>
  <c r="L877" i="10"/>
  <c r="L854" i="10"/>
  <c r="B855" i="10" s="1"/>
  <c r="B623" i="10"/>
  <c r="B614" i="10"/>
  <c r="B616" i="10" s="1"/>
  <c r="E601" i="10"/>
  <c r="E603" i="10" s="1"/>
  <c r="B571" i="10"/>
  <c r="B566" i="10"/>
  <c r="B572" i="10" s="1"/>
  <c r="B573" i="10" s="1"/>
  <c r="C40" i="10"/>
  <c r="C37" i="10"/>
  <c r="C34" i="10"/>
  <c r="O33" i="11"/>
  <c r="O34" i="11" s="1"/>
  <c r="O32" i="11"/>
  <c r="G374" i="10"/>
  <c r="G375" i="10" s="1"/>
  <c r="E92" i="10"/>
  <c r="B90" i="10"/>
  <c r="B95" i="10"/>
  <c r="B94" i="10"/>
  <c r="B93" i="10"/>
  <c r="B92" i="10"/>
  <c r="B87" i="10"/>
  <c r="B86" i="10"/>
  <c r="B83" i="10"/>
  <c r="B82" i="10"/>
  <c r="B79" i="10"/>
  <c r="B78" i="10"/>
  <c r="B76" i="10"/>
  <c r="B75" i="10"/>
  <c r="B71" i="10"/>
  <c r="B70" i="10"/>
  <c r="B68" i="10"/>
  <c r="B67" i="10"/>
  <c r="B63" i="10"/>
  <c r="B62" i="10"/>
  <c r="B60" i="10"/>
  <c r="B59" i="10"/>
  <c r="D14" i="11"/>
  <c r="D17" i="11" s="1"/>
  <c r="D57" i="10"/>
  <c r="I59" i="10"/>
  <c r="I60" i="10" s="1"/>
  <c r="C17" i="10"/>
  <c r="C4" i="10"/>
  <c r="C21" i="10" s="1"/>
  <c r="E21" i="10" s="1"/>
  <c r="C28" i="10" s="1"/>
  <c r="C48" i="9"/>
  <c r="C50" i="9" s="1"/>
  <c r="C52" i="9" s="1"/>
  <c r="F16" i="9"/>
  <c r="C17" i="9"/>
  <c r="C19" i="9"/>
  <c r="C20" i="8"/>
  <c r="C21" i="8" s="1"/>
  <c r="C9" i="7"/>
  <c r="C10" i="7" s="1"/>
  <c r="O40" i="3"/>
  <c r="O39" i="3"/>
  <c r="O42" i="3"/>
  <c r="O41" i="3"/>
  <c r="M13" i="6"/>
  <c r="H13" i="6"/>
  <c r="I13" i="6" s="1"/>
  <c r="C13" i="6"/>
  <c r="M12" i="6"/>
  <c r="H12" i="6"/>
  <c r="I12" i="6" s="1"/>
  <c r="M11" i="6"/>
  <c r="H11" i="6"/>
  <c r="I11" i="6" s="1"/>
  <c r="M10" i="6"/>
  <c r="H10" i="6"/>
  <c r="I10" i="6" s="1"/>
  <c r="M9" i="6"/>
  <c r="H9" i="6"/>
  <c r="I9" i="6" s="1"/>
  <c r="M8" i="6"/>
  <c r="H8" i="6"/>
  <c r="I8" i="6" s="1"/>
  <c r="M5" i="6"/>
  <c r="H5" i="6"/>
  <c r="I5" i="6" s="1"/>
  <c r="F5" i="6"/>
  <c r="L5" i="6" s="1"/>
  <c r="M10" i="5"/>
  <c r="M11" i="5"/>
  <c r="I12" i="5"/>
  <c r="M8" i="5"/>
  <c r="M9" i="5"/>
  <c r="M12" i="5"/>
  <c r="M13" i="5"/>
  <c r="H8" i="5"/>
  <c r="I8" i="5" s="1"/>
  <c r="H9" i="5"/>
  <c r="I9" i="5" s="1"/>
  <c r="H10" i="5"/>
  <c r="I10" i="5" s="1"/>
  <c r="H11" i="5"/>
  <c r="I11" i="5" s="1"/>
  <c r="H12" i="5"/>
  <c r="H13" i="5"/>
  <c r="I13" i="5" s="1"/>
  <c r="H5" i="5"/>
  <c r="I5" i="5" s="1"/>
  <c r="F5" i="5"/>
  <c r="L5" i="5" s="1"/>
  <c r="C13" i="5"/>
  <c r="B16" i="4"/>
  <c r="E37" i="3"/>
  <c r="E36" i="3"/>
  <c r="C38" i="3"/>
  <c r="B33" i="3"/>
  <c r="B9" i="4"/>
  <c r="B12" i="4"/>
  <c r="B11" i="4"/>
  <c r="B15" i="4"/>
  <c r="E7" i="1"/>
  <c r="B10" i="4"/>
  <c r="E5" i="1"/>
  <c r="E50" i="2"/>
  <c r="E1" i="2"/>
  <c r="A3" i="2"/>
  <c r="E3" i="2"/>
  <c r="E4" i="2" s="1"/>
  <c r="A4" i="2"/>
  <c r="A5" i="2"/>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E15" i="2"/>
  <c r="E16" i="2" s="1"/>
  <c r="E17" i="2" s="1"/>
  <c r="E18" i="2" s="1"/>
  <c r="E19" i="2" s="1"/>
  <c r="E20" i="2" s="1"/>
  <c r="E21" i="2" s="1"/>
  <c r="E22" i="2" s="1"/>
  <c r="E34" i="2"/>
  <c r="E35" i="2" s="1"/>
  <c r="E38" i="2"/>
  <c r="E39" i="2"/>
  <c r="E45" i="2"/>
  <c r="E45" i="1"/>
  <c r="E50" i="1"/>
  <c r="E26" i="1"/>
  <c r="E39" i="1"/>
  <c r="E38" i="1"/>
  <c r="E35" i="1"/>
  <c r="E34" i="1"/>
  <c r="D21" i="1"/>
  <c r="E21" i="1"/>
  <c r="D22" i="1"/>
  <c r="E22" i="1"/>
  <c r="E16" i="1"/>
  <c r="E17" i="1" s="1"/>
  <c r="E18" i="1" s="1"/>
  <c r="E19" i="1" s="1"/>
  <c r="E20" i="1" s="1"/>
  <c r="E15" i="1"/>
  <c r="D15" i="1"/>
  <c r="D16" i="1" s="1"/>
  <c r="D17" i="1" s="1"/>
  <c r="D18" i="1" s="1"/>
  <c r="D19" i="1" s="1"/>
  <c r="D20" i="1" s="1"/>
  <c r="D14" i="1"/>
  <c r="D13" i="1"/>
  <c r="E6" i="1"/>
  <c r="E4" i="1"/>
  <c r="E3" i="1"/>
  <c r="H973" i="10" l="1"/>
  <c r="B1291" i="10" s="1"/>
  <c r="B1287" i="10"/>
  <c r="B1115" i="10"/>
  <c r="D1106" i="10" s="1"/>
  <c r="H977" i="10"/>
  <c r="B1292" i="10" s="1"/>
  <c r="B1111" i="10"/>
  <c r="B902" i="10"/>
  <c r="B905" i="10" s="1"/>
  <c r="B908" i="10" s="1"/>
  <c r="B914" i="10" s="1"/>
  <c r="B879" i="10"/>
  <c r="B878" i="10"/>
  <c r="C55" i="10"/>
  <c r="C56" i="10" s="1"/>
  <c r="E52" i="10"/>
  <c r="E51" i="10" s="1"/>
  <c r="E50" i="10" s="1"/>
  <c r="D12" i="4"/>
  <c r="B13" i="4"/>
  <c r="B20" i="4" s="1"/>
  <c r="L875" i="12"/>
  <c r="L876" i="12" s="1"/>
  <c r="L877" i="12"/>
  <c r="B856" i="10"/>
  <c r="B575" i="10"/>
  <c r="B576" i="10" s="1"/>
  <c r="B585" i="10" s="1"/>
  <c r="B617" i="10" s="1"/>
  <c r="B96" i="10"/>
  <c r="B618" i="10"/>
  <c r="C93" i="10"/>
  <c r="D93" i="10" s="1"/>
  <c r="F93" i="10" s="1"/>
  <c r="C92" i="10"/>
  <c r="C95" i="10"/>
  <c r="D95" i="10" s="1"/>
  <c r="F95" i="10" s="1"/>
  <c r="C94" i="10"/>
  <c r="D94" i="10" s="1"/>
  <c r="F94" i="10" s="1"/>
  <c r="D19" i="11"/>
  <c r="C20" i="10"/>
  <c r="C22" i="10"/>
  <c r="E22" i="10" s="1"/>
  <c r="E8" i="1"/>
  <c r="B33" i="2"/>
  <c r="D13" i="2" s="1"/>
  <c r="A34" i="2"/>
  <c r="E5" i="2"/>
  <c r="E1" i="1"/>
  <c r="B42" i="1"/>
  <c r="B34" i="1"/>
  <c r="B35" i="1"/>
  <c r="B36" i="1"/>
  <c r="B37" i="1"/>
  <c r="B38" i="1"/>
  <c r="B39" i="1"/>
  <c r="B40" i="1"/>
  <c r="B41" i="1"/>
  <c r="B33"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E1290" i="10" l="1"/>
  <c r="E1291" i="10" s="1"/>
  <c r="E1292" i="10" s="1"/>
  <c r="B1297" i="10"/>
  <c r="B1294" i="10"/>
  <c r="Q992" i="10"/>
  <c r="B1003" i="10" s="1"/>
  <c r="B1116" i="10"/>
  <c r="H979" i="10"/>
  <c r="E55" i="10"/>
  <c r="E53" i="10"/>
  <c r="E54" i="10" s="1"/>
  <c r="B917" i="10"/>
  <c r="B911" i="10"/>
  <c r="B878" i="12"/>
  <c r="B879" i="12"/>
  <c r="B578" i="10"/>
  <c r="B580" i="10" s="1"/>
  <c r="B581" i="10" s="1"/>
  <c r="E28" i="10"/>
  <c r="K39" i="10"/>
  <c r="B621" i="10"/>
  <c r="D114" i="10"/>
  <c r="D104" i="10"/>
  <c r="F104" i="10" s="1"/>
  <c r="G104" i="10" s="1"/>
  <c r="D102" i="10"/>
  <c r="D109" i="10"/>
  <c r="D99" i="10"/>
  <c r="D108" i="10"/>
  <c r="D112" i="10"/>
  <c r="D103" i="10"/>
  <c r="D111" i="10"/>
  <c r="D101" i="10"/>
  <c r="D110" i="10"/>
  <c r="D107" i="10"/>
  <c r="D115" i="10"/>
  <c r="D106" i="10"/>
  <c r="E108" i="10"/>
  <c r="E112" i="10"/>
  <c r="E111" i="10"/>
  <c r="E102" i="10"/>
  <c r="E110" i="10"/>
  <c r="E99" i="10"/>
  <c r="E116" i="10"/>
  <c r="F116" i="10" s="1"/>
  <c r="G116" i="10" s="1"/>
  <c r="E107" i="10"/>
  <c r="E105" i="10"/>
  <c r="E103" i="10"/>
  <c r="E115" i="10"/>
  <c r="E106" i="10"/>
  <c r="E114" i="10"/>
  <c r="E109" i="10"/>
  <c r="C111" i="10"/>
  <c r="C101" i="10"/>
  <c r="C114" i="10"/>
  <c r="C115" i="10"/>
  <c r="C110" i="10"/>
  <c r="C102" i="10"/>
  <c r="C108" i="10"/>
  <c r="C107" i="10"/>
  <c r="C109" i="10"/>
  <c r="C99" i="10"/>
  <c r="C106" i="10"/>
  <c r="C105" i="10"/>
  <c r="C113" i="10"/>
  <c r="F113" i="10" s="1"/>
  <c r="G113" i="10" s="1"/>
  <c r="C103" i="10"/>
  <c r="B620" i="10"/>
  <c r="E20" i="10"/>
  <c r="C27" i="10" s="1"/>
  <c r="C96" i="10"/>
  <c r="D92" i="10"/>
  <c r="H35" i="11"/>
  <c r="D24" i="11"/>
  <c r="D28" i="11"/>
  <c r="D29" i="11" s="1"/>
  <c r="D23" i="11"/>
  <c r="D30" i="11" s="1"/>
  <c r="C23" i="10"/>
  <c r="E23" i="10" s="1"/>
  <c r="F15" i="1"/>
  <c r="F13" i="1"/>
  <c r="F18" i="1"/>
  <c r="F20" i="1"/>
  <c r="F16" i="1"/>
  <c r="F19" i="1"/>
  <c r="E10" i="1"/>
  <c r="F17" i="1"/>
  <c r="F21" i="1"/>
  <c r="F22" i="1"/>
  <c r="F14" i="1"/>
  <c r="E6" i="2"/>
  <c r="E26" i="2"/>
  <c r="A35" i="2"/>
  <c r="B34" i="2"/>
  <c r="D14" i="2" s="1"/>
  <c r="B1295" i="10" l="1"/>
  <c r="C1304" i="10" s="1"/>
  <c r="T1062" i="10"/>
  <c r="T1103" i="10"/>
  <c r="T1118" i="10" s="1"/>
  <c r="B1118" i="10"/>
  <c r="B1119" i="10" s="1"/>
  <c r="C1140" i="10" s="1"/>
  <c r="B1122" i="10"/>
  <c r="B586" i="10"/>
  <c r="B1007" i="10"/>
  <c r="B1009" i="10" s="1"/>
  <c r="B1064" i="10" s="1"/>
  <c r="B1065" i="10" s="1"/>
  <c r="B1069" i="10" s="1"/>
  <c r="B1070" i="10" s="1"/>
  <c r="B1089" i="10" s="1"/>
  <c r="B1096" i="10" s="1"/>
  <c r="B1004" i="10"/>
  <c r="B1008" i="10" s="1"/>
  <c r="D1008" i="10" s="1"/>
  <c r="T997" i="10" s="1"/>
  <c r="R997" i="10" s="1"/>
  <c r="G8" i="10"/>
  <c r="B622" i="10"/>
  <c r="B628" i="10" s="1"/>
  <c r="B630" i="10" s="1"/>
  <c r="B635" i="10" s="1"/>
  <c r="K40" i="10"/>
  <c r="K41" i="10" s="1"/>
  <c r="K42" i="10" s="1"/>
  <c r="K43" i="10"/>
  <c r="K44" i="10" s="1"/>
  <c r="F101" i="10"/>
  <c r="G101" i="10" s="1"/>
  <c r="F92" i="10"/>
  <c r="D96" i="10"/>
  <c r="E27" i="10"/>
  <c r="E29" i="10" s="1"/>
  <c r="C51" i="10" s="1"/>
  <c r="D25" i="11"/>
  <c r="F23" i="1"/>
  <c r="E27" i="1" s="1"/>
  <c r="B35" i="2"/>
  <c r="D15" i="2" s="1"/>
  <c r="A36" i="2"/>
  <c r="E7" i="2"/>
  <c r="E8" i="2"/>
  <c r="C1308" i="10" l="1"/>
  <c r="C1312" i="10" s="1"/>
  <c r="C1313" i="10" s="1"/>
  <c r="D1304" i="10"/>
  <c r="D1308" i="10" s="1"/>
  <c r="D1120" i="10"/>
  <c r="B1123" i="10" s="1"/>
  <c r="B1146" i="10"/>
  <c r="D1140" i="10"/>
  <c r="E1140" i="10" s="1"/>
  <c r="B627" i="10"/>
  <c r="B629" i="10" s="1"/>
  <c r="B634" i="10" s="1"/>
  <c r="B638" i="10" s="1"/>
  <c r="B639" i="10"/>
  <c r="B739" i="10" s="1"/>
  <c r="K45" i="10"/>
  <c r="K46" i="10"/>
  <c r="K47" i="10" s="1"/>
  <c r="K48" i="10" s="1"/>
  <c r="K49" i="10" s="1"/>
  <c r="K50" i="10" s="1"/>
  <c r="K51" i="10" s="1"/>
  <c r="C52" i="10"/>
  <c r="B782" i="10"/>
  <c r="B783" i="10" s="1"/>
  <c r="F96" i="10"/>
  <c r="B109" i="10"/>
  <c r="F109" i="10" s="1"/>
  <c r="G109" i="10" s="1"/>
  <c r="B99" i="10"/>
  <c r="F99" i="10" s="1"/>
  <c r="B114" i="10"/>
  <c r="F114" i="10" s="1"/>
  <c r="B112" i="10"/>
  <c r="F112" i="10" s="1"/>
  <c r="G112" i="10" s="1"/>
  <c r="B103" i="10"/>
  <c r="F103" i="10" s="1"/>
  <c r="G103" i="10" s="1"/>
  <c r="B102" i="10"/>
  <c r="F102" i="10" s="1"/>
  <c r="G102" i="10" s="1"/>
  <c r="B108" i="10"/>
  <c r="F108" i="10" s="1"/>
  <c r="G108" i="10" s="1"/>
  <c r="B106" i="10"/>
  <c r="F106" i="10" s="1"/>
  <c r="G106" i="10" s="1"/>
  <c r="B105" i="10"/>
  <c r="F105" i="10" s="1"/>
  <c r="G105" i="10" s="1"/>
  <c r="B107" i="10"/>
  <c r="F107" i="10" s="1"/>
  <c r="G107" i="10" s="1"/>
  <c r="B115" i="10"/>
  <c r="F115" i="10" s="1"/>
  <c r="G115" i="10" s="1"/>
  <c r="B111" i="10"/>
  <c r="F111" i="10" s="1"/>
  <c r="G111" i="10" s="1"/>
  <c r="B110" i="10"/>
  <c r="F110" i="10" s="1"/>
  <c r="G110" i="10" s="1"/>
  <c r="B100" i="10"/>
  <c r="F100" i="10" s="1"/>
  <c r="G100" i="10" s="1"/>
  <c r="F31" i="10"/>
  <c r="E30" i="10"/>
  <c r="F15" i="2"/>
  <c r="F13" i="2"/>
  <c r="E10" i="2"/>
  <c r="F14" i="2"/>
  <c r="B36" i="2"/>
  <c r="D16" i="2" s="1"/>
  <c r="F16" i="2" s="1"/>
  <c r="A37" i="2"/>
  <c r="D1312" i="10" l="1"/>
  <c r="D1313" i="10" s="1"/>
  <c r="D1314" i="10" s="1"/>
  <c r="C1314" i="10"/>
  <c r="E1304" i="10"/>
  <c r="E1308" i="10" s="1"/>
  <c r="F1140" i="10"/>
  <c r="C1141" i="10"/>
  <c r="B1149" i="10"/>
  <c r="B740" i="10"/>
  <c r="C739" i="10"/>
  <c r="D739" i="10" s="1"/>
  <c r="D740" i="10" s="1"/>
  <c r="G114" i="10"/>
  <c r="G99" i="10"/>
  <c r="F117" i="10"/>
  <c r="G117" i="10" s="1"/>
  <c r="B785" i="10"/>
  <c r="B786" i="10"/>
  <c r="A38" i="2"/>
  <c r="B37" i="2"/>
  <c r="D17" i="2" s="1"/>
  <c r="F17" i="2" s="1"/>
  <c r="E1312" i="10" l="1"/>
  <c r="E1313" i="10" s="1"/>
  <c r="E1314" i="10"/>
  <c r="F1304" i="10"/>
  <c r="F1308" i="10" s="1"/>
  <c r="C740" i="10"/>
  <c r="H1144" i="10"/>
  <c r="I1144" i="10"/>
  <c r="J1144" i="10"/>
  <c r="F1144" i="10"/>
  <c r="F1147" i="10" s="1"/>
  <c r="K1144" i="10"/>
  <c r="E1144" i="10"/>
  <c r="E1147" i="10" s="1"/>
  <c r="D1144" i="10"/>
  <c r="D1147" i="10" s="1"/>
  <c r="L1144" i="10"/>
  <c r="C1144" i="10"/>
  <c r="G1144" i="10"/>
  <c r="C1147" i="10"/>
  <c r="H117" i="10"/>
  <c r="I117" i="10" s="1"/>
  <c r="G1140" i="10"/>
  <c r="B789" i="10"/>
  <c r="C795" i="10"/>
  <c r="B788" i="10"/>
  <c r="C800" i="10"/>
  <c r="B800" i="10"/>
  <c r="F118" i="10"/>
  <c r="G118" i="10" s="1"/>
  <c r="A39" i="2"/>
  <c r="B38" i="2"/>
  <c r="D18" i="2" s="1"/>
  <c r="F18" i="2" s="1"/>
  <c r="F1312" i="10" l="1"/>
  <c r="F1313" i="10" s="1"/>
  <c r="F1314" i="10"/>
  <c r="G1304" i="10"/>
  <c r="G1308" i="10" s="1"/>
  <c r="G1312" i="10" s="1"/>
  <c r="G1313" i="10" s="1"/>
  <c r="G1314" i="10" s="1"/>
  <c r="H1304" i="10"/>
  <c r="H1308" i="10" s="1"/>
  <c r="F1148" i="10"/>
  <c r="F1149" i="10" s="1"/>
  <c r="C1148" i="10"/>
  <c r="C1149" i="10" s="1"/>
  <c r="E1148" i="10"/>
  <c r="E1149" i="10" s="1"/>
  <c r="G1147" i="10"/>
  <c r="H1140" i="10"/>
  <c r="D1148" i="10"/>
  <c r="D1149" i="10" s="1"/>
  <c r="D795" i="10"/>
  <c r="C797" i="10"/>
  <c r="B39" i="2"/>
  <c r="D19" i="2" s="1"/>
  <c r="F19" i="2" s="1"/>
  <c r="A40" i="2"/>
  <c r="H1312" i="10" l="1"/>
  <c r="H1313" i="10" s="1"/>
  <c r="H1314" i="10" s="1"/>
  <c r="I1304" i="10"/>
  <c r="I1308" i="10" s="1"/>
  <c r="B1152" i="10"/>
  <c r="G1148" i="10"/>
  <c r="G1149" i="10"/>
  <c r="I1140" i="10"/>
  <c r="H1147" i="10"/>
  <c r="C798" i="10"/>
  <c r="C799" i="10" s="1"/>
  <c r="E795" i="10"/>
  <c r="D797" i="10"/>
  <c r="A41" i="2"/>
  <c r="B40" i="2"/>
  <c r="D20" i="2" s="1"/>
  <c r="F20" i="2" s="1"/>
  <c r="I1312" i="10" l="1"/>
  <c r="I1313" i="10" s="1"/>
  <c r="I1314" i="10" s="1"/>
  <c r="J1304" i="10"/>
  <c r="J1308" i="10" s="1"/>
  <c r="H1148" i="10"/>
  <c r="H1149" i="10" s="1"/>
  <c r="J1140" i="10"/>
  <c r="I1147" i="10"/>
  <c r="D798" i="10"/>
  <c r="D799" i="10" s="1"/>
  <c r="F795" i="10"/>
  <c r="E797" i="10"/>
  <c r="A42" i="2"/>
  <c r="B42" i="2" s="1"/>
  <c r="B41" i="2"/>
  <c r="D21" i="2" s="1"/>
  <c r="F21" i="2" s="1"/>
  <c r="J1312" i="10" l="1"/>
  <c r="J1313" i="10" s="1"/>
  <c r="J1314" i="10" s="1"/>
  <c r="K1304" i="10"/>
  <c r="K1308" i="10" s="1"/>
  <c r="I1148" i="10"/>
  <c r="I1149" i="10" s="1"/>
  <c r="J1147" i="10"/>
  <c r="K1140" i="10"/>
  <c r="E798" i="10"/>
  <c r="E799" i="10" s="1"/>
  <c r="G795" i="10"/>
  <c r="H795" i="10" s="1"/>
  <c r="F797" i="10"/>
  <c r="D22" i="2"/>
  <c r="F22" i="2" s="1"/>
  <c r="F23" i="2" s="1"/>
  <c r="E27" i="2" s="1"/>
  <c r="K1312" i="10" l="1"/>
  <c r="K1313" i="10" s="1"/>
  <c r="K1314" i="10" s="1"/>
  <c r="L1304" i="10"/>
  <c r="L1308" i="10" s="1"/>
  <c r="L1140" i="10"/>
  <c r="L1147" i="10" s="1"/>
  <c r="K1147" i="10"/>
  <c r="J1148" i="10"/>
  <c r="J1149" i="10" s="1"/>
  <c r="H797" i="10"/>
  <c r="I795" i="10"/>
  <c r="F798" i="10"/>
  <c r="F799" i="10" s="1"/>
  <c r="G797" i="10"/>
  <c r="L1312" i="10" l="1"/>
  <c r="L1313" i="10" s="1"/>
  <c r="L1314" i="10" s="1"/>
  <c r="K1148" i="10"/>
  <c r="K1149" i="10"/>
  <c r="L1148" i="10"/>
  <c r="L1149" i="10" s="1"/>
  <c r="B1151" i="10" s="1"/>
  <c r="H798" i="10"/>
  <c r="H799" i="10" s="1"/>
  <c r="G798" i="10"/>
  <c r="G799" i="10" s="1"/>
  <c r="B1150" i="10" l="1"/>
  <c r="J795" i="10"/>
  <c r="I797" i="10"/>
  <c r="J1324" i="10" l="1"/>
  <c r="J1325" i="10" s="1"/>
  <c r="B1317" i="10" s="1"/>
  <c r="B1316" i="10"/>
  <c r="B1315" i="10"/>
  <c r="I798" i="10"/>
  <c r="I799" i="10" s="1"/>
  <c r="K795" i="10"/>
  <c r="K797" i="10" s="1"/>
  <c r="J797" i="10"/>
  <c r="J798" i="10" l="1"/>
  <c r="J799" i="10" s="1"/>
  <c r="K798" i="10"/>
  <c r="K799" i="10" s="1"/>
  <c r="F987" i="10"/>
  <c r="G987" i="10" l="1"/>
  <c r="I987" i="10" s="1"/>
  <c r="J987" i="10" s="1"/>
  <c r="L1057" i="10"/>
  <c r="S987" i="10"/>
  <c r="T989" i="10" s="1"/>
  <c r="M1057" i="10" l="1"/>
  <c r="M1065" i="10" s="1"/>
  <c r="V1057" i="10"/>
  <c r="K982" i="10"/>
  <c r="K983" i="10" s="1"/>
  <c r="P1057" i="10"/>
  <c r="O1057" i="10"/>
  <c r="T990" i="10"/>
  <c r="Q1057" i="10" l="1"/>
  <c r="Q1065" i="10" s="1"/>
  <c r="P1070" i="10"/>
  <c r="P1071" i="10" s="1"/>
  <c r="P1072" i="10" s="1"/>
  <c r="Q1075" i="10" s="1"/>
  <c r="Q1079" i="10" s="1"/>
  <c r="G1239" i="10" s="1"/>
  <c r="G1245" i="10" s="1"/>
  <c r="G1249" i="10" s="1"/>
  <c r="V1065" i="10"/>
  <c r="V1066" i="10" s="1"/>
  <c r="X1057" i="10"/>
  <c r="L1098" i="10" l="1"/>
  <c r="M1098" i="10" s="1"/>
  <c r="O1098" i="10" s="1"/>
  <c r="P1098" i="10" s="1"/>
  <c r="Q1098" i="10" s="1"/>
</calcChain>
</file>

<file path=xl/sharedStrings.xml><?xml version="1.0" encoding="utf-8"?>
<sst xmlns="http://schemas.openxmlformats.org/spreadsheetml/2006/main" count="5013" uniqueCount="1650">
  <si>
    <t>fuente</t>
  </si>
  <si>
    <t>ALIMENTO</t>
  </si>
  <si>
    <t>TPD</t>
  </si>
  <si>
    <t>Lubongo, C., Congdon, T., McWhinnie, J., &amp; Alexandridis, P. (2022). Economic feasibility of plastic waste conversion to fuel using pyrolysis. Sustainable Chemistry and Pharmacy.</t>
  </si>
  <si>
    <t>RENDIMIENTO PARA COMBUSTIBLE LÍQUIDO</t>
  </si>
  <si>
    <t>FRACCIÓN PESO</t>
  </si>
  <si>
    <t>Chang, S. H. (2023). Plastic waste as pyrolysis feedstock for plastic oil production: A review. Science of the Total Environment.</t>
  </si>
  <si>
    <t>RENDIMIENTO PARA GAS</t>
  </si>
  <si>
    <t>Rogers, C., Means, P., Gonzalez, R., Sheets, K., &amp; Townsend, H. (2021). Economic Feasibility of mixed plastic waste pyrolysis using twin reactor system in Northwest Arkansas. Chemical Engineering Undergraduate Honors Theses.</t>
  </si>
  <si>
    <t>RENDIMIENTO PARA RESIDUO SÓLIDO</t>
  </si>
  <si>
    <t>EFICIENCIA GENERADOR</t>
  </si>
  <si>
    <t>conversión</t>
  </si>
  <si>
    <t>CP LÍQUIDO</t>
  </si>
  <si>
    <t>MJ/kg</t>
  </si>
  <si>
    <t>sujeto a revisión</t>
  </si>
  <si>
    <t xml:space="preserve">CP GAS </t>
  </si>
  <si>
    <t>MJ/m^3</t>
  </si>
  <si>
    <t>CARACTERIZACIÓN DEL ALIMENTO</t>
  </si>
  <si>
    <t>FUENTE</t>
  </si>
  <si>
    <t>PET</t>
  </si>
  <si>
    <t>HDPE</t>
  </si>
  <si>
    <t>LDPE</t>
  </si>
  <si>
    <t>PS</t>
  </si>
  <si>
    <t>PP</t>
  </si>
  <si>
    <t>TOTAL</t>
  </si>
  <si>
    <t>(tons per day)</t>
  </si>
  <si>
    <t>1 ton = 907,2 kg</t>
  </si>
  <si>
    <t>SALIDA DE LÍQUIDO</t>
  </si>
  <si>
    <t>kg/día</t>
  </si>
  <si>
    <t>SALIDA GAS</t>
  </si>
  <si>
    <t>SALIDA CHAR (RESIDUO SOLIDO)</t>
  </si>
  <si>
    <t>FORMULA</t>
  </si>
  <si>
    <t>EFF*(FLUJO MASICO*CP SUSTANCIA)</t>
  </si>
  <si>
    <t>1MJ = 0,2778 kWh</t>
  </si>
  <si>
    <t>GENERACIÓN CON LÍQUIDO</t>
  </si>
  <si>
    <t>MJ/día</t>
  </si>
  <si>
    <t>kWh/día</t>
  </si>
  <si>
    <t>GENERACIÓN CON GAS</t>
  </si>
  <si>
    <t>GWh/día</t>
  </si>
  <si>
    <t xml:space="preserve">fuente </t>
  </si>
  <si>
    <t>consumo de energía eléctrica per cápita (2019)</t>
  </si>
  <si>
    <t>kWh/año</t>
  </si>
  <si>
    <t>https://www.larepublica.co/especiales/efecto-hidroituango/el-consumo-per-capita-de-energia-fue-de-1-159-kwh-durante-el-ano-pasado-2829778</t>
  </si>
  <si>
    <t>GE=densidad sustancia/densidad agua</t>
  </si>
  <si>
    <t>consumo percápita al día</t>
  </si>
  <si>
    <t>GE</t>
  </si>
  <si>
    <t>media geométrica</t>
  </si>
  <si>
    <t>densidad del agua</t>
  </si>
  <si>
    <t>kg/m^3</t>
  </si>
  <si>
    <t>consumo energía eléctrica per cápita (2018)</t>
  </si>
  <si>
    <t>kWh/mes</t>
  </si>
  <si>
    <t>https://oab.ambientebogota.gov.co/wp-content/uploads/dlm_uploads/2020/05/Hoja-de-vida-indicador-Consumo-promedio-percapita-energia-en-el-Sector-Publico-Distrital.pdf</t>
  </si>
  <si>
    <t>densidad gas</t>
  </si>
  <si>
    <t>MMbtu/día</t>
  </si>
  <si>
    <t>CP</t>
  </si>
  <si>
    <t>ton/día</t>
  </si>
  <si>
    <t>valor correcto</t>
  </si>
  <si>
    <t>CP másico gas</t>
  </si>
  <si>
    <t>consumo energía eléctrica per cápita (2014)</t>
  </si>
  <si>
    <t>https://www.google.com/search?sa=X&amp;sca_esv=020142134423ffe3&amp;sca_upv=1&amp;rlz=1C1CHBF_esCO1074CO1074&amp;biw=1278&amp;bih=1273&amp;sxsrf=AM9HkKmDYg5q37BSsR2MLAjlcOYGso_4cw:1699460057370&amp;q=colombia+consumo+de+electricidad+per+c%C3%A1pita&amp;stick=H4sIAAAAAAAAAD3LQQrCMBCF4ZXQhYcILkWIuuwNPEUYX4YyMOmEZFz0OHoVL2ar4OrBz_eG_WGIJZ4v2q_HW8YYlSfCMqqBXGxO3dftLiBNjactsTK8CcSXBJv7o9QvrdwSqIrTa3eCqZW7UPgJC5nD_5gph1UHvJ8b_wDpGkfphgAAAA&amp;ved=2ahUKEwi_6J2I5rSCAxU_fjABHZJkBOUQtx96BAhJEAM</t>
  </si>
  <si>
    <t>kJ/día</t>
  </si>
  <si>
    <t>consumo energía eléctrica per cápita (2022) estimación</t>
  </si>
  <si>
    <t>autores</t>
  </si>
  <si>
    <t>Mmbtu/día</t>
  </si>
  <si>
    <t>MMBTU/día</t>
  </si>
  <si>
    <t>capacidad de generación calculada para 60 TPD</t>
  </si>
  <si>
    <t xml:space="preserve">capacidad de suministro de energía </t>
  </si>
  <si>
    <t>personas al día</t>
  </si>
  <si>
    <t>capacidad de generación calculada para 80 TPD</t>
  </si>
  <si>
    <t>hogares</t>
  </si>
  <si>
    <t>capacidad de generación calculada para 100 TPD</t>
  </si>
  <si>
    <t>MW/mes</t>
  </si>
  <si>
    <t>J/día</t>
  </si>
  <si>
    <t>MW/día</t>
  </si>
  <si>
    <t>personas abastecidas</t>
  </si>
  <si>
    <t>kW/h</t>
  </si>
  <si>
    <t>CP unidades británicas</t>
  </si>
  <si>
    <t>BTU/lb</t>
  </si>
  <si>
    <t>CP gasoil S.I.</t>
  </si>
  <si>
    <t>kJ/kg</t>
  </si>
  <si>
    <t xml:space="preserve">CP gasoil </t>
  </si>
  <si>
    <t xml:space="preserve">el error está en el octano </t>
  </si>
  <si>
    <t>en la reacción 2</t>
  </si>
  <si>
    <t>debe ser octeno}</t>
  </si>
  <si>
    <t>hola</t>
  </si>
  <si>
    <t>C</t>
  </si>
  <si>
    <t>H</t>
  </si>
  <si>
    <t>tercera balanceada también</t>
  </si>
  <si>
    <t>primera balanceada</t>
  </si>
  <si>
    <t>Cl</t>
  </si>
  <si>
    <t>Cuarta balanceada</t>
  </si>
  <si>
    <t xml:space="preserve">Flujo de entrada </t>
  </si>
  <si>
    <t>Compuestos entrada</t>
  </si>
  <si>
    <t>composición a utilizar</t>
  </si>
  <si>
    <t>flujo individual [TPD]</t>
  </si>
  <si>
    <t>Flujo individual en kg/día</t>
  </si>
  <si>
    <t>Peso molar [kg/kmol]</t>
  </si>
  <si>
    <t>flujo molar [kmol/día]</t>
  </si>
  <si>
    <t>Etileno</t>
  </si>
  <si>
    <t>Estireno</t>
  </si>
  <si>
    <t>Propileno</t>
  </si>
  <si>
    <t>Cloruro de vinilo</t>
  </si>
  <si>
    <t>Total</t>
  </si>
  <si>
    <t>Compuestos de salída</t>
  </si>
  <si>
    <t>Moles producidas reacción 1 (Etileno)</t>
  </si>
  <si>
    <t>Moles producidas reacción 2 (Estireno)</t>
  </si>
  <si>
    <t>Moles producidas reacción 3 (Propileno)</t>
  </si>
  <si>
    <t>Moles producidas reacción 4 (Cloruro de Vinilo)</t>
  </si>
  <si>
    <t>Flujo molar de salida por cada compuesto [kmol/día]</t>
  </si>
  <si>
    <t>Flujo molar de salida para conversión del 80% [kmol/día]</t>
  </si>
  <si>
    <t>CH4</t>
  </si>
  <si>
    <t>C2H2</t>
  </si>
  <si>
    <t>C2H4</t>
  </si>
  <si>
    <t>C2H6</t>
  </si>
  <si>
    <t>C3H8</t>
  </si>
  <si>
    <t>C3H4</t>
  </si>
  <si>
    <t>C3H6</t>
  </si>
  <si>
    <t>C4H8</t>
  </si>
  <si>
    <t>C4H10</t>
  </si>
  <si>
    <t>C5H12</t>
  </si>
  <si>
    <t>C6H6</t>
  </si>
  <si>
    <t>C7H8</t>
  </si>
  <si>
    <t>C8H10</t>
  </si>
  <si>
    <t>no hay modelos que se ajusten en aspen v10</t>
  </si>
  <si>
    <t>C8H8</t>
  </si>
  <si>
    <t>C8H16</t>
  </si>
  <si>
    <t>charr</t>
  </si>
  <si>
    <t>H2</t>
  </si>
  <si>
    <t>HCl</t>
  </si>
  <si>
    <t>FLUJO TOTAL</t>
  </si>
  <si>
    <t>porcentaje de carbono</t>
  </si>
  <si>
    <t>Resultados de la simulación Flash operando a 30 C para 200 TPD</t>
  </si>
  <si>
    <t>Material</t>
  </si>
  <si>
    <t>Stream Name</t>
  </si>
  <si>
    <t>Units</t>
  </si>
  <si>
    <t>FEED</t>
  </si>
  <si>
    <t>LIVIANOS</t>
  </si>
  <si>
    <t>PESADOS</t>
  </si>
  <si>
    <t>Description</t>
  </si>
  <si>
    <t>From</t>
  </si>
  <si>
    <t>FLASH-1</t>
  </si>
  <si>
    <t>To</t>
  </si>
  <si>
    <t>Stream Class</t>
  </si>
  <si>
    <t>CONVEN</t>
  </si>
  <si>
    <t>Maximum Relative Error</t>
  </si>
  <si>
    <t>Cost Flow</t>
  </si>
  <si>
    <t>$/hr</t>
  </si>
  <si>
    <t>MIXED Substream</t>
  </si>
  <si>
    <t>Phase</t>
  </si>
  <si>
    <t>Vapor Phase</t>
  </si>
  <si>
    <t>Liquid Phase</t>
  </si>
  <si>
    <t>Temperature</t>
  </si>
  <si>
    <t>Pressure</t>
  </si>
  <si>
    <t>atm</t>
  </si>
  <si>
    <t>Molar Vapor Fraction</t>
  </si>
  <si>
    <t>Molar Liquid Fraction</t>
  </si>
  <si>
    <t>Molar Solid Fraction</t>
  </si>
  <si>
    <t>Mass Vapor Fraction</t>
  </si>
  <si>
    <t>Mass Liquid Fraction</t>
  </si>
  <si>
    <t>Mass Solid Fraction</t>
  </si>
  <si>
    <t>Mole Flows</t>
  </si>
  <si>
    <t>kmol/day</t>
  </si>
  <si>
    <t>4935,3</t>
  </si>
  <si>
    <t>4321,99</t>
  </si>
  <si>
    <t>METHA-01</t>
  </si>
  <si>
    <t>1480,45</t>
  </si>
  <si>
    <t>0,546251</t>
  </si>
  <si>
    <t>ACETY-01</t>
  </si>
  <si>
    <t>46,8</t>
  </si>
  <si>
    <t>0,123454</t>
  </si>
  <si>
    <t>ETHYL-01</t>
  </si>
  <si>
    <t>31,5</t>
  </si>
  <si>
    <t>0,0591412</t>
  </si>
  <si>
    <t>ETHAN-01</t>
  </si>
  <si>
    <t>253,6</t>
  </si>
  <si>
    <t>0,784955</t>
  </si>
  <si>
    <t>PROPA-01</t>
  </si>
  <si>
    <t>250,26</t>
  </si>
  <si>
    <t>CYCLO-01</t>
  </si>
  <si>
    <t>27,1</t>
  </si>
  <si>
    <t>0,396261</t>
  </si>
  <si>
    <t>PROPY-01</t>
  </si>
  <si>
    <t>226,5</t>
  </si>
  <si>
    <t>2-BUT-01</t>
  </si>
  <si>
    <t>N-BUT-01</t>
  </si>
  <si>
    <t>N-PEN-01</t>
  </si>
  <si>
    <t>BENZE-01</t>
  </si>
  <si>
    <t>TOLUE-01</t>
  </si>
  <si>
    <t>STYRE-01</t>
  </si>
  <si>
    <t>249,2</t>
  </si>
  <si>
    <t>4,3</t>
  </si>
  <si>
    <t>0,468397</t>
  </si>
  <si>
    <t>HYDRO-01</t>
  </si>
  <si>
    <t>918,4</t>
  </si>
  <si>
    <t>0,00917825</t>
  </si>
  <si>
    <t>HYDRO-02</t>
  </si>
  <si>
    <t>175,3</t>
  </si>
  <si>
    <t>0,476759</t>
  </si>
  <si>
    <t>Mass Flows</t>
  </si>
  <si>
    <t>tons/day</t>
  </si>
  <si>
    <t>kg/hr</t>
  </si>
  <si>
    <t>0,365141</t>
  </si>
  <si>
    <t>0,133937</t>
  </si>
  <si>
    <t>0,0691305</t>
  </si>
  <si>
    <t>0,983472</t>
  </si>
  <si>
    <t>0,661504</t>
  </si>
  <si>
    <t>585,75</t>
  </si>
  <si>
    <t>426,73</t>
  </si>
  <si>
    <t>730,66</t>
  </si>
  <si>
    <t>1081,44</t>
  </si>
  <si>
    <t>1005,97</t>
  </si>
  <si>
    <t>0,000770927</t>
  </si>
  <si>
    <t>265,59</t>
  </si>
  <si>
    <t>0,724289</t>
  </si>
  <si>
    <t>Mass Fractions</t>
  </si>
  <si>
    <t>0,190458</t>
  </si>
  <si>
    <t>0,00015731</t>
  </si>
  <si>
    <t>0,00974607</t>
  </si>
  <si>
    <t>0,00707312</t>
  </si>
  <si>
    <t>0,0609616</t>
  </si>
  <si>
    <t>0,000423701</t>
  </si>
  <si>
    <t>0,0884956</t>
  </si>
  <si>
    <t>0,00264351</t>
  </si>
  <si>
    <t>0,00857946</t>
  </si>
  <si>
    <t>0,00028499</t>
  </si>
  <si>
    <t>0,0756731</t>
  </si>
  <si>
    <t>0,0016991</t>
  </si>
  <si>
    <t>0,107895</t>
  </si>
  <si>
    <t>0,0138961</t>
  </si>
  <si>
    <t>0,112732</t>
  </si>
  <si>
    <t>0,0122443</t>
  </si>
  <si>
    <t>0,12859</t>
  </si>
  <si>
    <t>0,0406015</t>
  </si>
  <si>
    <t>0,0821278</t>
  </si>
  <si>
    <t>0,171756</t>
  </si>
  <si>
    <t>0,0467593</t>
  </si>
  <si>
    <t>0,314784</t>
  </si>
  <si>
    <t>0,0145256</t>
  </si>
  <si>
    <t>0,433392</t>
  </si>
  <si>
    <t>0,000421493</t>
  </si>
  <si>
    <t>0,00771823</t>
  </si>
  <si>
    <t>0,0148463</t>
  </si>
  <si>
    <t>0,051115</t>
  </si>
  <si>
    <t>0,000312039</t>
  </si>
  <si>
    <t>Mole Fractions</t>
  </si>
  <si>
    <t>0,300083</t>
  </si>
  <si>
    <t>0,34254</t>
  </si>
  <si>
    <t>0,000890659</t>
  </si>
  <si>
    <t>0,00948271</t>
  </si>
  <si>
    <t>0,0107998</t>
  </si>
  <si>
    <t>0,000201291</t>
  </si>
  <si>
    <t>0,00638259</t>
  </si>
  <si>
    <t>0,00727463</t>
  </si>
  <si>
    <t>0,0513849</t>
  </si>
  <si>
    <t>0,0584951</t>
  </si>
  <si>
    <t>0,00127986</t>
  </si>
  <si>
    <t>0,057904</t>
  </si>
  <si>
    <t>0,00544515</t>
  </si>
  <si>
    <t>0,00549105</t>
  </si>
  <si>
    <t>0,00617858</t>
  </si>
  <si>
    <t>0,0006461</t>
  </si>
  <si>
    <t>0,0458939</t>
  </si>
  <si>
    <t>0,051886</t>
  </si>
  <si>
    <t>0,00366749</t>
  </si>
  <si>
    <t>0,0554844</t>
  </si>
  <si>
    <t>0,022496</t>
  </si>
  <si>
    <t>0,0559614</t>
  </si>
  <si>
    <t>0,0191344</t>
  </si>
  <si>
    <t>0,0514234</t>
  </si>
  <si>
    <t>0,0511136</t>
  </si>
  <si>
    <t>0,0303357</t>
  </si>
  <si>
    <t>0,199718</t>
  </si>
  <si>
    <t>0,0146423</t>
  </si>
  <si>
    <t>0,310309</t>
  </si>
  <si>
    <t>0,0504934</t>
  </si>
  <si>
    <t>0,00402401</t>
  </si>
  <si>
    <t>0,377962</t>
  </si>
  <si>
    <t>0,000871274</t>
  </si>
  <si>
    <t>0,000108375</t>
  </si>
  <si>
    <t>0,0062474</t>
  </si>
  <si>
    <t>0,186088</t>
  </si>
  <si>
    <t>0,212493</t>
  </si>
  <si>
    <t>0,0355196</t>
  </si>
  <si>
    <t>0,0404497</t>
  </si>
  <si>
    <t>0,000777353</t>
  </si>
  <si>
    <t>Resultados de la simulación Flash operando a 30 C para 100 TPD</t>
  </si>
  <si>
    <t>bar</t>
  </si>
  <si>
    <t>2483,33</t>
  </si>
  <si>
    <t>2174,99</t>
  </si>
  <si>
    <t>0,274415</t>
  </si>
  <si>
    <t>0,062435</t>
  </si>
  <si>
    <t>0,02972</t>
  </si>
  <si>
    <t>0,394614</t>
  </si>
  <si>
    <t>0,198459</t>
  </si>
  <si>
    <t>31,84</t>
  </si>
  <si>
    <t>125,34</t>
  </si>
  <si>
    <t>0,237979</t>
  </si>
  <si>
    <t>463,52</t>
  </si>
  <si>
    <t>0,00462769</t>
  </si>
  <si>
    <t>0,238634</t>
  </si>
  <si>
    <t>0,299894</t>
  </si>
  <si>
    <t>0,342283</t>
  </si>
  <si>
    <t>0,000889978</t>
  </si>
  <si>
    <t>0,00954036</t>
  </si>
  <si>
    <t>0,0108641</t>
  </si>
  <si>
    <t>0,000202488</t>
  </si>
  <si>
    <t>0,00638067</t>
  </si>
  <si>
    <t>0,00727156</t>
  </si>
  <si>
    <t>0,0513894</t>
  </si>
  <si>
    <t>0,0584932</t>
  </si>
  <si>
    <t>0,00127981</t>
  </si>
  <si>
    <t>0,0513628</t>
  </si>
  <si>
    <t>0,0578728</t>
  </si>
  <si>
    <t>0,00544214</t>
  </si>
  <si>
    <t>0,00547079</t>
  </si>
  <si>
    <t>0,00615511</t>
  </si>
  <si>
    <t>0,000643638</t>
  </si>
  <si>
    <t>0,0458366</t>
  </si>
  <si>
    <t>0,0518155</t>
  </si>
  <si>
    <t>0,00366257</t>
  </si>
  <si>
    <t>0,0513709</t>
  </si>
  <si>
    <t>0,0554655</t>
  </si>
  <si>
    <t>0,022488</t>
  </si>
  <si>
    <t>0,051349</t>
  </si>
  <si>
    <t>0,0559181</t>
  </si>
  <si>
    <t>0,0191191</t>
  </si>
  <si>
    <t>0,0513406</t>
  </si>
  <si>
    <t>0,0513786</t>
  </si>
  <si>
    <t>0,0510726</t>
  </si>
  <si>
    <t>0,0513496</t>
  </si>
  <si>
    <t>0,030325</t>
  </si>
  <si>
    <t>0,199655</t>
  </si>
  <si>
    <t>0,0513429</t>
  </si>
  <si>
    <t>0,0146391</t>
  </si>
  <si>
    <t>0,310247</t>
  </si>
  <si>
    <t>0,0504727</t>
  </si>
  <si>
    <t>0,00402569</t>
  </si>
  <si>
    <t>0,378105</t>
  </si>
  <si>
    <t>0,00087897</t>
  </si>
  <si>
    <t>0,000109416</t>
  </si>
  <si>
    <t>0,00630732</t>
  </si>
  <si>
    <t>0,186652</t>
  </si>
  <si>
    <t>0,213111</t>
  </si>
  <si>
    <t>0,0353681</t>
  </si>
  <si>
    <t>0,0402724</t>
  </si>
  <si>
    <t>0,000773934</t>
  </si>
  <si>
    <t>13,17</t>
  </si>
  <si>
    <t>0,00485279</t>
  </si>
  <si>
    <t>0,68</t>
  </si>
  <si>
    <t>0,678208</t>
  </si>
  <si>
    <t>0,001792</t>
  </si>
  <si>
    <t>0,49</t>
  </si>
  <si>
    <t>0,489081</t>
  </si>
  <si>
    <t>0,000919061</t>
  </si>
  <si>
    <t>4,23</t>
  </si>
  <si>
    <t>0,0130799</t>
  </si>
  <si>
    <t>6,2</t>
  </si>
  <si>
    <t>0,0815656</t>
  </si>
  <si>
    <t>0,6</t>
  </si>
  <si>
    <t>0,591235</t>
  </si>
  <si>
    <t>0,0087647</t>
  </si>
  <si>
    <t>5,28</t>
  </si>
  <si>
    <t>0,0523842</t>
  </si>
  <si>
    <t>7,89</t>
  </si>
  <si>
    <t>0,42885</t>
  </si>
  <si>
    <t>8,17</t>
  </si>
  <si>
    <t>0,377703</t>
  </si>
  <si>
    <t>10,14</t>
  </si>
  <si>
    <t>10,98</t>
  </si>
  <si>
    <t>12,95</t>
  </si>
  <si>
    <t>14,39</t>
  </si>
  <si>
    <t>0,27</t>
  </si>
  <si>
    <t>0,029437</t>
  </si>
  <si>
    <t>0,240563</t>
  </si>
  <si>
    <t>1,03</t>
  </si>
  <si>
    <t>3,53</t>
  </si>
  <si>
    <t>0,00959094</t>
  </si>
  <si>
    <t>0,1317</t>
  </si>
  <si>
    <t>0,190452</t>
  </si>
  <si>
    <t>0,00015718</t>
  </si>
  <si>
    <t>0,0068</t>
  </si>
  <si>
    <t>0,00981121</t>
  </si>
  <si>
    <t>0,0049</t>
  </si>
  <si>
    <t>0,00707522</t>
  </si>
  <si>
    <t>0,0423</t>
  </si>
  <si>
    <t>0,0610035</t>
  </si>
  <si>
    <t>0,000423653</t>
  </si>
  <si>
    <t>0,062</t>
  </si>
  <si>
    <t>0,0885115</t>
  </si>
  <si>
    <t>0,00264187</t>
  </si>
  <si>
    <t>0,006</t>
  </si>
  <si>
    <t>0,00855303</t>
  </si>
  <si>
    <t>0,000283885</t>
  </si>
  <si>
    <t>0,0528</t>
  </si>
  <si>
    <t>0,0756246</t>
  </si>
  <si>
    <t>0,0016967</t>
  </si>
  <si>
    <t>0,0789</t>
  </si>
  <si>
    <t>0,107936</t>
  </si>
  <si>
    <t>0,0138903</t>
  </si>
  <si>
    <t>0,0817</t>
  </si>
  <si>
    <t>0,112726</t>
  </si>
  <si>
    <t>0,0122336</t>
  </si>
  <si>
    <t>0,1014</t>
  </si>
  <si>
    <t>0,128571</t>
  </si>
  <si>
    <t>0,0405662</t>
  </si>
  <si>
    <t>0,1098</t>
  </si>
  <si>
    <t>0,0821578</t>
  </si>
  <si>
    <t>0,17169</t>
  </si>
  <si>
    <t>0,1295</t>
  </si>
  <si>
    <t>0,0467829</t>
  </si>
  <si>
    <t>0,3147</t>
  </si>
  <si>
    <t>0,1439</t>
  </si>
  <si>
    <t>0,0145421</t>
  </si>
  <si>
    <t>0,433527</t>
  </si>
  <si>
    <t>0,0027</t>
  </si>
  <si>
    <t>0,000425847</t>
  </si>
  <si>
    <t>0,00779173</t>
  </si>
  <si>
    <t>0,0103</t>
  </si>
  <si>
    <t>0,0149002</t>
  </si>
  <si>
    <t>0,0353</t>
  </si>
  <si>
    <t>0,0509275</t>
  </si>
  <si>
    <t>0,000310646</t>
  </si>
  <si>
    <t>Resultados de la simulación Flash operando a 30 C para 60 TPD</t>
  </si>
  <si>
    <t>1304,99</t>
  </si>
  <si>
    <t>0,164649</t>
  </si>
  <si>
    <t>0,037461</t>
  </si>
  <si>
    <t>0,017832</t>
  </si>
  <si>
    <t>0,236769</t>
  </si>
  <si>
    <t>0,119075</t>
  </si>
  <si>
    <t>0,677587</t>
  </si>
  <si>
    <t>76,51</t>
  </si>
  <si>
    <t>0,142787</t>
  </si>
  <si>
    <t>0,00277661</t>
  </si>
  <si>
    <t>0,14318</t>
  </si>
  <si>
    <t>0,00291167</t>
  </si>
  <si>
    <t>0,408</t>
  </si>
  <si>
    <t>0,406925</t>
  </si>
  <si>
    <t>0,0010752</t>
  </si>
  <si>
    <t>0,294</t>
  </si>
  <si>
    <t>0,293449</t>
  </si>
  <si>
    <t>0,000551437</t>
  </si>
  <si>
    <t>0,00784796</t>
  </si>
  <si>
    <t>3,72</t>
  </si>
  <si>
    <t>0,0489394</t>
  </si>
  <si>
    <t>0,36</t>
  </si>
  <si>
    <t>0,354741</t>
  </si>
  <si>
    <t>0,00525882</t>
  </si>
  <si>
    <t>0,0314305</t>
  </si>
  <si>
    <t>0,25731</t>
  </si>
  <si>
    <t>0,226622</t>
  </si>
  <si>
    <t>0,751468</t>
  </si>
  <si>
    <t>7,77</t>
  </si>
  <si>
    <t>0,603141</t>
  </si>
  <si>
    <t>0,162</t>
  </si>
  <si>
    <t>0,0176622</t>
  </si>
  <si>
    <t>0,144338</t>
  </si>
  <si>
    <t>0,618</t>
  </si>
  <si>
    <t>0,617994</t>
  </si>
  <si>
    <t>0,00575456</t>
  </si>
  <si>
    <t>el software cometió un error al pasar lo datos a excel</t>
  </si>
  <si>
    <t xml:space="preserve">pero los datos de las fracciones másicas y molares no se vieron afectados </t>
  </si>
  <si>
    <t>N2</t>
  </si>
  <si>
    <t>kmol/día</t>
  </si>
  <si>
    <t>razón molar 5</t>
  </si>
  <si>
    <t>Resultados de la simulación Flash operando a 25 C para 60 TPD teniendo en cuenta el nitrógeno razón molar 5 veces el alimento</t>
  </si>
  <si>
    <t>Resultados de la simulación Flash operando a 25 C para 60 TPD teniendo en cuenta el nitrógeno razón molar 5 veces el alimento aumentando la presión de operación a 5 atm</t>
  </si>
  <si>
    <t>Diseño del flash para operar a 50 atm 60 TPD sin tener en cuenta el N2</t>
  </si>
  <si>
    <t>A</t>
  </si>
  <si>
    <t>densidad gas (ρg)</t>
  </si>
  <si>
    <t>lb/ft^3</t>
  </si>
  <si>
    <t>densidad liquido (ρl)</t>
  </si>
  <si>
    <t>peso molar prom gas (Wg)</t>
  </si>
  <si>
    <t>u</t>
  </si>
  <si>
    <t>peso molar prom liq (WL)</t>
  </si>
  <si>
    <t>Flv</t>
  </si>
  <si>
    <t>B</t>
  </si>
  <si>
    <t>D</t>
  </si>
  <si>
    <t>E</t>
  </si>
  <si>
    <t>no importan las unidades, da lo mismo podemos trabajar en unidades del SI o inglesas</t>
  </si>
  <si>
    <t>K</t>
  </si>
  <si>
    <t>vperm</t>
  </si>
  <si>
    <t>V (flujo gas)</t>
  </si>
  <si>
    <t>lb</t>
  </si>
  <si>
    <t>ft</t>
  </si>
  <si>
    <t>m</t>
  </si>
  <si>
    <t>hv</t>
  </si>
  <si>
    <t>hl</t>
  </si>
  <si>
    <t>hf</t>
  </si>
  <si>
    <t>L</t>
  </si>
  <si>
    <t>L/D</t>
  </si>
  <si>
    <t xml:space="preserve">Vpool </t>
  </si>
  <si>
    <t>ft^3</t>
  </si>
  <si>
    <t>D inlet feed</t>
  </si>
  <si>
    <t>kg/h</t>
  </si>
  <si>
    <t>final</t>
  </si>
  <si>
    <t>ton/h</t>
  </si>
  <si>
    <t>peso del C</t>
  </si>
  <si>
    <t>kg/kmol</t>
  </si>
  <si>
    <t>flujo molar de C</t>
  </si>
  <si>
    <t>kmol/h</t>
  </si>
  <si>
    <t>cantidad de N2 requerida</t>
  </si>
  <si>
    <t>condición: 2 Mpa 25 C</t>
  </si>
  <si>
    <t>tons/día</t>
  </si>
  <si>
    <t>densidad N2</t>
  </si>
  <si>
    <t>volumen de N2 reuqerido</t>
  </si>
  <si>
    <t>m^3/día</t>
  </si>
  <si>
    <t>no se puede almacenar todo eso :(</t>
  </si>
  <si>
    <t xml:space="preserve">N2 precio </t>
  </si>
  <si>
    <t>USD/ton</t>
  </si>
  <si>
    <t>N2 precio total por requerimiento al día</t>
  </si>
  <si>
    <t>USD/día</t>
  </si>
  <si>
    <t>N2 precio total por requerimiento al año</t>
  </si>
  <si>
    <t>USD/año</t>
  </si>
  <si>
    <t>N2 precio si se utiliza solo el 60%</t>
  </si>
  <si>
    <t>COP/año</t>
  </si>
  <si>
    <t>Costo del pressure vessel para el flash</t>
  </si>
  <si>
    <t xml:space="preserve">presión de operación </t>
  </si>
  <si>
    <t>presión de diseño</t>
  </si>
  <si>
    <t>N/m^2</t>
  </si>
  <si>
    <t>grosor mínimo (t)</t>
  </si>
  <si>
    <t>mm</t>
  </si>
  <si>
    <t>Pi</t>
  </si>
  <si>
    <t>Di</t>
  </si>
  <si>
    <t>S</t>
  </si>
  <si>
    <t>tw</t>
  </si>
  <si>
    <t>shell mass</t>
  </si>
  <si>
    <t xml:space="preserve">kg </t>
  </si>
  <si>
    <t>Densidad del acero</t>
  </si>
  <si>
    <t>a</t>
  </si>
  <si>
    <t>b</t>
  </si>
  <si>
    <t>n</t>
  </si>
  <si>
    <t>Cflash acero (CE index=478,6)</t>
  </si>
  <si>
    <t>USD</t>
  </si>
  <si>
    <t>Cflash acero inoxidable (CE index=478,6)</t>
  </si>
  <si>
    <t>Costo acero CE index para 2023 agosto</t>
  </si>
  <si>
    <t>Costo acero inox CE index para 2023 agosto</t>
  </si>
  <si>
    <t>CEPCI 2006</t>
  </si>
  <si>
    <t xml:space="preserve">CEPCI 2023 </t>
  </si>
  <si>
    <t xml:space="preserve">el costo final con accesorios </t>
  </si>
  <si>
    <t>Costo flash acero con accesorios</t>
  </si>
  <si>
    <t>Costo flash acero inox con accesorios</t>
  </si>
  <si>
    <t>Costo instalado</t>
  </si>
  <si>
    <t>según el libro se multiplica por 4 para una columna de destilación, entonces para un flash asumiré un 3,5</t>
  </si>
  <si>
    <t>yield</t>
  </si>
  <si>
    <t>FEED {kg/h}</t>
  </si>
  <si>
    <t>LIVIANOS {kg/h}</t>
  </si>
  <si>
    <t>PESADOS {kg/h}</t>
  </si>
  <si>
    <t>Flujo total</t>
  </si>
  <si>
    <t>flujo N2</t>
  </si>
  <si>
    <t>Flujo sin N2</t>
  </si>
  <si>
    <t>Flujo sin N2 en ton/día</t>
  </si>
  <si>
    <t>YIELD</t>
  </si>
  <si>
    <t>a 50 atm</t>
  </si>
  <si>
    <t>a 100 atm</t>
  </si>
  <si>
    <t>COSTO PIROLIZADOR</t>
  </si>
  <si>
    <t>DUTY [MW]</t>
  </si>
  <si>
    <t>Cpiro</t>
  </si>
  <si>
    <t>Cpiro para 2023</t>
  </si>
  <si>
    <t>Costo pirolizador 2023 instalado</t>
  </si>
  <si>
    <t>CAPACIDAD</t>
  </si>
  <si>
    <t>COSTO tornillo sin fin de alimentación</t>
  </si>
  <si>
    <t>TPH</t>
  </si>
  <si>
    <t>Costo sin instalar</t>
  </si>
  <si>
    <t>COSTO tornillo sin fin de salida de solidos</t>
  </si>
  <si>
    <t>COSTO COMPRESOR</t>
  </si>
  <si>
    <t>Los compresores centrífugos se usan en el rango de 1000 m^3 a 5000 m^3 de flujo</t>
  </si>
  <si>
    <t>Compresor centrífugo</t>
  </si>
  <si>
    <t>Driver power S</t>
  </si>
  <si>
    <t>kW</t>
  </si>
  <si>
    <t>Ccomp</t>
  </si>
  <si>
    <t>COSTO BANDA TRANSPORTADORA</t>
  </si>
  <si>
    <t>Capacidad de carga</t>
  </si>
  <si>
    <t>Precio</t>
  </si>
  <si>
    <t>Ccomp 2023 sin instalar</t>
  </si>
  <si>
    <t xml:space="preserve">Costo instalado </t>
  </si>
  <si>
    <t>Ccomp 2023 instalado</t>
  </si>
  <si>
    <t>compresor reciprocante</t>
  </si>
  <si>
    <t>Tabla de CAPEX</t>
  </si>
  <si>
    <t>Costos de equipos</t>
  </si>
  <si>
    <t>Costo instalado USD</t>
  </si>
  <si>
    <t>Costo diferido a los años de puesta en marcha USD</t>
  </si>
  <si>
    <t>Costo diferido a dos años en COP</t>
  </si>
  <si>
    <t>Tornillo sin fin de alimentación</t>
  </si>
  <si>
    <t>Tornillo sin fin de salida del pirolizador</t>
  </si>
  <si>
    <t>m2</t>
  </si>
  <si>
    <t>Pirolizador</t>
  </si>
  <si>
    <t>Banda transportadora</t>
  </si>
  <si>
    <t>Compresor</t>
  </si>
  <si>
    <t>Flash</t>
  </si>
  <si>
    <t>Ccondenser</t>
  </si>
  <si>
    <t xml:space="preserve">Requerimientos energéticos </t>
  </si>
  <si>
    <t>Tipo de servicio</t>
  </si>
  <si>
    <t>Requerimiento Compresor</t>
  </si>
  <si>
    <t>kWh</t>
  </si>
  <si>
    <t>eléctrico</t>
  </si>
  <si>
    <t>Requerimiento Pirolizador</t>
  </si>
  <si>
    <t>Costo año 2023</t>
  </si>
  <si>
    <t>Requerimiento Enfriamiento</t>
  </si>
  <si>
    <t>fluido enfriamiento</t>
  </si>
  <si>
    <t>Costo cop 2023</t>
  </si>
  <si>
    <t>COP</t>
  </si>
  <si>
    <t>W/m2</t>
  </si>
  <si>
    <t>Q</t>
  </si>
  <si>
    <t>kcal/hr</t>
  </si>
  <si>
    <t>BTU/H</t>
  </si>
  <si>
    <t>q</t>
  </si>
  <si>
    <t>W</t>
  </si>
  <si>
    <t>Cp</t>
  </si>
  <si>
    <t>kcal/C*kg</t>
  </si>
  <si>
    <t>MMBTU/h</t>
  </si>
  <si>
    <t>delta T</t>
  </si>
  <si>
    <t>temp</t>
  </si>
  <si>
    <t>[C]</t>
  </si>
  <si>
    <t>m^3/h</t>
  </si>
  <si>
    <t>L/h</t>
  </si>
  <si>
    <t>ft^3/dia</t>
  </si>
  <si>
    <t>caudal de agua de enfriamiento</t>
  </si>
  <si>
    <t>L/día</t>
  </si>
  <si>
    <t>ft^3/h</t>
  </si>
  <si>
    <t>valor del agua por metro cúbico</t>
  </si>
  <si>
    <t>COP/m^3</t>
  </si>
  <si>
    <t>Valor tomado de : https://www.acueducto.com.co/wps/portal/EAB2/Home/atencion-al-usuario/tarifas/tarifas2023</t>
  </si>
  <si>
    <t>Costo del agua de enfriamiento</t>
  </si>
  <si>
    <t>Costo agua en USD al año</t>
  </si>
  <si>
    <t>COSTO ENERGÍA DEL COMPRESOR</t>
  </si>
  <si>
    <t>costo kWh en cop</t>
  </si>
  <si>
    <t>COP/kWh</t>
  </si>
  <si>
    <t>Valor tomado de : https://www.enel.com.co/content/dam/enel-co/espa%C3%B1ol/personas/1-17-1/2023/tarifario-octubre-2023.pdf</t>
  </si>
  <si>
    <t>requerimiento compresor</t>
  </si>
  <si>
    <t>costo energético compresor al año</t>
  </si>
  <si>
    <t>n2</t>
  </si>
  <si>
    <t>45 ton dia</t>
  </si>
  <si>
    <t>COSTO ENERGÍA DEL PIROLIZADOR</t>
  </si>
  <si>
    <t>gases (H2+CH4+CO2…)</t>
  </si>
  <si>
    <t>1,5 ton día</t>
  </si>
  <si>
    <t>costo energético pirolizador al año</t>
  </si>
  <si>
    <t>Tabla OPEX</t>
  </si>
  <si>
    <t>Costos de servicios industriales</t>
  </si>
  <si>
    <t>costo N2 atmósfera inerte</t>
  </si>
  <si>
    <t>Total costos de servicios industriales</t>
  </si>
  <si>
    <t>Costo mano de obra</t>
  </si>
  <si>
    <t>8 trabajadores</t>
  </si>
  <si>
    <t>Administrativos</t>
  </si>
  <si>
    <t>6 admins</t>
  </si>
  <si>
    <t>Total costos talento humano</t>
  </si>
  <si>
    <t>TOTAL OPEX</t>
  </si>
  <si>
    <t>POTENCIAL DE GENERACIÓN DE ENERGÍA</t>
  </si>
  <si>
    <t>Energía generada al Año</t>
  </si>
  <si>
    <t>Valor de comercialización de energía</t>
  </si>
  <si>
    <t>Valor de venta del total de energía al año</t>
  </si>
  <si>
    <t>incremento del precio de la luz</t>
  </si>
  <si>
    <t>anual</t>
  </si>
  <si>
    <t>Valor de venta si el gobierno subsidia el kW a 3000 pesos</t>
  </si>
  <si>
    <t>Valor de ganancias (venta-capex-opex) sin subsidio</t>
  </si>
  <si>
    <t>Valor de ganancias (venta-capex-opex) con subsidio</t>
  </si>
  <si>
    <t>Periodo</t>
  </si>
  <si>
    <t>Ingresos</t>
  </si>
  <si>
    <t>OPEX</t>
  </si>
  <si>
    <t>Utilidades Antes de impuestos</t>
  </si>
  <si>
    <t>Impuestos</t>
  </si>
  <si>
    <t>Utilidades después de impuestos</t>
  </si>
  <si>
    <t>Inversiones</t>
  </si>
  <si>
    <t>[]</t>
  </si>
  <si>
    <t>BANDA TRANSPORTADORA opex</t>
  </si>
  <si>
    <t>factor S</t>
  </si>
  <si>
    <t>h/año</t>
  </si>
  <si>
    <t>Potencia</t>
  </si>
  <si>
    <t>Costo energía</t>
  </si>
  <si>
    <t>opex año</t>
  </si>
  <si>
    <t>cap T/h</t>
  </si>
  <si>
    <t>PIROLIZADOR opex</t>
  </si>
  <si>
    <t xml:space="preserve">Requerimiento </t>
  </si>
  <si>
    <t>RPM</t>
  </si>
  <si>
    <t>cap</t>
  </si>
  <si>
    <t>TORNILLO DEL PIROLIZADOR opex</t>
  </si>
  <si>
    <t xml:space="preserve">Potencia </t>
  </si>
  <si>
    <t>rph</t>
  </si>
  <si>
    <t xml:space="preserve">Dimensionamiento del tornillo pirolizador </t>
  </si>
  <si>
    <t>densidad del pet</t>
  </si>
  <si>
    <t>CICLÓN opex</t>
  </si>
  <si>
    <t>RPH</t>
  </si>
  <si>
    <t>r/h</t>
  </si>
  <si>
    <t>Requerimiento</t>
  </si>
  <si>
    <t>Dint</t>
  </si>
  <si>
    <t>alimento</t>
  </si>
  <si>
    <t>Dext</t>
  </si>
  <si>
    <t>CONDENSADOR</t>
  </si>
  <si>
    <t>Torque</t>
  </si>
  <si>
    <t>J</t>
  </si>
  <si>
    <t>Agua de enfriamiento</t>
  </si>
  <si>
    <t>Costo del agua</t>
  </si>
  <si>
    <t>pontencia HP</t>
  </si>
  <si>
    <t>HP</t>
  </si>
  <si>
    <t>N2 opex</t>
  </si>
  <si>
    <t>N2 requerido</t>
  </si>
  <si>
    <t>Costo N2</t>
  </si>
  <si>
    <t>COP/ton</t>
  </si>
  <si>
    <t>concepto</t>
  </si>
  <si>
    <t>Costo administradores</t>
  </si>
  <si>
    <t>Transporte de materia prima</t>
  </si>
  <si>
    <t>Venta de la energía anual</t>
  </si>
  <si>
    <t>Ingresos generación</t>
  </si>
  <si>
    <t>Ingresos Disposición</t>
  </si>
  <si>
    <t>Depreciación Equipos</t>
  </si>
  <si>
    <t>Depreciación Generadores</t>
  </si>
  <si>
    <t>CAPEX</t>
  </si>
  <si>
    <t>Utilidad antes de impuestos</t>
  </si>
  <si>
    <t>Flujo Neto</t>
  </si>
  <si>
    <t>VPN</t>
  </si>
  <si>
    <t>TIR</t>
  </si>
  <si>
    <t>LCOE</t>
  </si>
  <si>
    <t>COP/MW</t>
  </si>
  <si>
    <t>LCOE1</t>
  </si>
  <si>
    <t>LCOE2</t>
  </si>
  <si>
    <t>Devolución CAPEX</t>
  </si>
  <si>
    <t>TONELADAS AL AÑO</t>
  </si>
  <si>
    <t>ton/año</t>
  </si>
  <si>
    <t>Costo de disposición</t>
  </si>
  <si>
    <t>PAGO AL AÑO</t>
  </si>
  <si>
    <t>COP/AÑO</t>
  </si>
  <si>
    <t>CAPSTONE PAULA</t>
  </si>
  <si>
    <t>YIELD OIL</t>
  </si>
  <si>
    <t>YIELD GAS</t>
  </si>
  <si>
    <t>YIELD CHARR</t>
  </si>
  <si>
    <t>MATERIA PRIMA</t>
  </si>
  <si>
    <t>oil</t>
  </si>
  <si>
    <t>gas</t>
  </si>
  <si>
    <t>Energía producida oil</t>
  </si>
  <si>
    <t>Energía producida gas</t>
  </si>
  <si>
    <t>Energía producida oil en kW</t>
  </si>
  <si>
    <t>kW/día</t>
  </si>
  <si>
    <t>Energía producida gas en kW</t>
  </si>
  <si>
    <t>eficiencia del generador</t>
  </si>
  <si>
    <t xml:space="preserve">Generación energía por oil </t>
  </si>
  <si>
    <t>Generación energía por gas</t>
  </si>
  <si>
    <t>personas abastecidas al día oil</t>
  </si>
  <si>
    <t>personas abastecidas al día gas</t>
  </si>
  <si>
    <t>Hogares abastecidos al día</t>
  </si>
  <si>
    <t>Alimento Residuos</t>
  </si>
  <si>
    <t>Alimento N2</t>
  </si>
  <si>
    <t>Razón de entrada</t>
  </si>
  <si>
    <t>de N2 respecto a Residuos</t>
  </si>
  <si>
    <t>1 (alimento residuos)</t>
  </si>
  <si>
    <t>2 (alimento N2)</t>
  </si>
  <si>
    <t>3 (alimento al reactor)</t>
  </si>
  <si>
    <t>4 (salida reactor/ alimento ciclón)</t>
  </si>
  <si>
    <t>5 (salida charr)</t>
  </si>
  <si>
    <t>6 (salida ciclón tope)</t>
  </si>
  <si>
    <t>7 (entrada al flash)</t>
  </si>
  <si>
    <t>8 (salida oil)</t>
  </si>
  <si>
    <t>9 (salida tope)</t>
  </si>
  <si>
    <t>N2 (ton/día)</t>
  </si>
  <si>
    <t>Residuos (ton/día)</t>
  </si>
  <si>
    <t>SynGas (ton/día)</t>
  </si>
  <si>
    <t>OIL (ton/día)</t>
  </si>
  <si>
    <t>Char (ton/día)</t>
  </si>
  <si>
    <t>Requerimiento de N2</t>
  </si>
  <si>
    <t>AIRE</t>
  </si>
  <si>
    <t>Flujo make up</t>
  </si>
  <si>
    <t>% N2</t>
  </si>
  <si>
    <t>Flujo N2</t>
  </si>
  <si>
    <t>% O2</t>
  </si>
  <si>
    <t>Pureza del sistema generador</t>
  </si>
  <si>
    <t>Presión del nitrógeno</t>
  </si>
  <si>
    <t>Mpa</t>
  </si>
  <si>
    <t>Punto de rocío</t>
  </si>
  <si>
    <r>
      <rPr>
        <sz val="11"/>
        <color theme="1"/>
        <rFont val="Calibri"/>
        <family val="2"/>
      </rPr>
      <t>°</t>
    </r>
    <r>
      <rPr>
        <sz val="11"/>
        <color theme="1"/>
        <rFont val="Calibri"/>
        <family val="2"/>
        <scheme val="minor"/>
      </rPr>
      <t>C</t>
    </r>
  </si>
  <si>
    <t>Cp gas</t>
  </si>
  <si>
    <t>Flujo de salida del generador</t>
  </si>
  <si>
    <t>Nm^3/h</t>
  </si>
  <si>
    <t>Flujo Gas</t>
  </si>
  <si>
    <t>Flujo impurezas</t>
  </si>
  <si>
    <t>PV=NRT</t>
  </si>
  <si>
    <t>Eficiencia generador</t>
  </si>
  <si>
    <t>V=NRT/P</t>
  </si>
  <si>
    <t>Energía generada</t>
  </si>
  <si>
    <t>P</t>
  </si>
  <si>
    <t>Pa</t>
  </si>
  <si>
    <t xml:space="preserve">R </t>
  </si>
  <si>
    <t>J/mol*K</t>
  </si>
  <si>
    <t>PMN2</t>
  </si>
  <si>
    <t>GENERACIÓN CON OIL</t>
  </si>
  <si>
    <t>N</t>
  </si>
  <si>
    <t>kmol</t>
  </si>
  <si>
    <t>Cp oil</t>
  </si>
  <si>
    <t>mol</t>
  </si>
  <si>
    <t>Flujo oil</t>
  </si>
  <si>
    <t>T</t>
  </si>
  <si>
    <t>Requerimiento de N2/capacidad del generador</t>
  </si>
  <si>
    <t>veces superior</t>
  </si>
  <si>
    <t>Hogares abastecidos</t>
  </si>
  <si>
    <t>hogares/día</t>
  </si>
  <si>
    <t>AIRE (ton/día)</t>
  </si>
  <si>
    <t>O2 (ton/día)</t>
  </si>
  <si>
    <t>RESIDUOS (ton/día)</t>
  </si>
  <si>
    <t>SYNGAS (ton/día)</t>
  </si>
  <si>
    <t>imp</t>
  </si>
  <si>
    <t>%</t>
  </si>
  <si>
    <t>CHAR (ton/día)</t>
  </si>
  <si>
    <t>ENRGÍA GENERADA CON OIL (kWh)</t>
  </si>
  <si>
    <t>ENERGÍA GENERADA CON GAS (kWh)</t>
  </si>
  <si>
    <t>IMPUREZAS</t>
  </si>
  <si>
    <t>#LAZO DE CONTROL</t>
  </si>
  <si>
    <t>TIPO DE CONTROL</t>
  </si>
  <si>
    <t>DESCRIPCIÓN</t>
  </si>
  <si>
    <t>ESCALA</t>
  </si>
  <si>
    <t>ZERO (Pa)</t>
  </si>
  <si>
    <t>GANANCIA (Pa/mA)</t>
  </si>
  <si>
    <t xml:space="preserve">enlace </t>
  </si>
  <si>
    <t>Acción del controlador [s]</t>
  </si>
  <si>
    <t>CLASE</t>
  </si>
  <si>
    <t>SEÑAL</t>
  </si>
  <si>
    <t>ELEMENTO FINAL</t>
  </si>
  <si>
    <t>DELTA VP</t>
  </si>
  <si>
    <t xml:space="preserve">K </t>
  </si>
  <si>
    <t xml:space="preserve">Valvula </t>
  </si>
  <si>
    <t>delta P linea (psi)</t>
  </si>
  <si>
    <t>Delta P valvula 10% psi</t>
  </si>
  <si>
    <t>delta Pv</t>
  </si>
  <si>
    <t>CV</t>
  </si>
  <si>
    <t>tamaño valvula in</t>
  </si>
  <si>
    <t>f (gpm)</t>
  </si>
  <si>
    <t>1 er lazo de control</t>
  </si>
  <si>
    <t>control de nivel por diferencial de presión</t>
  </si>
  <si>
    <t>Lazo de control, aplicado al tanque receptor de combustible líquido, se regula el nivel y el elemento de control final es el motor. Esto permite el ajuste del flujo de entrada y, en consecuencia, el aumento de las revoluciones.</t>
  </si>
  <si>
    <t>0 a 10000 Pa</t>
  </si>
  <si>
    <t>https://www.alibaba.com/product-detail/Kunkeandao-Differential-Pressure-Transmitter-With-Display_1600984128317.html?spm=a2700.7735675.0.0.36521FUb1FUbYL&amp;s=p</t>
  </si>
  <si>
    <t>FEEDBACK, LAZO CERRADO</t>
  </si>
  <si>
    <t>ELÉCTRICA (CORRIENTE)</t>
  </si>
  <si>
    <t>VÁLVULA (CERRADA EN FALLA) FC-AO</t>
  </si>
  <si>
    <t>POSITIVO</t>
  </si>
  <si>
    <t>globo (recomendada por control preciso y uso para hidrocarburos)</t>
  </si>
  <si>
    <t>DIMENSIONAMIENTO DE TANQUE DE ALMACENAMIENTO</t>
  </si>
  <si>
    <t>Flujo de salida de líquido</t>
  </si>
  <si>
    <t xml:space="preserve">Consumo de combustible por kWh generado </t>
  </si>
  <si>
    <t>gramos/kWh generado</t>
  </si>
  <si>
    <t>kg/kWh</t>
  </si>
  <si>
    <t>Combustible necesario para la meta de generación</t>
  </si>
  <si>
    <t>kg/día de combustible</t>
  </si>
  <si>
    <t xml:space="preserve">Densidad del combustible </t>
  </si>
  <si>
    <t>lb/gal</t>
  </si>
  <si>
    <t>kg/m3</t>
  </si>
  <si>
    <t xml:space="preserve">Volumen de combustible al día en el tanque </t>
  </si>
  <si>
    <t>m^3</t>
  </si>
  <si>
    <t>Razón de consumo de combustible</t>
  </si>
  <si>
    <t>gpm</t>
  </si>
  <si>
    <t>Volumen sobredimensionado a un 20%</t>
  </si>
  <si>
    <t>Relación diametro:altura escogida</t>
  </si>
  <si>
    <t>4 Diametro : 1 altura</t>
  </si>
  <si>
    <t xml:space="preserve">Tiempo de retención dentro del tanque </t>
  </si>
  <si>
    <t>día</t>
  </si>
  <si>
    <t>V</t>
  </si>
  <si>
    <t>Presión hidrostática para el punto de operación</t>
  </si>
  <si>
    <t>altura de sensor de presión inferior</t>
  </si>
  <si>
    <t>Presión hidrostática para el punto de operación mínimo</t>
  </si>
  <si>
    <t xml:space="preserve">DESCRIPCIÓN </t>
  </si>
  <si>
    <r>
      <t>ZERO (</t>
    </r>
    <r>
      <rPr>
        <sz val="11"/>
        <color theme="1"/>
        <rFont val="Calibri"/>
        <family val="2"/>
      </rPr>
      <t>°</t>
    </r>
    <r>
      <rPr>
        <sz val="11"/>
        <color theme="1"/>
        <rFont val="Calibri"/>
        <family val="2"/>
        <scheme val="minor"/>
      </rPr>
      <t>C)</t>
    </r>
  </si>
  <si>
    <r>
      <t>GANANCIA ohmnios/</t>
    </r>
    <r>
      <rPr>
        <sz val="11"/>
        <color theme="1"/>
        <rFont val="Calibri"/>
        <family val="2"/>
      </rPr>
      <t>°</t>
    </r>
    <r>
      <rPr>
        <sz val="9.25"/>
        <color theme="1"/>
        <rFont val="Calibri"/>
        <family val="2"/>
      </rPr>
      <t>C</t>
    </r>
  </si>
  <si>
    <t>enlace del producto = 30 USD c/u</t>
  </si>
  <si>
    <t>Valvula</t>
  </si>
  <si>
    <t>tamaño de la valvula [in]</t>
  </si>
  <si>
    <t>flujo f [gpm]</t>
  </si>
  <si>
    <t>Cv</t>
  </si>
  <si>
    <t>2 do lazo de control</t>
  </si>
  <si>
    <t>Control de temperatura sensor RTD de 100 ohmnios, temperatura máxima de operación 600 grados C precisión +- 0,4 C</t>
  </si>
  <si>
    <t>Lazo de control en el reactor, posibilita la acción continua de estabilidad de la temperatura dentro del reactor, con la finalidad de mantener las condiciones deseadas para la conversión de materia prima. Elemento final de control es una valvula de control.</t>
  </si>
  <si>
    <t>desde - 200 hasta 980 grados centígrados</t>
  </si>
  <si>
    <t>https://es.omega.com/pptst/T3HEADPROBES.html</t>
  </si>
  <si>
    <t>FEEDBACK LAZO CERRADO</t>
  </si>
  <si>
    <t>VALVULA DE CONTROL</t>
  </si>
  <si>
    <t>Globo, para resistir altas temperaturas y presiones</t>
  </si>
  <si>
    <t>flujo de gas</t>
  </si>
  <si>
    <t>Requerimiento pirolizador</t>
  </si>
  <si>
    <t>lb/h</t>
  </si>
  <si>
    <t>SG</t>
  </si>
  <si>
    <t>referencia aire a 60 F</t>
  </si>
  <si>
    <t>densidad del aire</t>
  </si>
  <si>
    <t>densidad del gas</t>
  </si>
  <si>
    <t>densidad del gas natural</t>
  </si>
  <si>
    <t>flujo volumétrico</t>
  </si>
  <si>
    <t xml:space="preserve">Cp gas </t>
  </si>
  <si>
    <t>galones por minuto</t>
  </si>
  <si>
    <t>Cp másico</t>
  </si>
  <si>
    <t>kWh/kg</t>
  </si>
  <si>
    <t>Requerimiento gas pirolizador</t>
  </si>
  <si>
    <t>Requerimiento gas pirolizador volumen</t>
  </si>
  <si>
    <t xml:space="preserve">Precio gas natural </t>
  </si>
  <si>
    <t>Costo gas natural día</t>
  </si>
  <si>
    <t>COP/día</t>
  </si>
  <si>
    <t>Costo gas por hora</t>
  </si>
  <si>
    <t>COP/h</t>
  </si>
  <si>
    <t>Costo gas año pirolizador</t>
  </si>
  <si>
    <t>Requerimiento diario de N2</t>
  </si>
  <si>
    <t>Costo equipo de separación</t>
  </si>
  <si>
    <t>USD/equipo</t>
  </si>
  <si>
    <t>https://spanish.alibaba.com/product-detail/Chenrui-1600768375439.html</t>
  </si>
  <si>
    <t>Cantidad de equipos requerida</t>
  </si>
  <si>
    <t>Costo equipo de separación de N2 con instalación</t>
  </si>
  <si>
    <t xml:space="preserve">USD </t>
  </si>
  <si>
    <t>Costo generador N2 en cop</t>
  </si>
  <si>
    <t>costo equipo</t>
  </si>
  <si>
    <t>Cicllón</t>
  </si>
  <si>
    <t>Costo equipo</t>
  </si>
  <si>
    <t>TABLA DE CORRIENTES</t>
  </si>
  <si>
    <t>Tanque de almacenamiento techo cono</t>
  </si>
  <si>
    <t>Tamaño tanque</t>
  </si>
  <si>
    <t>Costo CE index 478,6 (2006)</t>
  </si>
  <si>
    <t>Costo CE index 798,7 (2023)</t>
  </si>
  <si>
    <t>Costo tanque</t>
  </si>
  <si>
    <t>PV=nRT</t>
  </si>
  <si>
    <t>PM</t>
  </si>
  <si>
    <t>R</t>
  </si>
  <si>
    <t>bar*m3/kmol*K</t>
  </si>
  <si>
    <t xml:space="preserve">bar </t>
  </si>
  <si>
    <t>m3</t>
  </si>
  <si>
    <t>EQUIPOS</t>
  </si>
  <si>
    <t>EQUIPOS costo COP</t>
  </si>
  <si>
    <t>Origen del costeo</t>
  </si>
  <si>
    <t>Servicios industriales requeridos</t>
  </si>
  <si>
    <t>Equipo</t>
  </si>
  <si>
    <t>Duty</t>
  </si>
  <si>
    <t>Servicio industrial</t>
  </si>
  <si>
    <t>Cantidad requerida</t>
  </si>
  <si>
    <t>Pirolizador de Tornillo</t>
  </si>
  <si>
    <t xml:space="preserve">Pirolizador </t>
  </si>
  <si>
    <t>16 (MMBTU/día)</t>
  </si>
  <si>
    <t>Gas natural</t>
  </si>
  <si>
    <t>442,51 m^3/día</t>
  </si>
  <si>
    <t>Ciclón</t>
  </si>
  <si>
    <t>Condensador</t>
  </si>
  <si>
    <t>3,5 (MMBTU/día)</t>
  </si>
  <si>
    <t>Agua enfriamiento</t>
  </si>
  <si>
    <t>13,134 m^3/día</t>
  </si>
  <si>
    <t>1,38 (kWh)</t>
  </si>
  <si>
    <t>Energía eléctrica</t>
  </si>
  <si>
    <t>33,12 kWh/día</t>
  </si>
  <si>
    <t>Separador</t>
  </si>
  <si>
    <t>3,73 (kWh)</t>
  </si>
  <si>
    <t>89,52 kWh/día</t>
  </si>
  <si>
    <t>Tanques almacenamiento</t>
  </si>
  <si>
    <t>Compresores</t>
  </si>
  <si>
    <t>516,519 (kWh)</t>
  </si>
  <si>
    <t>12396,456 kWh/día</t>
  </si>
  <si>
    <t>Generador a gasolina</t>
  </si>
  <si>
    <t>Costo sistema de generación N2</t>
  </si>
  <si>
    <t>Tuberías y costos de transporte</t>
  </si>
  <si>
    <t>Lazos de control</t>
  </si>
  <si>
    <t>TABLA DE CORRIENTES 20% de purga</t>
  </si>
  <si>
    <t>CONCEPTO</t>
  </si>
  <si>
    <t>VALOR [COP/AÑO]</t>
  </si>
  <si>
    <t>Tornillo del pirolizador</t>
  </si>
  <si>
    <t>Condensador [agua enf]</t>
  </si>
  <si>
    <t>Gas pirolizador</t>
  </si>
  <si>
    <t>Compresores costo energía</t>
  </si>
  <si>
    <t>Costo administrativos</t>
  </si>
  <si>
    <t>TABLA DE CORRIENTES 30% de purga</t>
  </si>
  <si>
    <t>fracción porcentual</t>
  </si>
  <si>
    <t>Precio kWh</t>
  </si>
  <si>
    <t>Potencial de venta de energía</t>
  </si>
  <si>
    <t xml:space="preserve">CASI POSITIVOS </t>
  </si>
  <si>
    <t>TABLA INFORMACIÓN DE TUBERIAS</t>
  </si>
  <si>
    <t>Tramo de recorrido</t>
  </si>
  <si>
    <t>Estado de flujo</t>
  </si>
  <si>
    <t>m [kg/h]</t>
  </si>
  <si>
    <t>Densidad [kg/m^3]</t>
  </si>
  <si>
    <t>Caudal [m^3/h]</t>
  </si>
  <si>
    <t>Caudal [m^3/s]</t>
  </si>
  <si>
    <t>D turbulento [in]</t>
  </si>
  <si>
    <t>Di (tabla aprox) [in]</t>
  </si>
  <si>
    <t>Wall Thickness (in)</t>
  </si>
  <si>
    <t>Outside Diametro (in)</t>
  </si>
  <si>
    <t>Size (in)</t>
  </si>
  <si>
    <t>Schedule</t>
  </si>
  <si>
    <t xml:space="preserve">Material </t>
  </si>
  <si>
    <t>Banda-Piro</t>
  </si>
  <si>
    <t>SOLIDO</t>
  </si>
  <si>
    <t>SOLIDOS</t>
  </si>
  <si>
    <t>Gas-piro</t>
  </si>
  <si>
    <t>GAS</t>
  </si>
  <si>
    <t>Acero inoxidable</t>
  </si>
  <si>
    <t>Carbon-piro</t>
  </si>
  <si>
    <t>Piro-condensador</t>
  </si>
  <si>
    <t xml:space="preserve">Condensador-Tanque </t>
  </si>
  <si>
    <t>LIQUIDO</t>
  </si>
  <si>
    <t>Tanque -Generador liq</t>
  </si>
  <si>
    <t>Condensador-Divisor</t>
  </si>
  <si>
    <t>Divisor-Pirolizador</t>
  </si>
  <si>
    <t>EVALUACIÓN FINANCIERA</t>
  </si>
  <si>
    <t>ROI</t>
  </si>
  <si>
    <t>COSTEO BASADO EN FACTORES DE LANG</t>
  </si>
  <si>
    <t>NOMBRE DEL EQUIPO</t>
  </si>
  <si>
    <t>ETIQUETA DEL EQUIPO</t>
  </si>
  <si>
    <t>FACTOR DE TAMAÑO</t>
  </si>
  <si>
    <t>TEMPERATURA DE DISEÑO</t>
  </si>
  <si>
    <t>PRESIÓN DE DISEÑO</t>
  </si>
  <si>
    <t xml:space="preserve">COSTO DE COMPRA </t>
  </si>
  <si>
    <t xml:space="preserve">INDICE DE COSTO DE COMPRA </t>
  </si>
  <si>
    <t>Pirolizador Extrusor o de tornillo</t>
  </si>
  <si>
    <t>Etiqueta del plot plant ###</t>
  </si>
  <si>
    <t>Banda Transportadora</t>
  </si>
  <si>
    <t>Bomba de agua single stage centrifugal</t>
  </si>
  <si>
    <t>Factor de tamaño [m^3/día]</t>
  </si>
  <si>
    <t>S [litros/s]</t>
  </si>
  <si>
    <t>sobredimensionamiento 40%</t>
  </si>
  <si>
    <t>S [litros/s] sobredim</t>
  </si>
  <si>
    <t>costo 2006 [USD]</t>
  </si>
  <si>
    <t>CEPCI 2023</t>
  </si>
  <si>
    <t>Costo actual [USD]</t>
  </si>
  <si>
    <t>Costo actual [COP]</t>
  </si>
  <si>
    <t>9 ton/día</t>
  </si>
  <si>
    <t>0,375 ton/h</t>
  </si>
  <si>
    <t>58,1 ton/día</t>
  </si>
  <si>
    <t>3,5 MMBTU/día</t>
  </si>
  <si>
    <t>Bomba de agua</t>
  </si>
  <si>
    <t>13 m^3/día</t>
  </si>
  <si>
    <t>2800 kg</t>
  </si>
  <si>
    <t>516,5 kWh</t>
  </si>
  <si>
    <t>Generador eléctrico</t>
  </si>
  <si>
    <t>1500 kW - 1875 kVA</t>
  </si>
  <si>
    <t>https://www.genpowerusa.com/diesel-generators/1500-kw-cummins-generator-1875-kva-three-phase-broadcrown-bcc1500s-60t2f/?utm_source=google&amp;utm_medium=cpc&amp;utm_campaign=DSA-Generators-Non-USA&amp;utm_term=&amp;gad_source=1&amp;gclid=Cj0KCQjwqpSwBhClARIsADlZ_TniqE2qHwLUX4xomrwgXar7fT-uNWDgR7lljIq7MB0o42sdyfd0a-kaAuaDEALw_wcB</t>
  </si>
  <si>
    <t>Generador nitrógeno</t>
  </si>
  <si>
    <t>1500 Nm^3/h</t>
  </si>
  <si>
    <t>Tanque almacenamiento</t>
  </si>
  <si>
    <t xml:space="preserve">10,6 m^3 </t>
  </si>
  <si>
    <t>Dimensionamiento de compresor de reciclo maneja gas con composición de 97% N2</t>
  </si>
  <si>
    <t>Peso molecular</t>
  </si>
  <si>
    <t>Presion crítica</t>
  </si>
  <si>
    <t>psia</t>
  </si>
  <si>
    <t>Temperatura crítica</t>
  </si>
  <si>
    <t>°R</t>
  </si>
  <si>
    <t>valor n Cp a presión constante</t>
  </si>
  <si>
    <t>Presion de carga Ps</t>
  </si>
  <si>
    <t>Presion de descarga Pd</t>
  </si>
  <si>
    <t>Temperatura de succión Ts</t>
  </si>
  <si>
    <t>ICM inlet cubic meters per hour</t>
  </si>
  <si>
    <t>im^3/h</t>
  </si>
  <si>
    <t>Z compresibilidad</t>
  </si>
  <si>
    <t>R constante ideal</t>
  </si>
  <si>
    <t>bar m^3 / kg mol K</t>
  </si>
  <si>
    <t>R razón de compresión</t>
  </si>
  <si>
    <t>single stage compressor</t>
  </si>
  <si>
    <t>Td temperatura de descarga</t>
  </si>
  <si>
    <t>VE% eficiencia volumétrica</t>
  </si>
  <si>
    <t>PDR desplazamiento del pistón</t>
  </si>
  <si>
    <t>im^3 necesarios</t>
  </si>
  <si>
    <t>Tamaño single stage</t>
  </si>
  <si>
    <t>por tablas</t>
  </si>
  <si>
    <t>PD100 correspondiente al tamaño</t>
  </si>
  <si>
    <t>RPM min</t>
  </si>
  <si>
    <t>poder requerido</t>
  </si>
  <si>
    <t>Busqueda web proveedores</t>
  </si>
  <si>
    <t>Curva de costos</t>
  </si>
  <si>
    <t xml:space="preserve">Compresor </t>
  </si>
  <si>
    <t>Web proveedores nacional</t>
  </si>
  <si>
    <t>Generador Eléctrico</t>
  </si>
  <si>
    <t>https://www.alibaba.com/product-detail/LETON-Cummins-Engines-1000kw-1250kva-2000Kw_1600606712547.html?spm=a2700.galleryofferlist.p_offer.d_title.14646cbdXK8Mhl&amp;s=p</t>
  </si>
  <si>
    <t xml:space="preserve">Estimación </t>
  </si>
  <si>
    <t>Costo de arranque de planta</t>
  </si>
  <si>
    <t>compra N2</t>
  </si>
  <si>
    <t>Lazos de control (elementos)</t>
  </si>
  <si>
    <t>Generación de nitrógeno OPEX</t>
  </si>
  <si>
    <t>Costo por generación N2 ton</t>
  </si>
  <si>
    <t>Costo energético por ton</t>
  </si>
  <si>
    <t>kWh/ton</t>
  </si>
  <si>
    <t>Masa N2 anual</t>
  </si>
  <si>
    <t>Costo kWh en cop</t>
  </si>
  <si>
    <t>Costo energético de generación N2 anual</t>
  </si>
  <si>
    <t>Calentamiento pirolizador</t>
  </si>
  <si>
    <t>Costo energético de generación N2 anual en USD con optimización</t>
  </si>
  <si>
    <t>Costo energético de generación N2 anual internacional en COP</t>
  </si>
  <si>
    <t>Costo generación N2</t>
  </si>
  <si>
    <t>Estimación media del costo en COP anual</t>
  </si>
  <si>
    <t xml:space="preserve">N2 necesario arranque </t>
  </si>
  <si>
    <t xml:space="preserve">ton </t>
  </si>
  <si>
    <t>Costo de arranque N2</t>
  </si>
  <si>
    <t>Costo de arranque N2 COP</t>
  </si>
  <si>
    <t>Costo energético de arranque N2</t>
  </si>
  <si>
    <t xml:space="preserve">kWh </t>
  </si>
  <si>
    <t>Costo energético de arranque en COP</t>
  </si>
  <si>
    <t>Costo del N2 de arranque total</t>
  </si>
  <si>
    <t>nm3/d</t>
  </si>
  <si>
    <t>nm3/h</t>
  </si>
  <si>
    <t>basura general</t>
  </si>
  <si>
    <t>estimación plástico</t>
  </si>
  <si>
    <t>plastico aprovechado porcentaje</t>
  </si>
  <si>
    <t>Purga de 4,5</t>
  </si>
  <si>
    <t>precio N2 mercado general</t>
  </si>
  <si>
    <t>Eur/kg</t>
  </si>
  <si>
    <t xml:space="preserve">precio N2 mercado general </t>
  </si>
  <si>
    <t>eur/ton</t>
  </si>
  <si>
    <t>requerimiento arranque</t>
  </si>
  <si>
    <t>ton</t>
  </si>
  <si>
    <t>precio importación</t>
  </si>
  <si>
    <t>EUR</t>
  </si>
  <si>
    <t>precio importación COP</t>
  </si>
  <si>
    <t>Para purga de 9 doble</t>
  </si>
  <si>
    <t>requerimiento de arranque</t>
  </si>
  <si>
    <t xml:space="preserve">EUR </t>
  </si>
  <si>
    <t>Costeos Web</t>
  </si>
  <si>
    <t>Purga de 20 cuadruple</t>
  </si>
  <si>
    <t>https://www.alibaba.com/product-detail/10tons-Batch-Type-Pyrolysis-Machine-Waste_1600917495176.html?spm=a2700.galleryofferlist.p_offer.d_title.100a73f1VL9eUx&amp;s=p</t>
  </si>
  <si>
    <t>https://www.alibaba.com/product-detail/2023-Nuevo-Producto-Cinta-Transportadora-De_1600830070755.html?spm=a2700.galleryofferlist.p_offer.d_title.1b16454bPUOCxK&amp;s=p</t>
  </si>
  <si>
    <t>https://www.alibaba.com/product-detail/Polishing-Machine-Industrial-Cyclone-Separator-Dust_1601042881291.html?spm=a2700.galleryofferlist.p_offer.d_price.1cb02102BoogCQ&amp;s=p</t>
  </si>
  <si>
    <t>https://www.alibaba.com/product-detail/High-Quality-Industrial-Heat-Exchanger-Shell_1600556142870.html?spm=a2700.galleryofferlist.p_offer.d_price.2d176866nVV7YU&amp;s=p</t>
  </si>
  <si>
    <t>https://www.alibaba.com/product-detail/250Nm3-h-Cryogenic-Air-Separation-Unit_62042606943.html?spm=a2700.galleryofferlist.p_offer.d_title.300e5033hUA3fz&amp;s=p</t>
  </si>
  <si>
    <t>arranque 4:1</t>
  </si>
  <si>
    <t>https://www.alibaba.com/product-detail/Kunkeandao-Differential-Pressure-Transmitter-With-Display_1600984128317.html?spm=a2700.7735675.0.0.36521FUb1FUbYL&amp;s=p ;; https://es.omega.com/pptst/T3HEADPROBES.html</t>
  </si>
  <si>
    <t>Configuración máxima para el equipo de generación de N2</t>
  </si>
  <si>
    <t>Capacidad</t>
  </si>
  <si>
    <t>Estimación proveedores nacionales</t>
  </si>
  <si>
    <t>Configuración para purga de 4,5</t>
  </si>
  <si>
    <t>Casos de estudio sobre la purga</t>
  </si>
  <si>
    <t>Requerimiento Make Up [N2 ton/día]</t>
  </si>
  <si>
    <t>Costo equipo por caso</t>
  </si>
  <si>
    <t>OPEX TOTAL</t>
  </si>
  <si>
    <t>Make up</t>
  </si>
  <si>
    <t>Caso 1 purga del 10%</t>
  </si>
  <si>
    <t>Costo del sistema de generación N2 (equipo)</t>
  </si>
  <si>
    <t>Caso 2 purga del 20%</t>
  </si>
  <si>
    <t>Costo energético de generación de N2</t>
  </si>
  <si>
    <t>Caso 3 purga del 30%</t>
  </si>
  <si>
    <t>Costo de generación ton de N2 internacional</t>
  </si>
  <si>
    <t>Costo de generación ton de N2 colombia</t>
  </si>
  <si>
    <t>VPN [COP]</t>
  </si>
  <si>
    <t>LCOE [COP/kWh]</t>
  </si>
  <si>
    <t>Costo de generación N2 media</t>
  </si>
  <si>
    <t>Costo make up anual</t>
  </si>
  <si>
    <t>Configuración para purga de 9 (doble)</t>
  </si>
  <si>
    <t>Configuración para purga de 13,5 (triple)</t>
  </si>
  <si>
    <t xml:space="preserve">Make up </t>
  </si>
  <si>
    <t>x make up incremento</t>
  </si>
  <si>
    <t>y costo equipo</t>
  </si>
  <si>
    <t xml:space="preserve">Tabla de rendimientos de la fase líquida de OIL para diferentes polímeros </t>
  </si>
  <si>
    <t>Polímero</t>
  </si>
  <si>
    <t>Temperatura de degradación [°C]</t>
  </si>
  <si>
    <t>Rango de rendimiento p/p%</t>
  </si>
  <si>
    <t xml:space="preserve">LDPE </t>
  </si>
  <si>
    <t>&gt; 400</t>
  </si>
  <si>
    <t xml:space="preserve">83,7 - 86,1 </t>
  </si>
  <si>
    <t>83,7 - 86,1</t>
  </si>
  <si>
    <t>&gt; 370</t>
  </si>
  <si>
    <t>&gt; 300</t>
  </si>
  <si>
    <t>1,1 - 5,3</t>
  </si>
  <si>
    <t>26,3 - 86</t>
  </si>
  <si>
    <t>total</t>
  </si>
  <si>
    <t>habitantes de giron</t>
  </si>
  <si>
    <t>vereda</t>
  </si>
  <si>
    <t>hogares giron</t>
  </si>
  <si>
    <t>porcentaje que alimenta vereda</t>
  </si>
  <si>
    <t>hogares restantes</t>
  </si>
  <si>
    <t>porcentaje restante</t>
  </si>
  <si>
    <t>fracción que alcanzamos a cubrir</t>
  </si>
  <si>
    <t>porcentaje</t>
  </si>
  <si>
    <t>Valor del vapor de calentamiento</t>
  </si>
  <si>
    <t>USD/GJ</t>
  </si>
  <si>
    <t>Energía por hora</t>
  </si>
  <si>
    <t>BTU/h</t>
  </si>
  <si>
    <t>COP/BTU</t>
  </si>
  <si>
    <t>Energía año</t>
  </si>
  <si>
    <t>BTU/año</t>
  </si>
  <si>
    <t>Valor calentamiento anual</t>
  </si>
  <si>
    <t>energía día</t>
  </si>
  <si>
    <t>BTU/día</t>
  </si>
  <si>
    <t>Valor agua de enfriamiento</t>
  </si>
  <si>
    <t>USD/kGal</t>
  </si>
  <si>
    <t>Valor electricidad promedio nacional</t>
  </si>
  <si>
    <t>USD/kWh</t>
  </si>
  <si>
    <t>MUESTRA</t>
  </si>
  <si>
    <r>
      <t>TEMPERATURA [</t>
    </r>
    <r>
      <rPr>
        <sz val="11"/>
        <color theme="1"/>
        <rFont val="Calibri"/>
        <family val="2"/>
      </rPr>
      <t>°</t>
    </r>
    <r>
      <rPr>
        <sz val="11"/>
        <color theme="1"/>
        <rFont val="Calibri"/>
        <family val="2"/>
        <scheme val="minor"/>
      </rPr>
      <t>C]</t>
    </r>
  </si>
  <si>
    <t>DENSIDAD [g/m^3]</t>
  </si>
  <si>
    <t>GRAVEDAD ESPECÍFICA</t>
  </si>
  <si>
    <t>FRACCIÓN MÁSICA alcohol [%]</t>
  </si>
  <si>
    <t>VOLUMEN DE ALCOHOL [%]</t>
  </si>
  <si>
    <t>VOLUMEN [ml]</t>
  </si>
  <si>
    <t>VOLUMEN ALTA [ml]</t>
  </si>
  <si>
    <t>VOLUMEN MEDIA [ml]</t>
  </si>
  <si>
    <t>VOLUMEN BAJA [ml]</t>
  </si>
  <si>
    <t>-</t>
  </si>
  <si>
    <t>residuo</t>
  </si>
  <si>
    <t>residuo toma 2</t>
  </si>
  <si>
    <t>año</t>
  </si>
  <si>
    <t>inflación</t>
  </si>
  <si>
    <t>Tamaño de población</t>
  </si>
  <si>
    <t>personas</t>
  </si>
  <si>
    <t>Consumo percápita</t>
  </si>
  <si>
    <t>kWh/persona*mes</t>
  </si>
  <si>
    <t>kWh/persona*dia</t>
  </si>
  <si>
    <t>kW/persona</t>
  </si>
  <si>
    <t>Cantidad de energía requerída</t>
  </si>
  <si>
    <t>Costo por cada kw</t>
  </si>
  <si>
    <t>Dinero por venta de energía 2023</t>
  </si>
  <si>
    <t>Costo kW</t>
  </si>
  <si>
    <t>dinero recaudado</t>
  </si>
  <si>
    <t>flujo de caja promedio a 10 años</t>
  </si>
  <si>
    <t xml:space="preserve">20% del requerimiento </t>
  </si>
  <si>
    <t xml:space="preserve">20% del flujo de caja </t>
  </si>
  <si>
    <t>metros de frente</t>
  </si>
  <si>
    <t>metros de profundidad</t>
  </si>
  <si>
    <t>m^2 de tamaño total de planta</t>
  </si>
  <si>
    <t>hectareas (termopaipa)</t>
  </si>
  <si>
    <t>MW (termopaipa)</t>
  </si>
  <si>
    <t>hectareas</t>
  </si>
  <si>
    <t>m^2</t>
  </si>
  <si>
    <t>podemos poner 1 hectarea facilmente</t>
  </si>
  <si>
    <t>pronóstico</t>
  </si>
  <si>
    <t>flujo de materia prima</t>
  </si>
  <si>
    <t>ahora si xd</t>
  </si>
  <si>
    <t>tiempo de retención</t>
  </si>
  <si>
    <t>h</t>
  </si>
  <si>
    <t>volumen del horno</t>
  </si>
  <si>
    <t>Informacion Economica</t>
  </si>
  <si>
    <t>Valor Subproducto</t>
  </si>
  <si>
    <t>COP$/kg</t>
  </si>
  <si>
    <t>valor del producto</t>
  </si>
  <si>
    <t>COP$/kWh</t>
  </si>
  <si>
    <t>valor de la materia prima</t>
  </si>
  <si>
    <t>producción energética</t>
  </si>
  <si>
    <t>cantidad de materia prima</t>
  </si>
  <si>
    <t>factor de servicio</t>
  </si>
  <si>
    <t>cantidad de sub</t>
  </si>
  <si>
    <t>costo materia prima</t>
  </si>
  <si>
    <t>COP$/h</t>
  </si>
  <si>
    <t>venta de energía por hora</t>
  </si>
  <si>
    <t>venta de subproducto</t>
  </si>
  <si>
    <t>PE2</t>
  </si>
  <si>
    <t>COP$/año</t>
  </si>
  <si>
    <t>compuesto/corriente</t>
  </si>
  <si>
    <t>Estado</t>
  </si>
  <si>
    <t>Solido</t>
  </si>
  <si>
    <t>Gas</t>
  </si>
  <si>
    <t>Liquido</t>
  </si>
  <si>
    <t>T [°C]</t>
  </si>
  <si>
    <t>Informacion Economica PE3</t>
  </si>
  <si>
    <t>P [kPa]</t>
  </si>
  <si>
    <t>[%P/P]</t>
  </si>
  <si>
    <t>costo del reactor</t>
  </si>
  <si>
    <t>Waste Rubber, Waste Plastic</t>
  </si>
  <si>
    <t>costo del reactor anualizado</t>
  </si>
  <si>
    <t>OPEX (reactor y Reciclo)</t>
  </si>
  <si>
    <t>Carbon pirolitico</t>
  </si>
  <si>
    <t>CostoVentilador</t>
  </si>
  <si>
    <t>$ 1.978.000,00</t>
  </si>
  <si>
    <t>Fuel OIL</t>
  </si>
  <si>
    <t>CostoVentilador anualizado</t>
  </si>
  <si>
    <t>Gas pirolisis</t>
  </si>
  <si>
    <t>PE3</t>
  </si>
  <si>
    <t>Aire</t>
  </si>
  <si>
    <t>Carbon</t>
  </si>
  <si>
    <t>Costo Generador gas</t>
  </si>
  <si>
    <t>COP$</t>
  </si>
  <si>
    <t>FTotal [kg/h]</t>
  </si>
  <si>
    <t>Costo Generador gas anualizado</t>
  </si>
  <si>
    <t>COP $/año</t>
  </si>
  <si>
    <t>Costo Generador liquido</t>
  </si>
  <si>
    <t>Costo Generador liquido anualizado</t>
  </si>
  <si>
    <t>Costo Agua empleada (OPEX)</t>
  </si>
  <si>
    <t>Reactor pirolitico</t>
  </si>
  <si>
    <t>Costo Reactor pirolitico anualizado</t>
  </si>
  <si>
    <t>char</t>
  </si>
  <si>
    <t>Requerimiento de eletricidad</t>
  </si>
  <si>
    <t>Carbon (OPEX)</t>
  </si>
  <si>
    <t>Tornillo transporte carbon</t>
  </si>
  <si>
    <t>Tornillo transporte GCR</t>
  </si>
  <si>
    <t>Tornillo transporte Carbon pirolitico</t>
  </si>
  <si>
    <t>Tanque almacenamiento agua</t>
  </si>
  <si>
    <t>Tanque almacenamiento fuel oil</t>
  </si>
  <si>
    <t>Tanque almacenamiento carbon</t>
  </si>
  <si>
    <t>Bombas centrifugas, sistemas de tuberias, accesorios y sistemas de valvulas</t>
  </si>
  <si>
    <t>CAPEX (aproximados)</t>
  </si>
  <si>
    <t>pontenci HP</t>
  </si>
  <si>
    <t>Tamos</t>
  </si>
  <si>
    <t xml:space="preserve">Longitud </t>
  </si>
  <si>
    <t>Unidad</t>
  </si>
  <si>
    <t>u [Pa/s]</t>
  </si>
  <si>
    <t>densidad [kg/m^3]</t>
  </si>
  <si>
    <t>Caudal m3/h</t>
  </si>
  <si>
    <t>Caudal m3/s</t>
  </si>
  <si>
    <t>D turbulento [m]</t>
  </si>
  <si>
    <t>D laminar</t>
  </si>
  <si>
    <t>Re (D)</t>
  </si>
  <si>
    <t>usd$/metro dde tuberia</t>
  </si>
  <si>
    <t>BandaTrans-Piro</t>
  </si>
  <si>
    <t>Aire-piro</t>
  </si>
  <si>
    <t>5 y 6</t>
  </si>
  <si>
    <t>Piro-Tanque 1</t>
  </si>
  <si>
    <t>Condensador-Tanque 2</t>
  </si>
  <si>
    <t>Tanque 2-Generador liq</t>
  </si>
  <si>
    <t>Divisor-Generador gas</t>
  </si>
  <si>
    <t>4*m/u*D*pi</t>
  </si>
  <si>
    <t>Condensador-pirolizador</t>
  </si>
  <si>
    <t>Acero al carbon</t>
  </si>
  <si>
    <r>
      <t>Densidad [kg/m</t>
    </r>
    <r>
      <rPr>
        <b/>
        <vertAlign val="superscript"/>
        <sz val="11"/>
        <color theme="1"/>
        <rFont val="Calibri"/>
        <family val="2"/>
        <scheme val="minor"/>
      </rPr>
      <t>3</t>
    </r>
    <r>
      <rPr>
        <b/>
        <sz val="11"/>
        <color theme="1"/>
        <rFont val="Calibri"/>
        <family val="2"/>
        <scheme val="minor"/>
      </rPr>
      <t>]</t>
    </r>
  </si>
  <si>
    <r>
      <t>Flujo [m</t>
    </r>
    <r>
      <rPr>
        <b/>
        <vertAlign val="superscript"/>
        <sz val="11"/>
        <color theme="1"/>
        <rFont val="Calibri"/>
        <family val="2"/>
        <scheme val="minor"/>
      </rPr>
      <t>3</t>
    </r>
    <r>
      <rPr>
        <b/>
        <sz val="11"/>
        <color theme="1"/>
        <rFont val="Calibri"/>
        <family val="2"/>
        <scheme val="minor"/>
      </rPr>
      <t>/h]</t>
    </r>
  </si>
  <si>
    <r>
      <t>Flujo [m</t>
    </r>
    <r>
      <rPr>
        <b/>
        <vertAlign val="superscript"/>
        <sz val="11"/>
        <color theme="1"/>
        <rFont val="Calibri"/>
        <family val="2"/>
        <scheme val="minor"/>
      </rPr>
      <t>3</t>
    </r>
    <r>
      <rPr>
        <b/>
        <sz val="11"/>
        <color theme="1"/>
        <rFont val="Calibri"/>
        <family val="2"/>
        <scheme val="minor"/>
      </rPr>
      <t>/s]</t>
    </r>
  </si>
  <si>
    <r>
      <t>D</t>
    </r>
    <r>
      <rPr>
        <b/>
        <vertAlign val="subscript"/>
        <sz val="11"/>
        <color theme="1"/>
        <rFont val="Calibri"/>
        <family val="2"/>
        <scheme val="minor"/>
      </rPr>
      <t>Optimo</t>
    </r>
    <r>
      <rPr>
        <b/>
        <sz val="11"/>
        <color theme="1"/>
        <rFont val="Calibri"/>
        <family val="2"/>
        <scheme val="minor"/>
      </rPr>
      <t xml:space="preserve"> [m]</t>
    </r>
  </si>
  <si>
    <r>
      <t>D</t>
    </r>
    <r>
      <rPr>
        <b/>
        <vertAlign val="subscript"/>
        <sz val="11"/>
        <color theme="1"/>
        <rFont val="Calibri"/>
        <family val="2"/>
        <scheme val="minor"/>
      </rPr>
      <t>Interno</t>
    </r>
    <r>
      <rPr>
        <b/>
        <sz val="11"/>
        <color theme="1"/>
        <rFont val="Calibri"/>
        <family val="2"/>
        <scheme val="minor"/>
      </rPr>
      <t xml:space="preserve"> [in]</t>
    </r>
  </si>
  <si>
    <t>Longtud [ft]</t>
  </si>
  <si>
    <t>USD$</t>
  </si>
  <si>
    <t>N° de Tuberia</t>
  </si>
  <si>
    <t>Componente</t>
  </si>
  <si>
    <t>Flujo [kg/h]</t>
  </si>
  <si>
    <t>Flujo [m3/s]</t>
  </si>
  <si>
    <r>
      <t>D</t>
    </r>
    <r>
      <rPr>
        <b/>
        <vertAlign val="subscript"/>
        <sz val="11"/>
        <color theme="1"/>
        <rFont val="Calibri"/>
        <family val="2"/>
        <scheme val="minor"/>
      </rPr>
      <t>TablaAprox</t>
    </r>
    <r>
      <rPr>
        <b/>
        <sz val="11"/>
        <color theme="1"/>
        <rFont val="Calibri"/>
        <family val="2"/>
        <scheme val="minor"/>
      </rPr>
      <t xml:space="preserve"> [in]</t>
    </r>
  </si>
  <si>
    <t>Wall thickness [in]</t>
  </si>
  <si>
    <r>
      <t>D</t>
    </r>
    <r>
      <rPr>
        <b/>
        <vertAlign val="subscript"/>
        <sz val="11"/>
        <color theme="1"/>
        <rFont val="Calibri"/>
        <family val="2"/>
        <scheme val="minor"/>
      </rPr>
      <t>Outside</t>
    </r>
    <r>
      <rPr>
        <b/>
        <sz val="11"/>
        <color theme="1"/>
        <rFont val="Calibri"/>
        <family val="2"/>
        <scheme val="minor"/>
      </rPr>
      <t xml:space="preserve"> [in]</t>
    </r>
  </si>
  <si>
    <t>Longtud [m]</t>
  </si>
  <si>
    <t>USD$/m</t>
  </si>
  <si>
    <t>Gas Natural</t>
  </si>
  <si>
    <t>N2+GasPirolitico</t>
  </si>
  <si>
    <t>N2+GasPirolitico+FuelOil</t>
  </si>
  <si>
    <t>Agua</t>
  </si>
  <si>
    <t>. 1/2</t>
  </si>
  <si>
    <t>Gas+Liquido</t>
  </si>
  <si>
    <t>FuelOil</t>
  </si>
  <si>
    <t>.6</t>
  </si>
  <si>
    <t>Datos del reactor suministrados por el fabricante</t>
  </si>
  <si>
    <t>valor subproducto</t>
  </si>
  <si>
    <t>COP/kg</t>
  </si>
  <si>
    <t>Tipo de operación</t>
  </si>
  <si>
    <t>Batch</t>
  </si>
  <si>
    <t>Capacidad del reactor (ton)</t>
  </si>
  <si>
    <t>Tamaño del reactor (diametro, largo)[m]</t>
  </si>
  <si>
    <t>2,6*6,6</t>
  </si>
  <si>
    <t>Tamaño del equipo con accesorios (L,A,H)[m]</t>
  </si>
  <si>
    <t>9*3*3,9</t>
  </si>
  <si>
    <t>Poder requerido [kW]</t>
  </si>
  <si>
    <t>Trabajadores al día</t>
  </si>
  <si>
    <t>Materias primas aceptadas</t>
  </si>
  <si>
    <t>neumatico, plásticos, caucho…</t>
  </si>
  <si>
    <t>Tiempo de trabajo por lote [h]</t>
  </si>
  <si>
    <t xml:space="preserve">Tanque de aceite </t>
  </si>
  <si>
    <t>Volumen [m^3]</t>
  </si>
  <si>
    <t>Recepción</t>
  </si>
  <si>
    <t>aceite combustible</t>
  </si>
  <si>
    <t>Condición</t>
  </si>
  <si>
    <t>presión común</t>
  </si>
  <si>
    <r>
      <t>Costo</t>
    </r>
    <r>
      <rPr>
        <vertAlign val="subscript"/>
        <sz val="11"/>
        <color rgb="FF000000"/>
        <rFont val="Calibri"/>
        <family val="2"/>
      </rPr>
      <t>Ventilador</t>
    </r>
  </si>
  <si>
    <t>Materiales</t>
  </si>
  <si>
    <t>Acero Q235B</t>
  </si>
  <si>
    <r>
      <rPr>
        <sz val="11"/>
        <color rgb="FF000000"/>
        <rFont val="Calibri"/>
        <family val="2"/>
      </rPr>
      <t>Costo</t>
    </r>
    <r>
      <rPr>
        <vertAlign val="subscript"/>
        <sz val="11"/>
        <color rgb="FF000000"/>
        <rFont val="Calibri"/>
        <family val="2"/>
      </rPr>
      <t>Ventilador</t>
    </r>
  </si>
  <si>
    <t>Tipo</t>
  </si>
  <si>
    <t>Horizontal</t>
  </si>
  <si>
    <t>calculos para el PE3</t>
  </si>
  <si>
    <t>Condensador tubular</t>
  </si>
  <si>
    <t>Area de enfriamiento [m^2]</t>
  </si>
  <si>
    <t>Tubo vertical</t>
  </si>
  <si>
    <t>Separador de multiples etapas</t>
  </si>
  <si>
    <t>Tipo de filtración</t>
  </si>
  <si>
    <t>Baffle</t>
  </si>
  <si>
    <t>Condición de operación</t>
  </si>
  <si>
    <t>presión común, alta temperatura</t>
  </si>
  <si>
    <t>Receptor y separador</t>
  </si>
  <si>
    <t>Area de enfriamiento [m^3]</t>
  </si>
  <si>
    <t>Ventajas</t>
  </si>
  <si>
    <t>fácil operación y limpieza, alta eficiencia</t>
  </si>
  <si>
    <t>Tanque de agua</t>
  </si>
  <si>
    <t>equipo de seguridad, cortafuegos</t>
  </si>
  <si>
    <t>Función</t>
  </si>
  <si>
    <t>prevenir incendio</t>
  </si>
  <si>
    <t>ALTERNATIVA 1</t>
  </si>
  <si>
    <t>ALTERNATIVA 2 (energéticamente eficiente)</t>
  </si>
  <si>
    <t>Compuesto</t>
  </si>
  <si>
    <t>Destino</t>
  </si>
  <si>
    <t>Líquido combustible</t>
  </si>
  <si>
    <t>Producción de energía</t>
  </si>
  <si>
    <t>Gas de Síntesis</t>
  </si>
  <si>
    <t>Venteo</t>
  </si>
  <si>
    <t>Negro de Carbono</t>
  </si>
  <si>
    <t>Subproducto valioso</t>
  </si>
  <si>
    <t>Gas combustible</t>
  </si>
  <si>
    <t>Producción de energía, reciclo</t>
  </si>
  <si>
    <t>Volumen del reactor</t>
  </si>
  <si>
    <t>m^3/batch</t>
  </si>
  <si>
    <t>flujo masico batch</t>
  </si>
  <si>
    <t>kg/batch</t>
  </si>
  <si>
    <t>kg GCR/h</t>
  </si>
  <si>
    <t>kg/año</t>
  </si>
  <si>
    <t>Reactor Pirolitico</t>
  </si>
  <si>
    <t>densidad materia prima</t>
  </si>
  <si>
    <t>Planta</t>
  </si>
  <si>
    <t>Produccion de Energia electrica</t>
  </si>
  <si>
    <t>Cantidad</t>
  </si>
  <si>
    <t>Acero al carbón</t>
  </si>
  <si>
    <t>Descripción</t>
  </si>
  <si>
    <t>Horno rotatorio</t>
  </si>
  <si>
    <t>A516</t>
  </si>
  <si>
    <t>Tiempo batch</t>
  </si>
  <si>
    <t>3/8"</t>
  </si>
  <si>
    <t>Valor (2021) USD</t>
  </si>
  <si>
    <t>Diametro del reactor</t>
  </si>
  <si>
    <t>Datos de Operación</t>
  </si>
  <si>
    <t>segun heuristica del douglas</t>
  </si>
  <si>
    <t>factor de llenado</t>
  </si>
  <si>
    <t>relacion L/D=4</t>
  </si>
  <si>
    <t>Compuestos de entrada</t>
  </si>
  <si>
    <t>Granulo de caucho reciclado (GCR)</t>
  </si>
  <si>
    <t>Valor (2023) USD</t>
  </si>
  <si>
    <t>pi/4*D^2*L</t>
  </si>
  <si>
    <t>torque</t>
  </si>
  <si>
    <t>kg.m</t>
  </si>
  <si>
    <t>Compuestos de salida</t>
  </si>
  <si>
    <t>Carbon pirolitico, Fuel oil y  Gases piroliticos</t>
  </si>
  <si>
    <t>Flujo masico de entrada [kg/h]</t>
  </si>
  <si>
    <t>Flujo masico de salida [kg/h]</t>
  </si>
  <si>
    <t>radio</t>
  </si>
  <si>
    <t>Temperatura de entrada [°C]</t>
  </si>
  <si>
    <t>Perimetro</t>
  </si>
  <si>
    <t>Temperatura de salida [°C]</t>
  </si>
  <si>
    <t>Presión [kPa]</t>
  </si>
  <si>
    <t>Area transderencia</t>
  </si>
  <si>
    <t>Tiempo de operación [h]</t>
  </si>
  <si>
    <t>Datos de diseño</t>
  </si>
  <si>
    <t>Heuristica para la distribucion radial del concreto refractario</t>
  </si>
  <si>
    <r>
      <t>Volumen [m</t>
    </r>
    <r>
      <rPr>
        <b/>
        <vertAlign val="superscript"/>
        <sz val="11"/>
        <color theme="1"/>
        <rFont val="Calibri"/>
        <family val="2"/>
        <scheme val="minor"/>
      </rPr>
      <t>3</t>
    </r>
    <r>
      <rPr>
        <b/>
        <sz val="11"/>
        <color theme="1"/>
        <rFont val="Calibri"/>
        <family val="2"/>
        <scheme val="minor"/>
      </rPr>
      <t>]</t>
    </r>
  </si>
  <si>
    <t>Diámetro [m]</t>
  </si>
  <si>
    <t>rint-concreto</t>
  </si>
  <si>
    <t>Radio [m]</t>
  </si>
  <si>
    <t>rext-concreto</t>
  </si>
  <si>
    <t>Perimetro [m]</t>
  </si>
  <si>
    <t>delta en el radio del concreto</t>
  </si>
  <si>
    <t>Longitud [m]</t>
  </si>
  <si>
    <r>
      <t>Area de Transferencia [m</t>
    </r>
    <r>
      <rPr>
        <b/>
        <vertAlign val="superscript"/>
        <sz val="11"/>
        <color theme="1"/>
        <rFont val="Calibri"/>
        <family val="2"/>
        <scheme val="minor"/>
      </rPr>
      <t>2</t>
    </r>
    <r>
      <rPr>
        <b/>
        <sz val="11"/>
        <color theme="1"/>
        <rFont val="Calibri"/>
        <family val="2"/>
        <scheme val="minor"/>
      </rPr>
      <t>]</t>
    </r>
  </si>
  <si>
    <t>Heuristica para la distribucion radial de la lana de roca</t>
  </si>
  <si>
    <t>Ancho de chaqueta de calentamiento [m]</t>
  </si>
  <si>
    <t>rext-lana de roca</t>
  </si>
  <si>
    <t>Ancho de concreto refractario [m]</t>
  </si>
  <si>
    <t>deltaX lana de roca</t>
  </si>
  <si>
    <t>Ancho de lana de roca [m]</t>
  </si>
  <si>
    <t>deltaX chaqueta de calentamiento</t>
  </si>
  <si>
    <t>Velocidad de Giro [RPM]</t>
  </si>
  <si>
    <t>Velocidad de Giro [m/s]</t>
  </si>
  <si>
    <t>Velocidad de giro</t>
  </si>
  <si>
    <t>Velocidad usual empleada en este tipo de maquinaria</t>
  </si>
  <si>
    <t>Servicios Industriales</t>
  </si>
  <si>
    <t>velocidad de rotación</t>
  </si>
  <si>
    <t>m/s</t>
  </si>
  <si>
    <r>
      <t>P</t>
    </r>
    <r>
      <rPr>
        <b/>
        <vertAlign val="subscript"/>
        <sz val="11"/>
        <color theme="1"/>
        <rFont val="Calibri"/>
        <family val="2"/>
        <scheme val="minor"/>
      </rPr>
      <t>motor reductor</t>
    </r>
    <r>
      <rPr>
        <b/>
        <sz val="11"/>
        <color theme="1"/>
        <rFont val="Calibri"/>
        <family val="2"/>
        <scheme val="minor"/>
      </rPr>
      <t xml:space="preserve"> [HP]</t>
    </r>
  </si>
  <si>
    <t>COP$/KW</t>
  </si>
  <si>
    <r>
      <t>P</t>
    </r>
    <r>
      <rPr>
        <b/>
        <vertAlign val="subscript"/>
        <sz val="11"/>
        <color theme="1"/>
        <rFont val="Calibri"/>
        <family val="2"/>
        <scheme val="minor"/>
      </rPr>
      <t xml:space="preserve">motor reductor </t>
    </r>
    <r>
      <rPr>
        <b/>
        <sz val="11"/>
        <color theme="1"/>
        <rFont val="Calibri"/>
        <family val="2"/>
        <scheme val="minor"/>
      </rPr>
      <t>[kW]</t>
    </r>
  </si>
  <si>
    <t>Potencia del motorreductor del Horno Rotatorio</t>
  </si>
  <si>
    <r>
      <t>Q</t>
    </r>
    <r>
      <rPr>
        <b/>
        <vertAlign val="subscript"/>
        <sz val="11"/>
        <color theme="1"/>
        <rFont val="Calibri"/>
        <family val="2"/>
        <scheme val="minor"/>
      </rPr>
      <t xml:space="preserve">requerido </t>
    </r>
    <r>
      <rPr>
        <b/>
        <sz val="11"/>
        <color theme="1"/>
        <rFont val="Calibri"/>
        <family val="2"/>
        <scheme val="minor"/>
      </rPr>
      <t>[kW/batch]</t>
    </r>
  </si>
  <si>
    <t>mW/batch (60%)</t>
  </si>
  <si>
    <t>Torque en el horno</t>
  </si>
  <si>
    <t>Imagen</t>
  </si>
  <si>
    <t>Kg/h</t>
  </si>
  <si>
    <t>COP$/ton</t>
  </si>
  <si>
    <t>Referencia: trompetero</t>
  </si>
  <si>
    <t>btu/lb</t>
  </si>
  <si>
    <t>kJ/lb</t>
  </si>
  <si>
    <t>kW/kg</t>
  </si>
  <si>
    <t>kg</t>
  </si>
  <si>
    <t xml:space="preserve">Tornillo transporte Carbon </t>
  </si>
  <si>
    <t>Tornillo para el transporte de GCR</t>
  </si>
  <si>
    <t>Tamaño de particula del GCR</t>
  </si>
  <si>
    <t>5-10 mm</t>
  </si>
  <si>
    <t>Material de tamaño mayor a 12.7 mm; de flujo libre y no abrasivo</t>
  </si>
  <si>
    <t>Clase de material</t>
  </si>
  <si>
    <t>D26</t>
  </si>
  <si>
    <t>Flujo</t>
  </si>
  <si>
    <t>w</t>
  </si>
  <si>
    <t>kw</t>
  </si>
  <si>
    <t>Densidad</t>
  </si>
  <si>
    <t>Fvol</t>
  </si>
  <si>
    <t>Tornillo transporte</t>
  </si>
  <si>
    <t>Segun la tabla adjunta:</t>
  </si>
  <si>
    <t>Diametro</t>
  </si>
  <si>
    <t>in</t>
  </si>
  <si>
    <t>Velocidad</t>
  </si>
  <si>
    <t>rpm</t>
  </si>
  <si>
    <t>Area de ocupación</t>
  </si>
  <si>
    <t>45~50%</t>
  </si>
  <si>
    <t>Longitud</t>
  </si>
  <si>
    <t>Tornillo para el transporte de Carbon pirolitico</t>
  </si>
  <si>
    <t>Flujo masico</t>
  </si>
  <si>
    <t>flujo vol</t>
  </si>
  <si>
    <t>Tornillo enfriamiento</t>
  </si>
  <si>
    <t>42~47</t>
  </si>
  <si>
    <t>Capacidad  de flujo a 1 rpm</t>
  </si>
  <si>
    <t>Agua para enfriar el carbon pirolitico</t>
  </si>
  <si>
    <t>mCP</t>
  </si>
  <si>
    <t>mH2O</t>
  </si>
  <si>
    <t>CpCP</t>
  </si>
  <si>
    <t>kJ/kg*°C</t>
  </si>
  <si>
    <t>CpH2O</t>
  </si>
  <si>
    <t>TeCP</t>
  </si>
  <si>
    <t>°C</t>
  </si>
  <si>
    <t>Te</t>
  </si>
  <si>
    <t xml:space="preserve">90°C para garantizar que no se evapora </t>
  </si>
  <si>
    <t>TsCP</t>
  </si>
  <si>
    <t>Ts</t>
  </si>
  <si>
    <t>Agua para la condensación</t>
  </si>
  <si>
    <t>QT</t>
  </si>
  <si>
    <t>kJ/h</t>
  </si>
  <si>
    <t>Agua total empleada</t>
  </si>
  <si>
    <t>COP $/m^3</t>
  </si>
  <si>
    <t>Valor total</t>
  </si>
  <si>
    <t>COP $/h</t>
  </si>
  <si>
    <t>kcal/kg°C</t>
  </si>
  <si>
    <t>kJ/kg°C</t>
  </si>
  <si>
    <t>FLujo calorico total transferido en el condensador</t>
  </si>
  <si>
    <t>Consideraciones</t>
  </si>
  <si>
    <t>El intercambiador de calor opera en estado estable</t>
  </si>
  <si>
    <t>En todo el intercambiador el coneficiente de transferencia global de calor (U) es constante</t>
  </si>
  <si>
    <t>Las perdidas de calor hacia el exterior se consideran despreciables</t>
  </si>
  <si>
    <t>Las temperaturas de entrada y salida de las corrientes del intercambiador son conocidas</t>
  </si>
  <si>
    <t>Las propiedades de los fluidos involucrados se determinan a temperatura promedio</t>
  </si>
  <si>
    <t>Parametro</t>
  </si>
  <si>
    <t>Valor</t>
  </si>
  <si>
    <t>Entalpia de vaporizacion</t>
  </si>
  <si>
    <t>Tentrada</t>
  </si>
  <si>
    <t>Cpgas</t>
  </si>
  <si>
    <t>kJ/kg °C</t>
  </si>
  <si>
    <t>Tsalida</t>
  </si>
  <si>
    <t>Qcgc</t>
  </si>
  <si>
    <t>mfuel oil</t>
  </si>
  <si>
    <t>DTML</t>
  </si>
  <si>
    <t>Qegc</t>
  </si>
  <si>
    <t>Cpgc</t>
  </si>
  <si>
    <t>Qegnc</t>
  </si>
  <si>
    <t>mgas</t>
  </si>
  <si>
    <t>Tipo de intercambiador</t>
  </si>
  <si>
    <t>1 pasos por la coraza y 2 pasos por los tubo</t>
  </si>
  <si>
    <t>Ft</t>
  </si>
  <si>
    <t>(referencia tabla juan pablo)</t>
  </si>
  <si>
    <t>Segun Heuristicas de intercambiadores vistas en clase</t>
  </si>
  <si>
    <t>U</t>
  </si>
  <si>
    <t>Btu/h.ft^2.°F</t>
  </si>
  <si>
    <t>PARA CONDENSADORES</t>
  </si>
  <si>
    <t>kJ/h.m^2.°K</t>
  </si>
  <si>
    <t>Arreglo triangular</t>
  </si>
  <si>
    <t>PT (pitch)</t>
  </si>
  <si>
    <t>Tubos estandar</t>
  </si>
  <si>
    <t>3/4 in</t>
  </si>
  <si>
    <t>Ds (diametro carcasa)</t>
  </si>
  <si>
    <t>Numero de tubos</t>
  </si>
  <si>
    <t>unidad</t>
  </si>
  <si>
    <t>Valor de grafica (1990)</t>
  </si>
  <si>
    <t>Factores de correccion</t>
  </si>
  <si>
    <t>CE 1990</t>
  </si>
  <si>
    <t>CE 2019</t>
  </si>
  <si>
    <t>Valor 2019</t>
  </si>
  <si>
    <t>CEPCI 2019</t>
  </si>
  <si>
    <t>CEPCI 2022</t>
  </si>
  <si>
    <t>Valor 2022</t>
  </si>
  <si>
    <t>Valor 2023</t>
  </si>
  <si>
    <t>LINK de CEPCI : https://www.nxtbook.com/accessintelligence/ChemicalEngineering/chemical-engineering-june-2023/index.php?startid=52#/p/52</t>
  </si>
  <si>
    <t>NUM</t>
  </si>
  <si>
    <t>DEN</t>
  </si>
  <si>
    <t>TH1</t>
  </si>
  <si>
    <t>Th2</t>
  </si>
  <si>
    <t>TC1</t>
  </si>
  <si>
    <t>TC2</t>
  </si>
  <si>
    <t>Flujo de aceite</t>
  </si>
  <si>
    <t xml:space="preserve">Flujo de GCR </t>
  </si>
  <si>
    <t>Flujo de gas</t>
  </si>
  <si>
    <r>
      <t>Q</t>
    </r>
    <r>
      <rPr>
        <b/>
        <vertAlign val="subscript"/>
        <sz val="11"/>
        <color theme="1"/>
        <rFont val="Times New Roman"/>
        <family val="1"/>
      </rPr>
      <t>pirólisis</t>
    </r>
    <r>
      <rPr>
        <b/>
        <sz val="11"/>
        <color theme="1"/>
        <rFont val="Times New Roman"/>
        <family val="1"/>
      </rPr>
      <t xml:space="preserve"> [kJ/h]</t>
    </r>
  </si>
  <si>
    <r>
      <t>Flujo de N</t>
    </r>
    <r>
      <rPr>
        <b/>
        <vertAlign val="subscript"/>
        <sz val="11"/>
        <color theme="1"/>
        <rFont val="Times New Roman"/>
        <family val="1"/>
      </rPr>
      <t>2</t>
    </r>
  </si>
  <si>
    <t>Flujo de Char</t>
  </si>
  <si>
    <t>Flujo de gas natural [kg/h]</t>
  </si>
  <si>
    <t>Oxigeno teórico [kg/h]</t>
  </si>
  <si>
    <t>Aire teórico [kg/h]</t>
  </si>
  <si>
    <t>Aire en exceso 20% [kg/h]</t>
  </si>
  <si>
    <t>Purga [kg/h]</t>
  </si>
  <si>
    <t>Reciclo [kg/h]</t>
  </si>
  <si>
    <r>
      <t>wt.% N</t>
    </r>
    <r>
      <rPr>
        <b/>
        <vertAlign val="subscript"/>
        <sz val="11"/>
        <color theme="1"/>
        <rFont val="Times New Roman"/>
        <family val="1"/>
      </rPr>
      <t>2</t>
    </r>
    <r>
      <rPr>
        <b/>
        <sz val="11"/>
        <color theme="1"/>
        <rFont val="Times New Roman"/>
        <family val="1"/>
      </rPr>
      <t xml:space="preserve"> en el Gas [kg/h]</t>
    </r>
  </si>
  <si>
    <r>
      <t>Flujo de N</t>
    </r>
    <r>
      <rPr>
        <b/>
        <vertAlign val="subscript"/>
        <sz val="11"/>
        <color theme="1"/>
        <rFont val="Times New Roman"/>
        <family val="1"/>
      </rPr>
      <t>2</t>
    </r>
    <r>
      <rPr>
        <b/>
        <sz val="11"/>
        <color theme="1"/>
        <rFont val="Times New Roman"/>
        <family val="1"/>
      </rPr>
      <t xml:space="preserve"> en la Purga [kg/h]</t>
    </r>
  </si>
  <si>
    <r>
      <t>Flujo de N</t>
    </r>
    <r>
      <rPr>
        <b/>
        <vertAlign val="subscript"/>
        <sz val="11"/>
        <color theme="1"/>
        <rFont val="Times New Roman"/>
        <family val="1"/>
      </rPr>
      <t>2</t>
    </r>
    <r>
      <rPr>
        <b/>
        <sz val="11"/>
        <color theme="1"/>
        <rFont val="Times New Roman"/>
        <family val="1"/>
      </rPr>
      <t xml:space="preserve"> en la Purga [m^3/h]</t>
    </r>
  </si>
  <si>
    <r>
      <t>Productividad [m</t>
    </r>
    <r>
      <rPr>
        <b/>
        <vertAlign val="superscript"/>
        <sz val="11"/>
        <color theme="1"/>
        <rFont val="Times New Roman"/>
        <family val="1"/>
      </rPr>
      <t>3</t>
    </r>
    <r>
      <rPr>
        <b/>
        <sz val="11"/>
        <color theme="1"/>
        <rFont val="Times New Roman"/>
        <family val="1"/>
      </rPr>
      <t>/h N</t>
    </r>
    <r>
      <rPr>
        <b/>
        <vertAlign val="subscript"/>
        <sz val="11"/>
        <color theme="1"/>
        <rFont val="Times New Roman"/>
        <family val="1"/>
      </rPr>
      <t>2</t>
    </r>
    <r>
      <rPr>
        <b/>
        <sz val="11"/>
        <color theme="1"/>
        <rFont val="Times New Roman"/>
        <family val="1"/>
      </rPr>
      <t xml:space="preserve"> / m</t>
    </r>
    <r>
      <rPr>
        <b/>
        <vertAlign val="superscript"/>
        <sz val="11"/>
        <color theme="1"/>
        <rFont val="Times New Roman"/>
        <family val="1"/>
      </rPr>
      <t>3</t>
    </r>
    <r>
      <rPr>
        <b/>
        <sz val="11"/>
        <color theme="1"/>
        <rFont val="Times New Roman"/>
        <family val="1"/>
      </rPr>
      <t xml:space="preserve"> CMS]</t>
    </r>
  </si>
  <si>
    <r>
      <t>Densidad N</t>
    </r>
    <r>
      <rPr>
        <b/>
        <vertAlign val="subscript"/>
        <sz val="11"/>
        <color theme="1"/>
        <rFont val="Times New Roman"/>
        <family val="1"/>
      </rPr>
      <t>2</t>
    </r>
    <r>
      <rPr>
        <b/>
        <sz val="11"/>
        <color theme="1"/>
        <rFont val="Times New Roman"/>
        <family val="1"/>
      </rPr>
      <t xml:space="preserve"> [kg/L]</t>
    </r>
  </si>
  <si>
    <r>
      <t>Volumen de empaque [m</t>
    </r>
    <r>
      <rPr>
        <b/>
        <vertAlign val="superscript"/>
        <sz val="11"/>
        <color theme="1"/>
        <rFont val="Times New Roman"/>
        <family val="1"/>
      </rPr>
      <t>3</t>
    </r>
    <r>
      <rPr>
        <b/>
        <sz val="11"/>
        <color theme="1"/>
        <rFont val="Times New Roman"/>
        <family val="1"/>
      </rPr>
      <t>]</t>
    </r>
  </si>
  <si>
    <t>Densidad del empaque [kg/m3]</t>
  </si>
  <si>
    <t>Masa de empaque [kg]</t>
  </si>
  <si>
    <r>
      <t>Air demand [m</t>
    </r>
    <r>
      <rPr>
        <b/>
        <vertAlign val="superscript"/>
        <sz val="11"/>
        <color theme="1"/>
        <rFont val="Times New Roman"/>
        <family val="1"/>
      </rPr>
      <t>3</t>
    </r>
    <r>
      <rPr>
        <b/>
        <sz val="11"/>
        <color theme="1"/>
        <rFont val="Times New Roman"/>
        <family val="1"/>
      </rPr>
      <t>/h air /m</t>
    </r>
    <r>
      <rPr>
        <b/>
        <vertAlign val="superscript"/>
        <sz val="11"/>
        <color theme="1"/>
        <rFont val="Times New Roman"/>
        <family val="1"/>
      </rPr>
      <t>3</t>
    </r>
    <r>
      <rPr>
        <b/>
        <sz val="11"/>
        <color theme="1"/>
        <rFont val="Times New Roman"/>
        <family val="1"/>
      </rPr>
      <t>/h N</t>
    </r>
    <r>
      <rPr>
        <b/>
        <vertAlign val="subscript"/>
        <sz val="11"/>
        <color theme="1"/>
        <rFont val="Times New Roman"/>
        <family val="1"/>
      </rPr>
      <t>2</t>
    </r>
    <r>
      <rPr>
        <b/>
        <sz val="11"/>
        <color theme="1"/>
        <rFont val="Times New Roman"/>
        <family val="1"/>
      </rPr>
      <t>]</t>
    </r>
  </si>
  <si>
    <t>Flujo de aire PSA [m3/h]</t>
  </si>
  <si>
    <t>Flujo de N2 entrada al PSA [m3/h]</t>
  </si>
  <si>
    <t>Flujo de venteo N2 [m3/h]</t>
  </si>
  <si>
    <t>Flujo de venteo O2 [m3/h]</t>
  </si>
  <si>
    <t>Flujo de venteo [m3/h]</t>
  </si>
  <si>
    <t>Diseño de los tanques con un exceso de volumen del 20 %</t>
  </si>
  <si>
    <t>Galon</t>
  </si>
  <si>
    <r>
      <t>V</t>
    </r>
    <r>
      <rPr>
        <vertAlign val="subscript"/>
        <sz val="11"/>
        <color theme="1"/>
        <rFont val="Calibri"/>
        <family val="2"/>
        <scheme val="minor"/>
      </rPr>
      <t>TanqueAgua</t>
    </r>
  </si>
  <si>
    <r>
      <t>m</t>
    </r>
    <r>
      <rPr>
        <vertAlign val="superscript"/>
        <sz val="11"/>
        <color theme="1"/>
        <rFont val="Calibri"/>
        <family val="2"/>
        <scheme val="minor"/>
      </rPr>
      <t>3</t>
    </r>
  </si>
  <si>
    <t>VTanque1PSA</t>
  </si>
  <si>
    <t>X2</t>
  </si>
  <si>
    <t>Diseño del tanque</t>
  </si>
  <si>
    <t>Forma</t>
  </si>
  <si>
    <t>Cilindrico</t>
  </si>
  <si>
    <t>Heuristica de L= 4D</t>
  </si>
  <si>
    <t>D=(v/pi)^(1/3)</t>
  </si>
  <si>
    <t>grosor</t>
  </si>
  <si>
    <r>
      <t>V</t>
    </r>
    <r>
      <rPr>
        <vertAlign val="subscript"/>
        <sz val="11"/>
        <color theme="1"/>
        <rFont val="Calibri"/>
        <family val="2"/>
        <scheme val="minor"/>
      </rPr>
      <t>Aceite</t>
    </r>
  </si>
  <si>
    <r>
      <t>m</t>
    </r>
    <r>
      <rPr>
        <vertAlign val="superscript"/>
        <sz val="11"/>
        <color theme="1"/>
        <rFont val="Calibri"/>
        <family val="2"/>
        <scheme val="minor"/>
      </rPr>
      <t>3</t>
    </r>
    <r>
      <rPr>
        <sz val="11"/>
        <color theme="1"/>
        <rFont val="Calibri"/>
        <family val="2"/>
        <scheme val="minor"/>
      </rPr>
      <t>/h</t>
    </r>
  </si>
  <si>
    <t>m^3/d</t>
  </si>
  <si>
    <r>
      <t>D</t>
    </r>
    <r>
      <rPr>
        <vertAlign val="subscript"/>
        <sz val="11"/>
        <color theme="1"/>
        <rFont val="Calibri"/>
        <family val="2"/>
        <scheme val="minor"/>
      </rPr>
      <t>Aceite</t>
    </r>
  </si>
  <si>
    <r>
      <t>kg/m</t>
    </r>
    <r>
      <rPr>
        <vertAlign val="superscript"/>
        <sz val="11"/>
        <color theme="1"/>
        <rFont val="Calibri"/>
        <family val="2"/>
        <scheme val="minor"/>
      </rPr>
      <t>3</t>
    </r>
  </si>
  <si>
    <r>
      <t>V</t>
    </r>
    <r>
      <rPr>
        <vertAlign val="subscript"/>
        <sz val="11"/>
        <color theme="1"/>
        <rFont val="Calibri"/>
        <family val="2"/>
        <scheme val="minor"/>
      </rPr>
      <t>TanqueCondensado</t>
    </r>
  </si>
  <si>
    <t>metro cubico</t>
  </si>
  <si>
    <t>=</t>
  </si>
  <si>
    <t>GPH</t>
  </si>
  <si>
    <t>GPM</t>
  </si>
  <si>
    <t>Delta P</t>
  </si>
  <si>
    <t>valvulas</t>
  </si>
  <si>
    <t>Altura</t>
  </si>
  <si>
    <t>psi</t>
  </si>
  <si>
    <t>Psi/ft</t>
  </si>
  <si>
    <t>dstancia</t>
  </si>
  <si>
    <t>ps/ft</t>
  </si>
  <si>
    <t>elevacon</t>
  </si>
  <si>
    <r>
      <t>W</t>
    </r>
    <r>
      <rPr>
        <vertAlign val="subscript"/>
        <sz val="11"/>
        <color theme="1"/>
        <rFont val="Calibri"/>
        <family val="2"/>
        <scheme val="minor"/>
      </rPr>
      <t>THp</t>
    </r>
  </si>
  <si>
    <t>Hp</t>
  </si>
  <si>
    <t>Bomba de tipo centrifuga</t>
  </si>
  <si>
    <t>s</t>
  </si>
  <si>
    <t>CB</t>
  </si>
  <si>
    <t>kwh</t>
  </si>
  <si>
    <r>
      <t>FuelOil</t>
    </r>
    <r>
      <rPr>
        <vertAlign val="subscript"/>
        <sz val="11"/>
        <color theme="1"/>
        <rFont val="Calibri"/>
        <family val="2"/>
        <scheme val="minor"/>
      </rPr>
      <t>Empleado</t>
    </r>
  </si>
  <si>
    <t>F</t>
  </si>
  <si>
    <t>m3/h</t>
  </si>
  <si>
    <t>m3/s</t>
  </si>
  <si>
    <t>ft3/mn</t>
  </si>
  <si>
    <t>SCFM</t>
  </si>
  <si>
    <t>Primer compresos PSA</t>
  </si>
  <si>
    <t>hp</t>
  </si>
  <si>
    <t>C1</t>
  </si>
  <si>
    <t>para recircular</t>
  </si>
  <si>
    <t>1 bar-3.5 bar</t>
  </si>
  <si>
    <t>C2</t>
  </si>
  <si>
    <t>in2</t>
  </si>
  <si>
    <t>ft/s</t>
  </si>
  <si>
    <t>°F</t>
  </si>
  <si>
    <t>USD$ 2006</t>
  </si>
  <si>
    <t>USD$ 2023</t>
  </si>
  <si>
    <t>C1 centrifugo</t>
  </si>
  <si>
    <t>C2 centrifugo</t>
  </si>
  <si>
    <t>C1.3 centrifugo</t>
  </si>
  <si>
    <t xml:space="preserve">ese </t>
  </si>
  <si>
    <t>Gastos de administración</t>
  </si>
  <si>
    <t>Imprevistos</t>
  </si>
  <si>
    <t xml:space="preserve">VALOR DE EQUIPOS </t>
  </si>
  <si>
    <t>EBITDA</t>
  </si>
  <si>
    <t>Mantenimiento</t>
  </si>
  <si>
    <t>LCOE nuevo caso 1</t>
  </si>
  <si>
    <t>CAPEX vida total</t>
  </si>
  <si>
    <t>OPEX sumatoria</t>
  </si>
  <si>
    <t>OPEX valor presente</t>
  </si>
  <si>
    <t>PRODUCCIÓN TOTAL DE ENERGÍA</t>
  </si>
  <si>
    <t>kWh/vida útil</t>
  </si>
  <si>
    <t>Ganancias por producción suma</t>
  </si>
  <si>
    <t>Ganancias por producción valor presente</t>
  </si>
  <si>
    <t>CAPEX DE EQUIPOS</t>
  </si>
  <si>
    <t xml:space="preserve">CAPEX EQUIPOS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</si>
</sst>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 #,##0;[Red]\-&quot;$&quot;\ #,##0"/>
    <numFmt numFmtId="44" formatCode="_-&quot;$&quot;\ * #,##0.00_-;\-&quot;$&quot;\ * #,##0.00_-;_-&quot;$&quot;\ * &quot;-&quot;??_-;_-@_-"/>
    <numFmt numFmtId="164" formatCode="&quot;$&quot;#,##0.00_);[Red]\(&quot;$&quot;#,##0.00\)"/>
    <numFmt numFmtId="165" formatCode="_-&quot;$&quot;* #,##0_-;\-&quot;$&quot;* #,##0_-;_-&quot;$&quot;* &quot;-&quot;_-;_-@_-"/>
    <numFmt numFmtId="166" formatCode="_-&quot;$&quot;* #,##0.00_-;\-&quot;$&quot;* #,##0.00_-;_-&quot;$&quot;* &quot;-&quot;??_-;_-@_-"/>
    <numFmt numFmtId="167" formatCode="&quot;$&quot;\ #,##0.00"/>
    <numFmt numFmtId="168" formatCode="&quot;$&quot;#,##0.00"/>
    <numFmt numFmtId="169" formatCode="0.0000"/>
    <numFmt numFmtId="170" formatCode="0.0"/>
    <numFmt numFmtId="171" formatCode="0.000"/>
    <numFmt numFmtId="172" formatCode="0.0000000"/>
    <numFmt numFmtId="173" formatCode="_([$$-409]* #,##0.00_);_([$$-409]* \(#,##0.00\);_([$$-409]* &quot;-&quot;??_);_(@_)"/>
    <numFmt numFmtId="174" formatCode="0.00000000"/>
    <numFmt numFmtId="175" formatCode="&quot;$&quot;#,##0"/>
    <numFmt numFmtId="176" formatCode="0.00000"/>
  </numFmts>
  <fonts count="23" x14ac:knownFonts="1">
    <font>
      <sz val="11"/>
      <color theme="1"/>
      <name val="Calibri"/>
      <family val="2"/>
      <scheme val="minor"/>
    </font>
    <font>
      <sz val="11"/>
      <color theme="1"/>
      <name val="Calibri"/>
      <family val="2"/>
      <scheme val="minor"/>
    </font>
    <font>
      <b/>
      <sz val="11"/>
      <color theme="1"/>
      <name val="Calibri"/>
      <family val="2"/>
      <scheme val="minor"/>
    </font>
    <font>
      <vertAlign val="subscript"/>
      <sz val="11"/>
      <color rgb="FF000000"/>
      <name val="Calibri"/>
      <family val="2"/>
    </font>
    <font>
      <sz val="11"/>
      <color rgb="FF000000"/>
      <name val="Calibri"/>
      <family val="2"/>
    </font>
    <font>
      <i/>
      <sz val="10"/>
      <color rgb="FF0D0D0D"/>
      <name val="Times New Roman"/>
      <family val="1"/>
    </font>
    <font>
      <b/>
      <vertAlign val="superscript"/>
      <sz val="11"/>
      <color theme="1"/>
      <name val="Calibri"/>
      <family val="2"/>
      <scheme val="minor"/>
    </font>
    <font>
      <b/>
      <vertAlign val="subscript"/>
      <sz val="11"/>
      <color theme="1"/>
      <name val="Calibri"/>
      <family val="2"/>
      <scheme val="minor"/>
    </font>
    <font>
      <sz val="11"/>
      <color theme="0"/>
      <name val="Calibri"/>
      <family val="2"/>
      <scheme val="minor"/>
    </font>
    <font>
      <sz val="11"/>
      <color theme="1"/>
      <name val="Calibri"/>
      <family val="2"/>
    </font>
    <font>
      <u/>
      <sz val="11"/>
      <color theme="10"/>
      <name val="Calibri"/>
      <family val="2"/>
      <scheme val="minor"/>
    </font>
    <font>
      <b/>
      <sz val="11"/>
      <color theme="1"/>
      <name val="Times New Roman"/>
      <family val="1"/>
    </font>
    <font>
      <b/>
      <vertAlign val="subscript"/>
      <sz val="11"/>
      <color theme="1"/>
      <name val="Times New Roman"/>
      <family val="1"/>
    </font>
    <font>
      <b/>
      <vertAlign val="superscript"/>
      <sz val="11"/>
      <color theme="1"/>
      <name val="Times New Roman"/>
      <family val="1"/>
    </font>
    <font>
      <sz val="11"/>
      <color theme="1"/>
      <name val="Times New Roman"/>
      <family val="1"/>
    </font>
    <font>
      <vertAlign val="subscript"/>
      <sz val="11"/>
      <color theme="1"/>
      <name val="Calibri"/>
      <family val="2"/>
      <scheme val="minor"/>
    </font>
    <font>
      <vertAlign val="superscript"/>
      <sz val="11"/>
      <color theme="1"/>
      <name val="Calibri"/>
      <family val="2"/>
      <scheme val="minor"/>
    </font>
    <font>
      <sz val="9.25"/>
      <color theme="1"/>
      <name val="Calibri"/>
      <family val="2"/>
    </font>
    <font>
      <sz val="11"/>
      <color rgb="FFC4C7C5"/>
      <name val="Courier New"/>
      <family val="3"/>
    </font>
    <font>
      <sz val="11"/>
      <color theme="0"/>
      <name val="Times New Roman"/>
      <family val="1"/>
    </font>
    <font>
      <sz val="8"/>
      <name val="Calibri"/>
      <family val="2"/>
      <scheme val="minor"/>
    </font>
    <font>
      <sz val="18"/>
      <color rgb="FF000000"/>
      <name val="Times New Roman"/>
      <family val="1"/>
    </font>
    <font>
      <sz val="9"/>
      <color theme="1"/>
      <name val="Calibri"/>
      <family val="2"/>
      <scheme val="minor"/>
    </font>
  </fonts>
  <fills count="24">
    <fill>
      <patternFill patternType="none"/>
    </fill>
    <fill>
      <patternFill patternType="gray125"/>
    </fill>
    <fill>
      <patternFill patternType="solid">
        <fgColor theme="9"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4" tint="-0.24997711111789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C00000"/>
        <bgColor indexed="64"/>
      </patternFill>
    </fill>
    <fill>
      <patternFill patternType="solid">
        <fgColor theme="2"/>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rgb="FF000000"/>
      </bottom>
      <diagonal/>
    </border>
    <border>
      <left/>
      <right/>
      <top style="medium">
        <color rgb="FF000000"/>
      </top>
      <bottom/>
      <diagonal/>
    </border>
    <border>
      <left/>
      <right/>
      <top/>
      <bottom style="medium">
        <color indexed="64"/>
      </bottom>
      <diagonal/>
    </border>
    <border>
      <left/>
      <right/>
      <top style="thin">
        <color rgb="FF000000"/>
      </top>
      <bottom style="thin">
        <color rgb="FF000000"/>
      </bottom>
      <diagonal/>
    </border>
    <border>
      <left/>
      <right/>
      <top/>
      <bottom style="thin">
        <color rgb="FF000000"/>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165"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283">
    <xf numFmtId="0" fontId="0" fillId="0" borderId="0" xfId="0"/>
    <xf numFmtId="2" fontId="0" fillId="0" borderId="0" xfId="0" applyNumberFormat="1"/>
    <xf numFmtId="0" fontId="0" fillId="3" borderId="1" xfId="0" applyFill="1" applyBorder="1"/>
    <xf numFmtId="0" fontId="0" fillId="0" borderId="1" xfId="0" applyBorder="1"/>
    <xf numFmtId="2" fontId="0" fillId="2" borderId="1" xfId="0" applyNumberFormat="1" applyFill="1" applyBorder="1"/>
    <xf numFmtId="167" fontId="0" fillId="0" borderId="0" xfId="0" applyNumberFormat="1"/>
    <xf numFmtId="2" fontId="0" fillId="0" borderId="1" xfId="0" applyNumberFormat="1" applyBorder="1"/>
    <xf numFmtId="167" fontId="0" fillId="0" borderId="1" xfId="0" applyNumberFormat="1" applyBorder="1"/>
    <xf numFmtId="167" fontId="0" fillId="4" borderId="1" xfId="0" applyNumberFormat="1" applyFill="1" applyBorder="1"/>
    <xf numFmtId="0" fontId="0" fillId="0" borderId="0" xfId="0" applyAlignment="1">
      <alignment horizontal="center"/>
    </xf>
    <xf numFmtId="0" fontId="0" fillId="0" borderId="0" xfId="0" applyAlignment="1">
      <alignment horizontal="left"/>
    </xf>
    <xf numFmtId="165" fontId="0" fillId="0" borderId="0" xfId="1" applyFont="1"/>
    <xf numFmtId="165" fontId="0" fillId="0" borderId="0" xfId="0" applyNumberFormat="1"/>
    <xf numFmtId="0" fontId="0" fillId="0" borderId="8"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xf>
    <xf numFmtId="0" fontId="0" fillId="0" borderId="10" xfId="0" applyBorder="1" applyAlignment="1">
      <alignment horizontal="center"/>
    </xf>
    <xf numFmtId="0" fontId="0" fillId="5" borderId="7" xfId="0" applyFill="1" applyBorder="1" applyAlignment="1">
      <alignment horizontal="center" vertical="center"/>
    </xf>
    <xf numFmtId="0" fontId="0" fillId="6" borderId="7" xfId="0" applyFill="1" applyBorder="1" applyAlignment="1">
      <alignment horizontal="center" vertical="center"/>
    </xf>
    <xf numFmtId="0" fontId="0" fillId="6" borderId="9" xfId="0" applyFill="1" applyBorder="1" applyAlignment="1">
      <alignment horizontal="center" vertical="center"/>
    </xf>
    <xf numFmtId="0" fontId="0" fillId="5" borderId="7" xfId="0" applyFill="1" applyBorder="1" applyAlignment="1">
      <alignment horizontal="center"/>
    </xf>
    <xf numFmtId="0" fontId="0" fillId="6" borderId="7" xfId="0" applyFill="1" applyBorder="1" applyAlignment="1">
      <alignment horizontal="center"/>
    </xf>
    <xf numFmtId="0" fontId="0" fillId="5" borderId="9" xfId="0" applyFill="1" applyBorder="1" applyAlignment="1">
      <alignment horizontal="center"/>
    </xf>
    <xf numFmtId="0" fontId="0" fillId="2" borderId="8" xfId="0" applyFill="1" applyBorder="1" applyAlignment="1">
      <alignment horizontal="center" vertical="center"/>
    </xf>
    <xf numFmtId="0" fontId="0" fillId="5" borderId="9" xfId="0" applyFill="1" applyBorder="1" applyAlignment="1">
      <alignment horizontal="center" vertical="center"/>
    </xf>
    <xf numFmtId="0" fontId="0" fillId="0" borderId="0" xfId="0" applyAlignment="1">
      <alignment horizontal="center" vertical="center"/>
    </xf>
    <xf numFmtId="0" fontId="0" fillId="0" borderId="13" xfId="0" applyBorder="1"/>
    <xf numFmtId="0" fontId="2" fillId="0" borderId="13" xfId="0" applyFont="1" applyBorder="1" applyAlignment="1">
      <alignment horizontal="center"/>
    </xf>
    <xf numFmtId="0" fontId="2" fillId="0" borderId="13" xfId="0" applyFont="1" applyBorder="1"/>
    <xf numFmtId="0" fontId="0" fillId="0" borderId="13" xfId="0" applyBorder="1" applyAlignment="1">
      <alignment horizontal="center"/>
    </xf>
    <xf numFmtId="168" fontId="0" fillId="0" borderId="0" xfId="0" applyNumberFormat="1" applyAlignment="1">
      <alignment horizontal="center"/>
    </xf>
    <xf numFmtId="168" fontId="0" fillId="0" borderId="13" xfId="0" applyNumberFormat="1" applyBorder="1" applyAlignment="1">
      <alignment horizontal="center"/>
    </xf>
    <xf numFmtId="0" fontId="2" fillId="0" borderId="0" xfId="0" applyFont="1" applyAlignment="1">
      <alignment horizontal="center" vertical="center"/>
    </xf>
    <xf numFmtId="0" fontId="2" fillId="0" borderId="13" xfId="0" applyFont="1" applyBorder="1" applyAlignment="1">
      <alignment horizontal="center" vertical="center"/>
    </xf>
    <xf numFmtId="0" fontId="0" fillId="0" borderId="13" xfId="0" applyBorder="1" applyAlignment="1">
      <alignment horizontal="center" vertical="center"/>
    </xf>
    <xf numFmtId="0" fontId="2" fillId="0" borderId="0" xfId="0" applyFont="1" applyAlignment="1">
      <alignment horizontal="center"/>
    </xf>
    <xf numFmtId="0" fontId="2" fillId="0" borderId="0" xfId="0" applyFont="1"/>
    <xf numFmtId="169" fontId="0" fillId="0" borderId="0" xfId="0" applyNumberFormat="1" applyAlignment="1">
      <alignment horizontal="center" vertical="center"/>
    </xf>
    <xf numFmtId="168" fontId="0" fillId="0" borderId="0" xfId="0" applyNumberFormat="1"/>
    <xf numFmtId="0" fontId="4" fillId="0" borderId="0" xfId="0" applyFont="1"/>
    <xf numFmtId="0" fontId="4" fillId="0" borderId="15" xfId="0" applyFont="1" applyBorder="1"/>
    <xf numFmtId="168" fontId="0" fillId="0" borderId="0" xfId="0" applyNumberFormat="1" applyAlignment="1">
      <alignment horizontal="right"/>
    </xf>
    <xf numFmtId="168" fontId="4" fillId="0" borderId="0" xfId="0" applyNumberFormat="1" applyFont="1" applyAlignment="1">
      <alignment horizontal="right"/>
    </xf>
    <xf numFmtId="168" fontId="4" fillId="0" borderId="15" xfId="0" applyNumberFormat="1" applyFont="1" applyBorder="1" applyAlignment="1">
      <alignment horizontal="right"/>
    </xf>
    <xf numFmtId="0" fontId="0" fillId="0" borderId="0" xfId="0" applyAlignment="1">
      <alignment horizontal="center" wrapText="1"/>
    </xf>
    <xf numFmtId="0" fontId="0" fillId="0" borderId="0" xfId="0" applyAlignment="1">
      <alignment horizontal="center" vertical="center" wrapText="1"/>
    </xf>
    <xf numFmtId="16" fontId="0" fillId="0" borderId="0" xfId="0" applyNumberFormat="1" applyAlignment="1">
      <alignment horizontal="center" vertical="center"/>
    </xf>
    <xf numFmtId="12" fontId="0" fillId="0" borderId="0" xfId="0" applyNumberFormat="1" applyAlignment="1">
      <alignment horizontal="center" vertical="center"/>
    </xf>
    <xf numFmtId="0" fontId="0" fillId="0" borderId="0" xfId="0" applyAlignment="1">
      <alignment vertical="center"/>
    </xf>
    <xf numFmtId="0" fontId="2" fillId="0" borderId="0" xfId="0" applyFont="1" applyAlignment="1">
      <alignment vertical="center"/>
    </xf>
    <xf numFmtId="170" fontId="0" fillId="0" borderId="0" xfId="0" applyNumberFormat="1" applyAlignment="1">
      <alignment horizontal="center" vertical="center"/>
    </xf>
    <xf numFmtId="2" fontId="0" fillId="0" borderId="0" xfId="0" applyNumberFormat="1" applyAlignment="1">
      <alignment horizontal="center" vertical="center"/>
    </xf>
    <xf numFmtId="171" fontId="0" fillId="0" borderId="0" xfId="0" applyNumberFormat="1" applyAlignment="1">
      <alignment horizontal="center" vertical="center"/>
    </xf>
    <xf numFmtId="171" fontId="0" fillId="0" borderId="0" xfId="0" applyNumberFormat="1" applyAlignment="1">
      <alignment horizontal="center"/>
    </xf>
    <xf numFmtId="171" fontId="0" fillId="0" borderId="13" xfId="0" applyNumberFormat="1" applyBorder="1" applyAlignment="1">
      <alignment horizontal="center" vertical="center"/>
    </xf>
    <xf numFmtId="171" fontId="0" fillId="0" borderId="13" xfId="0" applyNumberFormat="1" applyBorder="1" applyAlignment="1">
      <alignment horizontal="center"/>
    </xf>
    <xf numFmtId="1" fontId="0" fillId="0" borderId="0" xfId="0" applyNumberFormat="1" applyAlignment="1">
      <alignment horizontal="center" vertical="center"/>
    </xf>
    <xf numFmtId="12" fontId="0" fillId="0" borderId="13" xfId="0" applyNumberFormat="1" applyBorder="1" applyAlignment="1">
      <alignment horizontal="center" vertical="center"/>
    </xf>
    <xf numFmtId="172" fontId="0" fillId="0" borderId="0" xfId="0" applyNumberFormat="1" applyAlignment="1">
      <alignment horizontal="center" vertical="center"/>
    </xf>
    <xf numFmtId="0" fontId="0" fillId="7" borderId="0" xfId="0" applyFill="1"/>
    <xf numFmtId="0" fontId="0" fillId="8" borderId="0" xfId="0" applyFill="1"/>
    <xf numFmtId="0" fontId="5" fillId="0" borderId="0" xfId="0" applyFont="1"/>
    <xf numFmtId="0" fontId="5" fillId="0" borderId="0" xfId="0" applyFont="1" applyAlignment="1">
      <alignment horizontal="left" vertical="center"/>
    </xf>
    <xf numFmtId="0" fontId="0" fillId="9" borderId="0" xfId="0" applyFill="1"/>
    <xf numFmtId="0" fontId="0" fillId="5" borderId="0" xfId="0" applyFill="1"/>
    <xf numFmtId="0" fontId="0" fillId="2" borderId="0" xfId="0" applyFill="1"/>
    <xf numFmtId="0" fontId="0" fillId="2" borderId="1" xfId="0" applyFill="1" applyBorder="1"/>
    <xf numFmtId="1" fontId="0" fillId="0" borderId="0" xfId="0" applyNumberFormat="1"/>
    <xf numFmtId="173" fontId="0" fillId="0" borderId="0" xfId="0" applyNumberFormat="1"/>
    <xf numFmtId="3" fontId="4" fillId="0" borderId="0" xfId="0" applyNumberFormat="1" applyFont="1"/>
    <xf numFmtId="0" fontId="0" fillId="0" borderId="0" xfId="0" applyAlignment="1">
      <alignment wrapText="1"/>
    </xf>
    <xf numFmtId="10" fontId="0" fillId="0" borderId="0" xfId="0" applyNumberFormat="1"/>
    <xf numFmtId="0" fontId="0" fillId="10" borderId="0" xfId="0" applyFill="1"/>
    <xf numFmtId="170" fontId="0" fillId="0" borderId="0" xfId="0" applyNumberFormat="1"/>
    <xf numFmtId="170" fontId="0" fillId="10" borderId="0" xfId="0" applyNumberFormat="1" applyFill="1"/>
    <xf numFmtId="170" fontId="0" fillId="2" borderId="0" xfId="0" applyNumberFormat="1" applyFill="1"/>
    <xf numFmtId="0" fontId="0" fillId="0" borderId="1" xfId="0" applyBorder="1" applyAlignment="1">
      <alignment horizontal="left"/>
    </xf>
    <xf numFmtId="0" fontId="0" fillId="7" borderId="1" xfId="0" applyFill="1" applyBorder="1" applyAlignment="1">
      <alignment horizontal="left"/>
    </xf>
    <xf numFmtId="3" fontId="0" fillId="0" borderId="1" xfId="0" applyNumberFormat="1" applyBorder="1" applyAlignment="1">
      <alignment horizontal="left"/>
    </xf>
    <xf numFmtId="15" fontId="0" fillId="0" borderId="1" xfId="0" applyNumberFormat="1" applyBorder="1" applyAlignment="1">
      <alignment horizontal="left"/>
    </xf>
    <xf numFmtId="3" fontId="0" fillId="7" borderId="1" xfId="0" applyNumberFormat="1" applyFill="1" applyBorder="1" applyAlignment="1">
      <alignment horizontal="left"/>
    </xf>
    <xf numFmtId="0" fontId="0" fillId="2" borderId="1" xfId="0" applyFill="1" applyBorder="1" applyAlignment="1">
      <alignment horizontal="center"/>
    </xf>
    <xf numFmtId="11" fontId="0" fillId="0" borderId="1" xfId="0" applyNumberFormat="1" applyBorder="1" applyAlignment="1">
      <alignment horizontal="left"/>
    </xf>
    <xf numFmtId="169" fontId="0" fillId="0" borderId="1" xfId="0" applyNumberFormat="1" applyBorder="1" applyAlignment="1">
      <alignment horizontal="left"/>
    </xf>
    <xf numFmtId="0" fontId="0" fillId="0" borderId="18" xfId="0" applyBorder="1" applyAlignment="1">
      <alignment horizontal="left"/>
    </xf>
    <xf numFmtId="0" fontId="0" fillId="0" borderId="19" xfId="0" applyBorder="1" applyAlignment="1">
      <alignment horizontal="left"/>
    </xf>
    <xf numFmtId="3" fontId="0" fillId="11" borderId="1" xfId="0" applyNumberFormat="1" applyFill="1" applyBorder="1" applyAlignment="1">
      <alignment horizontal="left"/>
    </xf>
    <xf numFmtId="0" fontId="0" fillId="11" borderId="1" xfId="0" applyFill="1" applyBorder="1" applyAlignment="1">
      <alignment horizontal="left"/>
    </xf>
    <xf numFmtId="11" fontId="0" fillId="11" borderId="1" xfId="0" applyNumberFormat="1" applyFill="1" applyBorder="1" applyAlignment="1">
      <alignment horizontal="left"/>
    </xf>
    <xf numFmtId="174" fontId="0" fillId="0" borderId="0" xfId="0" applyNumberFormat="1"/>
    <xf numFmtId="0" fontId="0" fillId="12" borderId="0" xfId="0" applyFill="1"/>
    <xf numFmtId="0" fontId="0" fillId="13" borderId="0" xfId="0" applyFill="1"/>
    <xf numFmtId="0" fontId="0" fillId="14" borderId="0" xfId="0" applyFill="1"/>
    <xf numFmtId="9" fontId="0" fillId="14" borderId="0" xfId="3" applyFont="1" applyFill="1"/>
    <xf numFmtId="175" fontId="0" fillId="0" borderId="0" xfId="0" applyNumberFormat="1"/>
    <xf numFmtId="167" fontId="0" fillId="0" borderId="1" xfId="0" applyNumberFormat="1" applyBorder="1" applyAlignment="1">
      <alignment horizontal="center"/>
    </xf>
    <xf numFmtId="175" fontId="0" fillId="0" borderId="1" xfId="0" applyNumberFormat="1" applyBorder="1" applyAlignment="1">
      <alignment horizontal="center"/>
    </xf>
    <xf numFmtId="168" fontId="0" fillId="0" borderId="1" xfId="0" applyNumberFormat="1" applyBorder="1" applyAlignment="1">
      <alignment horizontal="center"/>
    </xf>
    <xf numFmtId="167" fontId="0" fillId="2" borderId="1" xfId="0" applyNumberFormat="1" applyFill="1" applyBorder="1" applyAlignment="1">
      <alignment horizontal="center"/>
    </xf>
    <xf numFmtId="0" fontId="0" fillId="15" borderId="1" xfId="0" applyFill="1" applyBorder="1" applyAlignment="1">
      <alignment horizontal="center"/>
    </xf>
    <xf numFmtId="9" fontId="0" fillId="0" borderId="0" xfId="0" applyNumberFormat="1"/>
    <xf numFmtId="175" fontId="0" fillId="0" borderId="0" xfId="1" applyNumberFormat="1" applyFont="1"/>
    <xf numFmtId="166" fontId="0" fillId="0" borderId="0" xfId="0" applyNumberFormat="1"/>
    <xf numFmtId="0" fontId="8" fillId="16" borderId="0" xfId="0" applyFont="1" applyFill="1" applyAlignment="1">
      <alignment horizontal="center"/>
    </xf>
    <xf numFmtId="0" fontId="0" fillId="17" borderId="0" xfId="0" applyFill="1" applyAlignment="1">
      <alignment horizontal="center"/>
    </xf>
    <xf numFmtId="165" fontId="0" fillId="17" borderId="0" xfId="1" applyFont="1" applyFill="1" applyAlignment="1">
      <alignment horizontal="center"/>
    </xf>
    <xf numFmtId="165" fontId="0" fillId="17" borderId="0" xfId="0" applyNumberFormat="1" applyFill="1" applyAlignment="1">
      <alignment horizontal="center"/>
    </xf>
    <xf numFmtId="0" fontId="0" fillId="18" borderId="0" xfId="0" applyFill="1" applyAlignment="1">
      <alignment horizontal="center"/>
    </xf>
    <xf numFmtId="165" fontId="0" fillId="18" borderId="0" xfId="1" applyFont="1" applyFill="1" applyAlignment="1">
      <alignment horizontal="center"/>
    </xf>
    <xf numFmtId="166" fontId="0" fillId="18" borderId="0" xfId="0" applyNumberFormat="1" applyFill="1" applyAlignment="1">
      <alignment horizontal="center"/>
    </xf>
    <xf numFmtId="164" fontId="0" fillId="0" borderId="0" xfId="0" applyNumberFormat="1"/>
    <xf numFmtId="0" fontId="0" fillId="14" borderId="0" xfId="0" applyFill="1" applyAlignment="1">
      <alignment wrapText="1"/>
    </xf>
    <xf numFmtId="44" fontId="0" fillId="0" borderId="0" xfId="2" applyNumberFormat="1" applyFont="1"/>
    <xf numFmtId="44" fontId="0" fillId="0" borderId="0" xfId="0" applyNumberFormat="1"/>
    <xf numFmtId="44" fontId="0" fillId="0" borderId="0" xfId="2" applyNumberFormat="1" applyFont="1" applyAlignment="1">
      <alignment vertical="center"/>
    </xf>
    <xf numFmtId="9" fontId="0" fillId="0" borderId="1" xfId="0" applyNumberFormat="1" applyBorder="1"/>
    <xf numFmtId="1" fontId="0" fillId="0" borderId="1" xfId="0" applyNumberFormat="1" applyBorder="1"/>
    <xf numFmtId="169" fontId="0" fillId="0" borderId="0" xfId="0" applyNumberFormat="1"/>
    <xf numFmtId="171" fontId="0" fillId="0" borderId="0" xfId="0" applyNumberFormat="1"/>
    <xf numFmtId="0" fontId="0" fillId="7" borderId="0" xfId="0" applyFill="1" applyAlignment="1">
      <alignment horizontal="center"/>
    </xf>
    <xf numFmtId="0" fontId="0" fillId="19" borderId="0" xfId="0" applyFill="1" applyAlignment="1">
      <alignment horizontal="center"/>
    </xf>
    <xf numFmtId="0" fontId="0" fillId="19" borderId="13" xfId="0" applyFill="1" applyBorder="1" applyAlignment="1">
      <alignment horizontal="center"/>
    </xf>
    <xf numFmtId="169" fontId="0" fillId="2" borderId="1" xfId="0" applyNumberFormat="1" applyFill="1" applyBorder="1"/>
    <xf numFmtId="176" fontId="0" fillId="2" borderId="1" xfId="0" applyNumberFormat="1" applyFill="1" applyBorder="1"/>
    <xf numFmtId="0" fontId="0" fillId="4" borderId="1" xfId="0" applyFill="1" applyBorder="1" applyAlignment="1">
      <alignment horizontal="center"/>
    </xf>
    <xf numFmtId="0" fontId="0" fillId="4" borderId="1" xfId="0" applyFill="1" applyBorder="1"/>
    <xf numFmtId="0" fontId="10" fillId="0" borderId="0" xfId="4"/>
    <xf numFmtId="166" fontId="0" fillId="0" borderId="0" xfId="2" applyFont="1"/>
    <xf numFmtId="0" fontId="0" fillId="4" borderId="0" xfId="0" applyFill="1" applyAlignment="1">
      <alignment horizontal="center"/>
    </xf>
    <xf numFmtId="0" fontId="0" fillId="4" borderId="0" xfId="0" applyFill="1" applyAlignment="1">
      <alignment horizontal="center" vertical="center"/>
    </xf>
    <xf numFmtId="170" fontId="0" fillId="0" borderId="1" xfId="0" applyNumberFormat="1" applyBorder="1"/>
    <xf numFmtId="20" fontId="0" fillId="0" borderId="0" xfId="0" applyNumberFormat="1"/>
    <xf numFmtId="0" fontId="11" fillId="20" borderId="21" xfId="0" applyFont="1" applyFill="1" applyBorder="1" applyAlignment="1">
      <alignment horizontal="center" vertical="center"/>
    </xf>
    <xf numFmtId="0" fontId="11" fillId="20" borderId="24" xfId="0" applyFont="1" applyFill="1" applyBorder="1" applyAlignment="1">
      <alignment horizontal="center" vertical="center"/>
    </xf>
    <xf numFmtId="0" fontId="11" fillId="21" borderId="0" xfId="0" applyFont="1" applyFill="1" applyAlignment="1">
      <alignment vertical="center"/>
    </xf>
    <xf numFmtId="0" fontId="11" fillId="20" borderId="24" xfId="0" applyFont="1" applyFill="1" applyBorder="1" applyAlignment="1">
      <alignment horizontal="center" vertical="center" wrapText="1"/>
    </xf>
    <xf numFmtId="0" fontId="14" fillId="21" borderId="25" xfId="0" applyFont="1" applyFill="1" applyBorder="1" applyAlignment="1">
      <alignment horizontal="center" vertical="center"/>
    </xf>
    <xf numFmtId="0" fontId="14" fillId="21" borderId="26" xfId="0" applyFont="1" applyFill="1" applyBorder="1" applyAlignment="1">
      <alignment horizontal="center" vertical="center"/>
    </xf>
    <xf numFmtId="0" fontId="14" fillId="21" borderId="27" xfId="0" applyFont="1" applyFill="1" applyBorder="1" applyAlignment="1">
      <alignment horizontal="center" vertical="center"/>
    </xf>
    <xf numFmtId="0" fontId="14" fillId="21" borderId="24" xfId="0" applyFont="1" applyFill="1" applyBorder="1" applyAlignment="1">
      <alignment horizontal="center" vertical="center"/>
    </xf>
    <xf numFmtId="171" fontId="0" fillId="7" borderId="0" xfId="0" applyNumberFormat="1" applyFill="1"/>
    <xf numFmtId="0" fontId="0" fillId="22" borderId="28" xfId="0" applyFill="1" applyBorder="1"/>
    <xf numFmtId="0" fontId="0" fillId="22" borderId="29" xfId="0" applyFill="1" applyBorder="1"/>
    <xf numFmtId="0" fontId="0" fillId="22" borderId="25" xfId="0" applyFill="1" applyBorder="1"/>
    <xf numFmtId="0" fontId="0" fillId="0" borderId="30" xfId="0" applyBorder="1"/>
    <xf numFmtId="0" fontId="0" fillId="0" borderId="26" xfId="0" applyBorder="1" applyAlignment="1">
      <alignment horizontal="center" vertical="center"/>
    </xf>
    <xf numFmtId="0" fontId="0" fillId="0" borderId="31" xfId="0" applyBorder="1"/>
    <xf numFmtId="171" fontId="0" fillId="0" borderId="15" xfId="0" applyNumberFormat="1" applyBorder="1" applyAlignment="1">
      <alignment horizontal="center" vertical="center"/>
    </xf>
    <xf numFmtId="0" fontId="0" fillId="0" borderId="27" xfId="0" applyBorder="1" applyAlignment="1">
      <alignment horizontal="center" vertical="center"/>
    </xf>
    <xf numFmtId="171" fontId="0" fillId="22" borderId="29" xfId="0" applyNumberFormat="1" applyFill="1" applyBorder="1"/>
    <xf numFmtId="0" fontId="10" fillId="0" borderId="0" xfId="4" applyAlignment="1">
      <alignment horizontal="center" vertical="center" wrapText="1"/>
    </xf>
    <xf numFmtId="169" fontId="0" fillId="0" borderId="29" xfId="0" applyNumberFormat="1" applyBorder="1"/>
    <xf numFmtId="0" fontId="0" fillId="0" borderId="25" xfId="0" applyBorder="1"/>
    <xf numFmtId="0" fontId="0" fillId="0" borderId="26" xfId="0" applyBorder="1"/>
    <xf numFmtId="0" fontId="0" fillId="0" borderId="15" xfId="0" applyBorder="1"/>
    <xf numFmtId="0" fontId="0" fillId="0" borderId="27" xfId="0" applyBorder="1"/>
    <xf numFmtId="0" fontId="0" fillId="0" borderId="29" xfId="0" applyBorder="1"/>
    <xf numFmtId="0" fontId="0" fillId="0" borderId="1" xfId="0" applyBorder="1" applyAlignment="1">
      <alignment horizontal="center" vertical="center"/>
    </xf>
    <xf numFmtId="0" fontId="0" fillId="4" borderId="0" xfId="0" applyFill="1" applyAlignment="1">
      <alignment horizontal="center" vertical="center" wrapText="1"/>
    </xf>
    <xf numFmtId="0" fontId="18" fillId="0" borderId="0" xfId="0" applyFont="1"/>
    <xf numFmtId="2" fontId="0" fillId="0" borderId="0" xfId="0" applyNumberFormat="1" applyAlignment="1">
      <alignment horizontal="center" vertical="center" wrapText="1"/>
    </xf>
    <xf numFmtId="171" fontId="0" fillId="14" borderId="0" xfId="0" applyNumberFormat="1" applyFill="1"/>
    <xf numFmtId="9" fontId="0" fillId="0" borderId="0" xfId="0" applyNumberFormat="1" applyAlignment="1">
      <alignment horizontal="center" vertical="center"/>
    </xf>
    <xf numFmtId="0" fontId="0" fillId="23" borderId="0" xfId="0" applyFill="1"/>
    <xf numFmtId="171" fontId="0" fillId="23" borderId="0" xfId="0" applyNumberFormat="1" applyFill="1"/>
    <xf numFmtId="0" fontId="0" fillId="0" borderId="28" xfId="0" applyBorder="1"/>
    <xf numFmtId="170" fontId="0" fillId="0" borderId="29" xfId="0" applyNumberFormat="1" applyBorder="1"/>
    <xf numFmtId="166" fontId="0" fillId="0" borderId="0" xfId="2" applyFont="1" applyAlignment="1">
      <alignment horizontal="center" vertical="center"/>
    </xf>
    <xf numFmtId="0" fontId="0" fillId="0" borderId="32" xfId="0" applyBorder="1" applyAlignment="1">
      <alignment horizontal="center"/>
    </xf>
    <xf numFmtId="0" fontId="0" fillId="0" borderId="34" xfId="0" applyBorder="1" applyAlignment="1">
      <alignment horizontal="center"/>
    </xf>
    <xf numFmtId="169" fontId="0" fillId="0" borderId="33" xfId="0" applyNumberFormat="1" applyBorder="1" applyAlignment="1">
      <alignment horizontal="center"/>
    </xf>
    <xf numFmtId="44" fontId="0" fillId="7" borderId="0" xfId="0" applyNumberFormat="1" applyFill="1"/>
    <xf numFmtId="166" fontId="0" fillId="7" borderId="0" xfId="2" applyFont="1" applyFill="1"/>
    <xf numFmtId="165" fontId="0" fillId="7" borderId="0" xfId="1" applyFont="1" applyFill="1"/>
    <xf numFmtId="165" fontId="0" fillId="7" borderId="0" xfId="0" applyNumberFormat="1" applyFill="1"/>
    <xf numFmtId="167" fontId="0" fillId="7" borderId="0" xfId="0" applyNumberFormat="1" applyFill="1"/>
    <xf numFmtId="166" fontId="0" fillId="0" borderId="1" xfId="0" applyNumberFormat="1" applyBorder="1" applyAlignment="1">
      <alignment horizontal="center" vertical="center"/>
    </xf>
    <xf numFmtId="166" fontId="0" fillId="0" borderId="1" xfId="2" applyFont="1" applyBorder="1" applyAlignment="1">
      <alignment horizontal="center" vertical="center"/>
    </xf>
    <xf numFmtId="44" fontId="0" fillId="0" borderId="1" xfId="0" applyNumberFormat="1" applyBorder="1" applyAlignment="1">
      <alignment horizontal="center" vertical="center"/>
    </xf>
    <xf numFmtId="165" fontId="0" fillId="0" borderId="1" xfId="0" applyNumberFormat="1" applyBorder="1" applyAlignment="1">
      <alignment horizontal="center" vertical="center"/>
    </xf>
    <xf numFmtId="170" fontId="0" fillId="0" borderId="1" xfId="0" applyNumberFormat="1" applyBorder="1" applyAlignment="1">
      <alignment horizontal="center" vertical="center"/>
    </xf>
    <xf numFmtId="44" fontId="0" fillId="2" borderId="0" xfId="0" applyNumberFormat="1" applyFill="1"/>
    <xf numFmtId="0" fontId="0" fillId="0" borderId="1" xfId="0" applyBorder="1" applyAlignment="1">
      <alignment horizontal="center"/>
    </xf>
    <xf numFmtId="170" fontId="0" fillId="0" borderId="13" xfId="0" applyNumberFormat="1" applyBorder="1" applyAlignment="1">
      <alignment horizontal="center" vertical="center"/>
    </xf>
    <xf numFmtId="2" fontId="0" fillId="0" borderId="1" xfId="0" applyNumberFormat="1" applyBorder="1" applyAlignment="1">
      <alignment horizontal="center"/>
    </xf>
    <xf numFmtId="0" fontId="14" fillId="17" borderId="1" xfId="0" applyFont="1" applyFill="1" applyBorder="1" applyAlignment="1">
      <alignment horizontal="center"/>
    </xf>
    <xf numFmtId="0" fontId="19" fillId="16" borderId="1" xfId="0" applyFont="1" applyFill="1" applyBorder="1" applyAlignment="1">
      <alignment horizontal="center"/>
    </xf>
    <xf numFmtId="0" fontId="14" fillId="0" borderId="1" xfId="0" applyFont="1" applyBorder="1"/>
    <xf numFmtId="44" fontId="14" fillId="0" borderId="1" xfId="0" applyNumberFormat="1" applyFont="1" applyBorder="1"/>
    <xf numFmtId="165" fontId="14" fillId="0" borderId="1" xfId="0" applyNumberFormat="1" applyFont="1" applyBorder="1"/>
    <xf numFmtId="0" fontId="14" fillId="18" borderId="1" xfId="0" applyFont="1" applyFill="1" applyBorder="1" applyAlignment="1">
      <alignment horizontal="center"/>
    </xf>
    <xf numFmtId="166" fontId="14" fillId="0" borderId="1" xfId="0" applyNumberFormat="1" applyFont="1" applyBorder="1"/>
    <xf numFmtId="164" fontId="14" fillId="0" borderId="1" xfId="0" applyNumberFormat="1" applyFont="1" applyBorder="1"/>
    <xf numFmtId="9" fontId="14" fillId="0" borderId="1" xfId="0" applyNumberFormat="1" applyFont="1" applyBorder="1"/>
    <xf numFmtId="0" fontId="2" fillId="0" borderId="15" xfId="0" applyFont="1" applyBorder="1" applyAlignment="1">
      <alignment horizontal="center" vertical="center"/>
    </xf>
    <xf numFmtId="0" fontId="0" fillId="0" borderId="15" xfId="0" applyBorder="1" applyAlignment="1">
      <alignment horizontal="center" vertical="center"/>
    </xf>
    <xf numFmtId="172" fontId="0" fillId="0" borderId="15" xfId="0" applyNumberFormat="1" applyBorder="1" applyAlignment="1">
      <alignment horizontal="center" vertical="center"/>
    </xf>
    <xf numFmtId="16" fontId="0" fillId="0" borderId="15" xfId="0" applyNumberFormat="1" applyBorder="1" applyAlignment="1">
      <alignment horizontal="center" vertical="center"/>
    </xf>
    <xf numFmtId="171" fontId="0" fillId="0" borderId="1" xfId="0" applyNumberFormat="1" applyBorder="1"/>
    <xf numFmtId="165" fontId="0" fillId="0" borderId="1" xfId="1" applyFont="1" applyBorder="1"/>
    <xf numFmtId="2" fontId="0" fillId="0" borderId="1" xfId="0" applyNumberFormat="1" applyBorder="1" applyAlignment="1">
      <alignment horizontal="center" vertical="center"/>
    </xf>
    <xf numFmtId="166" fontId="0" fillId="0" borderId="1" xfId="2" applyFont="1" applyBorder="1"/>
    <xf numFmtId="44" fontId="0" fillId="0" borderId="1" xfId="0" applyNumberFormat="1" applyBorder="1"/>
    <xf numFmtId="0" fontId="0" fillId="7" borderId="1" xfId="0" applyFill="1" applyBorder="1"/>
    <xf numFmtId="44" fontId="0" fillId="7" borderId="1" xfId="0" applyNumberFormat="1" applyFill="1" applyBorder="1"/>
    <xf numFmtId="165" fontId="0" fillId="0" borderId="1" xfId="0" applyNumberFormat="1" applyBorder="1"/>
    <xf numFmtId="0" fontId="10" fillId="0" borderId="1" xfId="4" applyBorder="1" applyAlignment="1">
      <alignment horizontal="center" vertical="center"/>
    </xf>
    <xf numFmtId="166" fontId="0" fillId="0" borderId="1" xfId="0" applyNumberFormat="1" applyBorder="1"/>
    <xf numFmtId="166" fontId="0" fillId="0" borderId="1" xfId="0" applyNumberFormat="1" applyBorder="1" applyAlignment="1">
      <alignment horizontal="center"/>
    </xf>
    <xf numFmtId="44" fontId="0" fillId="0" borderId="1" xfId="0" applyNumberFormat="1" applyBorder="1" applyAlignment="1">
      <alignment horizontal="center"/>
    </xf>
    <xf numFmtId="165" fontId="0" fillId="0" borderId="1" xfId="0" applyNumberFormat="1" applyBorder="1" applyAlignment="1">
      <alignment horizontal="center"/>
    </xf>
    <xf numFmtId="9" fontId="0" fillId="0" borderId="1" xfId="0" applyNumberFormat="1" applyBorder="1" applyAlignment="1">
      <alignment horizontal="center"/>
    </xf>
    <xf numFmtId="6" fontId="0" fillId="0" borderId="1" xfId="0" applyNumberFormat="1" applyBorder="1" applyAlignment="1">
      <alignment horizontal="center"/>
    </xf>
    <xf numFmtId="16" fontId="0" fillId="0" borderId="0" xfId="0" applyNumberFormat="1"/>
    <xf numFmtId="0" fontId="0" fillId="12" borderId="0" xfId="0" applyFill="1" applyAlignment="1">
      <alignment horizontal="center" vertical="center"/>
    </xf>
    <xf numFmtId="0" fontId="0" fillId="12" borderId="0" xfId="0" applyFill="1" applyAlignment="1">
      <alignment horizontal="center"/>
    </xf>
    <xf numFmtId="4" fontId="21" fillId="0" borderId="0" xfId="0" applyNumberFormat="1" applyFont="1"/>
    <xf numFmtId="0" fontId="22" fillId="0" borderId="1" xfId="0" applyFont="1" applyBorder="1" applyAlignment="1">
      <alignment horizontal="center"/>
    </xf>
    <xf numFmtId="166" fontId="22" fillId="0" borderId="1" xfId="0" applyNumberFormat="1" applyFont="1" applyBorder="1" applyAlignment="1">
      <alignment horizontal="center"/>
    </xf>
    <xf numFmtId="44" fontId="22" fillId="0" borderId="1" xfId="0" applyNumberFormat="1" applyFont="1" applyBorder="1" applyAlignment="1">
      <alignment horizontal="center"/>
    </xf>
    <xf numFmtId="165" fontId="22" fillId="0" borderId="1" xfId="0" applyNumberFormat="1" applyFont="1" applyBorder="1" applyAlignment="1">
      <alignment horizontal="center"/>
    </xf>
    <xf numFmtId="0" fontId="0" fillId="0" borderId="1" xfId="0" applyBorder="1" applyAlignment="1">
      <alignment horizontal="center"/>
    </xf>
    <xf numFmtId="0" fontId="0" fillId="0" borderId="0" xfId="0" applyAlignment="1">
      <alignment horizontal="center"/>
    </xf>
    <xf numFmtId="0" fontId="0" fillId="2" borderId="1" xfId="0" applyFill="1" applyBorder="1" applyAlignment="1">
      <alignment horizontal="center"/>
    </xf>
    <xf numFmtId="0" fontId="0" fillId="0" borderId="1" xfId="0" applyBorder="1" applyAlignment="1">
      <alignment horizontal="center" vertical="center"/>
    </xf>
    <xf numFmtId="0" fontId="14" fillId="17" borderId="1"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14" borderId="2" xfId="0" applyFill="1" applyBorder="1" applyAlignment="1">
      <alignment horizontal="center"/>
    </xf>
    <xf numFmtId="0" fontId="0" fillId="0" borderId="0" xfId="0" applyAlignment="1">
      <alignment horizontal="center" wrapText="1"/>
    </xf>
    <xf numFmtId="0" fontId="0" fillId="7" borderId="2" xfId="0" applyFill="1" applyBorder="1" applyAlignment="1">
      <alignment horizontal="center"/>
    </xf>
    <xf numFmtId="49" fontId="0" fillId="0" borderId="1" xfId="0" applyNumberFormat="1" applyBorder="1" applyAlignment="1">
      <alignment horizontal="center"/>
    </xf>
    <xf numFmtId="0" fontId="0" fillId="7" borderId="1" xfId="0" applyFill="1" applyBorder="1" applyAlignment="1">
      <alignment horizontal="center"/>
    </xf>
    <xf numFmtId="0" fontId="10" fillId="0" borderId="0" xfId="4" applyAlignment="1">
      <alignment horizontal="center" wrapText="1"/>
    </xf>
    <xf numFmtId="0" fontId="0" fillId="14" borderId="1" xfId="0" applyFill="1" applyBorder="1" applyAlignment="1">
      <alignment horizontal="center"/>
    </xf>
    <xf numFmtId="0" fontId="2" fillId="0" borderId="1" xfId="0" applyFont="1" applyBorder="1" applyAlignment="1">
      <alignment horizontal="center"/>
    </xf>
    <xf numFmtId="0" fontId="0" fillId="0" borderId="20" xfId="0" applyBorder="1" applyAlignment="1">
      <alignment horizontal="center" vertical="center"/>
    </xf>
    <xf numFmtId="0" fontId="0" fillId="0" borderId="0" xfId="0" applyAlignment="1">
      <alignment horizontal="center" vertical="center"/>
    </xf>
    <xf numFmtId="0" fontId="0" fillId="4" borderId="2" xfId="0" applyFill="1" applyBorder="1" applyAlignment="1">
      <alignment horizontal="center"/>
    </xf>
    <xf numFmtId="0" fontId="0" fillId="4" borderId="3" xfId="0" applyFill="1" applyBorder="1" applyAlignment="1">
      <alignment horizontal="center"/>
    </xf>
    <xf numFmtId="0" fontId="0" fillId="4" borderId="4" xfId="0" applyFill="1" applyBorder="1" applyAlignment="1">
      <alignment horizontal="center"/>
    </xf>
    <xf numFmtId="0" fontId="2" fillId="0" borderId="13" xfId="0" applyFont="1" applyBorder="1" applyAlignment="1">
      <alignment horizontal="center" vertical="center"/>
    </xf>
    <xf numFmtId="0" fontId="2" fillId="0" borderId="13" xfId="0" applyFont="1" applyBorder="1" applyAlignment="1">
      <alignment horizontal="center"/>
    </xf>
    <xf numFmtId="0" fontId="0" fillId="0" borderId="14" xfId="0" applyBorder="1" applyAlignment="1">
      <alignment horizontal="center" vertical="center"/>
    </xf>
    <xf numFmtId="0" fontId="2" fillId="0" borderId="0" xfId="0" applyFont="1" applyAlignment="1">
      <alignment horizontal="center" vertical="center" wrapText="1"/>
    </xf>
    <xf numFmtId="0" fontId="0" fillId="14" borderId="4" xfId="0"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171" fontId="0" fillId="0" borderId="0" xfId="0" applyNumberFormat="1" applyAlignment="1">
      <alignment horizontal="center" vertical="center"/>
    </xf>
    <xf numFmtId="0" fontId="0" fillId="0" borderId="15" xfId="0" applyBorder="1" applyAlignment="1">
      <alignment horizont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4" borderId="5" xfId="0" applyFill="1" applyBorder="1" applyAlignment="1">
      <alignment horizontal="center"/>
    </xf>
    <xf numFmtId="0" fontId="0" fillId="4" borderId="6" xfId="0" applyFill="1" applyBorder="1" applyAlignment="1">
      <alignment horizontal="center"/>
    </xf>
    <xf numFmtId="0" fontId="2" fillId="0" borderId="16" xfId="0" applyFont="1" applyBorder="1" applyAlignment="1">
      <alignment horizontal="center" vertical="center"/>
    </xf>
    <xf numFmtId="0" fontId="0" fillId="0" borderId="0" xfId="0" applyAlignment="1">
      <alignment horizontal="center" vertical="center" wrapText="1"/>
    </xf>
    <xf numFmtId="0" fontId="2" fillId="0" borderId="16" xfId="0" applyFont="1" applyBorder="1" applyAlignment="1">
      <alignment horizontal="center"/>
    </xf>
    <xf numFmtId="0" fontId="2" fillId="0" borderId="0" xfId="0" applyFont="1" applyAlignment="1">
      <alignment horizontal="center" vertical="center"/>
    </xf>
    <xf numFmtId="0" fontId="2" fillId="0" borderId="17" xfId="0" applyFont="1" applyBorder="1" applyAlignment="1">
      <alignment horizontal="center" vertical="center"/>
    </xf>
    <xf numFmtId="0" fontId="0" fillId="0" borderId="17" xfId="0" applyBorder="1" applyAlignment="1">
      <alignment horizontal="center" vertical="center"/>
    </xf>
    <xf numFmtId="0" fontId="0" fillId="0" borderId="0" xfId="0" applyAlignment="1">
      <alignment horizontal="left" vertical="center"/>
    </xf>
    <xf numFmtId="0" fontId="0" fillId="0" borderId="30" xfId="0" applyBorder="1" applyAlignment="1">
      <alignment horizontal="center"/>
    </xf>
    <xf numFmtId="0" fontId="0" fillId="0" borderId="26" xfId="0" applyBorder="1" applyAlignment="1">
      <alignment horizontal="center"/>
    </xf>
    <xf numFmtId="0" fontId="11" fillId="20" borderId="21" xfId="0" applyFont="1" applyFill="1" applyBorder="1" applyAlignment="1">
      <alignment horizontal="center" vertical="center" wrapText="1"/>
    </xf>
    <xf numFmtId="0" fontId="11" fillId="20" borderId="22"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21" xfId="0" applyFont="1" applyFill="1" applyBorder="1" applyAlignment="1">
      <alignment horizontal="center" vertical="center"/>
    </xf>
    <xf numFmtId="0" fontId="11" fillId="20" borderId="23" xfId="0" applyFont="1" applyFill="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cellXfs>
  <cellStyles count="5">
    <cellStyle name="Hipervínculo" xfId="4" builtinId="8"/>
    <cellStyle name="Moneda" xfId="2" builtinId="4"/>
    <cellStyle name="Moneda [0]" xfId="1" builtinId="7"/>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5690266841644797"/>
          <c:y val="9.259259259259258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trendlineLbl>
          </c:trendline>
          <c:xVal>
            <c:numRef>
              <c:f>'U23 CÁLCULOS'!$D$808:$E$808</c:f>
              <c:numCache>
                <c:formatCode>General</c:formatCode>
                <c:ptCount val="2"/>
                <c:pt idx="0">
                  <c:v>1</c:v>
                </c:pt>
                <c:pt idx="1">
                  <c:v>20</c:v>
                </c:pt>
              </c:numCache>
            </c:numRef>
          </c:xVal>
          <c:yVal>
            <c:numRef>
              <c:f>'U23 CÁLCULOS'!$D$809:$E$809</c:f>
              <c:numCache>
                <c:formatCode>General</c:formatCode>
                <c:ptCount val="2"/>
                <c:pt idx="0">
                  <c:v>20</c:v>
                </c:pt>
                <c:pt idx="1">
                  <c:v>80</c:v>
                </c:pt>
              </c:numCache>
            </c:numRef>
          </c:yVal>
          <c:smooth val="1"/>
          <c:extLst>
            <c:ext xmlns:c16="http://schemas.microsoft.com/office/drawing/2014/chart" uri="{C3380CC4-5D6E-409C-BE32-E72D297353CC}">
              <c16:uniqueId val="{00000000-3ED1-374E-902C-42FCECA846DF}"/>
            </c:ext>
          </c:extLst>
        </c:ser>
        <c:dLbls>
          <c:showLegendKey val="0"/>
          <c:showVal val="0"/>
          <c:showCatName val="0"/>
          <c:showSerName val="0"/>
          <c:showPercent val="0"/>
          <c:showBubbleSize val="0"/>
        </c:dLbls>
        <c:axId val="146702944"/>
        <c:axId val="1082537807"/>
      </c:scatterChart>
      <c:valAx>
        <c:axId val="146702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2537807"/>
        <c:crosses val="autoZero"/>
        <c:crossBetween val="midCat"/>
      </c:valAx>
      <c:valAx>
        <c:axId val="10825378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670294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val>
            <c:numRef>
              <c:f>'U23 CÁLCULOS'!$B$845:$L$845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val>
          <c:extLst>
            <c:ext xmlns:c16="http://schemas.microsoft.com/office/drawing/2014/chart" uri="{C3380CC4-5D6E-409C-BE32-E72D297353CC}">
              <c16:uniqueId val="{00000001-4D20-4645-B22F-71977D110599}"/>
            </c:ext>
          </c:extLst>
        </c:ser>
        <c:ser>
          <c:idx val="1"/>
          <c:order val="1"/>
          <c:spPr>
            <a:solidFill>
              <a:schemeClr val="accent2"/>
            </a:solidFill>
            <a:ln>
              <a:noFill/>
            </a:ln>
            <a:effectLst/>
          </c:spPr>
          <c:invertIfNegative val="0"/>
          <c:val>
            <c:numRef>
              <c:f>'U23 CÁLCULOS'!$B$854:$L$854</c:f>
              <c:numCache>
                <c:formatCode>_-"$"* #,##0.00_-;\-"$"* #,##0.00_-;_-"$"* "-"??_-;_-@_-</c:formatCode>
                <c:ptCount val="11"/>
                <c:pt idx="0" formatCode="_-&quot;$&quot;* #,##0_-;\-&quot;$&quot;* #,##0_-;_-&quot;$&quot;* &quot;-&quot;_-;_-@_-">
                  <c:v>-750000000</c:v>
                </c:pt>
                <c:pt idx="1">
                  <c:v>-4773500962.6129398</c:v>
                </c:pt>
                <c:pt idx="2">
                  <c:v>-4989106158.3620167</c:v>
                </c:pt>
                <c:pt idx="3">
                  <c:v>-5213876724.2318382</c:v>
                </c:pt>
                <c:pt idx="4">
                  <c:v>-5643841815.251771</c:v>
                </c:pt>
                <c:pt idx="5">
                  <c:v>-5692304219.6032829</c:v>
                </c:pt>
                <c:pt idx="6">
                  <c:v>-5946679560.1303959</c:v>
                </c:pt>
                <c:pt idx="7">
                  <c:v>-6211656876.7521515</c:v>
                </c:pt>
                <c:pt idx="8">
                  <c:v>-6734664544.4603415</c:v>
                </c:pt>
                <c:pt idx="9">
                  <c:v>-6774953855.9340477</c:v>
                </c:pt>
                <c:pt idx="10">
                  <c:v>-7074063247.1979733</c:v>
                </c:pt>
              </c:numCache>
            </c:numRef>
          </c:val>
          <c:extLst>
            <c:ext xmlns:c16="http://schemas.microsoft.com/office/drawing/2014/chart" uri="{C3380CC4-5D6E-409C-BE32-E72D297353CC}">
              <c16:uniqueId val="{00000003-4D20-4645-B22F-71977D110599}"/>
            </c:ext>
          </c:extLst>
        </c:ser>
        <c:dLbls>
          <c:showLegendKey val="0"/>
          <c:showVal val="0"/>
          <c:showCatName val="0"/>
          <c:showSerName val="0"/>
          <c:showPercent val="0"/>
          <c:showBubbleSize val="0"/>
        </c:dLbls>
        <c:gapWidth val="219"/>
        <c:overlap val="-27"/>
        <c:axId val="2079984648"/>
        <c:axId val="2079990792"/>
      </c:barChart>
      <c:catAx>
        <c:axId val="207998464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9990792"/>
        <c:crosses val="autoZero"/>
        <c:auto val="1"/>
        <c:lblAlgn val="ctr"/>
        <c:lblOffset val="100"/>
        <c:noMultiLvlLbl val="0"/>
      </c:catAx>
      <c:valAx>
        <c:axId val="2079990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9984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FLUJO</a:t>
            </a:r>
            <a:r>
              <a:rPr lang="es-ES" baseline="0"/>
              <a:t> DE CAJA (COP VS T)</a:t>
            </a:r>
            <a:endParaRPr lang="es-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2"/>
            </a:solidFill>
            <a:ln>
              <a:noFill/>
            </a:ln>
            <a:effectLst/>
          </c:spPr>
          <c:invertIfNegative val="0"/>
          <c:val>
            <c:numRef>
              <c:f>'U23 CÁLCULOS'!$B$1149:$L$1149</c:f>
              <c:numCache>
                <c:formatCode>_("$"* #,##0.00_);_("$"* \(#,##0.00\);_("$"* "-"??_);_(@_)</c:formatCode>
                <c:ptCount val="11"/>
                <c:pt idx="0" formatCode="_-&quot;$&quot;* #,##0.00_-;\-&quot;$&quot;* #,##0.00_-;_-&quot;$&quot;* &quot;-&quot;??_-;_-@_-">
                  <c:v>-2334849010.8831239</c:v>
                </c:pt>
                <c:pt idx="1">
                  <c:v>2157937819.216495</c:v>
                </c:pt>
                <c:pt idx="2">
                  <c:v>1686322629.5127432</c:v>
                </c:pt>
                <c:pt idx="3">
                  <c:v>1832337029.861362</c:v>
                </c:pt>
                <c:pt idx="4">
                  <c:v>1939339479.6635308</c:v>
                </c:pt>
                <c:pt idx="5">
                  <c:v>2159307494.4524546</c:v>
                </c:pt>
                <c:pt idx="6">
                  <c:v>2342031120.9522367</c:v>
                </c:pt>
                <c:pt idx="7">
                  <c:v>2538867457.0164185</c:v>
                </c:pt>
                <c:pt idx="8">
                  <c:v>2700495495.0999784</c:v>
                </c:pt>
                <c:pt idx="9">
                  <c:v>2966577562.2690187</c:v>
                </c:pt>
                <c:pt idx="10">
                  <c:v>3212389881.3805027</c:v>
                </c:pt>
              </c:numCache>
            </c:numRef>
          </c:val>
          <c:extLst>
            <c:ext xmlns:c16="http://schemas.microsoft.com/office/drawing/2014/chart" uri="{C3380CC4-5D6E-409C-BE32-E72D297353CC}">
              <c16:uniqueId val="{00000000-4079-4BF0-BB70-CA10C6D2032A}"/>
            </c:ext>
          </c:extLst>
        </c:ser>
        <c:dLbls>
          <c:showLegendKey val="0"/>
          <c:showVal val="0"/>
          <c:showCatName val="0"/>
          <c:showSerName val="0"/>
          <c:showPercent val="0"/>
          <c:showBubbleSize val="0"/>
        </c:dLbls>
        <c:gapWidth val="219"/>
        <c:overlap val="-27"/>
        <c:axId val="352593504"/>
        <c:axId val="310123056"/>
      </c:barChart>
      <c:catAx>
        <c:axId val="35259350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0123056"/>
        <c:crosses val="autoZero"/>
        <c:auto val="1"/>
        <c:lblAlgn val="ctr"/>
        <c:lblOffset val="100"/>
        <c:noMultiLvlLbl val="0"/>
      </c:catAx>
      <c:valAx>
        <c:axId val="31012305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quot;$&quot;* #,##0.0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52593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FLUJO</a:t>
            </a:r>
            <a:r>
              <a:rPr lang="es-ES" baseline="0"/>
              <a:t> DE CAJA (COP VS T)</a:t>
            </a:r>
            <a:endParaRPr lang="es-E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2"/>
            </a:solidFill>
            <a:ln>
              <a:noFill/>
            </a:ln>
            <a:effectLst/>
          </c:spPr>
          <c:invertIfNegative val="0"/>
          <c:val>
            <c:numRef>
              <c:f>'U23 CÁLCULOS'!$B$1314:$L$1314</c:f>
              <c:numCache>
                <c:formatCode>_("$"* #,##0.00_);_("$"* \(#,##0.00\);_("$"* "-"??_);_(@_)</c:formatCode>
                <c:ptCount val="11"/>
                <c:pt idx="0" formatCode="_-&quot;$&quot;* #,##0.00_-;\-&quot;$&quot;* #,##0.00_-;_-&quot;$&quot;* &quot;-&quot;??_-;_-@_-">
                  <c:v>-4204877236.7903833</c:v>
                </c:pt>
                <c:pt idx="1">
                  <c:v>2002693436.5609055</c:v>
                </c:pt>
                <c:pt idx="2">
                  <c:v>2159878121.2336717</c:v>
                </c:pt>
                <c:pt idx="3">
                  <c:v>2329551400.2389092</c:v>
                </c:pt>
                <c:pt idx="4">
                  <c:v>2330987701.4417253</c:v>
                </c:pt>
                <c:pt idx="5">
                  <c:v>2549259994.4931984</c:v>
                </c:pt>
                <c:pt idx="6">
                  <c:v>2762375491.7558022</c:v>
                </c:pt>
                <c:pt idx="7">
                  <c:v>2992214910.6279416</c:v>
                </c:pt>
                <c:pt idx="8">
                  <c:v>3219332954.9623432</c:v>
                </c:pt>
                <c:pt idx="9">
                  <c:v>3507202160.8484249</c:v>
                </c:pt>
                <c:pt idx="10">
                  <c:v>3795156992.0984688</c:v>
                </c:pt>
              </c:numCache>
            </c:numRef>
          </c:val>
          <c:extLst>
            <c:ext xmlns:c16="http://schemas.microsoft.com/office/drawing/2014/chart" uri="{C3380CC4-5D6E-409C-BE32-E72D297353CC}">
              <c16:uniqueId val="{00000000-BA9A-E94E-B048-FAA701492A8B}"/>
            </c:ext>
          </c:extLst>
        </c:ser>
        <c:dLbls>
          <c:showLegendKey val="0"/>
          <c:showVal val="0"/>
          <c:showCatName val="0"/>
          <c:showSerName val="0"/>
          <c:showPercent val="0"/>
          <c:showBubbleSize val="0"/>
        </c:dLbls>
        <c:gapWidth val="219"/>
        <c:overlap val="-27"/>
        <c:axId val="352593504"/>
        <c:axId val="310123056"/>
      </c:barChart>
      <c:catAx>
        <c:axId val="35259350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10123056"/>
        <c:crosses val="autoZero"/>
        <c:auto val="1"/>
        <c:lblAlgn val="ctr"/>
        <c:lblOffset val="100"/>
        <c:noMultiLvlLbl val="0"/>
      </c:catAx>
      <c:valAx>
        <c:axId val="310123056"/>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quot;$&quot;* #,##0.0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525935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solidFill>
                  <a:schemeClr val="accent1">
                    <a:lumMod val="75000"/>
                  </a:schemeClr>
                </a:solidFill>
              </a:rPr>
              <a:t>Costo equipo vs incremento make up </a:t>
            </a:r>
            <a:br>
              <a:rPr lang="en-US"/>
            </a:br>
            <a:r>
              <a:rPr lang="en-US">
                <a:solidFill>
                  <a:schemeClr val="accent2"/>
                </a:solidFill>
              </a:rPr>
              <a:t>Costo make up anual vs incremento make up </a:t>
            </a:r>
          </a:p>
        </c:rich>
      </c:tx>
      <c:layout>
        <c:manualLayout>
          <c:xMode val="edge"/>
          <c:yMode val="edge"/>
          <c:x val="0.24687489063867016"/>
          <c:y val="4.16666666666666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scatterChart>
        <c:scatterStyle val="smoothMarker"/>
        <c:varyColors val="0"/>
        <c:ser>
          <c:idx val="0"/>
          <c:order val="0"/>
          <c:tx>
            <c:strRef>
              <c:f>'U23 CÁLCULOS'!$F$1390</c:f>
              <c:strCache>
                <c:ptCount val="1"/>
                <c:pt idx="0">
                  <c:v>y costo equipo</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'U23 CÁLCULOS'!$E$1391:$E$1393</c:f>
              <c:numCache>
                <c:formatCode>General</c:formatCode>
                <c:ptCount val="3"/>
                <c:pt idx="0">
                  <c:v>4.5</c:v>
                </c:pt>
                <c:pt idx="1">
                  <c:v>9</c:v>
                </c:pt>
                <c:pt idx="2">
                  <c:v>13.5</c:v>
                </c:pt>
              </c:numCache>
            </c:numRef>
          </c:xVal>
          <c:yVal>
            <c:numRef>
              <c:f>'U23 CÁLCULOS'!$F$1391:$F$1393</c:f>
              <c:numCache>
                <c:formatCode>_("$"* #,##0.00_);_("$"* \(#,##0.00\);_("$"* "-"??_);_(@_)</c:formatCode>
                <c:ptCount val="3"/>
                <c:pt idx="0" formatCode="_-&quot;$&quot;* #,##0.00_-;\-&quot;$&quot;* #,##0.00_-;_-&quot;$&quot;* &quot;-&quot;??_-;_-@_-">
                  <c:v>613672438.93805301</c:v>
                </c:pt>
                <c:pt idx="1">
                  <c:v>1227344877.876106</c:v>
                </c:pt>
                <c:pt idx="2" formatCode="_-&quot;$&quot;* #,##0_-;\-&quot;$&quot;* #,##0_-;_-&quot;$&quot;* &quot;-&quot;_-;_-@_-">
                  <c:v>1841017316.8141589</c:v>
                </c:pt>
              </c:numCache>
            </c:numRef>
          </c:yVal>
          <c:smooth val="1"/>
          <c:extLst>
            <c:ext xmlns:c16="http://schemas.microsoft.com/office/drawing/2014/chart" uri="{C3380CC4-5D6E-409C-BE32-E72D297353CC}">
              <c16:uniqueId val="{00000000-A054-BC4C-95AA-FFCB3B424EB1}"/>
            </c:ext>
          </c:extLst>
        </c:ser>
        <c:ser>
          <c:idx val="1"/>
          <c:order val="1"/>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'U23 CÁLCULOS'!$E$1391:$E$1393</c:f>
              <c:numCache>
                <c:formatCode>General</c:formatCode>
                <c:ptCount val="3"/>
                <c:pt idx="0">
                  <c:v>4.5</c:v>
                </c:pt>
                <c:pt idx="1">
                  <c:v>9</c:v>
                </c:pt>
                <c:pt idx="2">
                  <c:v>13.5</c:v>
                </c:pt>
              </c:numCache>
            </c:numRef>
          </c:xVal>
          <c:yVal>
            <c:numRef>
              <c:f>'U23 CÁLCULOS'!$G$1391:$G$1393</c:f>
              <c:numCache>
                <c:formatCode>_-"$"* #,##0_-;\-"$"* #,##0_-;_-"$"* "-"_-;_-@_-</c:formatCode>
                <c:ptCount val="3"/>
                <c:pt idx="0">
                  <c:v>96339750</c:v>
                </c:pt>
                <c:pt idx="1">
                  <c:v>192679500</c:v>
                </c:pt>
                <c:pt idx="2">
                  <c:v>510419250</c:v>
                </c:pt>
              </c:numCache>
            </c:numRef>
          </c:yVal>
          <c:smooth val="1"/>
          <c:extLst>
            <c:ext xmlns:c16="http://schemas.microsoft.com/office/drawing/2014/chart" uri="{C3380CC4-5D6E-409C-BE32-E72D297353CC}">
              <c16:uniqueId val="{00000001-A054-BC4C-95AA-FFCB3B424EB1}"/>
            </c:ext>
          </c:extLst>
        </c:ser>
        <c:dLbls>
          <c:showLegendKey val="0"/>
          <c:showVal val="0"/>
          <c:showCatName val="0"/>
          <c:showSerName val="0"/>
          <c:showPercent val="0"/>
          <c:showBubbleSize val="0"/>
        </c:dLbls>
        <c:axId val="1850226575"/>
        <c:axId val="1845757007"/>
      </c:scatterChart>
      <c:valAx>
        <c:axId val="185022657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Make up necesario [ton/día]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45757007"/>
        <c:crosses val="autoZero"/>
        <c:crossBetween val="midCat"/>
      </c:valAx>
      <c:valAx>
        <c:axId val="1845757007"/>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00_-;\-&quot;$&quot;* #,##0.00_-;_-&quot;$&quot;* &quot;-&quot;??_-;_-@_-"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5022657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5690266841644797"/>
          <c:y val="9.259259259259258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scatterChart>
        <c:scatterStyle val="smooth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trendlineLbl>
          </c:trendline>
          <c:xVal>
            <c:numRef>
              <c:f>julian!$D$808:$E$808</c:f>
              <c:numCache>
                <c:formatCode>General</c:formatCode>
                <c:ptCount val="2"/>
                <c:pt idx="0">
                  <c:v>1</c:v>
                </c:pt>
                <c:pt idx="1">
                  <c:v>20</c:v>
                </c:pt>
              </c:numCache>
            </c:numRef>
          </c:xVal>
          <c:yVal>
            <c:numRef>
              <c:f>julian!$D$809:$E$809</c:f>
              <c:numCache>
                <c:formatCode>General</c:formatCode>
                <c:ptCount val="2"/>
                <c:pt idx="0">
                  <c:v>20</c:v>
                </c:pt>
                <c:pt idx="1">
                  <c:v>80</c:v>
                </c:pt>
              </c:numCache>
            </c:numRef>
          </c:yVal>
          <c:smooth val="1"/>
          <c:extLst>
            <c:ext xmlns:c16="http://schemas.microsoft.com/office/drawing/2014/chart" uri="{C3380CC4-5D6E-409C-BE32-E72D297353CC}">
              <c16:uniqueId val="{00000001-C2BD-468E-AB46-3C7ECCBCF236}"/>
            </c:ext>
          </c:extLst>
        </c:ser>
        <c:dLbls>
          <c:showLegendKey val="0"/>
          <c:showVal val="0"/>
          <c:showCatName val="0"/>
          <c:showSerName val="0"/>
          <c:showPercent val="0"/>
          <c:showBubbleSize val="0"/>
        </c:dLbls>
        <c:axId val="146702944"/>
        <c:axId val="1082537807"/>
      </c:scatterChart>
      <c:valAx>
        <c:axId val="1467029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2537807"/>
        <c:crosses val="autoZero"/>
        <c:crossBetween val="midCat"/>
      </c:valAx>
      <c:valAx>
        <c:axId val="108253780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6702944"/>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val>
            <c:numRef>
              <c:f>julian!$B$845:$L$845</c:f>
              <c:numCache>
                <c:formatCode>General</c:formatCode>
                <c:ptCount val="11"/>
                <c:pt idx="0">
                  <c:v>0</c:v>
                </c:pt>
                <c:pt idx="1">
                  <c:v>1</c:v>
                </c:pt>
                <c:pt idx="2">
                  <c:v>2</c:v>
                </c:pt>
                <c:pt idx="3">
                  <c:v>3</c:v>
                </c:pt>
                <c:pt idx="4">
                  <c:v>4</c:v>
                </c:pt>
                <c:pt idx="5">
                  <c:v>5</c:v>
                </c:pt>
                <c:pt idx="6">
                  <c:v>6</c:v>
                </c:pt>
                <c:pt idx="7">
                  <c:v>7</c:v>
                </c:pt>
                <c:pt idx="8">
                  <c:v>8</c:v>
                </c:pt>
                <c:pt idx="9">
                  <c:v>9</c:v>
                </c:pt>
                <c:pt idx="10">
                  <c:v>10</c:v>
                </c:pt>
              </c:numCache>
            </c:numRef>
          </c:val>
          <c:extLst>
            <c:ext xmlns:c16="http://schemas.microsoft.com/office/drawing/2014/chart" uri="{C3380CC4-5D6E-409C-BE32-E72D297353CC}">
              <c16:uniqueId val="{00000000-A5C0-42DC-A091-431D3C9D1651}"/>
            </c:ext>
          </c:extLst>
        </c:ser>
        <c:ser>
          <c:idx val="1"/>
          <c:order val="1"/>
          <c:spPr>
            <a:solidFill>
              <a:schemeClr val="accent2"/>
            </a:solidFill>
            <a:ln>
              <a:noFill/>
            </a:ln>
            <a:effectLst/>
          </c:spPr>
          <c:invertIfNegative val="0"/>
          <c:val>
            <c:numRef>
              <c:f>julian!$B$854:$L$854</c:f>
              <c:numCache>
                <c:formatCode>_-"$"* #,##0.00_-;\-"$"* #,##0.00_-;_-"$"* "-"??_-;_-@_-</c:formatCode>
                <c:ptCount val="11"/>
                <c:pt idx="0" formatCode="_-&quot;$&quot;* #,##0_-;\-&quot;$&quot;* #,##0_-;_-&quot;$&quot;* &quot;-&quot;_-;_-@_-">
                  <c:v>-7980782158.6449938</c:v>
                </c:pt>
                <c:pt idx="1">
                  <c:v>15996613731.725227</c:v>
                </c:pt>
                <c:pt idx="2">
                  <c:v>17054677950.420494</c:v>
                </c:pt>
                <c:pt idx="3">
                  <c:v>18360734227.298149</c:v>
                </c:pt>
                <c:pt idx="4">
                  <c:v>19568203205.774654</c:v>
                </c:pt>
                <c:pt idx="5">
                  <c:v>21271217070.928795</c:v>
                </c:pt>
                <c:pt idx="6">
                  <c:v>22890314244.674423</c:v>
                </c:pt>
                <c:pt idx="7">
                  <c:v>24629315069.521271</c:v>
                </c:pt>
                <c:pt idx="8">
                  <c:v>26249894691.941105</c:v>
                </c:pt>
                <c:pt idx="9">
                  <c:v>28502540993.598824</c:v>
                </c:pt>
                <c:pt idx="10">
                  <c:v>30656134781.714691</c:v>
                </c:pt>
              </c:numCache>
            </c:numRef>
          </c:val>
          <c:extLst>
            <c:ext xmlns:c16="http://schemas.microsoft.com/office/drawing/2014/chart" uri="{C3380CC4-5D6E-409C-BE32-E72D297353CC}">
              <c16:uniqueId val="{00000001-A5C0-42DC-A091-431D3C9D1651}"/>
            </c:ext>
          </c:extLst>
        </c:ser>
        <c:dLbls>
          <c:showLegendKey val="0"/>
          <c:showVal val="0"/>
          <c:showCatName val="0"/>
          <c:showSerName val="0"/>
          <c:showPercent val="0"/>
          <c:showBubbleSize val="0"/>
        </c:dLbls>
        <c:gapWidth val="219"/>
        <c:overlap val="-27"/>
        <c:axId val="2079984648"/>
        <c:axId val="2079990792"/>
      </c:barChart>
      <c:catAx>
        <c:axId val="207998464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9990792"/>
        <c:crosses val="autoZero"/>
        <c:auto val="1"/>
        <c:lblAlgn val="ctr"/>
        <c:lblOffset val="100"/>
        <c:noMultiLvlLbl val="0"/>
      </c:catAx>
      <c:valAx>
        <c:axId val="2079990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79984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5">
  <a:schemeClr val="accent2"/>
</cs:colorStyle>
</file>

<file path=xl/charts/colors4.xml><?xml version="1.0" encoding="utf-8"?>
<cs:colorStyle xmlns:cs="http://schemas.microsoft.com/office/drawing/2012/chartStyle" xmlns:a="http://schemas.openxmlformats.org/drawingml/2006/main" meth="withinLinear" id="15">
  <a:schemeClr val="accent2"/>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7.jpeg"/><Relationship Id="rId21" Type="http://schemas.openxmlformats.org/officeDocument/2006/relationships/image" Target="../media/image21.png"/><Relationship Id="rId34" Type="http://schemas.openxmlformats.org/officeDocument/2006/relationships/chart" Target="../charts/chart1.xml"/><Relationship Id="rId42"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chart" Target="../charts/chart4.xml"/><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5.png"/><Relationship Id="rId40" Type="http://schemas.openxmlformats.org/officeDocument/2006/relationships/chart" Target="../charts/chart3.xml"/><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4.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chart" Target="../charts/chart2.xml"/><Relationship Id="rId8" Type="http://schemas.openxmlformats.org/officeDocument/2006/relationships/image" Target="../media/image8.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6.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5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55.png"/></Relationships>
</file>

<file path=xl/drawings/_rels/drawing12.xml.rels><?xml version="1.0" encoding="UTF-8" standalone="yes"?>
<Relationships xmlns="http://schemas.openxmlformats.org/package/2006/relationships"><Relationship Id="rId8" Type="http://schemas.openxmlformats.org/officeDocument/2006/relationships/image" Target="../media/image64.png"/><Relationship Id="rId3" Type="http://schemas.openxmlformats.org/officeDocument/2006/relationships/image" Target="../media/image59.png"/><Relationship Id="rId7" Type="http://schemas.openxmlformats.org/officeDocument/2006/relationships/image" Target="../media/image63.png"/><Relationship Id="rId2" Type="http://schemas.openxmlformats.org/officeDocument/2006/relationships/image" Target="../media/image58.png"/><Relationship Id="rId1" Type="http://schemas.openxmlformats.org/officeDocument/2006/relationships/image" Target="../media/image57.png"/><Relationship Id="rId6" Type="http://schemas.openxmlformats.org/officeDocument/2006/relationships/image" Target="../media/image62.png"/><Relationship Id="rId11" Type="http://schemas.openxmlformats.org/officeDocument/2006/relationships/image" Target="../media/image50.png"/><Relationship Id="rId5" Type="http://schemas.openxmlformats.org/officeDocument/2006/relationships/image" Target="../media/image61.png"/><Relationship Id="rId10" Type="http://schemas.openxmlformats.org/officeDocument/2006/relationships/image" Target="../media/image66.png"/><Relationship Id="rId4" Type="http://schemas.openxmlformats.org/officeDocument/2006/relationships/image" Target="../media/image60.png"/><Relationship Id="rId9" Type="http://schemas.openxmlformats.org/officeDocument/2006/relationships/image" Target="../media/image6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6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67.png"/></Relationships>
</file>

<file path=xl/drawings/_rels/drawing15.xml.rels><?xml version="1.0" encoding="UTF-8" standalone="yes"?>
<Relationships xmlns="http://schemas.openxmlformats.org/package/2006/relationships"><Relationship Id="rId8" Type="http://schemas.openxmlformats.org/officeDocument/2006/relationships/image" Target="../media/image65.png"/><Relationship Id="rId3" Type="http://schemas.openxmlformats.org/officeDocument/2006/relationships/image" Target="../media/image59.png"/><Relationship Id="rId7" Type="http://schemas.openxmlformats.org/officeDocument/2006/relationships/image" Target="../media/image63.png"/><Relationship Id="rId2" Type="http://schemas.openxmlformats.org/officeDocument/2006/relationships/image" Target="../media/image58.png"/><Relationship Id="rId1" Type="http://schemas.openxmlformats.org/officeDocument/2006/relationships/image" Target="../media/image57.png"/><Relationship Id="rId6" Type="http://schemas.openxmlformats.org/officeDocument/2006/relationships/image" Target="../media/image62.png"/><Relationship Id="rId5" Type="http://schemas.openxmlformats.org/officeDocument/2006/relationships/image" Target="../media/image61.png"/><Relationship Id="rId10" Type="http://schemas.openxmlformats.org/officeDocument/2006/relationships/image" Target="../media/image50.png"/><Relationship Id="rId4" Type="http://schemas.openxmlformats.org/officeDocument/2006/relationships/image" Target="../media/image60.png"/><Relationship Id="rId9" Type="http://schemas.openxmlformats.org/officeDocument/2006/relationships/image" Target="../media/image66.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69.png"/></Relationships>
</file>

<file path=xl/drawings/_rels/drawing17.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72.png"/><Relationship Id="rId1" Type="http://schemas.openxmlformats.org/officeDocument/2006/relationships/image" Target="../media/image71.png"/><Relationship Id="rId4" Type="http://schemas.openxmlformats.org/officeDocument/2006/relationships/image" Target="../media/image7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8.png"/></Relationships>
</file>

<file path=xl/drawings/_rels/drawing4.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chart" Target="../charts/chart6.xml"/><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chart" Target="../charts/chart7.xml"/><Relationship Id="rId8"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9.png"/></Relationships>
</file>

<file path=xl/drawings/_rels/drawing6.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41.png"/><Relationship Id="rId1" Type="http://schemas.openxmlformats.org/officeDocument/2006/relationships/image" Target="../media/image40.png"/></Relationships>
</file>

<file path=xl/drawings/_rels/drawing7.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41.png"/><Relationship Id="rId1" Type="http://schemas.openxmlformats.org/officeDocument/2006/relationships/image" Target="../media/image40.png"/></Relationships>
</file>

<file path=xl/drawings/_rels/drawing8.xml.rels><?xml version="1.0" encoding="UTF-8" standalone="yes"?>
<Relationships xmlns="http://schemas.openxmlformats.org/package/2006/relationships"><Relationship Id="rId3" Type="http://schemas.openxmlformats.org/officeDocument/2006/relationships/image" Target="../media/image44.png"/><Relationship Id="rId7" Type="http://schemas.openxmlformats.org/officeDocument/2006/relationships/image" Target="../media/image48.png"/><Relationship Id="rId2" Type="http://schemas.openxmlformats.org/officeDocument/2006/relationships/image" Target="../media/image43.png"/><Relationship Id="rId1" Type="http://schemas.openxmlformats.org/officeDocument/2006/relationships/image" Target="../media/image42.png"/><Relationship Id="rId6" Type="http://schemas.openxmlformats.org/officeDocument/2006/relationships/image" Target="../media/image47.png"/><Relationship Id="rId5" Type="http://schemas.openxmlformats.org/officeDocument/2006/relationships/image" Target="../media/image46.png"/><Relationship Id="rId4" Type="http://schemas.openxmlformats.org/officeDocument/2006/relationships/image" Target="../media/image45.png"/></Relationships>
</file>

<file path=xl/drawings/_rels/drawing9.xml.rels><?xml version="1.0" encoding="UTF-8" standalone="yes"?>
<Relationships xmlns="http://schemas.openxmlformats.org/package/2006/relationships"><Relationship Id="rId3" Type="http://schemas.openxmlformats.org/officeDocument/2006/relationships/image" Target="../media/image51.png"/><Relationship Id="rId2" Type="http://schemas.openxmlformats.org/officeDocument/2006/relationships/image" Target="../media/image50.png"/><Relationship Id="rId1" Type="http://schemas.openxmlformats.org/officeDocument/2006/relationships/image" Target="../media/image49.png"/><Relationship Id="rId5" Type="http://schemas.openxmlformats.org/officeDocument/2006/relationships/image" Target="../media/image53.png"/><Relationship Id="rId4" Type="http://schemas.openxmlformats.org/officeDocument/2006/relationships/image" Target="../media/image52.png"/></Relationships>
</file>

<file path=xl/drawings/drawing1.xml><?xml version="1.0" encoding="utf-8"?>
<xdr:wsDr xmlns:xdr="http://schemas.openxmlformats.org/drawingml/2006/spreadsheetDrawing" xmlns:a="http://schemas.openxmlformats.org/drawingml/2006/main">
  <xdr:twoCellAnchor editAs="oneCell">
    <xdr:from>
      <xdr:col>9</xdr:col>
      <xdr:colOff>1163919</xdr:colOff>
      <xdr:row>588</xdr:row>
      <xdr:rowOff>3236</xdr:rowOff>
    </xdr:from>
    <xdr:to>
      <xdr:col>17</xdr:col>
      <xdr:colOff>828375</xdr:colOff>
      <xdr:row>615</xdr:row>
      <xdr:rowOff>131602</xdr:rowOff>
    </xdr:to>
    <xdr:pic>
      <xdr:nvPicPr>
        <xdr:cNvPr id="107" name="Imagen 41" descr="Tabla&#10;&#10;Descripción generada automáticamente">
          <a:extLst>
            <a:ext uri="{FF2B5EF4-FFF2-40B4-BE49-F238E27FC236}">
              <a16:creationId xmlns:a16="http://schemas.microsoft.com/office/drawing/2014/main" id="{7E925FE5-3922-CF21-21F6-B355B92CD829}"/>
            </a:ext>
          </a:extLst>
        </xdr:cNvPr>
        <xdr:cNvPicPr>
          <a:picLocks noChangeAspect="1"/>
        </xdr:cNvPicPr>
      </xdr:nvPicPr>
      <xdr:blipFill>
        <a:blip xmlns:r="http://schemas.openxmlformats.org/officeDocument/2006/relationships" r:embed="rId1"/>
        <a:stretch>
          <a:fillRect/>
        </a:stretch>
      </xdr:blipFill>
      <xdr:spPr>
        <a:xfrm>
          <a:off x="21718869" y="112255361"/>
          <a:ext cx="5600805" cy="5268056"/>
        </a:xfrm>
        <a:prstGeom prst="rect">
          <a:avLst/>
        </a:prstGeom>
      </xdr:spPr>
    </xdr:pic>
    <xdr:clientData/>
  </xdr:twoCellAnchor>
  <xdr:twoCellAnchor editAs="oneCell">
    <xdr:from>
      <xdr:col>6</xdr:col>
      <xdr:colOff>1630431</xdr:colOff>
      <xdr:row>18</xdr:row>
      <xdr:rowOff>105584</xdr:rowOff>
    </xdr:from>
    <xdr:to>
      <xdr:col>8</xdr:col>
      <xdr:colOff>48050</xdr:colOff>
      <xdr:row>32</xdr:row>
      <xdr:rowOff>59062</xdr:rowOff>
    </xdr:to>
    <xdr:pic>
      <xdr:nvPicPr>
        <xdr:cNvPr id="33" name="Imagen 1" descr="Tabla&#10;&#10;Descripción generada automáticamente">
          <a:extLst>
            <a:ext uri="{FF2B5EF4-FFF2-40B4-BE49-F238E27FC236}">
              <a16:creationId xmlns:a16="http://schemas.microsoft.com/office/drawing/2014/main" id="{7558652F-FDA3-01B9-CA21-E3D71F85EBC7}"/>
            </a:ext>
          </a:extLst>
        </xdr:cNvPr>
        <xdr:cNvPicPr>
          <a:picLocks noChangeAspect="1"/>
        </xdr:cNvPicPr>
      </xdr:nvPicPr>
      <xdr:blipFill>
        <a:blip xmlns:r="http://schemas.openxmlformats.org/officeDocument/2006/relationships" r:embed="rId2"/>
        <a:stretch>
          <a:fillRect/>
        </a:stretch>
      </xdr:blipFill>
      <xdr:spPr>
        <a:xfrm>
          <a:off x="16025605" y="3534584"/>
          <a:ext cx="3077473" cy="2523323"/>
        </a:xfrm>
        <a:prstGeom prst="rect">
          <a:avLst/>
        </a:prstGeom>
      </xdr:spPr>
    </xdr:pic>
    <xdr:clientData/>
  </xdr:twoCellAnchor>
  <xdr:twoCellAnchor>
    <xdr:from>
      <xdr:col>6</xdr:col>
      <xdr:colOff>1573660</xdr:colOff>
      <xdr:row>26</xdr:row>
      <xdr:rowOff>132537</xdr:rowOff>
    </xdr:from>
    <xdr:to>
      <xdr:col>7</xdr:col>
      <xdr:colOff>1099527</xdr:colOff>
      <xdr:row>26</xdr:row>
      <xdr:rowOff>132537</xdr:rowOff>
    </xdr:to>
    <xdr:cxnSp macro="">
      <xdr:nvCxnSpPr>
        <xdr:cNvPr id="58" name="Conector recto 3">
          <a:extLst>
            <a:ext uri="{FF2B5EF4-FFF2-40B4-BE49-F238E27FC236}">
              <a16:creationId xmlns:a16="http://schemas.microsoft.com/office/drawing/2014/main" id="{F21CBCE7-83E8-BEA4-22BB-D143193E6759}"/>
            </a:ext>
          </a:extLst>
        </xdr:cNvPr>
        <xdr:cNvCxnSpPr/>
      </xdr:nvCxnSpPr>
      <xdr:spPr>
        <a:xfrm>
          <a:off x="15971064" y="5085537"/>
          <a:ext cx="3291905" cy="0"/>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612775</xdr:colOff>
      <xdr:row>38</xdr:row>
      <xdr:rowOff>82550</xdr:rowOff>
    </xdr:from>
    <xdr:to>
      <xdr:col>7</xdr:col>
      <xdr:colOff>714859</xdr:colOff>
      <xdr:row>53</xdr:row>
      <xdr:rowOff>117051</xdr:rowOff>
    </xdr:to>
    <xdr:pic>
      <xdr:nvPicPr>
        <xdr:cNvPr id="31" name="Imagen 5" descr="Captura de pantalla de un celular con texto&#10;&#10;Descripción generada automáticamente">
          <a:extLst>
            <a:ext uri="{FF2B5EF4-FFF2-40B4-BE49-F238E27FC236}">
              <a16:creationId xmlns:a16="http://schemas.microsoft.com/office/drawing/2014/main" id="{EA8902B4-89AA-E2FC-29BC-51E99B23B63B}"/>
            </a:ext>
            <a:ext uri="{147F2762-F138-4A5C-976F-8EAC2B608ADB}">
              <a16:predDERef xmlns:a16="http://schemas.microsoft.com/office/drawing/2014/main" pred="{F21CBCE7-83E8-BEA4-22BB-D143193E6759}"/>
            </a:ext>
          </a:extLst>
        </xdr:cNvPr>
        <xdr:cNvPicPr>
          <a:picLocks noChangeAspect="1"/>
        </xdr:cNvPicPr>
      </xdr:nvPicPr>
      <xdr:blipFill>
        <a:blip xmlns:r="http://schemas.openxmlformats.org/officeDocument/2006/relationships" r:embed="rId3"/>
        <a:stretch>
          <a:fillRect/>
        </a:stretch>
      </xdr:blipFill>
      <xdr:spPr>
        <a:xfrm>
          <a:off x="17999075" y="7321550"/>
          <a:ext cx="4407384" cy="2892001"/>
        </a:xfrm>
        <a:prstGeom prst="rect">
          <a:avLst/>
        </a:prstGeom>
      </xdr:spPr>
    </xdr:pic>
    <xdr:clientData/>
  </xdr:twoCellAnchor>
  <xdr:twoCellAnchor>
    <xdr:from>
      <xdr:col>6</xdr:col>
      <xdr:colOff>1549400</xdr:colOff>
      <xdr:row>44</xdr:row>
      <xdr:rowOff>101599</xdr:rowOff>
    </xdr:from>
    <xdr:to>
      <xdr:col>7</xdr:col>
      <xdr:colOff>556292</xdr:colOff>
      <xdr:row>45</xdr:row>
      <xdr:rowOff>16070</xdr:rowOff>
    </xdr:to>
    <xdr:sp macro="" textlink="">
      <xdr:nvSpPr>
        <xdr:cNvPr id="56" name="Rectángulo 6">
          <a:extLst>
            <a:ext uri="{FF2B5EF4-FFF2-40B4-BE49-F238E27FC236}">
              <a16:creationId xmlns:a16="http://schemas.microsoft.com/office/drawing/2014/main" id="{070F737E-5AE7-9258-D973-AC242163BD7F}"/>
            </a:ext>
            <a:ext uri="{147F2762-F138-4A5C-976F-8EAC2B608ADB}">
              <a16:predDERef xmlns:a16="http://schemas.microsoft.com/office/drawing/2014/main" pred="{EA8902B4-89AA-E2FC-29BC-51E99B23B63B}"/>
            </a:ext>
          </a:extLst>
        </xdr:cNvPr>
        <xdr:cNvSpPr/>
      </xdr:nvSpPr>
      <xdr:spPr>
        <a:xfrm>
          <a:off x="18935700" y="8483599"/>
          <a:ext cx="3312192" cy="104971"/>
        </a:xfrm>
        <a:prstGeom prst="rect">
          <a:avLst/>
        </a:prstGeom>
        <a:noFill/>
        <a:ln w="28575">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3</xdr:col>
      <xdr:colOff>520383</xdr:colOff>
      <xdr:row>61</xdr:row>
      <xdr:rowOff>159385</xdr:rowOff>
    </xdr:from>
    <xdr:to>
      <xdr:col>5</xdr:col>
      <xdr:colOff>960090</xdr:colOff>
      <xdr:row>75</xdr:row>
      <xdr:rowOff>48618</xdr:rowOff>
    </xdr:to>
    <xdr:pic>
      <xdr:nvPicPr>
        <xdr:cNvPr id="3" name="Imagen 2" descr="Texto, Carta&#10;&#10;Descripción generada automáticamente">
          <a:extLst>
            <a:ext uri="{FF2B5EF4-FFF2-40B4-BE49-F238E27FC236}">
              <a16:creationId xmlns:a16="http://schemas.microsoft.com/office/drawing/2014/main" id="{EACC7B8E-D3D8-3EE5-461C-C37C21175FA5}"/>
            </a:ext>
          </a:extLst>
        </xdr:cNvPr>
        <xdr:cNvPicPr>
          <a:picLocks noChangeAspect="1"/>
        </xdr:cNvPicPr>
      </xdr:nvPicPr>
      <xdr:blipFill>
        <a:blip xmlns:r="http://schemas.openxmlformats.org/officeDocument/2006/relationships" r:embed="rId4"/>
        <a:stretch>
          <a:fillRect/>
        </a:stretch>
      </xdr:blipFill>
      <xdr:spPr>
        <a:xfrm>
          <a:off x="9044623" y="11934825"/>
          <a:ext cx="6720244" cy="2591793"/>
        </a:xfrm>
        <a:prstGeom prst="rect">
          <a:avLst/>
        </a:prstGeom>
      </xdr:spPr>
    </xdr:pic>
    <xdr:clientData/>
  </xdr:twoCellAnchor>
  <xdr:twoCellAnchor editAs="oneCell">
    <xdr:from>
      <xdr:col>5</xdr:col>
      <xdr:colOff>1192214</xdr:colOff>
      <xdr:row>61</xdr:row>
      <xdr:rowOff>36429</xdr:rowOff>
    </xdr:from>
    <xdr:to>
      <xdr:col>7</xdr:col>
      <xdr:colOff>481598</xdr:colOff>
      <xdr:row>75</xdr:row>
      <xdr:rowOff>122637</xdr:rowOff>
    </xdr:to>
    <xdr:pic>
      <xdr:nvPicPr>
        <xdr:cNvPr id="5" name="Imagen 4" descr="Texto, Carta&#10;&#10;Descripción generada automáticamente">
          <a:extLst>
            <a:ext uri="{FF2B5EF4-FFF2-40B4-BE49-F238E27FC236}">
              <a16:creationId xmlns:a16="http://schemas.microsoft.com/office/drawing/2014/main" id="{08A2AB6B-618F-2609-AE22-A57984FCBA57}"/>
            </a:ext>
          </a:extLst>
        </xdr:cNvPr>
        <xdr:cNvPicPr>
          <a:picLocks noChangeAspect="1"/>
        </xdr:cNvPicPr>
      </xdr:nvPicPr>
      <xdr:blipFill>
        <a:blip xmlns:r="http://schemas.openxmlformats.org/officeDocument/2006/relationships" r:embed="rId5"/>
        <a:stretch>
          <a:fillRect/>
        </a:stretch>
      </xdr:blipFill>
      <xdr:spPr>
        <a:xfrm>
          <a:off x="15771814" y="11811869"/>
          <a:ext cx="6421704" cy="2788768"/>
        </a:xfrm>
        <a:prstGeom prst="rect">
          <a:avLst/>
        </a:prstGeom>
      </xdr:spPr>
    </xdr:pic>
    <xdr:clientData/>
  </xdr:twoCellAnchor>
  <xdr:twoCellAnchor editAs="oneCell">
    <xdr:from>
      <xdr:col>5</xdr:col>
      <xdr:colOff>730834</xdr:colOff>
      <xdr:row>376</xdr:row>
      <xdr:rowOff>190263</xdr:rowOff>
    </xdr:from>
    <xdr:to>
      <xdr:col>7</xdr:col>
      <xdr:colOff>745342</xdr:colOff>
      <xdr:row>407</xdr:row>
      <xdr:rowOff>4336</xdr:rowOff>
    </xdr:to>
    <xdr:pic>
      <xdr:nvPicPr>
        <xdr:cNvPr id="6" name="Imagen 7" descr="Tabla&#10;&#10;Descripción generada automáticamente">
          <a:extLst>
            <a:ext uri="{FF2B5EF4-FFF2-40B4-BE49-F238E27FC236}">
              <a16:creationId xmlns:a16="http://schemas.microsoft.com/office/drawing/2014/main" id="{84C24C9A-365F-B61A-B4EF-DA27269E7AA6}"/>
            </a:ext>
          </a:extLst>
        </xdr:cNvPr>
        <xdr:cNvPicPr>
          <a:picLocks noChangeAspect="1"/>
        </xdr:cNvPicPr>
      </xdr:nvPicPr>
      <xdr:blipFill>
        <a:blip xmlns:r="http://schemas.openxmlformats.org/officeDocument/2006/relationships" r:embed="rId6"/>
        <a:stretch>
          <a:fillRect/>
        </a:stretch>
      </xdr:blipFill>
      <xdr:spPr>
        <a:xfrm>
          <a:off x="12653893" y="71818263"/>
          <a:ext cx="6422928" cy="5490973"/>
        </a:xfrm>
        <a:prstGeom prst="rect">
          <a:avLst/>
        </a:prstGeom>
      </xdr:spPr>
    </xdr:pic>
    <xdr:clientData/>
  </xdr:twoCellAnchor>
  <xdr:twoCellAnchor editAs="oneCell">
    <xdr:from>
      <xdr:col>5</xdr:col>
      <xdr:colOff>0</xdr:colOff>
      <xdr:row>148</xdr:row>
      <xdr:rowOff>51955</xdr:rowOff>
    </xdr:from>
    <xdr:to>
      <xdr:col>6</xdr:col>
      <xdr:colOff>1921745</xdr:colOff>
      <xdr:row>163</xdr:row>
      <xdr:rowOff>57312</xdr:rowOff>
    </xdr:to>
    <xdr:pic>
      <xdr:nvPicPr>
        <xdr:cNvPr id="9" name="Imagen 8" descr="Tabla&#10;&#10;Descripción generada automáticamente">
          <a:extLst>
            <a:ext uri="{FF2B5EF4-FFF2-40B4-BE49-F238E27FC236}">
              <a16:creationId xmlns:a16="http://schemas.microsoft.com/office/drawing/2014/main" id="{B523D964-D74F-4150-0BD0-51FE88FDB348}"/>
            </a:ext>
          </a:extLst>
        </xdr:cNvPr>
        <xdr:cNvPicPr>
          <a:picLocks noChangeAspect="1"/>
        </xdr:cNvPicPr>
      </xdr:nvPicPr>
      <xdr:blipFill>
        <a:blip xmlns:r="http://schemas.openxmlformats.org/officeDocument/2006/relationships" r:embed="rId7"/>
        <a:stretch>
          <a:fillRect/>
        </a:stretch>
      </xdr:blipFill>
      <xdr:spPr>
        <a:xfrm>
          <a:off x="14062364" y="28245955"/>
          <a:ext cx="4523809" cy="2866667"/>
        </a:xfrm>
        <a:prstGeom prst="rect">
          <a:avLst/>
        </a:prstGeom>
      </xdr:spPr>
    </xdr:pic>
    <xdr:clientData/>
  </xdr:twoCellAnchor>
  <xdr:oneCellAnchor>
    <xdr:from>
      <xdr:col>8</xdr:col>
      <xdr:colOff>612573</xdr:colOff>
      <xdr:row>344</xdr:row>
      <xdr:rowOff>62650</xdr:rowOff>
    </xdr:from>
    <xdr:ext cx="5608417" cy="3006648"/>
    <xdr:pic>
      <xdr:nvPicPr>
        <xdr:cNvPr id="55" name="Imagen 9" descr="Diagrama&#10;&#10;Descripción generada automáticamente">
          <a:extLst>
            <a:ext uri="{FF2B5EF4-FFF2-40B4-BE49-F238E27FC236}">
              <a16:creationId xmlns:a16="http://schemas.microsoft.com/office/drawing/2014/main" id="{79F843E7-3887-07D6-93C3-39A3F671C3A7}"/>
            </a:ext>
          </a:extLst>
        </xdr:cNvPr>
        <xdr:cNvPicPr>
          <a:picLocks noChangeAspect="1"/>
        </xdr:cNvPicPr>
      </xdr:nvPicPr>
      <xdr:blipFill>
        <a:blip xmlns:r="http://schemas.openxmlformats.org/officeDocument/2006/relationships" r:embed="rId8"/>
        <a:stretch>
          <a:fillRect/>
        </a:stretch>
      </xdr:blipFill>
      <xdr:spPr>
        <a:xfrm>
          <a:off x="17794926" y="64309709"/>
          <a:ext cx="6361538" cy="2943073"/>
        </a:xfrm>
        <a:prstGeom prst="rect">
          <a:avLst/>
        </a:prstGeom>
      </xdr:spPr>
    </xdr:pic>
    <xdr:clientData/>
  </xdr:oneCellAnchor>
  <xdr:twoCellAnchor editAs="oneCell">
    <xdr:from>
      <xdr:col>5</xdr:col>
      <xdr:colOff>7422</xdr:colOff>
      <xdr:row>163</xdr:row>
      <xdr:rowOff>160810</xdr:rowOff>
    </xdr:from>
    <xdr:to>
      <xdr:col>8</xdr:col>
      <xdr:colOff>1261488</xdr:colOff>
      <xdr:row>197</xdr:row>
      <xdr:rowOff>60952</xdr:rowOff>
    </xdr:to>
    <xdr:pic>
      <xdr:nvPicPr>
        <xdr:cNvPr id="11" name="Imagen 10" descr="Interfaz de usuario gráfica, Tabla&#10;&#10;Descripción generada automáticamente">
          <a:extLst>
            <a:ext uri="{FF2B5EF4-FFF2-40B4-BE49-F238E27FC236}">
              <a16:creationId xmlns:a16="http://schemas.microsoft.com/office/drawing/2014/main" id="{B9E5FEE9-DC26-23E1-5524-5AB6B234A1F7}"/>
            </a:ext>
          </a:extLst>
        </xdr:cNvPr>
        <xdr:cNvPicPr>
          <a:picLocks noChangeAspect="1"/>
        </xdr:cNvPicPr>
      </xdr:nvPicPr>
      <xdr:blipFill>
        <a:blip xmlns:r="http://schemas.openxmlformats.org/officeDocument/2006/relationships" r:embed="rId9"/>
        <a:stretch>
          <a:fillRect/>
        </a:stretch>
      </xdr:blipFill>
      <xdr:spPr>
        <a:xfrm>
          <a:off x="14077208" y="31212310"/>
          <a:ext cx="8257143" cy="6380952"/>
        </a:xfrm>
        <a:prstGeom prst="rect">
          <a:avLst/>
        </a:prstGeom>
      </xdr:spPr>
    </xdr:pic>
    <xdr:clientData/>
  </xdr:twoCellAnchor>
  <xdr:twoCellAnchor editAs="oneCell">
    <xdr:from>
      <xdr:col>5</xdr:col>
      <xdr:colOff>242454</xdr:colOff>
      <xdr:row>206</xdr:row>
      <xdr:rowOff>173181</xdr:rowOff>
    </xdr:from>
    <xdr:to>
      <xdr:col>7</xdr:col>
      <xdr:colOff>497815</xdr:colOff>
      <xdr:row>229</xdr:row>
      <xdr:rowOff>55764</xdr:rowOff>
    </xdr:to>
    <xdr:pic>
      <xdr:nvPicPr>
        <xdr:cNvPr id="12" name="Imagen 11" descr="Tabla&#10;&#10;Descripción generada automáticamente">
          <a:extLst>
            <a:ext uri="{FF2B5EF4-FFF2-40B4-BE49-F238E27FC236}">
              <a16:creationId xmlns:a16="http://schemas.microsoft.com/office/drawing/2014/main" id="{B4FB4F08-1483-001B-894D-871699B22ABE}"/>
            </a:ext>
          </a:extLst>
        </xdr:cNvPr>
        <xdr:cNvPicPr>
          <a:picLocks noChangeAspect="1"/>
        </xdr:cNvPicPr>
      </xdr:nvPicPr>
      <xdr:blipFill>
        <a:blip xmlns:r="http://schemas.openxmlformats.org/officeDocument/2006/relationships" r:embed="rId10"/>
        <a:stretch>
          <a:fillRect/>
        </a:stretch>
      </xdr:blipFill>
      <xdr:spPr>
        <a:xfrm>
          <a:off x="14304818" y="39416181"/>
          <a:ext cx="6870081" cy="4260273"/>
        </a:xfrm>
        <a:prstGeom prst="rect">
          <a:avLst/>
        </a:prstGeom>
      </xdr:spPr>
    </xdr:pic>
    <xdr:clientData/>
  </xdr:twoCellAnchor>
  <xdr:twoCellAnchor editAs="oneCell">
    <xdr:from>
      <xdr:col>5</xdr:col>
      <xdr:colOff>225136</xdr:colOff>
      <xdr:row>231</xdr:row>
      <xdr:rowOff>0</xdr:rowOff>
    </xdr:from>
    <xdr:to>
      <xdr:col>7</xdr:col>
      <xdr:colOff>589407</xdr:colOff>
      <xdr:row>259</xdr:row>
      <xdr:rowOff>136019</xdr:rowOff>
    </xdr:to>
    <xdr:pic>
      <xdr:nvPicPr>
        <xdr:cNvPr id="13" name="Imagen 12" descr="Tabla&#10;&#10;Descripción generada automáticamente">
          <a:extLst>
            <a:ext uri="{FF2B5EF4-FFF2-40B4-BE49-F238E27FC236}">
              <a16:creationId xmlns:a16="http://schemas.microsoft.com/office/drawing/2014/main" id="{C0F9C88E-F62F-499C-A337-B01DB2DD39DB}"/>
            </a:ext>
          </a:extLst>
        </xdr:cNvPr>
        <xdr:cNvPicPr>
          <a:picLocks noChangeAspect="1"/>
        </xdr:cNvPicPr>
      </xdr:nvPicPr>
      <xdr:blipFill>
        <a:blip xmlns:r="http://schemas.openxmlformats.org/officeDocument/2006/relationships" r:embed="rId6"/>
        <a:stretch>
          <a:fillRect/>
        </a:stretch>
      </xdr:blipFill>
      <xdr:spPr>
        <a:xfrm>
          <a:off x="14287500" y="44005500"/>
          <a:ext cx="6992326" cy="5477639"/>
        </a:xfrm>
        <a:prstGeom prst="rect">
          <a:avLst/>
        </a:prstGeom>
      </xdr:spPr>
    </xdr:pic>
    <xdr:clientData/>
  </xdr:twoCellAnchor>
  <xdr:twoCellAnchor editAs="oneCell">
    <xdr:from>
      <xdr:col>5</xdr:col>
      <xdr:colOff>432954</xdr:colOff>
      <xdr:row>296</xdr:row>
      <xdr:rowOff>103910</xdr:rowOff>
    </xdr:from>
    <xdr:to>
      <xdr:col>7</xdr:col>
      <xdr:colOff>627901</xdr:colOff>
      <xdr:row>319</xdr:row>
      <xdr:rowOff>55939</xdr:rowOff>
    </xdr:to>
    <xdr:pic>
      <xdr:nvPicPr>
        <xdr:cNvPr id="14" name="Imagen 13" descr="Tabla&#10;&#10;Descripción generada automáticamente">
          <a:extLst>
            <a:ext uri="{FF2B5EF4-FFF2-40B4-BE49-F238E27FC236}">
              <a16:creationId xmlns:a16="http://schemas.microsoft.com/office/drawing/2014/main" id="{95612097-C782-829A-DB2D-3FCC33CB0A75}"/>
            </a:ext>
          </a:extLst>
        </xdr:cNvPr>
        <xdr:cNvPicPr>
          <a:picLocks noChangeAspect="1"/>
        </xdr:cNvPicPr>
      </xdr:nvPicPr>
      <xdr:blipFill>
        <a:blip xmlns:r="http://schemas.openxmlformats.org/officeDocument/2006/relationships" r:embed="rId11"/>
        <a:stretch>
          <a:fillRect/>
        </a:stretch>
      </xdr:blipFill>
      <xdr:spPr>
        <a:xfrm>
          <a:off x="14495318" y="56491910"/>
          <a:ext cx="6805857" cy="4346864"/>
        </a:xfrm>
        <a:prstGeom prst="rect">
          <a:avLst/>
        </a:prstGeom>
      </xdr:spPr>
    </xdr:pic>
    <xdr:clientData/>
  </xdr:twoCellAnchor>
  <xdr:oneCellAnchor>
    <xdr:from>
      <xdr:col>8</xdr:col>
      <xdr:colOff>1315757</xdr:colOff>
      <xdr:row>310</xdr:row>
      <xdr:rowOff>17276</xdr:rowOff>
    </xdr:from>
    <xdr:ext cx="6744128" cy="5485333"/>
    <xdr:pic>
      <xdr:nvPicPr>
        <xdr:cNvPr id="52" name="Imagen 14" descr="Tabla&#10;&#10;Descripción generada automáticamente">
          <a:extLst>
            <a:ext uri="{FF2B5EF4-FFF2-40B4-BE49-F238E27FC236}">
              <a16:creationId xmlns:a16="http://schemas.microsoft.com/office/drawing/2014/main" id="{CFFA40E3-696A-4B3A-8098-998455DB4F6A}"/>
            </a:ext>
          </a:extLst>
        </xdr:cNvPr>
        <xdr:cNvPicPr>
          <a:picLocks noChangeAspect="1"/>
        </xdr:cNvPicPr>
      </xdr:nvPicPr>
      <xdr:blipFill>
        <a:blip xmlns:r="http://schemas.openxmlformats.org/officeDocument/2006/relationships" r:embed="rId6"/>
        <a:stretch>
          <a:fillRect/>
        </a:stretch>
      </xdr:blipFill>
      <xdr:spPr>
        <a:xfrm>
          <a:off x="18498110" y="57914335"/>
          <a:ext cx="6962766" cy="5369315"/>
        </a:xfrm>
        <a:prstGeom prst="rect">
          <a:avLst/>
        </a:prstGeom>
      </xdr:spPr>
    </xdr:pic>
    <xdr:clientData/>
  </xdr:oneCellAnchor>
  <xdr:twoCellAnchor editAs="oneCell">
    <xdr:from>
      <xdr:col>5</xdr:col>
      <xdr:colOff>571500</xdr:colOff>
      <xdr:row>322</xdr:row>
      <xdr:rowOff>119062</xdr:rowOff>
    </xdr:from>
    <xdr:to>
      <xdr:col>6</xdr:col>
      <xdr:colOff>3597074</xdr:colOff>
      <xdr:row>369</xdr:row>
      <xdr:rowOff>22503</xdr:rowOff>
    </xdr:to>
    <xdr:pic>
      <xdr:nvPicPr>
        <xdr:cNvPr id="19" name="Imagen 15" descr="Tabla&#10;&#10;Descripción generada automáticamente">
          <a:extLst>
            <a:ext uri="{FF2B5EF4-FFF2-40B4-BE49-F238E27FC236}">
              <a16:creationId xmlns:a16="http://schemas.microsoft.com/office/drawing/2014/main" id="{B6D13FBC-4CCE-B385-DEA6-C5CABE2CAFBE}"/>
            </a:ext>
          </a:extLst>
        </xdr:cNvPr>
        <xdr:cNvPicPr>
          <a:picLocks noChangeAspect="1"/>
        </xdr:cNvPicPr>
      </xdr:nvPicPr>
      <xdr:blipFill>
        <a:blip xmlns:r="http://schemas.openxmlformats.org/officeDocument/2006/relationships" r:embed="rId12"/>
        <a:stretch>
          <a:fillRect/>
        </a:stretch>
      </xdr:blipFill>
      <xdr:spPr>
        <a:xfrm>
          <a:off x="14620875" y="61460062"/>
          <a:ext cx="6354062" cy="8821381"/>
        </a:xfrm>
        <a:prstGeom prst="rect">
          <a:avLst/>
        </a:prstGeom>
      </xdr:spPr>
    </xdr:pic>
    <xdr:clientData/>
  </xdr:twoCellAnchor>
  <xdr:twoCellAnchor editAs="oneCell">
    <xdr:from>
      <xdr:col>6</xdr:col>
      <xdr:colOff>2459652</xdr:colOff>
      <xdr:row>396</xdr:row>
      <xdr:rowOff>179881</xdr:rowOff>
    </xdr:from>
    <xdr:to>
      <xdr:col>9</xdr:col>
      <xdr:colOff>280138</xdr:colOff>
      <xdr:row>411</xdr:row>
      <xdr:rowOff>10071</xdr:rowOff>
    </xdr:to>
    <xdr:pic>
      <xdr:nvPicPr>
        <xdr:cNvPr id="40" name="Imagen 17" descr="Tabla&#10;&#10;Descripción generada automáticamente">
          <a:extLst>
            <a:ext uri="{FF2B5EF4-FFF2-40B4-BE49-F238E27FC236}">
              <a16:creationId xmlns:a16="http://schemas.microsoft.com/office/drawing/2014/main" id="{5226C71F-0C18-6571-1667-04B2778A7929}"/>
            </a:ext>
            <a:ext uri="{147F2762-F138-4A5C-976F-8EAC2B608ADB}">
              <a16:predDERef xmlns:a16="http://schemas.microsoft.com/office/drawing/2014/main" pred="{B6D13FBC-4CCE-B385-DEA6-C5CABE2CAFBE}"/>
            </a:ext>
          </a:extLst>
        </xdr:cNvPr>
        <xdr:cNvPicPr>
          <a:picLocks noChangeAspect="1"/>
        </xdr:cNvPicPr>
      </xdr:nvPicPr>
      <xdr:blipFill>
        <a:blip xmlns:r="http://schemas.openxmlformats.org/officeDocument/2006/relationships" r:embed="rId13"/>
        <a:stretch>
          <a:fillRect/>
        </a:stretch>
      </xdr:blipFill>
      <xdr:spPr>
        <a:xfrm>
          <a:off x="16223277" y="75617881"/>
          <a:ext cx="3646113" cy="2648320"/>
        </a:xfrm>
        <a:prstGeom prst="rect">
          <a:avLst/>
        </a:prstGeom>
      </xdr:spPr>
    </xdr:pic>
    <xdr:clientData/>
  </xdr:twoCellAnchor>
  <xdr:twoCellAnchor editAs="oneCell">
    <xdr:from>
      <xdr:col>4</xdr:col>
      <xdr:colOff>3033431</xdr:colOff>
      <xdr:row>413</xdr:row>
      <xdr:rowOff>4284</xdr:rowOff>
    </xdr:from>
    <xdr:to>
      <xdr:col>7</xdr:col>
      <xdr:colOff>168820</xdr:colOff>
      <xdr:row>446</xdr:row>
      <xdr:rowOff>66095</xdr:rowOff>
    </xdr:to>
    <xdr:pic>
      <xdr:nvPicPr>
        <xdr:cNvPr id="34" name="Imagen 18" descr="Tabla&#10;&#10;Descripción generada automáticamente">
          <a:extLst>
            <a:ext uri="{FF2B5EF4-FFF2-40B4-BE49-F238E27FC236}">
              <a16:creationId xmlns:a16="http://schemas.microsoft.com/office/drawing/2014/main" id="{189877E4-3450-E9B9-4194-F6FA91C924B5}"/>
            </a:ext>
            <a:ext uri="{147F2762-F138-4A5C-976F-8EAC2B608ADB}">
              <a16:predDERef xmlns:a16="http://schemas.microsoft.com/office/drawing/2014/main" pred="{5226C71F-0C18-6571-1667-04B2778A7929}"/>
            </a:ext>
          </a:extLst>
        </xdr:cNvPr>
        <xdr:cNvPicPr>
          <a:picLocks noChangeAspect="1"/>
        </xdr:cNvPicPr>
      </xdr:nvPicPr>
      <xdr:blipFill>
        <a:blip xmlns:r="http://schemas.openxmlformats.org/officeDocument/2006/relationships" r:embed="rId14"/>
        <a:stretch>
          <a:fillRect/>
        </a:stretch>
      </xdr:blipFill>
      <xdr:spPr>
        <a:xfrm>
          <a:off x="11605931" y="78680784"/>
          <a:ext cx="7220846" cy="6096851"/>
        </a:xfrm>
        <a:prstGeom prst="rect">
          <a:avLst/>
        </a:prstGeom>
      </xdr:spPr>
    </xdr:pic>
    <xdr:clientData/>
  </xdr:twoCellAnchor>
  <xdr:oneCellAnchor>
    <xdr:from>
      <xdr:col>7</xdr:col>
      <xdr:colOff>1252632</xdr:colOff>
      <xdr:row>415</xdr:row>
      <xdr:rowOff>134845</xdr:rowOff>
    </xdr:from>
    <xdr:ext cx="7330058" cy="9777185"/>
    <xdr:pic>
      <xdr:nvPicPr>
        <xdr:cNvPr id="50" name="Imagen 19" descr="Tabla&#10;&#10;Descripción generada automáticamente">
          <a:extLst>
            <a:ext uri="{FF2B5EF4-FFF2-40B4-BE49-F238E27FC236}">
              <a16:creationId xmlns:a16="http://schemas.microsoft.com/office/drawing/2014/main" id="{A5A47CEB-D36B-2B33-8B55-3774641A0C44}"/>
            </a:ext>
            <a:ext uri="{147F2762-F138-4A5C-976F-8EAC2B608ADB}">
              <a16:predDERef xmlns:a16="http://schemas.microsoft.com/office/drawing/2014/main" pred="{189877E4-3450-E9B9-4194-F6FA91C924B5}"/>
            </a:ext>
          </a:extLst>
        </xdr:cNvPr>
        <xdr:cNvPicPr>
          <a:picLocks noChangeAspect="1"/>
        </xdr:cNvPicPr>
      </xdr:nvPicPr>
      <xdr:blipFill rotWithShape="1">
        <a:blip xmlns:r="http://schemas.openxmlformats.org/officeDocument/2006/relationships" r:embed="rId15"/>
        <a:srcRect r="11915"/>
        <a:stretch/>
      </xdr:blipFill>
      <xdr:spPr>
        <a:xfrm>
          <a:off x="19406161" y="79192345"/>
          <a:ext cx="7330058" cy="9777185"/>
        </a:xfrm>
        <a:prstGeom prst="rect">
          <a:avLst/>
        </a:prstGeom>
      </xdr:spPr>
    </xdr:pic>
    <xdr:clientData/>
  </xdr:oneCellAnchor>
  <xdr:twoCellAnchor editAs="oneCell">
    <xdr:from>
      <xdr:col>0</xdr:col>
      <xdr:colOff>97385</xdr:colOff>
      <xdr:row>418</xdr:row>
      <xdr:rowOff>185165</xdr:rowOff>
    </xdr:from>
    <xdr:to>
      <xdr:col>2</xdr:col>
      <xdr:colOff>1650280</xdr:colOff>
      <xdr:row>441</xdr:row>
      <xdr:rowOff>92342</xdr:rowOff>
    </xdr:to>
    <xdr:pic>
      <xdr:nvPicPr>
        <xdr:cNvPr id="42" name="Imagen 20" descr="Tabla&#10;&#10;Descripción generada automáticamente">
          <a:extLst>
            <a:ext uri="{FF2B5EF4-FFF2-40B4-BE49-F238E27FC236}">
              <a16:creationId xmlns:a16="http://schemas.microsoft.com/office/drawing/2014/main" id="{C6056514-E493-9D0D-BC83-A7059268E757}"/>
            </a:ext>
          </a:extLst>
        </xdr:cNvPr>
        <xdr:cNvPicPr>
          <a:picLocks noChangeAspect="1"/>
        </xdr:cNvPicPr>
      </xdr:nvPicPr>
      <xdr:blipFill>
        <a:blip xmlns:r="http://schemas.openxmlformats.org/officeDocument/2006/relationships" r:embed="rId16"/>
        <a:stretch>
          <a:fillRect/>
        </a:stretch>
      </xdr:blipFill>
      <xdr:spPr>
        <a:xfrm>
          <a:off x="97385" y="78252812"/>
          <a:ext cx="7128406" cy="4195145"/>
        </a:xfrm>
        <a:prstGeom prst="rect">
          <a:avLst/>
        </a:prstGeom>
      </xdr:spPr>
    </xdr:pic>
    <xdr:clientData/>
  </xdr:twoCellAnchor>
  <xdr:twoCellAnchor editAs="oneCell">
    <xdr:from>
      <xdr:col>0</xdr:col>
      <xdr:colOff>353786</xdr:colOff>
      <xdr:row>442</xdr:row>
      <xdr:rowOff>0</xdr:rowOff>
    </xdr:from>
    <xdr:to>
      <xdr:col>2</xdr:col>
      <xdr:colOff>1845713</xdr:colOff>
      <xdr:row>464</xdr:row>
      <xdr:rowOff>38690</xdr:rowOff>
    </xdr:to>
    <xdr:pic>
      <xdr:nvPicPr>
        <xdr:cNvPr id="44" name="Imagen 21" descr="Tabla&#10;&#10;Descripción generada automáticamente">
          <a:extLst>
            <a:ext uri="{FF2B5EF4-FFF2-40B4-BE49-F238E27FC236}">
              <a16:creationId xmlns:a16="http://schemas.microsoft.com/office/drawing/2014/main" id="{C67AEFBB-E491-CD21-0D7E-EBF6036359F3}"/>
            </a:ext>
          </a:extLst>
        </xdr:cNvPr>
        <xdr:cNvPicPr>
          <a:picLocks noChangeAspect="1"/>
        </xdr:cNvPicPr>
      </xdr:nvPicPr>
      <xdr:blipFill>
        <a:blip xmlns:r="http://schemas.openxmlformats.org/officeDocument/2006/relationships" r:embed="rId17"/>
        <a:stretch>
          <a:fillRect/>
        </a:stretch>
      </xdr:blipFill>
      <xdr:spPr>
        <a:xfrm>
          <a:off x="353786" y="84201000"/>
          <a:ext cx="6430272" cy="4229690"/>
        </a:xfrm>
        <a:prstGeom prst="rect">
          <a:avLst/>
        </a:prstGeom>
      </xdr:spPr>
    </xdr:pic>
    <xdr:clientData/>
  </xdr:twoCellAnchor>
  <xdr:twoCellAnchor editAs="oneCell">
    <xdr:from>
      <xdr:col>5</xdr:col>
      <xdr:colOff>2678771</xdr:colOff>
      <xdr:row>495</xdr:row>
      <xdr:rowOff>83524</xdr:rowOff>
    </xdr:from>
    <xdr:to>
      <xdr:col>7</xdr:col>
      <xdr:colOff>310063</xdr:colOff>
      <xdr:row>510</xdr:row>
      <xdr:rowOff>17738</xdr:rowOff>
    </xdr:to>
    <xdr:pic>
      <xdr:nvPicPr>
        <xdr:cNvPr id="46" name="Imagen 22" descr="Interfaz de usuario gráfica, Tabla&#10;&#10;Descripción generada automáticamente">
          <a:extLst>
            <a:ext uri="{FF2B5EF4-FFF2-40B4-BE49-F238E27FC236}">
              <a16:creationId xmlns:a16="http://schemas.microsoft.com/office/drawing/2014/main" id="{FE59F466-8FF7-8DBA-5E75-C3BFE09126B0}"/>
            </a:ext>
            <a:ext uri="{147F2762-F138-4A5C-976F-8EAC2B608ADB}">
              <a16:predDERef xmlns:a16="http://schemas.microsoft.com/office/drawing/2014/main" pred="{C67AEFBB-E491-CD21-0D7E-EBF6036359F3}"/>
            </a:ext>
          </a:extLst>
        </xdr:cNvPr>
        <xdr:cNvPicPr>
          <a:picLocks noChangeAspect="1"/>
        </xdr:cNvPicPr>
      </xdr:nvPicPr>
      <xdr:blipFill>
        <a:blip xmlns:r="http://schemas.openxmlformats.org/officeDocument/2006/relationships" r:embed="rId18"/>
        <a:stretch>
          <a:fillRect/>
        </a:stretch>
      </xdr:blipFill>
      <xdr:spPr>
        <a:xfrm>
          <a:off x="17268283" y="92081085"/>
          <a:ext cx="4755682" cy="2722019"/>
        </a:xfrm>
        <a:prstGeom prst="rect">
          <a:avLst/>
        </a:prstGeom>
      </xdr:spPr>
    </xdr:pic>
    <xdr:clientData/>
  </xdr:twoCellAnchor>
  <xdr:twoCellAnchor editAs="oneCell">
    <xdr:from>
      <xdr:col>4</xdr:col>
      <xdr:colOff>3212166</xdr:colOff>
      <xdr:row>530</xdr:row>
      <xdr:rowOff>127747</xdr:rowOff>
    </xdr:from>
    <xdr:to>
      <xdr:col>6</xdr:col>
      <xdr:colOff>3463130</xdr:colOff>
      <xdr:row>561</xdr:row>
      <xdr:rowOff>117105</xdr:rowOff>
    </xdr:to>
    <xdr:pic>
      <xdr:nvPicPr>
        <xdr:cNvPr id="38" name="Imagen 23" descr="Tabla&#10;&#10;Descripción generada automáticamente">
          <a:extLst>
            <a:ext uri="{FF2B5EF4-FFF2-40B4-BE49-F238E27FC236}">
              <a16:creationId xmlns:a16="http://schemas.microsoft.com/office/drawing/2014/main" id="{D9E589DB-564B-778F-BB08-C6EAF7612FB9}"/>
            </a:ext>
            <a:ext uri="{147F2762-F138-4A5C-976F-8EAC2B608ADB}">
              <a16:predDERef xmlns:a16="http://schemas.microsoft.com/office/drawing/2014/main" pred="{FE59F466-8FF7-8DBA-5E75-C3BFE09126B0}"/>
            </a:ext>
          </a:extLst>
        </xdr:cNvPr>
        <xdr:cNvPicPr>
          <a:picLocks noChangeAspect="1"/>
        </xdr:cNvPicPr>
      </xdr:nvPicPr>
      <xdr:blipFill>
        <a:blip xmlns:r="http://schemas.openxmlformats.org/officeDocument/2006/relationships" r:embed="rId19"/>
        <a:stretch>
          <a:fillRect/>
        </a:stretch>
      </xdr:blipFill>
      <xdr:spPr>
        <a:xfrm>
          <a:off x="11784666" y="101092747"/>
          <a:ext cx="6465461" cy="5658638"/>
        </a:xfrm>
        <a:prstGeom prst="rect">
          <a:avLst/>
        </a:prstGeom>
      </xdr:spPr>
    </xdr:pic>
    <xdr:clientData/>
  </xdr:twoCellAnchor>
  <xdr:twoCellAnchor editAs="oneCell">
    <xdr:from>
      <xdr:col>0</xdr:col>
      <xdr:colOff>176893</xdr:colOff>
      <xdr:row>498</xdr:row>
      <xdr:rowOff>68035</xdr:rowOff>
    </xdr:from>
    <xdr:to>
      <xdr:col>2</xdr:col>
      <xdr:colOff>1712642</xdr:colOff>
      <xdr:row>522</xdr:row>
      <xdr:rowOff>1989</xdr:rowOff>
    </xdr:to>
    <xdr:pic>
      <xdr:nvPicPr>
        <xdr:cNvPr id="49" name="Imagen 24" descr="Tabla&#10;&#10;Descripción generada automáticamente">
          <a:extLst>
            <a:ext uri="{FF2B5EF4-FFF2-40B4-BE49-F238E27FC236}">
              <a16:creationId xmlns:a16="http://schemas.microsoft.com/office/drawing/2014/main" id="{51D869E6-1449-4BE2-E2D2-360219051B87}"/>
            </a:ext>
          </a:extLst>
        </xdr:cNvPr>
        <xdr:cNvPicPr>
          <a:picLocks noChangeAspect="1"/>
        </xdr:cNvPicPr>
      </xdr:nvPicPr>
      <xdr:blipFill>
        <a:blip xmlns:r="http://schemas.openxmlformats.org/officeDocument/2006/relationships" r:embed="rId20"/>
        <a:stretch>
          <a:fillRect/>
        </a:stretch>
      </xdr:blipFill>
      <xdr:spPr>
        <a:xfrm>
          <a:off x="176893" y="94937035"/>
          <a:ext cx="6477904" cy="4505954"/>
        </a:xfrm>
        <a:prstGeom prst="rect">
          <a:avLst/>
        </a:prstGeom>
      </xdr:spPr>
    </xdr:pic>
    <xdr:clientData/>
  </xdr:twoCellAnchor>
  <xdr:twoCellAnchor editAs="oneCell">
    <xdr:from>
      <xdr:col>3</xdr:col>
      <xdr:colOff>995137</xdr:colOff>
      <xdr:row>498</xdr:row>
      <xdr:rowOff>41123</xdr:rowOff>
    </xdr:from>
    <xdr:to>
      <xdr:col>5</xdr:col>
      <xdr:colOff>1848837</xdr:colOff>
      <xdr:row>522</xdr:row>
      <xdr:rowOff>15930</xdr:rowOff>
    </xdr:to>
    <xdr:pic>
      <xdr:nvPicPr>
        <xdr:cNvPr id="51" name="Imagen 25" descr="Tabla&#10;&#10;Descripción generada automáticamente">
          <a:extLst>
            <a:ext uri="{FF2B5EF4-FFF2-40B4-BE49-F238E27FC236}">
              <a16:creationId xmlns:a16="http://schemas.microsoft.com/office/drawing/2014/main" id="{45621C31-28CD-D830-71E1-9A5CE7F70A06}"/>
            </a:ext>
          </a:extLst>
        </xdr:cNvPr>
        <xdr:cNvPicPr>
          <a:picLocks noChangeAspect="1"/>
        </xdr:cNvPicPr>
      </xdr:nvPicPr>
      <xdr:blipFill>
        <a:blip xmlns:r="http://schemas.openxmlformats.org/officeDocument/2006/relationships" r:embed="rId21"/>
        <a:stretch>
          <a:fillRect/>
        </a:stretch>
      </xdr:blipFill>
      <xdr:spPr>
        <a:xfrm>
          <a:off x="7870070" y="92801923"/>
          <a:ext cx="7321546" cy="4413880"/>
        </a:xfrm>
        <a:prstGeom prst="rect">
          <a:avLst/>
        </a:prstGeom>
      </xdr:spPr>
    </xdr:pic>
    <xdr:clientData/>
  </xdr:twoCellAnchor>
  <xdr:twoCellAnchor editAs="oneCell">
    <xdr:from>
      <xdr:col>1</xdr:col>
      <xdr:colOff>1564821</xdr:colOff>
      <xdr:row>524</xdr:row>
      <xdr:rowOff>27214</xdr:rowOff>
    </xdr:from>
    <xdr:to>
      <xdr:col>4</xdr:col>
      <xdr:colOff>505226</xdr:colOff>
      <xdr:row>525</xdr:row>
      <xdr:rowOff>74872</xdr:rowOff>
    </xdr:to>
    <xdr:pic>
      <xdr:nvPicPr>
        <xdr:cNvPr id="53" name="Imagen 26">
          <a:extLst>
            <a:ext uri="{FF2B5EF4-FFF2-40B4-BE49-F238E27FC236}">
              <a16:creationId xmlns:a16="http://schemas.microsoft.com/office/drawing/2014/main" id="{EB5E6C97-C7C3-D118-ABE1-2EEE06B48615}"/>
            </a:ext>
          </a:extLst>
        </xdr:cNvPr>
        <xdr:cNvPicPr>
          <a:picLocks noChangeAspect="1"/>
        </xdr:cNvPicPr>
      </xdr:nvPicPr>
      <xdr:blipFill>
        <a:blip xmlns:r="http://schemas.openxmlformats.org/officeDocument/2006/relationships" r:embed="rId22"/>
        <a:stretch>
          <a:fillRect/>
        </a:stretch>
      </xdr:blipFill>
      <xdr:spPr>
        <a:xfrm>
          <a:off x="3782785" y="99849214"/>
          <a:ext cx="6392167" cy="238158"/>
        </a:xfrm>
        <a:prstGeom prst="rect">
          <a:avLst/>
        </a:prstGeom>
      </xdr:spPr>
    </xdr:pic>
    <xdr:clientData/>
  </xdr:twoCellAnchor>
  <xdr:twoCellAnchor editAs="oneCell">
    <xdr:from>
      <xdr:col>0</xdr:col>
      <xdr:colOff>0</xdr:colOff>
      <xdr:row>530</xdr:row>
      <xdr:rowOff>0</xdr:rowOff>
    </xdr:from>
    <xdr:to>
      <xdr:col>3</xdr:col>
      <xdr:colOff>1310905</xdr:colOff>
      <xdr:row>560</xdr:row>
      <xdr:rowOff>15399</xdr:rowOff>
    </xdr:to>
    <xdr:pic>
      <xdr:nvPicPr>
        <xdr:cNvPr id="54" name="Imagen 16" descr="Diagrama&#10;&#10;Descripción generada automáticamente">
          <a:extLst>
            <a:ext uri="{FF2B5EF4-FFF2-40B4-BE49-F238E27FC236}">
              <a16:creationId xmlns:a16="http://schemas.microsoft.com/office/drawing/2014/main" id="{691DEAAB-9358-CD94-D593-B73F3B7D6D72}"/>
            </a:ext>
          </a:extLst>
        </xdr:cNvPr>
        <xdr:cNvPicPr>
          <a:picLocks noChangeAspect="1"/>
        </xdr:cNvPicPr>
      </xdr:nvPicPr>
      <xdr:blipFill>
        <a:blip xmlns:r="http://schemas.openxmlformats.org/officeDocument/2006/relationships" r:embed="rId23"/>
        <a:stretch>
          <a:fillRect/>
        </a:stretch>
      </xdr:blipFill>
      <xdr:spPr>
        <a:xfrm>
          <a:off x="0" y="100965000"/>
          <a:ext cx="8440328" cy="5687219"/>
        </a:xfrm>
        <a:prstGeom prst="rect">
          <a:avLst/>
        </a:prstGeom>
      </xdr:spPr>
    </xdr:pic>
    <xdr:clientData/>
  </xdr:twoCellAnchor>
  <xdr:twoCellAnchor editAs="oneCell">
    <xdr:from>
      <xdr:col>3</xdr:col>
      <xdr:colOff>425824</xdr:colOff>
      <xdr:row>529</xdr:row>
      <xdr:rowOff>100853</xdr:rowOff>
    </xdr:from>
    <xdr:to>
      <xdr:col>4</xdr:col>
      <xdr:colOff>2498844</xdr:colOff>
      <xdr:row>537</xdr:row>
      <xdr:rowOff>509</xdr:rowOff>
    </xdr:to>
    <xdr:pic>
      <xdr:nvPicPr>
        <xdr:cNvPr id="57" name="Imagen 27" descr="Un reloj de aguja&#10;&#10;Descripción generada automáticamente con confianza baja">
          <a:extLst>
            <a:ext uri="{FF2B5EF4-FFF2-40B4-BE49-F238E27FC236}">
              <a16:creationId xmlns:a16="http://schemas.microsoft.com/office/drawing/2014/main" id="{536D49BA-BD5E-CD5D-9BBA-6CD5FCD0F5BA}"/>
            </a:ext>
          </a:extLst>
        </xdr:cNvPr>
        <xdr:cNvPicPr>
          <a:picLocks noChangeAspect="1"/>
        </xdr:cNvPicPr>
      </xdr:nvPicPr>
      <xdr:blipFill>
        <a:blip xmlns:r="http://schemas.openxmlformats.org/officeDocument/2006/relationships" r:embed="rId24"/>
        <a:stretch>
          <a:fillRect/>
        </a:stretch>
      </xdr:blipFill>
      <xdr:spPr>
        <a:xfrm>
          <a:off x="8583706" y="100875353"/>
          <a:ext cx="4496427" cy="1419423"/>
        </a:xfrm>
        <a:prstGeom prst="rect">
          <a:avLst/>
        </a:prstGeom>
      </xdr:spPr>
    </xdr:pic>
    <xdr:clientData/>
  </xdr:twoCellAnchor>
  <xdr:oneCellAnchor>
    <xdr:from>
      <xdr:col>7</xdr:col>
      <xdr:colOff>723254</xdr:colOff>
      <xdr:row>530</xdr:row>
      <xdr:rowOff>89150</xdr:rowOff>
    </xdr:from>
    <xdr:ext cx="7304262" cy="5400160"/>
    <xdr:pic>
      <xdr:nvPicPr>
        <xdr:cNvPr id="48" name="Imagen 28" descr="Gráfico&#10;&#10;Descripción generada automáticamente con confianza media">
          <a:extLst>
            <a:ext uri="{FF2B5EF4-FFF2-40B4-BE49-F238E27FC236}">
              <a16:creationId xmlns:a16="http://schemas.microsoft.com/office/drawing/2014/main" id="{A977A5C5-CAF0-9E73-6D88-E0A4CD7B2858}"/>
            </a:ext>
          </a:extLst>
        </xdr:cNvPr>
        <xdr:cNvPicPr>
          <a:picLocks noChangeAspect="1"/>
        </xdr:cNvPicPr>
      </xdr:nvPicPr>
      <xdr:blipFill>
        <a:blip xmlns:r="http://schemas.openxmlformats.org/officeDocument/2006/relationships" r:embed="rId25"/>
        <a:stretch>
          <a:fillRect/>
        </a:stretch>
      </xdr:blipFill>
      <xdr:spPr>
        <a:xfrm>
          <a:off x="18876783" y="101054150"/>
          <a:ext cx="7304262" cy="5400160"/>
        </a:xfrm>
        <a:prstGeom prst="rect">
          <a:avLst/>
        </a:prstGeom>
      </xdr:spPr>
    </xdr:pic>
    <xdr:clientData/>
  </xdr:oneCellAnchor>
  <xdr:twoCellAnchor>
    <xdr:from>
      <xdr:col>3</xdr:col>
      <xdr:colOff>1052606</xdr:colOff>
      <xdr:row>591</xdr:row>
      <xdr:rowOff>186017</xdr:rowOff>
    </xdr:from>
    <xdr:to>
      <xdr:col>5</xdr:col>
      <xdr:colOff>1198283</xdr:colOff>
      <xdr:row>593</xdr:row>
      <xdr:rowOff>10957</xdr:rowOff>
    </xdr:to>
    <xdr:sp macro="" textlink="">
      <xdr:nvSpPr>
        <xdr:cNvPr id="112" name="Rectángulo 30">
          <a:extLst>
            <a:ext uri="{FF2B5EF4-FFF2-40B4-BE49-F238E27FC236}">
              <a16:creationId xmlns:a16="http://schemas.microsoft.com/office/drawing/2014/main" id="{934BAE7E-7EBE-EC4D-3930-2B1F1D55A98A}"/>
            </a:ext>
          </a:extLst>
        </xdr:cNvPr>
        <xdr:cNvSpPr/>
      </xdr:nvSpPr>
      <xdr:spPr>
        <a:xfrm>
          <a:off x="10840073" y="110523617"/>
          <a:ext cx="6902077" cy="197473"/>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824753</xdr:colOff>
      <xdr:row>576</xdr:row>
      <xdr:rowOff>174812</xdr:rowOff>
    </xdr:from>
    <xdr:to>
      <xdr:col>5</xdr:col>
      <xdr:colOff>795619</xdr:colOff>
      <xdr:row>577</xdr:row>
      <xdr:rowOff>179294</xdr:rowOff>
    </xdr:to>
    <xdr:sp macro="" textlink="">
      <xdr:nvSpPr>
        <xdr:cNvPr id="110" name="Rectángulo 31">
          <a:extLst>
            <a:ext uri="{FF2B5EF4-FFF2-40B4-BE49-F238E27FC236}">
              <a16:creationId xmlns:a16="http://schemas.microsoft.com/office/drawing/2014/main" id="{650D5916-4B10-4929-B640-AC6B64DF7745}"/>
            </a:ext>
          </a:extLst>
        </xdr:cNvPr>
        <xdr:cNvSpPr/>
      </xdr:nvSpPr>
      <xdr:spPr>
        <a:xfrm>
          <a:off x="8982635" y="109936430"/>
          <a:ext cx="5876366" cy="194982"/>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753034</xdr:colOff>
      <xdr:row>579</xdr:row>
      <xdr:rowOff>80682</xdr:rowOff>
    </xdr:from>
    <xdr:to>
      <xdr:col>5</xdr:col>
      <xdr:colOff>898711</xdr:colOff>
      <xdr:row>580</xdr:row>
      <xdr:rowOff>91888</xdr:rowOff>
    </xdr:to>
    <xdr:sp macro="" textlink="">
      <xdr:nvSpPr>
        <xdr:cNvPr id="108" name="Rectángulo 32">
          <a:extLst>
            <a:ext uri="{FF2B5EF4-FFF2-40B4-BE49-F238E27FC236}">
              <a16:creationId xmlns:a16="http://schemas.microsoft.com/office/drawing/2014/main" id="{976EDFAA-5D96-4488-83E5-06BA4E1F2743}"/>
            </a:ext>
          </a:extLst>
        </xdr:cNvPr>
        <xdr:cNvSpPr/>
      </xdr:nvSpPr>
      <xdr:spPr>
        <a:xfrm>
          <a:off x="8910916" y="110413800"/>
          <a:ext cx="6051177" cy="201706"/>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1095935</xdr:colOff>
      <xdr:row>594</xdr:row>
      <xdr:rowOff>99382</xdr:rowOff>
    </xdr:from>
    <xdr:to>
      <xdr:col>5</xdr:col>
      <xdr:colOff>1241612</xdr:colOff>
      <xdr:row>595</xdr:row>
      <xdr:rowOff>110587</xdr:rowOff>
    </xdr:to>
    <xdr:sp macro="" textlink="">
      <xdr:nvSpPr>
        <xdr:cNvPr id="111" name="Rectángulo 33">
          <a:extLst>
            <a:ext uri="{FF2B5EF4-FFF2-40B4-BE49-F238E27FC236}">
              <a16:creationId xmlns:a16="http://schemas.microsoft.com/office/drawing/2014/main" id="{037651B8-994C-4834-B661-CD63CF106A7F}"/>
            </a:ext>
          </a:extLst>
        </xdr:cNvPr>
        <xdr:cNvSpPr/>
      </xdr:nvSpPr>
      <xdr:spPr>
        <a:xfrm>
          <a:off x="10883402" y="110995782"/>
          <a:ext cx="6902077" cy="197472"/>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6</xdr:col>
      <xdr:colOff>1495985</xdr:colOff>
      <xdr:row>628</xdr:row>
      <xdr:rowOff>37539</xdr:rowOff>
    </xdr:from>
    <xdr:to>
      <xdr:col>6</xdr:col>
      <xdr:colOff>3714116</xdr:colOff>
      <xdr:row>649</xdr:row>
      <xdr:rowOff>55758</xdr:rowOff>
    </xdr:to>
    <xdr:pic>
      <xdr:nvPicPr>
        <xdr:cNvPr id="98" name="Imagen 34" descr="Diagrama, Dibujo de ingeniería&#10;&#10;Descripción generada automáticamente">
          <a:extLst>
            <a:ext uri="{FF2B5EF4-FFF2-40B4-BE49-F238E27FC236}">
              <a16:creationId xmlns:a16="http://schemas.microsoft.com/office/drawing/2014/main" id="{221696B7-F0E4-3215-A6A5-39D6D9874910}"/>
            </a:ext>
            <a:ext uri="{147F2762-F138-4A5C-976F-8EAC2B608ADB}">
              <a16:predDERef xmlns:a16="http://schemas.microsoft.com/office/drawing/2014/main" pred="{037651B8-994C-4834-B661-CD63CF106A7F}"/>
            </a:ext>
          </a:extLst>
        </xdr:cNvPr>
        <xdr:cNvPicPr>
          <a:picLocks noChangeAspect="1"/>
        </xdr:cNvPicPr>
      </xdr:nvPicPr>
      <xdr:blipFill>
        <a:blip xmlns:r="http://schemas.openxmlformats.org/officeDocument/2006/relationships" r:embed="rId26"/>
        <a:stretch>
          <a:fillRect/>
        </a:stretch>
      </xdr:blipFill>
      <xdr:spPr>
        <a:xfrm>
          <a:off x="15259610" y="119909664"/>
          <a:ext cx="2221941" cy="4014909"/>
        </a:xfrm>
        <a:prstGeom prst="rect">
          <a:avLst/>
        </a:prstGeom>
      </xdr:spPr>
    </xdr:pic>
    <xdr:clientData/>
  </xdr:twoCellAnchor>
  <xdr:twoCellAnchor>
    <xdr:from>
      <xdr:col>1</xdr:col>
      <xdr:colOff>2274794</xdr:colOff>
      <xdr:row>594</xdr:row>
      <xdr:rowOff>56029</xdr:rowOff>
    </xdr:from>
    <xdr:to>
      <xdr:col>1</xdr:col>
      <xdr:colOff>2846294</xdr:colOff>
      <xdr:row>594</xdr:row>
      <xdr:rowOff>56029</xdr:rowOff>
    </xdr:to>
    <xdr:cxnSp macro="">
      <xdr:nvCxnSpPr>
        <xdr:cNvPr id="93" name="Conector recto 36">
          <a:extLst>
            <a:ext uri="{FF2B5EF4-FFF2-40B4-BE49-F238E27FC236}">
              <a16:creationId xmlns:a16="http://schemas.microsoft.com/office/drawing/2014/main" id="{BC7C3979-924A-B865-506C-4274D4B1C80B}"/>
            </a:ext>
          </a:extLst>
        </xdr:cNvPr>
        <xdr:cNvCxnSpPr/>
      </xdr:nvCxnSpPr>
      <xdr:spPr>
        <a:xfrm>
          <a:off x="4493559" y="113246647"/>
          <a:ext cx="571500" cy="0"/>
        </a:xfrm>
        <a:prstGeom prst="line">
          <a:avLst/>
        </a:prstGeom>
        <a:ln w="5715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2980764</xdr:colOff>
      <xdr:row>590</xdr:row>
      <xdr:rowOff>100853</xdr:rowOff>
    </xdr:from>
    <xdr:to>
      <xdr:col>1</xdr:col>
      <xdr:colOff>2980764</xdr:colOff>
      <xdr:row>603</xdr:row>
      <xdr:rowOff>0</xdr:rowOff>
    </xdr:to>
    <xdr:cxnSp macro="">
      <xdr:nvCxnSpPr>
        <xdr:cNvPr id="96" name="Conector recto 38">
          <a:extLst>
            <a:ext uri="{FF2B5EF4-FFF2-40B4-BE49-F238E27FC236}">
              <a16:creationId xmlns:a16="http://schemas.microsoft.com/office/drawing/2014/main" id="{030F1B65-8ED0-4DE8-AB5C-B6A17261DA1C}"/>
            </a:ext>
          </a:extLst>
        </xdr:cNvPr>
        <xdr:cNvCxnSpPr/>
      </xdr:nvCxnSpPr>
      <xdr:spPr>
        <a:xfrm>
          <a:off x="5199529" y="112529471"/>
          <a:ext cx="0" cy="2375647"/>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5</xdr:col>
      <xdr:colOff>2032523</xdr:colOff>
      <xdr:row>564</xdr:row>
      <xdr:rowOff>72895</xdr:rowOff>
    </xdr:from>
    <xdr:to>
      <xdr:col>6</xdr:col>
      <xdr:colOff>2575404</xdr:colOff>
      <xdr:row>575</xdr:row>
      <xdr:rowOff>108928</xdr:rowOff>
    </xdr:to>
    <xdr:pic>
      <xdr:nvPicPr>
        <xdr:cNvPr id="43" name="Imagen 42" descr="Interfaz de usuario gráfica, Tabla&#10;&#10;Descripción generada automáticamente">
          <a:extLst>
            <a:ext uri="{FF2B5EF4-FFF2-40B4-BE49-F238E27FC236}">
              <a16:creationId xmlns:a16="http://schemas.microsoft.com/office/drawing/2014/main" id="{6AA3460C-2B36-E61D-C18F-77CA8106AA51}"/>
            </a:ext>
          </a:extLst>
        </xdr:cNvPr>
        <xdr:cNvPicPr>
          <a:picLocks noChangeAspect="1"/>
        </xdr:cNvPicPr>
      </xdr:nvPicPr>
      <xdr:blipFill>
        <a:blip xmlns:r="http://schemas.openxmlformats.org/officeDocument/2006/relationships" r:embed="rId27"/>
        <a:stretch>
          <a:fillRect/>
        </a:stretch>
      </xdr:blipFill>
      <xdr:spPr>
        <a:xfrm>
          <a:off x="13955582" y="107514895"/>
          <a:ext cx="3080341" cy="2306793"/>
        </a:xfrm>
        <a:prstGeom prst="rect">
          <a:avLst/>
        </a:prstGeom>
      </xdr:spPr>
    </xdr:pic>
    <xdr:clientData/>
  </xdr:twoCellAnchor>
  <xdr:twoCellAnchor editAs="oneCell">
    <xdr:from>
      <xdr:col>4</xdr:col>
      <xdr:colOff>1766359</xdr:colOff>
      <xdr:row>642</xdr:row>
      <xdr:rowOff>185208</xdr:rowOff>
    </xdr:from>
    <xdr:to>
      <xdr:col>6</xdr:col>
      <xdr:colOff>3693</xdr:colOff>
      <xdr:row>655</xdr:row>
      <xdr:rowOff>11534</xdr:rowOff>
    </xdr:to>
    <xdr:pic>
      <xdr:nvPicPr>
        <xdr:cNvPr id="116" name="Imagen 43" descr="Interfaz de usuario gráfica, Tabla&#10;&#10;Descripción generada automáticamente">
          <a:extLst>
            <a:ext uri="{FF2B5EF4-FFF2-40B4-BE49-F238E27FC236}">
              <a16:creationId xmlns:a16="http://schemas.microsoft.com/office/drawing/2014/main" id="{F97E4A71-BA8B-802C-51A9-B27C32BD7BFA}"/>
            </a:ext>
            <a:ext uri="{147F2762-F138-4A5C-976F-8EAC2B608ADB}">
              <a16:predDERef xmlns:a16="http://schemas.microsoft.com/office/drawing/2014/main" pred="{6AA3460C-2B36-E61D-C18F-77CA8106AA51}"/>
            </a:ext>
          </a:extLst>
        </xdr:cNvPr>
        <xdr:cNvPicPr>
          <a:picLocks noChangeAspect="1"/>
        </xdr:cNvPicPr>
      </xdr:nvPicPr>
      <xdr:blipFill>
        <a:blip xmlns:r="http://schemas.openxmlformats.org/officeDocument/2006/relationships" r:embed="rId28"/>
        <a:stretch>
          <a:fillRect/>
        </a:stretch>
      </xdr:blipFill>
      <xdr:spPr>
        <a:xfrm>
          <a:off x="9710209" y="122724333"/>
          <a:ext cx="4055598" cy="2267266"/>
        </a:xfrm>
        <a:prstGeom prst="rect">
          <a:avLst/>
        </a:prstGeom>
      </xdr:spPr>
    </xdr:pic>
    <xdr:clientData/>
  </xdr:twoCellAnchor>
  <xdr:twoCellAnchor editAs="oneCell">
    <xdr:from>
      <xdr:col>9</xdr:col>
      <xdr:colOff>684680</xdr:colOff>
      <xdr:row>746</xdr:row>
      <xdr:rowOff>94690</xdr:rowOff>
    </xdr:from>
    <xdr:to>
      <xdr:col>14</xdr:col>
      <xdr:colOff>1549962</xdr:colOff>
      <xdr:row>770</xdr:row>
      <xdr:rowOff>21024</xdr:rowOff>
    </xdr:to>
    <xdr:pic>
      <xdr:nvPicPr>
        <xdr:cNvPr id="118" name="Imagen 14" descr="Tabla&#10;&#10;Descripción generada automáticamente">
          <a:extLst>
            <a:ext uri="{FF2B5EF4-FFF2-40B4-BE49-F238E27FC236}">
              <a16:creationId xmlns:a16="http://schemas.microsoft.com/office/drawing/2014/main" id="{8FE5E96E-E539-F859-D841-2F261D887EAE}"/>
            </a:ext>
            <a:ext uri="{147F2762-F138-4A5C-976F-8EAC2B608ADB}">
              <a16:predDERef xmlns:a16="http://schemas.microsoft.com/office/drawing/2014/main" pred="{F97E4A71-BA8B-802C-51A9-B27C32BD7BFA}"/>
            </a:ext>
          </a:extLst>
        </xdr:cNvPr>
        <xdr:cNvPicPr>
          <a:picLocks noChangeAspect="1"/>
        </xdr:cNvPicPr>
      </xdr:nvPicPr>
      <xdr:blipFill>
        <a:blip xmlns:r="http://schemas.openxmlformats.org/officeDocument/2006/relationships" r:embed="rId29"/>
        <a:stretch>
          <a:fillRect/>
        </a:stretch>
      </xdr:blipFill>
      <xdr:spPr>
        <a:xfrm>
          <a:off x="21868280" y="142474390"/>
          <a:ext cx="5275569" cy="4498334"/>
        </a:xfrm>
        <a:prstGeom prst="rect">
          <a:avLst/>
        </a:prstGeom>
      </xdr:spPr>
    </xdr:pic>
    <xdr:clientData/>
  </xdr:twoCellAnchor>
  <xdr:twoCellAnchor editAs="oneCell">
    <xdr:from>
      <xdr:col>2</xdr:col>
      <xdr:colOff>87966</xdr:colOff>
      <xdr:row>696</xdr:row>
      <xdr:rowOff>2801</xdr:rowOff>
    </xdr:from>
    <xdr:to>
      <xdr:col>4</xdr:col>
      <xdr:colOff>1161141</xdr:colOff>
      <xdr:row>700</xdr:row>
      <xdr:rowOff>56257</xdr:rowOff>
    </xdr:to>
    <xdr:pic>
      <xdr:nvPicPr>
        <xdr:cNvPr id="120" name="Imagen 15" descr="Tabla&#10;&#10;Descripción generada automáticamente">
          <a:extLst>
            <a:ext uri="{FF2B5EF4-FFF2-40B4-BE49-F238E27FC236}">
              <a16:creationId xmlns:a16="http://schemas.microsoft.com/office/drawing/2014/main" id="{C130D0BE-7384-64BB-FBF1-6D8F024F5852}"/>
            </a:ext>
            <a:ext uri="{147F2762-F138-4A5C-976F-8EAC2B608ADB}">
              <a16:predDERef xmlns:a16="http://schemas.microsoft.com/office/drawing/2014/main" pred="{8FE5E96E-E539-F859-D841-2F261D887EAE}"/>
            </a:ext>
          </a:extLst>
        </xdr:cNvPr>
        <xdr:cNvPicPr>
          <a:picLocks noChangeAspect="1"/>
        </xdr:cNvPicPr>
      </xdr:nvPicPr>
      <xdr:blipFill>
        <a:blip xmlns:r="http://schemas.openxmlformats.org/officeDocument/2006/relationships" r:embed="rId30"/>
        <a:stretch>
          <a:fillRect/>
        </a:stretch>
      </xdr:blipFill>
      <xdr:spPr>
        <a:xfrm>
          <a:off x="4031316" y="132828926"/>
          <a:ext cx="5077485" cy="828791"/>
        </a:xfrm>
        <a:prstGeom prst="rect">
          <a:avLst/>
        </a:prstGeom>
      </xdr:spPr>
    </xdr:pic>
    <xdr:clientData/>
  </xdr:twoCellAnchor>
  <xdr:twoCellAnchor editAs="oneCell">
    <xdr:from>
      <xdr:col>4</xdr:col>
      <xdr:colOff>3154455</xdr:colOff>
      <xdr:row>685</xdr:row>
      <xdr:rowOff>95251</xdr:rowOff>
    </xdr:from>
    <xdr:to>
      <xdr:col>8</xdr:col>
      <xdr:colOff>325944</xdr:colOff>
      <xdr:row>705</xdr:row>
      <xdr:rowOff>139604</xdr:rowOff>
    </xdr:to>
    <xdr:pic>
      <xdr:nvPicPr>
        <xdr:cNvPr id="122" name="Imagen 16" descr="Tabla&#10;&#10;Descripción generada automáticamente">
          <a:extLst>
            <a:ext uri="{FF2B5EF4-FFF2-40B4-BE49-F238E27FC236}">
              <a16:creationId xmlns:a16="http://schemas.microsoft.com/office/drawing/2014/main" id="{0E0352AD-8920-E0E9-B690-F31A0B5DC57E}"/>
            </a:ext>
            <a:ext uri="{147F2762-F138-4A5C-976F-8EAC2B608ADB}">
              <a16:predDERef xmlns:a16="http://schemas.microsoft.com/office/drawing/2014/main" pred="{C130D0BE-7384-64BB-FBF1-6D8F024F5852}"/>
            </a:ext>
          </a:extLst>
        </xdr:cNvPr>
        <xdr:cNvPicPr>
          <a:picLocks noChangeAspect="1"/>
        </xdr:cNvPicPr>
      </xdr:nvPicPr>
      <xdr:blipFill>
        <a:blip xmlns:r="http://schemas.openxmlformats.org/officeDocument/2006/relationships" r:embed="rId31"/>
        <a:stretch>
          <a:fillRect/>
        </a:stretch>
      </xdr:blipFill>
      <xdr:spPr>
        <a:xfrm>
          <a:off x="11726955" y="130834280"/>
          <a:ext cx="7766589" cy="3854353"/>
        </a:xfrm>
        <a:prstGeom prst="rect">
          <a:avLst/>
        </a:prstGeom>
      </xdr:spPr>
    </xdr:pic>
    <xdr:clientData/>
  </xdr:twoCellAnchor>
  <xdr:twoCellAnchor editAs="oneCell">
    <xdr:from>
      <xdr:col>10</xdr:col>
      <xdr:colOff>333375</xdr:colOff>
      <xdr:row>706</xdr:row>
      <xdr:rowOff>147637</xdr:rowOff>
    </xdr:from>
    <xdr:to>
      <xdr:col>16</xdr:col>
      <xdr:colOff>60416</xdr:colOff>
      <xdr:row>741</xdr:row>
      <xdr:rowOff>10293</xdr:rowOff>
    </xdr:to>
    <xdr:pic>
      <xdr:nvPicPr>
        <xdr:cNvPr id="124" name="Imagen 17" descr="Interfaz de usuario gráfica, Aplicación&#10;&#10;Descripción generada automáticamente">
          <a:extLst>
            <a:ext uri="{FF2B5EF4-FFF2-40B4-BE49-F238E27FC236}">
              <a16:creationId xmlns:a16="http://schemas.microsoft.com/office/drawing/2014/main" id="{B9A6B323-944A-2193-AEE0-46334BA6A50C}"/>
            </a:ext>
            <a:ext uri="{147F2762-F138-4A5C-976F-8EAC2B608ADB}">
              <a16:predDERef xmlns:a16="http://schemas.microsoft.com/office/drawing/2014/main" pred="{0E0352AD-8920-E0E9-B690-F31A0B5DC57E}"/>
            </a:ext>
          </a:extLst>
        </xdr:cNvPr>
        <xdr:cNvPicPr>
          <a:picLocks noChangeAspect="1"/>
        </xdr:cNvPicPr>
      </xdr:nvPicPr>
      <xdr:blipFill>
        <a:blip xmlns:r="http://schemas.openxmlformats.org/officeDocument/2006/relationships" r:embed="rId32"/>
        <a:stretch>
          <a:fillRect/>
        </a:stretch>
      </xdr:blipFill>
      <xdr:spPr>
        <a:xfrm>
          <a:off x="22888575" y="134907337"/>
          <a:ext cx="5972943" cy="6498406"/>
        </a:xfrm>
        <a:prstGeom prst="rect">
          <a:avLst/>
        </a:prstGeom>
      </xdr:spPr>
    </xdr:pic>
    <xdr:clientData/>
  </xdr:twoCellAnchor>
  <xdr:twoCellAnchor editAs="oneCell">
    <xdr:from>
      <xdr:col>2</xdr:col>
      <xdr:colOff>1501588</xdr:colOff>
      <xdr:row>767</xdr:row>
      <xdr:rowOff>89284</xdr:rowOff>
    </xdr:from>
    <xdr:to>
      <xdr:col>4</xdr:col>
      <xdr:colOff>1311982</xdr:colOff>
      <xdr:row>778</xdr:row>
      <xdr:rowOff>97434</xdr:rowOff>
    </xdr:to>
    <xdr:pic>
      <xdr:nvPicPr>
        <xdr:cNvPr id="130" name="Imagen 20" descr="Tabla&#10;&#10;Descripción generada automáticamente">
          <a:extLst>
            <a:ext uri="{FF2B5EF4-FFF2-40B4-BE49-F238E27FC236}">
              <a16:creationId xmlns:a16="http://schemas.microsoft.com/office/drawing/2014/main" id="{C97B58A5-A194-9784-805D-A788CC54BB72}"/>
            </a:ext>
          </a:extLst>
        </xdr:cNvPr>
        <xdr:cNvPicPr>
          <a:picLocks noChangeAspect="1"/>
        </xdr:cNvPicPr>
      </xdr:nvPicPr>
      <xdr:blipFill>
        <a:blip xmlns:r="http://schemas.openxmlformats.org/officeDocument/2006/relationships" r:embed="rId33"/>
        <a:stretch>
          <a:fillRect/>
        </a:stretch>
      </xdr:blipFill>
      <xdr:spPr>
        <a:xfrm>
          <a:off x="8303559" y="146449313"/>
          <a:ext cx="4564254" cy="2099840"/>
        </a:xfrm>
        <a:prstGeom prst="rect">
          <a:avLst/>
        </a:prstGeom>
      </xdr:spPr>
    </xdr:pic>
    <xdr:clientData/>
  </xdr:twoCellAnchor>
  <xdr:twoCellAnchor>
    <xdr:from>
      <xdr:col>6</xdr:col>
      <xdr:colOff>785560</xdr:colOff>
      <xdr:row>817</xdr:row>
      <xdr:rowOff>119540</xdr:rowOff>
    </xdr:from>
    <xdr:to>
      <xdr:col>6</xdr:col>
      <xdr:colOff>3055942</xdr:colOff>
      <xdr:row>832</xdr:row>
      <xdr:rowOff>30639</xdr:rowOff>
    </xdr:to>
    <xdr:graphicFrame macro="">
      <xdr:nvGraphicFramePr>
        <xdr:cNvPr id="131" name="Gráfico 130">
          <a:extLst>
            <a:ext uri="{FF2B5EF4-FFF2-40B4-BE49-F238E27FC236}">
              <a16:creationId xmlns:a16="http://schemas.microsoft.com/office/drawing/2014/main" id="{85EE4AD8-52F3-9618-E5C1-61043E0B3C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7</xdr:col>
      <xdr:colOff>1584325</xdr:colOff>
      <xdr:row>824</xdr:row>
      <xdr:rowOff>40217</xdr:rowOff>
    </xdr:from>
    <xdr:to>
      <xdr:col>11</xdr:col>
      <xdr:colOff>119591</xdr:colOff>
      <xdr:row>838</xdr:row>
      <xdr:rowOff>107949</xdr:rowOff>
    </xdr:to>
    <xdr:graphicFrame macro="">
      <xdr:nvGraphicFramePr>
        <xdr:cNvPr id="45" name="Chart 14">
          <a:extLst>
            <a:ext uri="{FF2B5EF4-FFF2-40B4-BE49-F238E27FC236}">
              <a16:creationId xmlns:a16="http://schemas.microsoft.com/office/drawing/2014/main" id="{06C7D6C7-452A-C1B8-4982-87C81A938E3C}"/>
            </a:ext>
            <a:ext uri="{147F2762-F138-4A5C-976F-8EAC2B608ADB}">
              <a16:predDERef xmlns:a16="http://schemas.microsoft.com/office/drawing/2014/main" pred="{85EE4AD8-52F3-9618-E5C1-61043E0B3C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0</xdr:col>
      <xdr:colOff>843280</xdr:colOff>
      <xdr:row>920</xdr:row>
      <xdr:rowOff>156167</xdr:rowOff>
    </xdr:from>
    <xdr:to>
      <xdr:col>4</xdr:col>
      <xdr:colOff>1878107</xdr:colOff>
      <xdr:row>938</xdr:row>
      <xdr:rowOff>28968</xdr:rowOff>
    </xdr:to>
    <xdr:pic>
      <xdr:nvPicPr>
        <xdr:cNvPr id="7" name="Imagen 6" descr="Diagrama&#10;&#10;Descripción generada automáticamente">
          <a:extLst>
            <a:ext uri="{FF2B5EF4-FFF2-40B4-BE49-F238E27FC236}">
              <a16:creationId xmlns:a16="http://schemas.microsoft.com/office/drawing/2014/main" id="{7389DA28-355A-F79D-2A0A-4B73092926A3}"/>
            </a:ext>
          </a:extLst>
        </xdr:cNvPr>
        <xdr:cNvPicPr>
          <a:picLocks noChangeAspect="1"/>
        </xdr:cNvPicPr>
      </xdr:nvPicPr>
      <xdr:blipFill>
        <a:blip xmlns:r="http://schemas.openxmlformats.org/officeDocument/2006/relationships" r:embed="rId36"/>
        <a:stretch>
          <a:fillRect/>
        </a:stretch>
      </xdr:blipFill>
      <xdr:spPr>
        <a:xfrm>
          <a:off x="843280" y="177986647"/>
          <a:ext cx="11773947" cy="3347521"/>
        </a:xfrm>
        <a:prstGeom prst="rect">
          <a:avLst/>
        </a:prstGeom>
      </xdr:spPr>
    </xdr:pic>
    <xdr:clientData/>
  </xdr:twoCellAnchor>
  <xdr:twoCellAnchor>
    <xdr:from>
      <xdr:col>0</xdr:col>
      <xdr:colOff>1137186</xdr:colOff>
      <xdr:row>925</xdr:row>
      <xdr:rowOff>117844</xdr:rowOff>
    </xdr:from>
    <xdr:to>
      <xdr:col>0</xdr:col>
      <xdr:colOff>2385218</xdr:colOff>
      <xdr:row>928</xdr:row>
      <xdr:rowOff>192675</xdr:rowOff>
    </xdr:to>
    <xdr:sp macro="" textlink="">
      <xdr:nvSpPr>
        <xdr:cNvPr id="16" name="CuadroTexto 10">
          <a:extLst>
            <a:ext uri="{FF2B5EF4-FFF2-40B4-BE49-F238E27FC236}">
              <a16:creationId xmlns:a16="http://schemas.microsoft.com/office/drawing/2014/main" id="{37F2B8B5-3E72-90C0-0A99-4A1002932071}"/>
            </a:ext>
          </a:extLst>
        </xdr:cNvPr>
        <xdr:cNvSpPr txBox="1"/>
      </xdr:nvSpPr>
      <xdr:spPr>
        <a:xfrm>
          <a:off x="1137186" y="178913524"/>
          <a:ext cx="1248032" cy="65395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solidFill>
                <a:srgbClr val="0070C0"/>
              </a:solidFill>
            </a:rPr>
            <a:t>9 ton/día</a:t>
          </a:r>
        </a:p>
        <a:p>
          <a:r>
            <a:rPr lang="es-CO" b="1">
              <a:solidFill>
                <a:srgbClr val="0070C0"/>
              </a:solidFill>
            </a:rPr>
            <a:t>25°C</a:t>
          </a:r>
        </a:p>
      </xdr:txBody>
    </xdr:sp>
    <xdr:clientData/>
  </xdr:twoCellAnchor>
  <xdr:twoCellAnchor>
    <xdr:from>
      <xdr:col>0</xdr:col>
      <xdr:colOff>1055906</xdr:colOff>
      <xdr:row>936</xdr:row>
      <xdr:rowOff>187718</xdr:rowOff>
    </xdr:from>
    <xdr:to>
      <xdr:col>0</xdr:col>
      <xdr:colOff>2303938</xdr:colOff>
      <xdr:row>940</xdr:row>
      <xdr:rowOff>69509</xdr:rowOff>
    </xdr:to>
    <xdr:sp macro="" textlink="">
      <xdr:nvSpPr>
        <xdr:cNvPr id="17" name="CuadroTexto 14">
          <a:extLst>
            <a:ext uri="{FF2B5EF4-FFF2-40B4-BE49-F238E27FC236}">
              <a16:creationId xmlns:a16="http://schemas.microsoft.com/office/drawing/2014/main" id="{48A72CA7-B9B8-C2E8-7098-B76E9A07AEC0}"/>
            </a:ext>
          </a:extLst>
        </xdr:cNvPr>
        <xdr:cNvSpPr txBox="1"/>
      </xdr:nvSpPr>
      <xdr:spPr>
        <a:xfrm>
          <a:off x="1055906" y="181106838"/>
          <a:ext cx="1248032" cy="65395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solidFill>
                <a:srgbClr val="0070C0"/>
              </a:solidFill>
            </a:rPr>
            <a:t>5 ton/día</a:t>
          </a:r>
        </a:p>
        <a:p>
          <a:r>
            <a:rPr lang="es-CO" b="1">
              <a:solidFill>
                <a:srgbClr val="0070C0"/>
              </a:solidFill>
            </a:rPr>
            <a:t>25°C</a:t>
          </a:r>
        </a:p>
      </xdr:txBody>
    </xdr:sp>
    <xdr:clientData/>
  </xdr:twoCellAnchor>
  <xdr:twoCellAnchor>
    <xdr:from>
      <xdr:col>1</xdr:col>
      <xdr:colOff>1473592</xdr:colOff>
      <xdr:row>933</xdr:row>
      <xdr:rowOff>139170</xdr:rowOff>
    </xdr:from>
    <xdr:to>
      <xdr:col>2</xdr:col>
      <xdr:colOff>2148964</xdr:colOff>
      <xdr:row>938</xdr:row>
      <xdr:rowOff>124427</xdr:rowOff>
    </xdr:to>
    <xdr:sp macro="" textlink="">
      <xdr:nvSpPr>
        <xdr:cNvPr id="18" name="CuadroTexto 15">
          <a:extLst>
            <a:ext uri="{FF2B5EF4-FFF2-40B4-BE49-F238E27FC236}">
              <a16:creationId xmlns:a16="http://schemas.microsoft.com/office/drawing/2014/main" id="{319039B1-D350-993B-03FB-61F4BD967896}"/>
            </a:ext>
          </a:extLst>
        </xdr:cNvPr>
        <xdr:cNvSpPr txBox="1"/>
      </xdr:nvSpPr>
      <xdr:spPr>
        <a:xfrm>
          <a:off x="4534292" y="178116970"/>
          <a:ext cx="3774172" cy="937757"/>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i="1">
              <a:solidFill>
                <a:srgbClr val="0070C0"/>
              </a:solidFill>
            </a:rPr>
            <a:t>Duty</a:t>
          </a:r>
          <a:r>
            <a:rPr lang="es-CO" b="1">
              <a:solidFill>
                <a:srgbClr val="0070C0"/>
              </a:solidFill>
            </a:rPr>
            <a:t>: </a:t>
          </a:r>
        </a:p>
        <a:p>
          <a:r>
            <a:rPr lang="es-CO" b="1">
              <a:solidFill>
                <a:srgbClr val="0070C0"/>
              </a:solidFill>
            </a:rPr>
            <a:t>16 MMBTU/día</a:t>
          </a:r>
        </a:p>
        <a:p>
          <a:r>
            <a:rPr lang="es-CO" b="1">
              <a:solidFill>
                <a:srgbClr val="0070C0"/>
              </a:solidFill>
            </a:rPr>
            <a:t>Tiempo res.: 30-40 min</a:t>
          </a:r>
        </a:p>
      </xdr:txBody>
    </xdr:sp>
    <xdr:clientData/>
  </xdr:twoCellAnchor>
  <xdr:twoCellAnchor>
    <xdr:from>
      <xdr:col>2</xdr:col>
      <xdr:colOff>713245</xdr:colOff>
      <xdr:row>927</xdr:row>
      <xdr:rowOff>356</xdr:rowOff>
    </xdr:from>
    <xdr:to>
      <xdr:col>2</xdr:col>
      <xdr:colOff>1961277</xdr:colOff>
      <xdr:row>928</xdr:row>
      <xdr:rowOff>179188</xdr:rowOff>
    </xdr:to>
    <xdr:sp macro="" textlink="">
      <xdr:nvSpPr>
        <xdr:cNvPr id="21" name="CuadroTexto 16">
          <a:extLst>
            <a:ext uri="{FF2B5EF4-FFF2-40B4-BE49-F238E27FC236}">
              <a16:creationId xmlns:a16="http://schemas.microsoft.com/office/drawing/2014/main" id="{9C270769-57BD-60E9-4B11-B0A9B80D8AC3}"/>
            </a:ext>
          </a:extLst>
        </xdr:cNvPr>
        <xdr:cNvSpPr txBox="1"/>
      </xdr:nvSpPr>
      <xdr:spPr>
        <a:xfrm>
          <a:off x="4500833" y="176840385"/>
          <a:ext cx="1248032" cy="369332"/>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solidFill>
                <a:srgbClr val="0070C0"/>
              </a:solidFill>
            </a:rPr>
            <a:t>430°C</a:t>
          </a:r>
        </a:p>
      </xdr:txBody>
    </xdr:sp>
    <xdr:clientData/>
  </xdr:twoCellAnchor>
  <xdr:twoCellAnchor>
    <xdr:from>
      <xdr:col>3</xdr:col>
      <xdr:colOff>1234732</xdr:colOff>
      <xdr:row>935</xdr:row>
      <xdr:rowOff>172735</xdr:rowOff>
    </xdr:from>
    <xdr:to>
      <xdr:col>4</xdr:col>
      <xdr:colOff>272964</xdr:colOff>
      <xdr:row>937</xdr:row>
      <xdr:rowOff>165876</xdr:rowOff>
    </xdr:to>
    <xdr:sp macro="" textlink="">
      <xdr:nvSpPr>
        <xdr:cNvPr id="22" name="CuadroTexto 17">
          <a:extLst>
            <a:ext uri="{FF2B5EF4-FFF2-40B4-BE49-F238E27FC236}">
              <a16:creationId xmlns:a16="http://schemas.microsoft.com/office/drawing/2014/main" id="{04E619F4-DF1A-217D-4134-8CAD48FFB379}"/>
            </a:ext>
          </a:extLst>
        </xdr:cNvPr>
        <xdr:cNvSpPr txBox="1"/>
      </xdr:nvSpPr>
      <xdr:spPr>
        <a:xfrm>
          <a:off x="9756432" y="178531535"/>
          <a:ext cx="1248032" cy="37414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solidFill>
                <a:srgbClr val="0070C0"/>
              </a:solidFill>
            </a:rPr>
            <a:t>0,3 ton/día</a:t>
          </a:r>
        </a:p>
      </xdr:txBody>
    </xdr:sp>
    <xdr:clientData/>
  </xdr:twoCellAnchor>
  <xdr:twoCellAnchor>
    <xdr:from>
      <xdr:col>2</xdr:col>
      <xdr:colOff>2174198</xdr:colOff>
      <xdr:row>921</xdr:row>
      <xdr:rowOff>144280</xdr:rowOff>
    </xdr:from>
    <xdr:to>
      <xdr:col>3</xdr:col>
      <xdr:colOff>1058361</xdr:colOff>
      <xdr:row>923</xdr:row>
      <xdr:rowOff>137421</xdr:rowOff>
    </xdr:to>
    <xdr:sp macro="" textlink="">
      <xdr:nvSpPr>
        <xdr:cNvPr id="23" name="CuadroTexto 18">
          <a:extLst>
            <a:ext uri="{FF2B5EF4-FFF2-40B4-BE49-F238E27FC236}">
              <a16:creationId xmlns:a16="http://schemas.microsoft.com/office/drawing/2014/main" id="{B809CB24-6FA1-1081-6619-A75F174391E2}"/>
            </a:ext>
          </a:extLst>
        </xdr:cNvPr>
        <xdr:cNvSpPr txBox="1"/>
      </xdr:nvSpPr>
      <xdr:spPr>
        <a:xfrm>
          <a:off x="8333698" y="175836080"/>
          <a:ext cx="1246363" cy="37414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solidFill>
                <a:srgbClr val="0070C0"/>
              </a:solidFill>
            </a:rPr>
            <a:t>8,7 ton/día</a:t>
          </a:r>
        </a:p>
      </xdr:txBody>
    </xdr:sp>
    <xdr:clientData/>
  </xdr:twoCellAnchor>
  <xdr:twoCellAnchor>
    <xdr:from>
      <xdr:col>4</xdr:col>
      <xdr:colOff>1667788</xdr:colOff>
      <xdr:row>921</xdr:row>
      <xdr:rowOff>125818</xdr:rowOff>
    </xdr:from>
    <xdr:to>
      <xdr:col>4</xdr:col>
      <xdr:colOff>3834651</xdr:colOff>
      <xdr:row>923</xdr:row>
      <xdr:rowOff>114150</xdr:rowOff>
    </xdr:to>
    <xdr:sp macro="" textlink="">
      <xdr:nvSpPr>
        <xdr:cNvPr id="24" name="CuadroTexto 19">
          <a:extLst>
            <a:ext uri="{FF2B5EF4-FFF2-40B4-BE49-F238E27FC236}">
              <a16:creationId xmlns:a16="http://schemas.microsoft.com/office/drawing/2014/main" id="{E9D94226-92AE-22DE-F548-128F773EC242}"/>
            </a:ext>
          </a:extLst>
        </xdr:cNvPr>
        <xdr:cNvSpPr txBox="1"/>
      </xdr:nvSpPr>
      <xdr:spPr>
        <a:xfrm>
          <a:off x="12399288" y="175817618"/>
          <a:ext cx="2166863" cy="369332"/>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solidFill>
                <a:srgbClr val="0070C0"/>
              </a:solidFill>
            </a:rPr>
            <a:t>N2 + 1,5 ton/día</a:t>
          </a:r>
        </a:p>
      </xdr:txBody>
    </xdr:sp>
    <xdr:clientData/>
  </xdr:twoCellAnchor>
  <xdr:twoCellAnchor>
    <xdr:from>
      <xdr:col>4</xdr:col>
      <xdr:colOff>1653817</xdr:colOff>
      <xdr:row>930</xdr:row>
      <xdr:rowOff>166321</xdr:rowOff>
    </xdr:from>
    <xdr:to>
      <xdr:col>4</xdr:col>
      <xdr:colOff>2901849</xdr:colOff>
      <xdr:row>932</xdr:row>
      <xdr:rowOff>154653</xdr:rowOff>
    </xdr:to>
    <xdr:sp macro="" textlink="">
      <xdr:nvSpPr>
        <xdr:cNvPr id="25" name="CuadroTexto 20">
          <a:extLst>
            <a:ext uri="{FF2B5EF4-FFF2-40B4-BE49-F238E27FC236}">
              <a16:creationId xmlns:a16="http://schemas.microsoft.com/office/drawing/2014/main" id="{A8B2A0C1-DF52-3A94-D551-52535B1A063B}"/>
            </a:ext>
          </a:extLst>
        </xdr:cNvPr>
        <xdr:cNvSpPr txBox="1"/>
      </xdr:nvSpPr>
      <xdr:spPr>
        <a:xfrm>
          <a:off x="12385317" y="177572621"/>
          <a:ext cx="1248032" cy="369332"/>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solidFill>
                <a:srgbClr val="0070C0"/>
              </a:solidFill>
            </a:rPr>
            <a:t>7,3 ton/día</a:t>
          </a:r>
        </a:p>
      </xdr:txBody>
    </xdr:sp>
    <xdr:clientData/>
  </xdr:twoCellAnchor>
  <xdr:twoCellAnchor>
    <xdr:from>
      <xdr:col>3</xdr:col>
      <xdr:colOff>392475</xdr:colOff>
      <xdr:row>928</xdr:row>
      <xdr:rowOff>54644</xdr:rowOff>
    </xdr:from>
    <xdr:to>
      <xdr:col>4</xdr:col>
      <xdr:colOff>595138</xdr:colOff>
      <xdr:row>934</xdr:row>
      <xdr:rowOff>116144</xdr:rowOff>
    </xdr:to>
    <xdr:sp macro="" textlink="">
      <xdr:nvSpPr>
        <xdr:cNvPr id="26" name="CuadroTexto 21">
          <a:extLst>
            <a:ext uri="{FF2B5EF4-FFF2-40B4-BE49-F238E27FC236}">
              <a16:creationId xmlns:a16="http://schemas.microsoft.com/office/drawing/2014/main" id="{15EF269D-5097-C1E3-0414-6EDE0ABB82BA}"/>
            </a:ext>
          </a:extLst>
        </xdr:cNvPr>
        <xdr:cNvSpPr txBox="1"/>
      </xdr:nvSpPr>
      <xdr:spPr>
        <a:xfrm>
          <a:off x="8911672" y="180941578"/>
          <a:ext cx="2408940" cy="1229530"/>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i="1">
              <a:solidFill>
                <a:srgbClr val="0070C0"/>
              </a:solidFill>
            </a:rPr>
            <a:t>Duty</a:t>
          </a:r>
          <a:r>
            <a:rPr lang="es-CO" b="1">
              <a:solidFill>
                <a:srgbClr val="0070C0"/>
              </a:solidFill>
            </a:rPr>
            <a:t>: </a:t>
          </a:r>
        </a:p>
        <a:p>
          <a:r>
            <a:rPr lang="es-CO" b="1">
              <a:solidFill>
                <a:srgbClr val="0070C0"/>
              </a:solidFill>
            </a:rPr>
            <a:t>3,5 MMBTU/día</a:t>
          </a:r>
        </a:p>
        <a:p>
          <a:r>
            <a:rPr lang="es-CO" b="1">
              <a:solidFill>
                <a:srgbClr val="0070C0"/>
              </a:solidFill>
            </a:rPr>
            <a:t>Agua: </a:t>
          </a:r>
        </a:p>
        <a:p>
          <a:r>
            <a:rPr lang="es-CO" b="1">
              <a:solidFill>
                <a:srgbClr val="0070C0"/>
              </a:solidFill>
            </a:rPr>
            <a:t>13 m</a:t>
          </a:r>
          <a:r>
            <a:rPr lang="es-CO" b="1" baseline="30000">
              <a:solidFill>
                <a:srgbClr val="0070C0"/>
              </a:solidFill>
            </a:rPr>
            <a:t>3</a:t>
          </a:r>
          <a:r>
            <a:rPr lang="es-CO" b="1">
              <a:solidFill>
                <a:srgbClr val="0070C0"/>
              </a:solidFill>
            </a:rPr>
            <a:t>/día</a:t>
          </a:r>
        </a:p>
      </xdr:txBody>
    </xdr:sp>
    <xdr:clientData/>
  </xdr:twoCellAnchor>
  <xdr:twoCellAnchor>
    <xdr:from>
      <xdr:col>3</xdr:col>
      <xdr:colOff>2139062</xdr:colOff>
      <xdr:row>923</xdr:row>
      <xdr:rowOff>14529</xdr:rowOff>
    </xdr:from>
    <xdr:to>
      <xdr:col>4</xdr:col>
      <xdr:colOff>3298194</xdr:colOff>
      <xdr:row>925</xdr:row>
      <xdr:rowOff>2861</xdr:rowOff>
    </xdr:to>
    <xdr:sp macro="" textlink="">
      <xdr:nvSpPr>
        <xdr:cNvPr id="27" name="CuadroTexto 22">
          <a:extLst>
            <a:ext uri="{FF2B5EF4-FFF2-40B4-BE49-F238E27FC236}">
              <a16:creationId xmlns:a16="http://schemas.microsoft.com/office/drawing/2014/main" id="{7CC16A95-41B5-ABA5-F3FD-C548289A548E}"/>
            </a:ext>
          </a:extLst>
        </xdr:cNvPr>
        <xdr:cNvSpPr txBox="1"/>
      </xdr:nvSpPr>
      <xdr:spPr>
        <a:xfrm>
          <a:off x="10660762" y="176087329"/>
          <a:ext cx="3368932" cy="369332"/>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solidFill>
                <a:srgbClr val="0070C0"/>
              </a:solidFill>
            </a:rPr>
            <a:t>40°C</a:t>
          </a:r>
        </a:p>
      </xdr:txBody>
    </xdr:sp>
    <xdr:clientData/>
  </xdr:twoCellAnchor>
  <xdr:twoCellAnchor>
    <xdr:from>
      <xdr:col>4</xdr:col>
      <xdr:colOff>1621118</xdr:colOff>
      <xdr:row>919</xdr:row>
      <xdr:rowOff>174437</xdr:rowOff>
    </xdr:from>
    <xdr:to>
      <xdr:col>4</xdr:col>
      <xdr:colOff>2869150</xdr:colOff>
      <xdr:row>921</xdr:row>
      <xdr:rowOff>162769</xdr:rowOff>
    </xdr:to>
    <xdr:sp macro="" textlink="">
      <xdr:nvSpPr>
        <xdr:cNvPr id="28" name="CuadroTexto 23">
          <a:extLst>
            <a:ext uri="{FF2B5EF4-FFF2-40B4-BE49-F238E27FC236}">
              <a16:creationId xmlns:a16="http://schemas.microsoft.com/office/drawing/2014/main" id="{A8AAAFA5-E95D-691B-9583-5757C866ED00}"/>
            </a:ext>
          </a:extLst>
        </xdr:cNvPr>
        <xdr:cNvSpPr txBox="1"/>
      </xdr:nvSpPr>
      <xdr:spPr>
        <a:xfrm>
          <a:off x="12352618" y="175485237"/>
          <a:ext cx="1248032" cy="369332"/>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solidFill>
                <a:srgbClr val="0070C0"/>
              </a:solidFill>
            </a:rPr>
            <a:t>40°C</a:t>
          </a:r>
        </a:p>
      </xdr:txBody>
    </xdr:sp>
    <xdr:clientData/>
  </xdr:twoCellAnchor>
  <xdr:twoCellAnchor>
    <xdr:from>
      <xdr:col>4</xdr:col>
      <xdr:colOff>1683246</xdr:colOff>
      <xdr:row>929</xdr:row>
      <xdr:rowOff>46105</xdr:rowOff>
    </xdr:from>
    <xdr:to>
      <xdr:col>4</xdr:col>
      <xdr:colOff>2931278</xdr:colOff>
      <xdr:row>931</xdr:row>
      <xdr:rowOff>34437</xdr:rowOff>
    </xdr:to>
    <xdr:sp macro="" textlink="">
      <xdr:nvSpPr>
        <xdr:cNvPr id="29" name="CuadroTexto 24">
          <a:extLst>
            <a:ext uri="{FF2B5EF4-FFF2-40B4-BE49-F238E27FC236}">
              <a16:creationId xmlns:a16="http://schemas.microsoft.com/office/drawing/2014/main" id="{630D6AA7-72A2-8A95-52B8-08D05911610A}"/>
            </a:ext>
          </a:extLst>
        </xdr:cNvPr>
        <xdr:cNvSpPr txBox="1"/>
      </xdr:nvSpPr>
      <xdr:spPr>
        <a:xfrm>
          <a:off x="12414746" y="177261905"/>
          <a:ext cx="1248032" cy="369332"/>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CO" b="1">
              <a:solidFill>
                <a:srgbClr val="0070C0"/>
              </a:solidFill>
            </a:rPr>
            <a:t>40°C</a:t>
          </a:r>
        </a:p>
      </xdr:txBody>
    </xdr:sp>
    <xdr:clientData/>
  </xdr:twoCellAnchor>
  <xdr:twoCellAnchor editAs="oneCell">
    <xdr:from>
      <xdr:col>0</xdr:col>
      <xdr:colOff>1964029</xdr:colOff>
      <xdr:row>919</xdr:row>
      <xdr:rowOff>0</xdr:rowOff>
    </xdr:from>
    <xdr:to>
      <xdr:col>2</xdr:col>
      <xdr:colOff>7502</xdr:colOff>
      <xdr:row>922</xdr:row>
      <xdr:rowOff>60058</xdr:rowOff>
    </xdr:to>
    <xdr:pic>
      <xdr:nvPicPr>
        <xdr:cNvPr id="30" name="Imagen 29" descr="Texto, Carta&#10;&#10;Descripción generada automáticamente">
          <a:extLst>
            <a:ext uri="{FF2B5EF4-FFF2-40B4-BE49-F238E27FC236}">
              <a16:creationId xmlns:a16="http://schemas.microsoft.com/office/drawing/2014/main" id="{37012869-904F-08C5-1475-899DF46D7538}"/>
            </a:ext>
          </a:extLst>
        </xdr:cNvPr>
        <xdr:cNvPicPr>
          <a:picLocks noChangeAspect="1"/>
        </xdr:cNvPicPr>
      </xdr:nvPicPr>
      <xdr:blipFill>
        <a:blip xmlns:r="http://schemas.openxmlformats.org/officeDocument/2006/relationships" r:embed="rId37"/>
        <a:stretch>
          <a:fillRect/>
        </a:stretch>
      </xdr:blipFill>
      <xdr:spPr>
        <a:xfrm>
          <a:off x="1964029" y="175316029"/>
          <a:ext cx="2942633" cy="639178"/>
        </a:xfrm>
        <a:prstGeom prst="rect">
          <a:avLst/>
        </a:prstGeom>
      </xdr:spPr>
    </xdr:pic>
    <xdr:clientData/>
  </xdr:twoCellAnchor>
  <xdr:twoCellAnchor editAs="oneCell">
    <xdr:from>
      <xdr:col>0</xdr:col>
      <xdr:colOff>1102177</xdr:colOff>
      <xdr:row>955</xdr:row>
      <xdr:rowOff>81643</xdr:rowOff>
    </xdr:from>
    <xdr:to>
      <xdr:col>4</xdr:col>
      <xdr:colOff>3549590</xdr:colOff>
      <xdr:row>981</xdr:row>
      <xdr:rowOff>22465</xdr:rowOff>
    </xdr:to>
    <xdr:pic>
      <xdr:nvPicPr>
        <xdr:cNvPr id="32" name="Imagen 31" descr="Diagrama&#10;&#10;Descripción generada automáticamente">
          <a:extLst>
            <a:ext uri="{FF2B5EF4-FFF2-40B4-BE49-F238E27FC236}">
              <a16:creationId xmlns:a16="http://schemas.microsoft.com/office/drawing/2014/main" id="{1D364FD2-A665-BC52-6169-CFF848DEC757}"/>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102177" y="182240464"/>
          <a:ext cx="11416393" cy="4905252"/>
        </a:xfrm>
        <a:prstGeom prst="rect">
          <a:avLst/>
        </a:prstGeom>
      </xdr:spPr>
    </xdr:pic>
    <xdr:clientData/>
  </xdr:twoCellAnchor>
  <xdr:twoCellAnchor editAs="oneCell">
    <xdr:from>
      <xdr:col>3</xdr:col>
      <xdr:colOff>414617</xdr:colOff>
      <xdr:row>1060</xdr:row>
      <xdr:rowOff>44823</xdr:rowOff>
    </xdr:from>
    <xdr:to>
      <xdr:col>4</xdr:col>
      <xdr:colOff>2134476</xdr:colOff>
      <xdr:row>1071</xdr:row>
      <xdr:rowOff>537</xdr:rowOff>
    </xdr:to>
    <xdr:pic>
      <xdr:nvPicPr>
        <xdr:cNvPr id="2" name="Imagen 43" descr="Interfaz de usuario gráfica, Tabla&#10;&#10;Descripción generada automáticamente">
          <a:extLst>
            <a:ext uri="{FF2B5EF4-FFF2-40B4-BE49-F238E27FC236}">
              <a16:creationId xmlns:a16="http://schemas.microsoft.com/office/drawing/2014/main" id="{2311626A-266B-40D7-88EE-0385FC43162A}"/>
            </a:ext>
            <a:ext uri="{147F2762-F138-4A5C-976F-8EAC2B608ADB}">
              <a16:predDERef xmlns:a16="http://schemas.microsoft.com/office/drawing/2014/main" pred="{6AA3460C-2B36-E61D-C18F-77CA8106AA51}"/>
            </a:ext>
          </a:extLst>
        </xdr:cNvPr>
        <xdr:cNvPicPr>
          <a:picLocks noChangeAspect="1"/>
        </xdr:cNvPicPr>
      </xdr:nvPicPr>
      <xdr:blipFill>
        <a:blip xmlns:r="http://schemas.openxmlformats.org/officeDocument/2006/relationships" r:embed="rId28"/>
        <a:stretch>
          <a:fillRect/>
        </a:stretch>
      </xdr:blipFill>
      <xdr:spPr>
        <a:xfrm>
          <a:off x="7048499" y="205302970"/>
          <a:ext cx="3658477" cy="2050677"/>
        </a:xfrm>
        <a:prstGeom prst="rect">
          <a:avLst/>
        </a:prstGeom>
      </xdr:spPr>
    </xdr:pic>
    <xdr:clientData/>
  </xdr:twoCellAnchor>
  <xdr:twoCellAnchor editAs="oneCell">
    <xdr:from>
      <xdr:col>6</xdr:col>
      <xdr:colOff>1133928</xdr:colOff>
      <xdr:row>1029</xdr:row>
      <xdr:rowOff>99784</xdr:rowOff>
    </xdr:from>
    <xdr:to>
      <xdr:col>11</xdr:col>
      <xdr:colOff>429481</xdr:colOff>
      <xdr:row>1049</xdr:row>
      <xdr:rowOff>13244</xdr:rowOff>
    </xdr:to>
    <xdr:pic>
      <xdr:nvPicPr>
        <xdr:cNvPr id="66" name="Imagen 3" descr="Diagrama&#10;&#10;Descripción generada automáticamente">
          <a:extLst>
            <a:ext uri="{FF2B5EF4-FFF2-40B4-BE49-F238E27FC236}">
              <a16:creationId xmlns:a16="http://schemas.microsoft.com/office/drawing/2014/main" id="{02330D9B-F38A-69B6-FCE2-62416BA8DCBE}"/>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8732499" y="189851391"/>
          <a:ext cx="9968702" cy="3542032"/>
        </a:xfrm>
        <a:prstGeom prst="rect">
          <a:avLst/>
        </a:prstGeom>
      </xdr:spPr>
    </xdr:pic>
    <xdr:clientData/>
  </xdr:twoCellAnchor>
  <xdr:twoCellAnchor>
    <xdr:from>
      <xdr:col>4</xdr:col>
      <xdr:colOff>1660070</xdr:colOff>
      <xdr:row>1151</xdr:row>
      <xdr:rowOff>166006</xdr:rowOff>
    </xdr:from>
    <xdr:to>
      <xdr:col>6</xdr:col>
      <xdr:colOff>3578679</xdr:colOff>
      <xdr:row>1176</xdr:row>
      <xdr:rowOff>68036</xdr:rowOff>
    </xdr:to>
    <xdr:graphicFrame macro="">
      <xdr:nvGraphicFramePr>
        <xdr:cNvPr id="119" name="Gráfico 7">
          <a:extLst>
            <a:ext uri="{FF2B5EF4-FFF2-40B4-BE49-F238E27FC236}">
              <a16:creationId xmlns:a16="http://schemas.microsoft.com/office/drawing/2014/main" id="{2AEE790A-498D-1D7F-D1EC-924029417C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0</xdr:col>
      <xdr:colOff>1738923</xdr:colOff>
      <xdr:row>1194</xdr:row>
      <xdr:rowOff>175846</xdr:rowOff>
    </xdr:from>
    <xdr:to>
      <xdr:col>4</xdr:col>
      <xdr:colOff>935652</xdr:colOff>
      <xdr:row>1214</xdr:row>
      <xdr:rowOff>89305</xdr:rowOff>
    </xdr:to>
    <xdr:pic>
      <xdr:nvPicPr>
        <xdr:cNvPr id="4" name="Imagen 3" descr="Diagrama&#10;&#10;Descripción generada automáticamente">
          <a:extLst>
            <a:ext uri="{FF2B5EF4-FFF2-40B4-BE49-F238E27FC236}">
              <a16:creationId xmlns:a16="http://schemas.microsoft.com/office/drawing/2014/main" id="{DF5617E8-2A41-F04B-870C-FF8915DBDC12}"/>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738923" y="236239538"/>
          <a:ext cx="9942883" cy="3821152"/>
        </a:xfrm>
        <a:prstGeom prst="rect">
          <a:avLst/>
        </a:prstGeom>
      </xdr:spPr>
    </xdr:pic>
    <xdr:clientData/>
  </xdr:twoCellAnchor>
  <xdr:twoCellAnchor>
    <xdr:from>
      <xdr:col>0</xdr:col>
      <xdr:colOff>1270000</xdr:colOff>
      <xdr:row>1319</xdr:row>
      <xdr:rowOff>25400</xdr:rowOff>
    </xdr:from>
    <xdr:to>
      <xdr:col>3</xdr:col>
      <xdr:colOff>1550309</xdr:colOff>
      <xdr:row>1343</xdr:row>
      <xdr:rowOff>117930</xdr:rowOff>
    </xdr:to>
    <xdr:graphicFrame macro="">
      <xdr:nvGraphicFramePr>
        <xdr:cNvPr id="10" name="Gráfico 7">
          <a:extLst>
            <a:ext uri="{FF2B5EF4-FFF2-40B4-BE49-F238E27FC236}">
              <a16:creationId xmlns:a16="http://schemas.microsoft.com/office/drawing/2014/main" id="{00D1C7BD-32AC-6D48-8476-59A6D66EF0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4</xdr:col>
      <xdr:colOff>1739900</xdr:colOff>
      <xdr:row>1393</xdr:row>
      <xdr:rowOff>171450</xdr:rowOff>
    </xdr:from>
    <xdr:to>
      <xdr:col>5</xdr:col>
      <xdr:colOff>2247900</xdr:colOff>
      <xdr:row>1408</xdr:row>
      <xdr:rowOff>57150</xdr:rowOff>
    </xdr:to>
    <xdr:graphicFrame macro="">
      <xdr:nvGraphicFramePr>
        <xdr:cNvPr id="35" name="Gráfico 34">
          <a:extLst>
            <a:ext uri="{FF2B5EF4-FFF2-40B4-BE49-F238E27FC236}">
              <a16:creationId xmlns:a16="http://schemas.microsoft.com/office/drawing/2014/main" id="{D264D41B-F387-BA3D-6CBD-5F4D713538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155190</xdr:colOff>
      <xdr:row>2</xdr:row>
      <xdr:rowOff>97504</xdr:rowOff>
    </xdr:from>
    <xdr:to>
      <xdr:col>17</xdr:col>
      <xdr:colOff>609523</xdr:colOff>
      <xdr:row>13</xdr:row>
      <xdr:rowOff>36470</xdr:rowOff>
    </xdr:to>
    <xdr:pic>
      <xdr:nvPicPr>
        <xdr:cNvPr id="4" name="Picture 1">
          <a:extLst>
            <a:ext uri="{FF2B5EF4-FFF2-40B4-BE49-F238E27FC236}">
              <a16:creationId xmlns:a16="http://schemas.microsoft.com/office/drawing/2014/main" id="{14E8BBA3-4376-C39F-1358-BD61B032BDE4}"/>
            </a:ext>
          </a:extLst>
        </xdr:cNvPr>
        <xdr:cNvPicPr>
          <a:picLocks noChangeAspect="1"/>
        </xdr:cNvPicPr>
      </xdr:nvPicPr>
      <xdr:blipFill>
        <a:blip xmlns:r="http://schemas.openxmlformats.org/officeDocument/2006/relationships" r:embed="rId1"/>
        <a:stretch>
          <a:fillRect/>
        </a:stretch>
      </xdr:blipFill>
      <xdr:spPr>
        <a:xfrm>
          <a:off x="8364411" y="460783"/>
          <a:ext cx="4211835" cy="1937001"/>
        </a:xfrm>
        <a:prstGeom prst="rect">
          <a:avLst/>
        </a:prstGeom>
      </xdr:spPr>
    </xdr:pic>
    <xdr:clientData/>
  </xdr:twoCellAnchor>
  <xdr:twoCellAnchor editAs="oneCell">
    <xdr:from>
      <xdr:col>11</xdr:col>
      <xdr:colOff>22360</xdr:colOff>
      <xdr:row>19</xdr:row>
      <xdr:rowOff>78802</xdr:rowOff>
    </xdr:from>
    <xdr:to>
      <xdr:col>18</xdr:col>
      <xdr:colOff>526925</xdr:colOff>
      <xdr:row>33</xdr:row>
      <xdr:rowOff>5362</xdr:rowOff>
    </xdr:to>
    <xdr:pic>
      <xdr:nvPicPr>
        <xdr:cNvPr id="6" name="Picture 12">
          <a:extLst>
            <a:ext uri="{FF2B5EF4-FFF2-40B4-BE49-F238E27FC236}">
              <a16:creationId xmlns:a16="http://schemas.microsoft.com/office/drawing/2014/main" id="{BF8EFA87-04DE-4394-9C06-287771D0E07B}"/>
            </a:ext>
            <a:ext uri="{147F2762-F138-4A5C-976F-8EAC2B608ADB}">
              <a16:predDERef xmlns:a16="http://schemas.microsoft.com/office/drawing/2014/main" pred="{1017BE8F-7897-E2CF-A096-1FC2943C9361}"/>
            </a:ext>
          </a:extLst>
        </xdr:cNvPr>
        <xdr:cNvPicPr>
          <a:picLocks noChangeAspect="1"/>
        </xdr:cNvPicPr>
      </xdr:nvPicPr>
      <xdr:blipFill>
        <a:blip xmlns:r="http://schemas.openxmlformats.org/officeDocument/2006/relationships" r:embed="rId2"/>
        <a:stretch>
          <a:fillRect/>
        </a:stretch>
      </xdr:blipFill>
      <xdr:spPr>
        <a:xfrm>
          <a:off x="8211670" y="3573492"/>
          <a:ext cx="4857600" cy="250159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9525</xdr:colOff>
      <xdr:row>8</xdr:row>
      <xdr:rowOff>0</xdr:rowOff>
    </xdr:from>
    <xdr:to>
      <xdr:col>12</xdr:col>
      <xdr:colOff>358140</xdr:colOff>
      <xdr:row>13</xdr:row>
      <xdr:rowOff>53340</xdr:rowOff>
    </xdr:to>
    <xdr:pic>
      <xdr:nvPicPr>
        <xdr:cNvPr id="2" name="Picture 1">
          <a:extLst>
            <a:ext uri="{FF2B5EF4-FFF2-40B4-BE49-F238E27FC236}">
              <a16:creationId xmlns:a16="http://schemas.microsoft.com/office/drawing/2014/main" id="{01F21A01-FB08-D40D-F875-B551F5417174}"/>
            </a:ext>
          </a:extLst>
        </xdr:cNvPr>
        <xdr:cNvPicPr>
          <a:picLocks noChangeAspect="1"/>
        </xdr:cNvPicPr>
      </xdr:nvPicPr>
      <xdr:blipFill>
        <a:blip xmlns:r="http://schemas.openxmlformats.org/officeDocument/2006/relationships" r:embed="rId1"/>
        <a:stretch>
          <a:fillRect/>
        </a:stretch>
      </xdr:blipFill>
      <xdr:spPr>
        <a:xfrm>
          <a:off x="4276725" y="1524000"/>
          <a:ext cx="3400425" cy="1009650"/>
        </a:xfrm>
        <a:prstGeom prst="rect">
          <a:avLst/>
        </a:prstGeom>
      </xdr:spPr>
    </xdr:pic>
    <xdr:clientData/>
  </xdr:twoCellAnchor>
  <xdr:twoCellAnchor editAs="oneCell">
    <xdr:from>
      <xdr:col>8</xdr:col>
      <xdr:colOff>0</xdr:colOff>
      <xdr:row>15</xdr:row>
      <xdr:rowOff>0</xdr:rowOff>
    </xdr:from>
    <xdr:to>
      <xdr:col>15</xdr:col>
      <xdr:colOff>278130</xdr:colOff>
      <xdr:row>31</xdr:row>
      <xdr:rowOff>64770</xdr:rowOff>
    </xdr:to>
    <xdr:pic>
      <xdr:nvPicPr>
        <xdr:cNvPr id="3" name="Picture 2">
          <a:extLst>
            <a:ext uri="{FF2B5EF4-FFF2-40B4-BE49-F238E27FC236}">
              <a16:creationId xmlns:a16="http://schemas.microsoft.com/office/drawing/2014/main" id="{DA80C53D-0D32-C8C0-C1B2-26CDADC1A148}"/>
            </a:ext>
            <a:ext uri="{147F2762-F138-4A5C-976F-8EAC2B608ADB}">
              <a16:predDERef xmlns:a16="http://schemas.microsoft.com/office/drawing/2014/main" pred="{01F21A01-FB08-D40D-F875-B551F5417174}"/>
            </a:ext>
          </a:extLst>
        </xdr:cNvPr>
        <xdr:cNvPicPr>
          <a:picLocks noChangeAspect="1"/>
        </xdr:cNvPicPr>
      </xdr:nvPicPr>
      <xdr:blipFill>
        <a:blip xmlns:r="http://schemas.openxmlformats.org/officeDocument/2006/relationships" r:embed="rId2"/>
        <a:stretch>
          <a:fillRect/>
        </a:stretch>
      </xdr:blipFill>
      <xdr:spPr>
        <a:xfrm>
          <a:off x="4876800" y="2857500"/>
          <a:ext cx="4543425" cy="31146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76200</xdr:colOff>
      <xdr:row>1</xdr:row>
      <xdr:rowOff>57150</xdr:rowOff>
    </xdr:from>
    <xdr:to>
      <xdr:col>17</xdr:col>
      <xdr:colOff>381000</xdr:colOff>
      <xdr:row>13</xdr:row>
      <xdr:rowOff>9525</xdr:rowOff>
    </xdr:to>
    <xdr:pic>
      <xdr:nvPicPr>
        <xdr:cNvPr id="2" name="Picture 1">
          <a:extLst>
            <a:ext uri="{FF2B5EF4-FFF2-40B4-BE49-F238E27FC236}">
              <a16:creationId xmlns:a16="http://schemas.microsoft.com/office/drawing/2014/main" id="{596C77C1-08FD-4724-A3F4-B7505E3D7738}"/>
            </a:ext>
          </a:extLst>
        </xdr:cNvPr>
        <xdr:cNvPicPr>
          <a:picLocks noChangeAspect="1"/>
        </xdr:cNvPicPr>
      </xdr:nvPicPr>
      <xdr:blipFill>
        <a:blip xmlns:r="http://schemas.openxmlformats.org/officeDocument/2006/relationships" r:embed="rId1"/>
        <a:stretch>
          <a:fillRect/>
        </a:stretch>
      </xdr:blipFill>
      <xdr:spPr>
        <a:xfrm>
          <a:off x="8397240" y="240030"/>
          <a:ext cx="4678680" cy="2146935"/>
        </a:xfrm>
        <a:prstGeom prst="rect">
          <a:avLst/>
        </a:prstGeom>
      </xdr:spPr>
    </xdr:pic>
    <xdr:clientData/>
  </xdr:twoCellAnchor>
  <xdr:twoCellAnchor editAs="oneCell">
    <xdr:from>
      <xdr:col>10</xdr:col>
      <xdr:colOff>0</xdr:colOff>
      <xdr:row>14</xdr:row>
      <xdr:rowOff>0</xdr:rowOff>
    </xdr:from>
    <xdr:to>
      <xdr:col>17</xdr:col>
      <xdr:colOff>295275</xdr:colOff>
      <xdr:row>33</xdr:row>
      <xdr:rowOff>152400</xdr:rowOff>
    </xdr:to>
    <xdr:pic>
      <xdr:nvPicPr>
        <xdr:cNvPr id="3" name="Picture 2">
          <a:extLst>
            <a:ext uri="{FF2B5EF4-FFF2-40B4-BE49-F238E27FC236}">
              <a16:creationId xmlns:a16="http://schemas.microsoft.com/office/drawing/2014/main" id="{D7144C05-8333-4A84-8A1A-AE277BFBC3A9}"/>
            </a:ext>
            <a:ext uri="{147F2762-F138-4A5C-976F-8EAC2B608ADB}">
              <a16:predDERef xmlns:a16="http://schemas.microsoft.com/office/drawing/2014/main" pred="{3212DA03-A950-9DFE-8716-67F28D74BE5D}"/>
            </a:ext>
          </a:extLst>
        </xdr:cNvPr>
        <xdr:cNvPicPr>
          <a:picLocks noChangeAspect="1"/>
        </xdr:cNvPicPr>
      </xdr:nvPicPr>
      <xdr:blipFill>
        <a:blip xmlns:r="http://schemas.openxmlformats.org/officeDocument/2006/relationships" r:embed="rId2"/>
        <a:stretch>
          <a:fillRect/>
        </a:stretch>
      </xdr:blipFill>
      <xdr:spPr>
        <a:xfrm>
          <a:off x="8321040" y="2560320"/>
          <a:ext cx="4669155" cy="3627120"/>
        </a:xfrm>
        <a:prstGeom prst="rect">
          <a:avLst/>
        </a:prstGeom>
      </xdr:spPr>
    </xdr:pic>
    <xdr:clientData/>
  </xdr:twoCellAnchor>
  <xdr:twoCellAnchor editAs="oneCell">
    <xdr:from>
      <xdr:col>11</xdr:col>
      <xdr:colOff>0</xdr:colOff>
      <xdr:row>35</xdr:row>
      <xdr:rowOff>0</xdr:rowOff>
    </xdr:from>
    <xdr:to>
      <xdr:col>17</xdr:col>
      <xdr:colOff>561975</xdr:colOff>
      <xdr:row>47</xdr:row>
      <xdr:rowOff>19050</xdr:rowOff>
    </xdr:to>
    <xdr:pic>
      <xdr:nvPicPr>
        <xdr:cNvPr id="4" name="Picture 3">
          <a:extLst>
            <a:ext uri="{FF2B5EF4-FFF2-40B4-BE49-F238E27FC236}">
              <a16:creationId xmlns:a16="http://schemas.microsoft.com/office/drawing/2014/main" id="{E48F992E-A55B-4AAC-91C1-8A006771EB2A}"/>
            </a:ext>
            <a:ext uri="{147F2762-F138-4A5C-976F-8EAC2B608ADB}">
              <a16:predDERef xmlns:a16="http://schemas.microsoft.com/office/drawing/2014/main" pred="{38FF38A4-CCCA-358B-852D-80E754CDF099}"/>
            </a:ext>
          </a:extLst>
        </xdr:cNvPr>
        <xdr:cNvPicPr>
          <a:picLocks noChangeAspect="1"/>
        </xdr:cNvPicPr>
      </xdr:nvPicPr>
      <xdr:blipFill>
        <a:blip xmlns:r="http://schemas.openxmlformats.org/officeDocument/2006/relationships" r:embed="rId3"/>
        <a:stretch>
          <a:fillRect/>
        </a:stretch>
      </xdr:blipFill>
      <xdr:spPr>
        <a:xfrm>
          <a:off x="8945880" y="6400800"/>
          <a:ext cx="4311015" cy="2213610"/>
        </a:xfrm>
        <a:prstGeom prst="rect">
          <a:avLst/>
        </a:prstGeom>
      </xdr:spPr>
    </xdr:pic>
    <xdr:clientData/>
  </xdr:twoCellAnchor>
  <xdr:twoCellAnchor editAs="oneCell">
    <xdr:from>
      <xdr:col>11</xdr:col>
      <xdr:colOff>466299</xdr:colOff>
      <xdr:row>50</xdr:row>
      <xdr:rowOff>90985</xdr:rowOff>
    </xdr:from>
    <xdr:to>
      <xdr:col>19</xdr:col>
      <xdr:colOff>145576</xdr:colOff>
      <xdr:row>63</xdr:row>
      <xdr:rowOff>13790</xdr:rowOff>
    </xdr:to>
    <xdr:pic>
      <xdr:nvPicPr>
        <xdr:cNvPr id="5" name="Picture 4">
          <a:extLst>
            <a:ext uri="{FF2B5EF4-FFF2-40B4-BE49-F238E27FC236}">
              <a16:creationId xmlns:a16="http://schemas.microsoft.com/office/drawing/2014/main" id="{4B9B2CC5-ADC7-443E-9A05-8E31857FE803}"/>
            </a:ext>
            <a:ext uri="{147F2762-F138-4A5C-976F-8EAC2B608ADB}">
              <a16:predDERef xmlns:a16="http://schemas.microsoft.com/office/drawing/2014/main" pred="{3B8C5135-7EDE-A9C6-B68A-E13BCDC08894}"/>
            </a:ext>
          </a:extLst>
        </xdr:cNvPr>
        <xdr:cNvPicPr>
          <a:picLocks noChangeAspect="1"/>
        </xdr:cNvPicPr>
      </xdr:nvPicPr>
      <xdr:blipFill>
        <a:blip xmlns:r="http://schemas.openxmlformats.org/officeDocument/2006/relationships" r:embed="rId4"/>
        <a:stretch>
          <a:fillRect/>
        </a:stretch>
      </xdr:blipFill>
      <xdr:spPr>
        <a:xfrm>
          <a:off x="9416956" y="9189492"/>
          <a:ext cx="4683456" cy="2288417"/>
        </a:xfrm>
        <a:prstGeom prst="rect">
          <a:avLst/>
        </a:prstGeom>
      </xdr:spPr>
    </xdr:pic>
    <xdr:clientData/>
  </xdr:twoCellAnchor>
  <xdr:twoCellAnchor editAs="oneCell">
    <xdr:from>
      <xdr:col>11</xdr:col>
      <xdr:colOff>386686</xdr:colOff>
      <xdr:row>65</xdr:row>
      <xdr:rowOff>130790</xdr:rowOff>
    </xdr:from>
    <xdr:to>
      <xdr:col>18</xdr:col>
      <xdr:colOff>605761</xdr:colOff>
      <xdr:row>89</xdr:row>
      <xdr:rowOff>131143</xdr:rowOff>
    </xdr:to>
    <xdr:pic>
      <xdr:nvPicPr>
        <xdr:cNvPr id="6" name="Picture 5">
          <a:extLst>
            <a:ext uri="{FF2B5EF4-FFF2-40B4-BE49-F238E27FC236}">
              <a16:creationId xmlns:a16="http://schemas.microsoft.com/office/drawing/2014/main" id="{6A619675-B33F-4191-B2D0-4D5B8FBF0BCE}"/>
            </a:ext>
            <a:ext uri="{147F2762-F138-4A5C-976F-8EAC2B608ADB}">
              <a16:predDERef xmlns:a16="http://schemas.microsoft.com/office/drawing/2014/main" pred="{CE2FD023-8663-C943-52B0-9F5B4B70D824}"/>
            </a:ext>
          </a:extLst>
        </xdr:cNvPr>
        <xdr:cNvPicPr>
          <a:picLocks noChangeAspect="1"/>
        </xdr:cNvPicPr>
      </xdr:nvPicPr>
      <xdr:blipFill>
        <a:blip xmlns:r="http://schemas.openxmlformats.org/officeDocument/2006/relationships" r:embed="rId5"/>
        <a:stretch>
          <a:fillRect/>
        </a:stretch>
      </xdr:blipFill>
      <xdr:spPr>
        <a:xfrm>
          <a:off x="9337343" y="11958850"/>
          <a:ext cx="4597731" cy="4367636"/>
        </a:xfrm>
        <a:prstGeom prst="rect">
          <a:avLst/>
        </a:prstGeom>
      </xdr:spPr>
    </xdr:pic>
    <xdr:clientData/>
  </xdr:twoCellAnchor>
  <xdr:twoCellAnchor editAs="oneCell">
    <xdr:from>
      <xdr:col>9</xdr:col>
      <xdr:colOff>323850</xdr:colOff>
      <xdr:row>88</xdr:row>
      <xdr:rowOff>9525</xdr:rowOff>
    </xdr:from>
    <xdr:to>
      <xdr:col>18</xdr:col>
      <xdr:colOff>295275</xdr:colOff>
      <xdr:row>108</xdr:row>
      <xdr:rowOff>76200</xdr:rowOff>
    </xdr:to>
    <xdr:pic>
      <xdr:nvPicPr>
        <xdr:cNvPr id="7" name="Picture 6">
          <a:extLst>
            <a:ext uri="{FF2B5EF4-FFF2-40B4-BE49-F238E27FC236}">
              <a16:creationId xmlns:a16="http://schemas.microsoft.com/office/drawing/2014/main" id="{76EF0EB4-A9C0-497C-93D1-068F634300D5}"/>
            </a:ext>
            <a:ext uri="{147F2762-F138-4A5C-976F-8EAC2B608ADB}">
              <a16:predDERef xmlns:a16="http://schemas.microsoft.com/office/drawing/2014/main" pred="{4977F462-AEB0-5FDB-4B60-5485C30A3851}"/>
            </a:ext>
          </a:extLst>
        </xdr:cNvPr>
        <xdr:cNvPicPr>
          <a:picLocks noChangeAspect="1"/>
        </xdr:cNvPicPr>
      </xdr:nvPicPr>
      <xdr:blipFill>
        <a:blip xmlns:r="http://schemas.openxmlformats.org/officeDocument/2006/relationships" r:embed="rId6"/>
        <a:stretch>
          <a:fillRect/>
        </a:stretch>
      </xdr:blipFill>
      <xdr:spPr>
        <a:xfrm>
          <a:off x="8020050" y="16102965"/>
          <a:ext cx="5594985" cy="3724275"/>
        </a:xfrm>
        <a:prstGeom prst="rect">
          <a:avLst/>
        </a:prstGeom>
      </xdr:spPr>
    </xdr:pic>
    <xdr:clientData/>
  </xdr:twoCellAnchor>
  <xdr:twoCellAnchor editAs="oneCell">
    <xdr:from>
      <xdr:col>16</xdr:col>
      <xdr:colOff>400050</xdr:colOff>
      <xdr:row>28</xdr:row>
      <xdr:rowOff>19050</xdr:rowOff>
    </xdr:from>
    <xdr:to>
      <xdr:col>25</xdr:col>
      <xdr:colOff>285750</xdr:colOff>
      <xdr:row>46</xdr:row>
      <xdr:rowOff>47625</xdr:rowOff>
    </xdr:to>
    <xdr:pic>
      <xdr:nvPicPr>
        <xdr:cNvPr id="8" name="Picture 7">
          <a:extLst>
            <a:ext uri="{FF2B5EF4-FFF2-40B4-BE49-F238E27FC236}">
              <a16:creationId xmlns:a16="http://schemas.microsoft.com/office/drawing/2014/main" id="{871D1F79-3887-468C-B6C5-B1D1D104F46B}"/>
            </a:ext>
            <a:ext uri="{147F2762-F138-4A5C-976F-8EAC2B608ADB}">
              <a16:predDERef xmlns:a16="http://schemas.microsoft.com/office/drawing/2014/main" pred="{76EF0EB4-A9C0-497C-93D1-068F634300D5}"/>
            </a:ext>
          </a:extLst>
        </xdr:cNvPr>
        <xdr:cNvPicPr>
          <a:picLocks noChangeAspect="1"/>
        </xdr:cNvPicPr>
      </xdr:nvPicPr>
      <xdr:blipFill>
        <a:blip xmlns:r="http://schemas.openxmlformats.org/officeDocument/2006/relationships" r:embed="rId7"/>
        <a:stretch>
          <a:fillRect/>
        </a:stretch>
      </xdr:blipFill>
      <xdr:spPr>
        <a:xfrm>
          <a:off x="12163425" y="5353050"/>
          <a:ext cx="5372100" cy="3457575"/>
        </a:xfrm>
        <a:prstGeom prst="rect">
          <a:avLst/>
        </a:prstGeom>
      </xdr:spPr>
    </xdr:pic>
    <xdr:clientData/>
  </xdr:twoCellAnchor>
  <xdr:twoCellAnchor editAs="oneCell">
    <xdr:from>
      <xdr:col>20</xdr:col>
      <xdr:colOff>142875</xdr:colOff>
      <xdr:row>48</xdr:row>
      <xdr:rowOff>180975</xdr:rowOff>
    </xdr:from>
    <xdr:to>
      <xdr:col>32</xdr:col>
      <xdr:colOff>57150</xdr:colOff>
      <xdr:row>69</xdr:row>
      <xdr:rowOff>152400</xdr:rowOff>
    </xdr:to>
    <xdr:pic>
      <xdr:nvPicPr>
        <xdr:cNvPr id="9" name="Picture 8">
          <a:extLst>
            <a:ext uri="{FF2B5EF4-FFF2-40B4-BE49-F238E27FC236}">
              <a16:creationId xmlns:a16="http://schemas.microsoft.com/office/drawing/2014/main" id="{9DEA732E-F45B-4485-B737-D58ADED5C5B5}"/>
            </a:ext>
            <a:ext uri="{147F2762-F138-4A5C-976F-8EAC2B608ADB}">
              <a16:predDERef xmlns:a16="http://schemas.microsoft.com/office/drawing/2014/main" pred="{871D1F79-3887-468C-B6C5-B1D1D104F46B}"/>
            </a:ext>
          </a:extLst>
        </xdr:cNvPr>
        <xdr:cNvPicPr>
          <a:picLocks noChangeAspect="1"/>
        </xdr:cNvPicPr>
      </xdr:nvPicPr>
      <xdr:blipFill>
        <a:blip xmlns:r="http://schemas.openxmlformats.org/officeDocument/2006/relationships" r:embed="rId8"/>
        <a:stretch>
          <a:fillRect/>
        </a:stretch>
      </xdr:blipFill>
      <xdr:spPr>
        <a:xfrm>
          <a:off x="14344650" y="9324975"/>
          <a:ext cx="7229475" cy="3971925"/>
        </a:xfrm>
        <a:prstGeom prst="rect">
          <a:avLst/>
        </a:prstGeom>
      </xdr:spPr>
    </xdr:pic>
    <xdr:clientData/>
  </xdr:twoCellAnchor>
  <xdr:twoCellAnchor editAs="oneCell">
    <xdr:from>
      <xdr:col>20</xdr:col>
      <xdr:colOff>242107</xdr:colOff>
      <xdr:row>70</xdr:row>
      <xdr:rowOff>26727</xdr:rowOff>
    </xdr:from>
    <xdr:to>
      <xdr:col>27</xdr:col>
      <xdr:colOff>545058</xdr:colOff>
      <xdr:row>83</xdr:row>
      <xdr:rowOff>179127</xdr:rowOff>
    </xdr:to>
    <xdr:pic>
      <xdr:nvPicPr>
        <xdr:cNvPr id="10" name="Picture 9">
          <a:extLst>
            <a:ext uri="{FF2B5EF4-FFF2-40B4-BE49-F238E27FC236}">
              <a16:creationId xmlns:a16="http://schemas.microsoft.com/office/drawing/2014/main" id="{E2F2795B-CB5B-43FA-83B6-73FA21E5E177}"/>
            </a:ext>
            <a:ext uri="{147F2762-F138-4A5C-976F-8EAC2B608ADB}">
              <a16:predDERef xmlns:a16="http://schemas.microsoft.com/office/drawing/2014/main" pred="{9DEA732E-F45B-4485-B737-D58ADED5C5B5}"/>
            </a:ext>
          </a:extLst>
        </xdr:cNvPr>
        <xdr:cNvPicPr>
          <a:picLocks noChangeAspect="1"/>
        </xdr:cNvPicPr>
      </xdr:nvPicPr>
      <xdr:blipFill>
        <a:blip xmlns:r="http://schemas.openxmlformats.org/officeDocument/2006/relationships" r:embed="rId9"/>
        <a:stretch>
          <a:fillRect/>
        </a:stretch>
      </xdr:blipFill>
      <xdr:spPr>
        <a:xfrm>
          <a:off x="14443882" y="13361727"/>
          <a:ext cx="4570151" cy="2628900"/>
        </a:xfrm>
        <a:prstGeom prst="rect">
          <a:avLst/>
        </a:prstGeom>
      </xdr:spPr>
    </xdr:pic>
    <xdr:clientData/>
  </xdr:twoCellAnchor>
  <xdr:twoCellAnchor editAs="oneCell">
    <xdr:from>
      <xdr:col>1</xdr:col>
      <xdr:colOff>190500</xdr:colOff>
      <xdr:row>53</xdr:row>
      <xdr:rowOff>76200</xdr:rowOff>
    </xdr:from>
    <xdr:to>
      <xdr:col>8</xdr:col>
      <xdr:colOff>104775</xdr:colOff>
      <xdr:row>78</xdr:row>
      <xdr:rowOff>161925</xdr:rowOff>
    </xdr:to>
    <xdr:pic>
      <xdr:nvPicPr>
        <xdr:cNvPr id="11" name="Picture 11">
          <a:extLst>
            <a:ext uri="{FF2B5EF4-FFF2-40B4-BE49-F238E27FC236}">
              <a16:creationId xmlns:a16="http://schemas.microsoft.com/office/drawing/2014/main" id="{333955EB-80A9-4F1B-A0B1-95CEB00F6964}"/>
            </a:ext>
            <a:ext uri="{147F2762-F138-4A5C-976F-8EAC2B608ADB}">
              <a16:predDERef xmlns:a16="http://schemas.microsoft.com/office/drawing/2014/main" pred="{E2F2795B-CB5B-43FA-83B6-73FA21E5E177}"/>
            </a:ext>
          </a:extLst>
        </xdr:cNvPr>
        <xdr:cNvPicPr>
          <a:picLocks noChangeAspect="1"/>
        </xdr:cNvPicPr>
      </xdr:nvPicPr>
      <xdr:blipFill>
        <a:blip xmlns:r="http://schemas.openxmlformats.org/officeDocument/2006/relationships" r:embed="rId10"/>
        <a:stretch>
          <a:fillRect/>
        </a:stretch>
      </xdr:blipFill>
      <xdr:spPr>
        <a:xfrm>
          <a:off x="800100" y="10172700"/>
          <a:ext cx="6191250" cy="4848225"/>
        </a:xfrm>
        <a:prstGeom prst="rect">
          <a:avLst/>
        </a:prstGeom>
      </xdr:spPr>
    </xdr:pic>
    <xdr:clientData/>
  </xdr:twoCellAnchor>
  <xdr:twoCellAnchor editAs="oneCell">
    <xdr:from>
      <xdr:col>2</xdr:col>
      <xdr:colOff>371475</xdr:colOff>
      <xdr:row>75</xdr:row>
      <xdr:rowOff>69215</xdr:rowOff>
    </xdr:from>
    <xdr:to>
      <xdr:col>8</xdr:col>
      <xdr:colOff>376555</xdr:colOff>
      <xdr:row>88</xdr:row>
      <xdr:rowOff>175895</xdr:rowOff>
    </xdr:to>
    <xdr:pic>
      <xdr:nvPicPr>
        <xdr:cNvPr id="12" name="Picture 12">
          <a:extLst>
            <a:ext uri="{FF2B5EF4-FFF2-40B4-BE49-F238E27FC236}">
              <a16:creationId xmlns:a16="http://schemas.microsoft.com/office/drawing/2014/main" id="{CF105C13-3CD1-44FE-93CA-EC50963BF0B4}"/>
            </a:ext>
            <a:ext uri="{147F2762-F138-4A5C-976F-8EAC2B608ADB}">
              <a16:predDERef xmlns:a16="http://schemas.microsoft.com/office/drawing/2014/main" pred="{1017BE8F-7897-E2CF-A096-1FC2943C9361}"/>
            </a:ext>
          </a:extLst>
        </xdr:cNvPr>
        <xdr:cNvPicPr>
          <a:picLocks noChangeAspect="1"/>
        </xdr:cNvPicPr>
      </xdr:nvPicPr>
      <xdr:blipFill>
        <a:blip xmlns:r="http://schemas.openxmlformats.org/officeDocument/2006/relationships" r:embed="rId11"/>
        <a:stretch>
          <a:fillRect/>
        </a:stretch>
      </xdr:blipFill>
      <xdr:spPr>
        <a:xfrm>
          <a:off x="2512695" y="13785215"/>
          <a:ext cx="4935220" cy="248412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409575</xdr:colOff>
      <xdr:row>0</xdr:row>
      <xdr:rowOff>0</xdr:rowOff>
    </xdr:from>
    <xdr:to>
      <xdr:col>24</xdr:col>
      <xdr:colOff>95250</xdr:colOff>
      <xdr:row>15</xdr:row>
      <xdr:rowOff>76200</xdr:rowOff>
    </xdr:to>
    <xdr:pic>
      <xdr:nvPicPr>
        <xdr:cNvPr id="20" name="Picture 1">
          <a:extLst>
            <a:ext uri="{FF2B5EF4-FFF2-40B4-BE49-F238E27FC236}">
              <a16:creationId xmlns:a16="http://schemas.microsoft.com/office/drawing/2014/main" id="{5339AF5D-E072-435C-97A5-315504CD802D}"/>
            </a:ext>
            <a:ext uri="{147F2762-F138-4A5C-976F-8EAC2B608ADB}">
              <a16:predDERef xmlns:a16="http://schemas.microsoft.com/office/drawing/2014/main" pred="{4BF74DF9-1383-BCCD-F227-235EBDCBBCEC}"/>
            </a:ext>
          </a:extLst>
        </xdr:cNvPr>
        <xdr:cNvPicPr>
          <a:picLocks noChangeAspect="1"/>
        </xdr:cNvPicPr>
      </xdr:nvPicPr>
      <xdr:blipFill>
        <a:blip xmlns:r="http://schemas.openxmlformats.org/officeDocument/2006/relationships" r:embed="rId1"/>
        <a:stretch>
          <a:fillRect/>
        </a:stretch>
      </xdr:blipFill>
      <xdr:spPr>
        <a:xfrm>
          <a:off x="10163175" y="0"/>
          <a:ext cx="4562475" cy="2933700"/>
        </a:xfrm>
        <a:prstGeom prst="rect">
          <a:avLst/>
        </a:prstGeom>
      </xdr:spPr>
    </xdr:pic>
    <xdr:clientData/>
  </xdr:twoCellAnchor>
  <xdr:twoCellAnchor>
    <xdr:from>
      <xdr:col>21</xdr:col>
      <xdr:colOff>0</xdr:colOff>
      <xdr:row>5</xdr:row>
      <xdr:rowOff>123825</xdr:rowOff>
    </xdr:from>
    <xdr:to>
      <xdr:col>21</xdr:col>
      <xdr:colOff>0</xdr:colOff>
      <xdr:row>11</xdr:row>
      <xdr:rowOff>19050</xdr:rowOff>
    </xdr:to>
    <xdr:cxnSp macro="">
      <xdr:nvCxnSpPr>
        <xdr:cNvPr id="18" name="Straight Connector 2">
          <a:extLst>
            <a:ext uri="{FF2B5EF4-FFF2-40B4-BE49-F238E27FC236}">
              <a16:creationId xmlns:a16="http://schemas.microsoft.com/office/drawing/2014/main" id="{1A6AA30D-0F1F-D978-CA9B-03A7FFAE7C68}"/>
            </a:ext>
            <a:ext uri="{147F2762-F138-4A5C-976F-8EAC2B608ADB}">
              <a16:predDERef xmlns:a16="http://schemas.microsoft.com/office/drawing/2014/main" pred="{5339AF5D-E072-435C-97A5-315504CD802D}"/>
            </a:ext>
          </a:extLst>
        </xdr:cNvPr>
        <xdr:cNvCxnSpPr>
          <a:cxnSpLocks/>
        </xdr:cNvCxnSpPr>
      </xdr:nvCxnSpPr>
      <xdr:spPr>
        <a:xfrm flipV="1">
          <a:off x="12801600" y="1076325"/>
          <a:ext cx="0" cy="1038225"/>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161925</xdr:colOff>
      <xdr:row>8</xdr:row>
      <xdr:rowOff>95250</xdr:rowOff>
    </xdr:from>
    <xdr:to>
      <xdr:col>21</xdr:col>
      <xdr:colOff>276225</xdr:colOff>
      <xdr:row>8</xdr:row>
      <xdr:rowOff>95250</xdr:rowOff>
    </xdr:to>
    <xdr:cxnSp macro="">
      <xdr:nvCxnSpPr>
        <xdr:cNvPr id="23" name="Straight Connector 3">
          <a:extLst>
            <a:ext uri="{FF2B5EF4-FFF2-40B4-BE49-F238E27FC236}">
              <a16:creationId xmlns:a16="http://schemas.microsoft.com/office/drawing/2014/main" id="{D889062B-56E9-2023-F539-0109887A65F9}"/>
            </a:ext>
            <a:ext uri="{147F2762-F138-4A5C-976F-8EAC2B608ADB}">
              <a16:predDERef xmlns:a16="http://schemas.microsoft.com/office/drawing/2014/main" pred="{1A6AA30D-0F1F-D978-CA9B-03A7FFAE7C68}"/>
            </a:ext>
          </a:extLst>
        </xdr:cNvPr>
        <xdr:cNvCxnSpPr>
          <a:cxnSpLocks/>
        </xdr:cNvCxnSpPr>
      </xdr:nvCxnSpPr>
      <xdr:spPr>
        <a:xfrm>
          <a:off x="10525125" y="1619250"/>
          <a:ext cx="2552700" cy="0"/>
        </a:xfrm>
        <a:prstGeom prst="line">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781050</xdr:colOff>
      <xdr:row>2</xdr:row>
      <xdr:rowOff>123825</xdr:rowOff>
    </xdr:from>
    <xdr:to>
      <xdr:col>17</xdr:col>
      <xdr:colOff>244520</xdr:colOff>
      <xdr:row>26</xdr:row>
      <xdr:rowOff>73076</xdr:rowOff>
    </xdr:to>
    <xdr:pic>
      <xdr:nvPicPr>
        <xdr:cNvPr id="2" name="Imagen 1">
          <a:extLst>
            <a:ext uri="{FF2B5EF4-FFF2-40B4-BE49-F238E27FC236}">
              <a16:creationId xmlns:a16="http://schemas.microsoft.com/office/drawing/2014/main" id="{BCBBDF57-05DB-8E92-E046-FD37C637835A}"/>
            </a:ext>
          </a:extLst>
        </xdr:cNvPr>
        <xdr:cNvPicPr>
          <a:picLocks noChangeAspect="1"/>
        </xdr:cNvPicPr>
      </xdr:nvPicPr>
      <xdr:blipFill>
        <a:blip xmlns:r="http://schemas.openxmlformats.org/officeDocument/2006/relationships" r:embed="rId1"/>
        <a:stretch>
          <a:fillRect/>
        </a:stretch>
      </xdr:blipFill>
      <xdr:spPr>
        <a:xfrm>
          <a:off x="6648450" y="485775"/>
          <a:ext cx="9640645" cy="4911776"/>
        </a:xfrm>
        <a:prstGeom prst="rect">
          <a:avLst/>
        </a:prstGeom>
      </xdr:spPr>
    </xdr:pic>
    <xdr:clientData/>
  </xdr:twoCellAnchor>
  <xdr:twoCellAnchor editAs="oneCell">
    <xdr:from>
      <xdr:col>7</xdr:col>
      <xdr:colOff>32036</xdr:colOff>
      <xdr:row>33</xdr:row>
      <xdr:rowOff>145686</xdr:rowOff>
    </xdr:from>
    <xdr:to>
      <xdr:col>7</xdr:col>
      <xdr:colOff>1799221</xdr:colOff>
      <xdr:row>36</xdr:row>
      <xdr:rowOff>61947</xdr:rowOff>
    </xdr:to>
    <xdr:pic>
      <xdr:nvPicPr>
        <xdr:cNvPr id="3" name="Imagen 2">
          <a:extLst>
            <a:ext uri="{FF2B5EF4-FFF2-40B4-BE49-F238E27FC236}">
              <a16:creationId xmlns:a16="http://schemas.microsoft.com/office/drawing/2014/main" id="{8C7D4B95-F7E2-663E-EABF-E657002CC030}"/>
            </a:ext>
          </a:extLst>
        </xdr:cNvPr>
        <xdr:cNvPicPr>
          <a:picLocks noChangeAspect="1"/>
        </xdr:cNvPicPr>
      </xdr:nvPicPr>
      <xdr:blipFill>
        <a:blip xmlns:r="http://schemas.openxmlformats.org/officeDocument/2006/relationships" r:embed="rId2"/>
        <a:stretch>
          <a:fillRect/>
        </a:stretch>
      </xdr:blipFill>
      <xdr:spPr>
        <a:xfrm>
          <a:off x="6678369" y="7624575"/>
          <a:ext cx="1808004" cy="6641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76200</xdr:colOff>
      <xdr:row>1</xdr:row>
      <xdr:rowOff>57150</xdr:rowOff>
    </xdr:from>
    <xdr:to>
      <xdr:col>17</xdr:col>
      <xdr:colOff>381000</xdr:colOff>
      <xdr:row>13</xdr:row>
      <xdr:rowOff>9525</xdr:rowOff>
    </xdr:to>
    <xdr:pic>
      <xdr:nvPicPr>
        <xdr:cNvPr id="2" name="Picture 1">
          <a:extLst>
            <a:ext uri="{FF2B5EF4-FFF2-40B4-BE49-F238E27FC236}">
              <a16:creationId xmlns:a16="http://schemas.microsoft.com/office/drawing/2014/main" id="{3212DA03-A950-9DFE-8716-67F28D74BE5D}"/>
            </a:ext>
          </a:extLst>
        </xdr:cNvPr>
        <xdr:cNvPicPr>
          <a:picLocks noChangeAspect="1"/>
        </xdr:cNvPicPr>
      </xdr:nvPicPr>
      <xdr:blipFill>
        <a:blip xmlns:r="http://schemas.openxmlformats.org/officeDocument/2006/relationships" r:embed="rId1"/>
        <a:stretch>
          <a:fillRect/>
        </a:stretch>
      </xdr:blipFill>
      <xdr:spPr>
        <a:xfrm>
          <a:off x="6172200" y="247650"/>
          <a:ext cx="4572000" cy="2238375"/>
        </a:xfrm>
        <a:prstGeom prst="rect">
          <a:avLst/>
        </a:prstGeom>
      </xdr:spPr>
    </xdr:pic>
    <xdr:clientData/>
  </xdr:twoCellAnchor>
  <xdr:twoCellAnchor editAs="oneCell">
    <xdr:from>
      <xdr:col>10</xdr:col>
      <xdr:colOff>0</xdr:colOff>
      <xdr:row>14</xdr:row>
      <xdr:rowOff>0</xdr:rowOff>
    </xdr:from>
    <xdr:to>
      <xdr:col>17</xdr:col>
      <xdr:colOff>295275</xdr:colOff>
      <xdr:row>33</xdr:row>
      <xdr:rowOff>152400</xdr:rowOff>
    </xdr:to>
    <xdr:pic>
      <xdr:nvPicPr>
        <xdr:cNvPr id="3" name="Picture 2">
          <a:extLst>
            <a:ext uri="{FF2B5EF4-FFF2-40B4-BE49-F238E27FC236}">
              <a16:creationId xmlns:a16="http://schemas.microsoft.com/office/drawing/2014/main" id="{38FF38A4-CCCA-358B-852D-80E754CDF099}"/>
            </a:ext>
            <a:ext uri="{147F2762-F138-4A5C-976F-8EAC2B608ADB}">
              <a16:predDERef xmlns:a16="http://schemas.microsoft.com/office/drawing/2014/main" pred="{3212DA03-A950-9DFE-8716-67F28D74BE5D}"/>
            </a:ext>
          </a:extLst>
        </xdr:cNvPr>
        <xdr:cNvPicPr>
          <a:picLocks noChangeAspect="1"/>
        </xdr:cNvPicPr>
      </xdr:nvPicPr>
      <xdr:blipFill>
        <a:blip xmlns:r="http://schemas.openxmlformats.org/officeDocument/2006/relationships" r:embed="rId2"/>
        <a:stretch>
          <a:fillRect/>
        </a:stretch>
      </xdr:blipFill>
      <xdr:spPr>
        <a:xfrm>
          <a:off x="6096000" y="2667000"/>
          <a:ext cx="4562475" cy="3771900"/>
        </a:xfrm>
        <a:prstGeom prst="rect">
          <a:avLst/>
        </a:prstGeom>
      </xdr:spPr>
    </xdr:pic>
    <xdr:clientData/>
  </xdr:twoCellAnchor>
  <xdr:twoCellAnchor editAs="oneCell">
    <xdr:from>
      <xdr:col>11</xdr:col>
      <xdr:colOff>0</xdr:colOff>
      <xdr:row>35</xdr:row>
      <xdr:rowOff>0</xdr:rowOff>
    </xdr:from>
    <xdr:to>
      <xdr:col>17</xdr:col>
      <xdr:colOff>561975</xdr:colOff>
      <xdr:row>47</xdr:row>
      <xdr:rowOff>19050</xdr:rowOff>
    </xdr:to>
    <xdr:pic>
      <xdr:nvPicPr>
        <xdr:cNvPr id="4" name="Picture 3">
          <a:extLst>
            <a:ext uri="{FF2B5EF4-FFF2-40B4-BE49-F238E27FC236}">
              <a16:creationId xmlns:a16="http://schemas.microsoft.com/office/drawing/2014/main" id="{3B8C5135-7EDE-A9C6-B68A-E13BCDC08894}"/>
            </a:ext>
            <a:ext uri="{147F2762-F138-4A5C-976F-8EAC2B608ADB}">
              <a16:predDERef xmlns:a16="http://schemas.microsoft.com/office/drawing/2014/main" pred="{38FF38A4-CCCA-358B-852D-80E754CDF099}"/>
            </a:ext>
          </a:extLst>
        </xdr:cNvPr>
        <xdr:cNvPicPr>
          <a:picLocks noChangeAspect="1"/>
        </xdr:cNvPicPr>
      </xdr:nvPicPr>
      <xdr:blipFill>
        <a:blip xmlns:r="http://schemas.openxmlformats.org/officeDocument/2006/relationships" r:embed="rId3"/>
        <a:stretch>
          <a:fillRect/>
        </a:stretch>
      </xdr:blipFill>
      <xdr:spPr>
        <a:xfrm>
          <a:off x="6705600" y="6667500"/>
          <a:ext cx="4219575" cy="2305050"/>
        </a:xfrm>
        <a:prstGeom prst="rect">
          <a:avLst/>
        </a:prstGeom>
      </xdr:spPr>
    </xdr:pic>
    <xdr:clientData/>
  </xdr:twoCellAnchor>
  <xdr:twoCellAnchor editAs="oneCell">
    <xdr:from>
      <xdr:col>16</xdr:col>
      <xdr:colOff>247650</xdr:colOff>
      <xdr:row>49</xdr:row>
      <xdr:rowOff>0</xdr:rowOff>
    </xdr:from>
    <xdr:to>
      <xdr:col>23</xdr:col>
      <xdr:colOff>552450</xdr:colOff>
      <xdr:row>61</xdr:row>
      <xdr:rowOff>104775</xdr:rowOff>
    </xdr:to>
    <xdr:pic>
      <xdr:nvPicPr>
        <xdr:cNvPr id="5" name="Picture 4">
          <a:extLst>
            <a:ext uri="{FF2B5EF4-FFF2-40B4-BE49-F238E27FC236}">
              <a16:creationId xmlns:a16="http://schemas.microsoft.com/office/drawing/2014/main" id="{CE2FD023-8663-C943-52B0-9F5B4B70D824}"/>
            </a:ext>
            <a:ext uri="{147F2762-F138-4A5C-976F-8EAC2B608ADB}">
              <a16:predDERef xmlns:a16="http://schemas.microsoft.com/office/drawing/2014/main" pred="{3B8C5135-7EDE-A9C6-B68A-E13BCDC08894}"/>
            </a:ext>
          </a:extLst>
        </xdr:cNvPr>
        <xdr:cNvPicPr>
          <a:picLocks noChangeAspect="1"/>
        </xdr:cNvPicPr>
      </xdr:nvPicPr>
      <xdr:blipFill>
        <a:blip xmlns:r="http://schemas.openxmlformats.org/officeDocument/2006/relationships" r:embed="rId4"/>
        <a:stretch>
          <a:fillRect/>
        </a:stretch>
      </xdr:blipFill>
      <xdr:spPr>
        <a:xfrm>
          <a:off x="12011025" y="9334500"/>
          <a:ext cx="4572000" cy="2390775"/>
        </a:xfrm>
        <a:prstGeom prst="rect">
          <a:avLst/>
        </a:prstGeom>
      </xdr:spPr>
    </xdr:pic>
    <xdr:clientData/>
  </xdr:twoCellAnchor>
  <xdr:twoCellAnchor editAs="oneCell">
    <xdr:from>
      <xdr:col>15</xdr:col>
      <xdr:colOff>184620</xdr:colOff>
      <xdr:row>60</xdr:row>
      <xdr:rowOff>75142</xdr:rowOff>
    </xdr:from>
    <xdr:to>
      <xdr:col>22</xdr:col>
      <xdr:colOff>392406</xdr:colOff>
      <xdr:row>84</xdr:row>
      <xdr:rowOff>75494</xdr:rowOff>
    </xdr:to>
    <xdr:pic>
      <xdr:nvPicPr>
        <xdr:cNvPr id="6" name="Picture 5">
          <a:extLst>
            <a:ext uri="{FF2B5EF4-FFF2-40B4-BE49-F238E27FC236}">
              <a16:creationId xmlns:a16="http://schemas.microsoft.com/office/drawing/2014/main" id="{4977F462-AEB0-5FDB-4B60-5485C30A3851}"/>
            </a:ext>
            <a:ext uri="{147F2762-F138-4A5C-976F-8EAC2B608ADB}">
              <a16:predDERef xmlns:a16="http://schemas.microsoft.com/office/drawing/2014/main" pred="{CE2FD023-8663-C943-52B0-9F5B4B70D824}"/>
            </a:ext>
          </a:extLst>
        </xdr:cNvPr>
        <xdr:cNvPicPr>
          <a:picLocks noChangeAspect="1"/>
        </xdr:cNvPicPr>
      </xdr:nvPicPr>
      <xdr:blipFill>
        <a:blip xmlns:r="http://schemas.openxmlformats.org/officeDocument/2006/relationships" r:embed="rId5"/>
        <a:stretch>
          <a:fillRect/>
        </a:stretch>
      </xdr:blipFill>
      <xdr:spPr>
        <a:xfrm>
          <a:off x="11338395" y="11505142"/>
          <a:ext cx="4474986" cy="4572352"/>
        </a:xfrm>
        <a:prstGeom prst="rect">
          <a:avLst/>
        </a:prstGeom>
      </xdr:spPr>
    </xdr:pic>
    <xdr:clientData/>
  </xdr:twoCellAnchor>
  <xdr:twoCellAnchor editAs="oneCell">
    <xdr:from>
      <xdr:col>9</xdr:col>
      <xdr:colOff>323850</xdr:colOff>
      <xdr:row>88</xdr:row>
      <xdr:rowOff>9525</xdr:rowOff>
    </xdr:from>
    <xdr:to>
      <xdr:col>18</xdr:col>
      <xdr:colOff>295275</xdr:colOff>
      <xdr:row>108</xdr:row>
      <xdr:rowOff>76200</xdr:rowOff>
    </xdr:to>
    <xdr:pic>
      <xdr:nvPicPr>
        <xdr:cNvPr id="7" name="Picture 6">
          <a:extLst>
            <a:ext uri="{FF2B5EF4-FFF2-40B4-BE49-F238E27FC236}">
              <a16:creationId xmlns:a16="http://schemas.microsoft.com/office/drawing/2014/main" id="{4BF74DF9-1383-BCCD-F227-235EBDCBBCEC}"/>
            </a:ext>
            <a:ext uri="{147F2762-F138-4A5C-976F-8EAC2B608ADB}">
              <a16:predDERef xmlns:a16="http://schemas.microsoft.com/office/drawing/2014/main" pred="{4977F462-AEB0-5FDB-4B60-5485C30A3851}"/>
            </a:ext>
          </a:extLst>
        </xdr:cNvPr>
        <xdr:cNvPicPr>
          <a:picLocks noChangeAspect="1"/>
        </xdr:cNvPicPr>
      </xdr:nvPicPr>
      <xdr:blipFill>
        <a:blip xmlns:r="http://schemas.openxmlformats.org/officeDocument/2006/relationships" r:embed="rId6"/>
        <a:stretch>
          <a:fillRect/>
        </a:stretch>
      </xdr:blipFill>
      <xdr:spPr>
        <a:xfrm>
          <a:off x="6677025" y="16773525"/>
          <a:ext cx="5457825" cy="3876675"/>
        </a:xfrm>
        <a:prstGeom prst="rect">
          <a:avLst/>
        </a:prstGeom>
      </xdr:spPr>
    </xdr:pic>
    <xdr:clientData/>
  </xdr:twoCellAnchor>
  <xdr:twoCellAnchor editAs="oneCell">
    <xdr:from>
      <xdr:col>15</xdr:col>
      <xdr:colOff>228600</xdr:colOff>
      <xdr:row>32</xdr:row>
      <xdr:rowOff>152400</xdr:rowOff>
    </xdr:from>
    <xdr:to>
      <xdr:col>22</xdr:col>
      <xdr:colOff>523875</xdr:colOff>
      <xdr:row>48</xdr:row>
      <xdr:rowOff>38100</xdr:rowOff>
    </xdr:to>
    <xdr:pic>
      <xdr:nvPicPr>
        <xdr:cNvPr id="8" name="Picture 7">
          <a:extLst>
            <a:ext uri="{FF2B5EF4-FFF2-40B4-BE49-F238E27FC236}">
              <a16:creationId xmlns:a16="http://schemas.microsoft.com/office/drawing/2014/main" id="{8824FC26-CC36-A78B-50DA-A35CCC921B81}"/>
            </a:ext>
            <a:ext uri="{147F2762-F138-4A5C-976F-8EAC2B608ADB}">
              <a16:predDERef xmlns:a16="http://schemas.microsoft.com/office/drawing/2014/main" pred="{4BF74DF9-1383-BCCD-F227-235EBDCBBCEC}"/>
            </a:ext>
          </a:extLst>
        </xdr:cNvPr>
        <xdr:cNvPicPr>
          <a:picLocks noChangeAspect="1"/>
        </xdr:cNvPicPr>
      </xdr:nvPicPr>
      <xdr:blipFill>
        <a:blip xmlns:r="http://schemas.openxmlformats.org/officeDocument/2006/relationships" r:embed="rId7"/>
        <a:stretch>
          <a:fillRect/>
        </a:stretch>
      </xdr:blipFill>
      <xdr:spPr>
        <a:xfrm>
          <a:off x="11382375" y="6248400"/>
          <a:ext cx="4562475" cy="2933700"/>
        </a:xfrm>
        <a:prstGeom prst="rect">
          <a:avLst/>
        </a:prstGeom>
      </xdr:spPr>
    </xdr:pic>
    <xdr:clientData/>
  </xdr:twoCellAnchor>
  <xdr:twoCellAnchor editAs="oneCell">
    <xdr:from>
      <xdr:col>6</xdr:col>
      <xdr:colOff>200025</xdr:colOff>
      <xdr:row>49</xdr:row>
      <xdr:rowOff>171450</xdr:rowOff>
    </xdr:from>
    <xdr:to>
      <xdr:col>13</xdr:col>
      <xdr:colOff>504825</xdr:colOff>
      <xdr:row>63</xdr:row>
      <xdr:rowOff>133350</xdr:rowOff>
    </xdr:to>
    <xdr:pic>
      <xdr:nvPicPr>
        <xdr:cNvPr id="10" name="Picture 9">
          <a:extLst>
            <a:ext uri="{FF2B5EF4-FFF2-40B4-BE49-F238E27FC236}">
              <a16:creationId xmlns:a16="http://schemas.microsoft.com/office/drawing/2014/main" id="{49CBD1B5-0CE6-B8CB-A784-8F83DC5B2801}"/>
            </a:ext>
            <a:ext uri="{147F2762-F138-4A5C-976F-8EAC2B608ADB}">
              <a16:predDERef xmlns:a16="http://schemas.microsoft.com/office/drawing/2014/main" pred="{8FABDEE3-E0B3-C56A-8DDD-EB009ADE98CF}"/>
            </a:ext>
          </a:extLst>
        </xdr:cNvPr>
        <xdr:cNvPicPr>
          <a:picLocks noChangeAspect="1"/>
        </xdr:cNvPicPr>
      </xdr:nvPicPr>
      <xdr:blipFill>
        <a:blip xmlns:r="http://schemas.openxmlformats.org/officeDocument/2006/relationships" r:embed="rId8"/>
        <a:stretch>
          <a:fillRect/>
        </a:stretch>
      </xdr:blipFill>
      <xdr:spPr>
        <a:xfrm>
          <a:off x="4724400" y="9505950"/>
          <a:ext cx="4572000" cy="2628900"/>
        </a:xfrm>
        <a:prstGeom prst="rect">
          <a:avLst/>
        </a:prstGeom>
      </xdr:spPr>
    </xdr:pic>
    <xdr:clientData/>
  </xdr:twoCellAnchor>
  <xdr:twoCellAnchor editAs="oneCell">
    <xdr:from>
      <xdr:col>1</xdr:col>
      <xdr:colOff>937431</xdr:colOff>
      <xdr:row>58</xdr:row>
      <xdr:rowOff>4420</xdr:rowOff>
    </xdr:from>
    <xdr:to>
      <xdr:col>6</xdr:col>
      <xdr:colOff>410433</xdr:colOff>
      <xdr:row>76</xdr:row>
      <xdr:rowOff>155643</xdr:rowOff>
    </xdr:to>
    <xdr:pic>
      <xdr:nvPicPr>
        <xdr:cNvPr id="12" name="Picture 11">
          <a:extLst>
            <a:ext uri="{FF2B5EF4-FFF2-40B4-BE49-F238E27FC236}">
              <a16:creationId xmlns:a16="http://schemas.microsoft.com/office/drawing/2014/main" id="{1017BE8F-7897-E2CF-A096-1FC2943C9361}"/>
            </a:ext>
            <a:ext uri="{147F2762-F138-4A5C-976F-8EAC2B608ADB}">
              <a16:predDERef xmlns:a16="http://schemas.microsoft.com/office/drawing/2014/main" pred="{49CBD1B5-0CE6-B8CB-A784-8F83DC5B2801}"/>
            </a:ext>
          </a:extLst>
        </xdr:cNvPr>
        <xdr:cNvPicPr>
          <a:picLocks noChangeAspect="1"/>
        </xdr:cNvPicPr>
      </xdr:nvPicPr>
      <xdr:blipFill>
        <a:blip xmlns:r="http://schemas.openxmlformats.org/officeDocument/2006/relationships" r:embed="rId9"/>
        <a:stretch>
          <a:fillRect/>
        </a:stretch>
      </xdr:blipFill>
      <xdr:spPr>
        <a:xfrm>
          <a:off x="1562442" y="10432690"/>
          <a:ext cx="4670013" cy="3387582"/>
        </a:xfrm>
        <a:prstGeom prst="rect">
          <a:avLst/>
        </a:prstGeom>
      </xdr:spPr>
    </xdr:pic>
    <xdr:clientData/>
  </xdr:twoCellAnchor>
  <xdr:twoCellAnchor editAs="oneCell">
    <xdr:from>
      <xdr:col>2</xdr:col>
      <xdr:colOff>371475</xdr:colOff>
      <xdr:row>75</xdr:row>
      <xdr:rowOff>69215</xdr:rowOff>
    </xdr:from>
    <xdr:to>
      <xdr:col>8</xdr:col>
      <xdr:colOff>376555</xdr:colOff>
      <xdr:row>88</xdr:row>
      <xdr:rowOff>175895</xdr:rowOff>
    </xdr:to>
    <xdr:pic>
      <xdr:nvPicPr>
        <xdr:cNvPr id="11" name="Picture 12">
          <a:extLst>
            <a:ext uri="{FF2B5EF4-FFF2-40B4-BE49-F238E27FC236}">
              <a16:creationId xmlns:a16="http://schemas.microsoft.com/office/drawing/2014/main" id="{8B55B109-1CEE-6981-4228-230AA039DB1E}"/>
            </a:ext>
            <a:ext uri="{147F2762-F138-4A5C-976F-8EAC2B608ADB}">
              <a16:predDERef xmlns:a16="http://schemas.microsoft.com/office/drawing/2014/main" pred="{1017BE8F-7897-E2CF-A096-1FC2943C9361}"/>
            </a:ext>
          </a:extLst>
        </xdr:cNvPr>
        <xdr:cNvPicPr>
          <a:picLocks noChangeAspect="1"/>
        </xdr:cNvPicPr>
      </xdr:nvPicPr>
      <xdr:blipFill>
        <a:blip xmlns:r="http://schemas.openxmlformats.org/officeDocument/2006/relationships" r:embed="rId10"/>
        <a:stretch>
          <a:fillRect/>
        </a:stretch>
      </xdr:blipFill>
      <xdr:spPr>
        <a:xfrm>
          <a:off x="2515235" y="13785215"/>
          <a:ext cx="4937760" cy="248412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685800</xdr:colOff>
      <xdr:row>10</xdr:row>
      <xdr:rowOff>0</xdr:rowOff>
    </xdr:from>
    <xdr:to>
      <xdr:col>20</xdr:col>
      <xdr:colOff>65783</xdr:colOff>
      <xdr:row>18</xdr:row>
      <xdr:rowOff>95464</xdr:rowOff>
    </xdr:to>
    <xdr:pic>
      <xdr:nvPicPr>
        <xdr:cNvPr id="2" name="Imagen 1">
          <a:extLst>
            <a:ext uri="{FF2B5EF4-FFF2-40B4-BE49-F238E27FC236}">
              <a16:creationId xmlns:a16="http://schemas.microsoft.com/office/drawing/2014/main" id="{A0F289B3-5488-507D-781A-292F517095A3}"/>
            </a:ext>
          </a:extLst>
        </xdr:cNvPr>
        <xdr:cNvPicPr>
          <a:picLocks noChangeAspect="1"/>
        </xdr:cNvPicPr>
      </xdr:nvPicPr>
      <xdr:blipFill>
        <a:blip xmlns:r="http://schemas.openxmlformats.org/officeDocument/2006/relationships" r:embed="rId1"/>
        <a:stretch>
          <a:fillRect/>
        </a:stretch>
      </xdr:blipFill>
      <xdr:spPr>
        <a:xfrm>
          <a:off x="8858250" y="1905000"/>
          <a:ext cx="6999983" cy="1619464"/>
        </a:xfrm>
        <a:prstGeom prst="rect">
          <a:avLst/>
        </a:prstGeom>
      </xdr:spPr>
    </xdr:pic>
    <xdr:clientData/>
  </xdr:twoCellAnchor>
  <xdr:twoCellAnchor editAs="oneCell">
    <xdr:from>
      <xdr:col>11</xdr:col>
      <xdr:colOff>158115</xdr:colOff>
      <xdr:row>18</xdr:row>
      <xdr:rowOff>154305</xdr:rowOff>
    </xdr:from>
    <xdr:to>
      <xdr:col>19</xdr:col>
      <xdr:colOff>540051</xdr:colOff>
      <xdr:row>35</xdr:row>
      <xdr:rowOff>97599</xdr:rowOff>
    </xdr:to>
    <xdr:pic>
      <xdr:nvPicPr>
        <xdr:cNvPr id="3" name="Imagen 2">
          <a:extLst>
            <a:ext uri="{FF2B5EF4-FFF2-40B4-BE49-F238E27FC236}">
              <a16:creationId xmlns:a16="http://schemas.microsoft.com/office/drawing/2014/main" id="{13884A87-1FCF-4DB8-10A3-07768EC6E63E}"/>
            </a:ext>
            <a:ext uri="{147F2762-F138-4A5C-976F-8EAC2B608ADB}">
              <a16:predDERef xmlns:a16="http://schemas.microsoft.com/office/drawing/2014/main" pred="{A0F289B3-5488-507D-781A-292F517095A3}"/>
            </a:ext>
          </a:extLst>
        </xdr:cNvPr>
        <xdr:cNvPicPr>
          <a:picLocks noChangeAspect="1"/>
        </xdr:cNvPicPr>
      </xdr:nvPicPr>
      <xdr:blipFill>
        <a:blip xmlns:r="http://schemas.openxmlformats.org/officeDocument/2006/relationships" r:embed="rId2"/>
        <a:stretch>
          <a:fillRect/>
        </a:stretch>
      </xdr:blipFill>
      <xdr:spPr>
        <a:xfrm>
          <a:off x="9092565" y="3583305"/>
          <a:ext cx="6477936" cy="333419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535082</xdr:colOff>
      <xdr:row>4</xdr:row>
      <xdr:rowOff>17841</xdr:rowOff>
    </xdr:from>
    <xdr:to>
      <xdr:col>18</xdr:col>
      <xdr:colOff>287845</xdr:colOff>
      <xdr:row>26</xdr:row>
      <xdr:rowOff>20508</xdr:rowOff>
    </xdr:to>
    <xdr:pic>
      <xdr:nvPicPr>
        <xdr:cNvPr id="4" name="Imagen 3">
          <a:extLst>
            <a:ext uri="{FF2B5EF4-FFF2-40B4-BE49-F238E27FC236}">
              <a16:creationId xmlns:a16="http://schemas.microsoft.com/office/drawing/2014/main" id="{9ED01B8F-18C2-D1B0-6868-33DB223CF76A}"/>
            </a:ext>
          </a:extLst>
        </xdr:cNvPr>
        <xdr:cNvPicPr>
          <a:picLocks noChangeAspect="1"/>
        </xdr:cNvPicPr>
      </xdr:nvPicPr>
      <xdr:blipFill>
        <a:blip xmlns:r="http://schemas.openxmlformats.org/officeDocument/2006/relationships" r:embed="rId1"/>
        <a:stretch>
          <a:fillRect/>
        </a:stretch>
      </xdr:blipFill>
      <xdr:spPr>
        <a:xfrm>
          <a:off x="9824517" y="755260"/>
          <a:ext cx="5273167" cy="4058474"/>
        </a:xfrm>
        <a:prstGeom prst="rect">
          <a:avLst/>
        </a:prstGeom>
      </xdr:spPr>
    </xdr:pic>
    <xdr:clientData/>
  </xdr:twoCellAnchor>
  <xdr:twoCellAnchor editAs="oneCell">
    <xdr:from>
      <xdr:col>7</xdr:col>
      <xdr:colOff>395564</xdr:colOff>
      <xdr:row>28</xdr:row>
      <xdr:rowOff>137958</xdr:rowOff>
    </xdr:from>
    <xdr:to>
      <xdr:col>14</xdr:col>
      <xdr:colOff>290568</xdr:colOff>
      <xdr:row>33</xdr:row>
      <xdr:rowOff>94550</xdr:rowOff>
    </xdr:to>
    <xdr:pic>
      <xdr:nvPicPr>
        <xdr:cNvPr id="5" name="Imagen 4">
          <a:extLst>
            <a:ext uri="{FF2B5EF4-FFF2-40B4-BE49-F238E27FC236}">
              <a16:creationId xmlns:a16="http://schemas.microsoft.com/office/drawing/2014/main" id="{6598A52A-0D2C-24A7-6A01-01FCA7B1DF42}"/>
            </a:ext>
            <a:ext uri="{147F2762-F138-4A5C-976F-8EAC2B608ADB}">
              <a16:predDERef xmlns:a16="http://schemas.microsoft.com/office/drawing/2014/main" pred="{9ED01B8F-18C2-D1B0-6868-33DB223CF76A}"/>
            </a:ext>
          </a:extLst>
        </xdr:cNvPr>
        <xdr:cNvPicPr>
          <a:picLocks noChangeAspect="1"/>
        </xdr:cNvPicPr>
      </xdr:nvPicPr>
      <xdr:blipFill>
        <a:blip xmlns:r="http://schemas.openxmlformats.org/officeDocument/2006/relationships" r:embed="rId2"/>
        <a:stretch>
          <a:fillRect/>
        </a:stretch>
      </xdr:blipFill>
      <xdr:spPr>
        <a:xfrm>
          <a:off x="6329639" y="5471958"/>
          <a:ext cx="5400454" cy="909092"/>
        </a:xfrm>
        <a:prstGeom prst="rect">
          <a:avLst/>
        </a:prstGeom>
      </xdr:spPr>
    </xdr:pic>
    <xdr:clientData/>
  </xdr:twoCellAnchor>
  <xdr:twoCellAnchor editAs="oneCell">
    <xdr:from>
      <xdr:col>0</xdr:col>
      <xdr:colOff>571500</xdr:colOff>
      <xdr:row>23</xdr:row>
      <xdr:rowOff>114300</xdr:rowOff>
    </xdr:from>
    <xdr:to>
      <xdr:col>6</xdr:col>
      <xdr:colOff>352425</xdr:colOff>
      <xdr:row>40</xdr:row>
      <xdr:rowOff>47625</xdr:rowOff>
    </xdr:to>
    <xdr:pic>
      <xdr:nvPicPr>
        <xdr:cNvPr id="6" name="Picture 12">
          <a:extLst>
            <a:ext uri="{FF2B5EF4-FFF2-40B4-BE49-F238E27FC236}">
              <a16:creationId xmlns:a16="http://schemas.microsoft.com/office/drawing/2014/main" id="{EFC81C8E-BD3E-41F7-8AEA-6632EBA9DB64}"/>
            </a:ext>
            <a:ext uri="{147F2762-F138-4A5C-976F-8EAC2B608ADB}">
              <a16:predDERef xmlns:a16="http://schemas.microsoft.com/office/drawing/2014/main" pred="{6598A52A-0D2C-24A7-6A01-01FCA7B1DF42}"/>
            </a:ext>
          </a:extLst>
        </xdr:cNvPr>
        <xdr:cNvPicPr>
          <a:picLocks noChangeAspect="1"/>
        </xdr:cNvPicPr>
      </xdr:nvPicPr>
      <xdr:blipFill>
        <a:blip xmlns:r="http://schemas.openxmlformats.org/officeDocument/2006/relationships" r:embed="rId3"/>
        <a:stretch>
          <a:fillRect/>
        </a:stretch>
      </xdr:blipFill>
      <xdr:spPr>
        <a:xfrm>
          <a:off x="571500" y="4495800"/>
          <a:ext cx="4953000" cy="3171825"/>
        </a:xfrm>
        <a:prstGeom prst="rect">
          <a:avLst/>
        </a:prstGeom>
      </xdr:spPr>
    </xdr:pic>
    <xdr:clientData/>
  </xdr:twoCellAnchor>
  <xdr:twoCellAnchor editAs="oneCell">
    <xdr:from>
      <xdr:col>8</xdr:col>
      <xdr:colOff>267212</xdr:colOff>
      <xdr:row>35</xdr:row>
      <xdr:rowOff>45270</xdr:rowOff>
    </xdr:from>
    <xdr:to>
      <xdr:col>19</xdr:col>
      <xdr:colOff>191135</xdr:colOff>
      <xdr:row>57</xdr:row>
      <xdr:rowOff>110605</xdr:rowOff>
    </xdr:to>
    <xdr:pic>
      <xdr:nvPicPr>
        <xdr:cNvPr id="7" name="Imagen 6">
          <a:extLst>
            <a:ext uri="{FF2B5EF4-FFF2-40B4-BE49-F238E27FC236}">
              <a16:creationId xmlns:a16="http://schemas.microsoft.com/office/drawing/2014/main" id="{A6ACB168-FEBC-D6A8-6293-C217A301D95F}"/>
            </a:ext>
            <a:ext uri="{147F2762-F138-4A5C-976F-8EAC2B608ADB}">
              <a16:predDERef xmlns:a16="http://schemas.microsoft.com/office/drawing/2014/main" pred="{EFC81C8E-BD3E-41F7-8AEA-6632EBA9DB64}"/>
            </a:ext>
          </a:extLst>
        </xdr:cNvPr>
        <xdr:cNvPicPr>
          <a:picLocks noChangeAspect="1"/>
        </xdr:cNvPicPr>
      </xdr:nvPicPr>
      <xdr:blipFill>
        <a:blip xmlns:r="http://schemas.openxmlformats.org/officeDocument/2006/relationships" r:embed="rId4"/>
        <a:stretch>
          <a:fillRect/>
        </a:stretch>
      </xdr:blipFill>
      <xdr:spPr>
        <a:xfrm>
          <a:off x="6963287" y="6712770"/>
          <a:ext cx="8477373" cy="4256335"/>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0.15406</cdr:x>
      <cdr:y>0.17338</cdr:y>
    </cdr:from>
    <cdr:to>
      <cdr:x>0.3665</cdr:x>
      <cdr:y>0.30526</cdr:y>
    </cdr:to>
    <cdr:sp macro="" textlink="">
      <cdr:nvSpPr>
        <cdr:cNvPr id="2" name="CuadroTexto 1">
          <a:extLst xmlns:a="http://schemas.openxmlformats.org/drawingml/2006/main">
            <a:ext uri="{FF2B5EF4-FFF2-40B4-BE49-F238E27FC236}">
              <a16:creationId xmlns:a16="http://schemas.microsoft.com/office/drawing/2014/main" id="{D87D3783-BACF-B5D9-35A5-FD3343D92C04}"/>
            </a:ext>
          </a:extLst>
        </cdr:cNvPr>
        <cdr:cNvSpPr txBox="1"/>
      </cdr:nvSpPr>
      <cdr:spPr>
        <a:xfrm xmlns:a="http://schemas.openxmlformats.org/drawingml/2006/main">
          <a:off x="1355619" y="787971"/>
          <a:ext cx="1869326" cy="5993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MX" sz="1100">
              <a:latin typeface="Times New Roman" panose="02020603050405020304" pitchFamily="18" charset="0"/>
              <a:cs typeface="Times New Roman" panose="02020603050405020304" pitchFamily="18" charset="0"/>
            </a:rPr>
            <a:t>Reposición del</a:t>
          </a:r>
          <a:r>
            <a:rPr lang="es-MX" sz="1100" baseline="0">
              <a:latin typeface="Times New Roman" panose="02020603050405020304" pitchFamily="18" charset="0"/>
              <a:cs typeface="Times New Roman" panose="02020603050405020304" pitchFamily="18" charset="0"/>
            </a:rPr>
            <a:t> 40% de los CAPEX por parte del estado</a:t>
          </a:r>
          <a:endParaRPr lang="es-MX" sz="1100">
            <a:latin typeface="Times New Roman" panose="02020603050405020304" pitchFamily="18" charset="0"/>
            <a:cs typeface="Times New Roman" panose="02020603050405020304" pitchFamily="18" charset="0"/>
          </a:endParaRPr>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0</xdr:col>
      <xdr:colOff>714375</xdr:colOff>
      <xdr:row>9</xdr:row>
      <xdr:rowOff>66675</xdr:rowOff>
    </xdr:from>
    <xdr:to>
      <xdr:col>10</xdr:col>
      <xdr:colOff>3628</xdr:colOff>
      <xdr:row>24</xdr:row>
      <xdr:rowOff>171450</xdr:rowOff>
    </xdr:to>
    <xdr:pic>
      <xdr:nvPicPr>
        <xdr:cNvPr id="12" name="Picture 11">
          <a:extLst>
            <a:ext uri="{FF2B5EF4-FFF2-40B4-BE49-F238E27FC236}">
              <a16:creationId xmlns:a16="http://schemas.microsoft.com/office/drawing/2014/main" id="{7B776FBB-3223-DECB-8771-3CAD80A3BE0A}"/>
            </a:ext>
          </a:extLst>
        </xdr:cNvPr>
        <xdr:cNvPicPr>
          <a:picLocks noChangeAspect="1"/>
        </xdr:cNvPicPr>
      </xdr:nvPicPr>
      <xdr:blipFill>
        <a:blip xmlns:r="http://schemas.openxmlformats.org/officeDocument/2006/relationships" r:embed="rId1"/>
        <a:stretch>
          <a:fillRect/>
        </a:stretch>
      </xdr:blipFill>
      <xdr:spPr>
        <a:xfrm>
          <a:off x="714375" y="1781175"/>
          <a:ext cx="7639050" cy="2962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795619</xdr:colOff>
      <xdr:row>569</xdr:row>
      <xdr:rowOff>134470</xdr:rowOff>
    </xdr:from>
    <xdr:to>
      <xdr:col>6</xdr:col>
      <xdr:colOff>33458</xdr:colOff>
      <xdr:row>596</xdr:row>
      <xdr:rowOff>91797</xdr:rowOff>
    </xdr:to>
    <xdr:pic>
      <xdr:nvPicPr>
        <xdr:cNvPr id="2" name="Imagen 41">
          <a:extLst>
            <a:ext uri="{FF2B5EF4-FFF2-40B4-BE49-F238E27FC236}">
              <a16:creationId xmlns:a16="http://schemas.microsoft.com/office/drawing/2014/main" id="{BA771D36-D400-4513-BC8D-C7795B76E65B}"/>
            </a:ext>
          </a:extLst>
        </xdr:cNvPr>
        <xdr:cNvPicPr>
          <a:picLocks noChangeAspect="1"/>
        </xdr:cNvPicPr>
      </xdr:nvPicPr>
      <xdr:blipFill>
        <a:blip xmlns:r="http://schemas.openxmlformats.org/officeDocument/2006/relationships" r:embed="rId1"/>
        <a:stretch>
          <a:fillRect/>
        </a:stretch>
      </xdr:blipFill>
      <xdr:spPr>
        <a:xfrm>
          <a:off x="6815419" y="104200810"/>
          <a:ext cx="5765639" cy="5062727"/>
        </a:xfrm>
        <a:prstGeom prst="rect">
          <a:avLst/>
        </a:prstGeom>
      </xdr:spPr>
    </xdr:pic>
    <xdr:clientData/>
  </xdr:twoCellAnchor>
  <xdr:twoCellAnchor editAs="oneCell">
    <xdr:from>
      <xdr:col>6</xdr:col>
      <xdr:colOff>371474</xdr:colOff>
      <xdr:row>18</xdr:row>
      <xdr:rowOff>89019</xdr:rowOff>
    </xdr:from>
    <xdr:to>
      <xdr:col>7</xdr:col>
      <xdr:colOff>1375218</xdr:colOff>
      <xdr:row>32</xdr:row>
      <xdr:rowOff>31702</xdr:rowOff>
    </xdr:to>
    <xdr:pic>
      <xdr:nvPicPr>
        <xdr:cNvPr id="3" name="Imagen 2">
          <a:extLst>
            <a:ext uri="{FF2B5EF4-FFF2-40B4-BE49-F238E27FC236}">
              <a16:creationId xmlns:a16="http://schemas.microsoft.com/office/drawing/2014/main" id="{5B248C73-5DAD-4FC9-B888-0AAAD16C797E}"/>
            </a:ext>
          </a:extLst>
        </xdr:cNvPr>
        <xdr:cNvPicPr>
          <a:picLocks noChangeAspect="1"/>
        </xdr:cNvPicPr>
      </xdr:nvPicPr>
      <xdr:blipFill>
        <a:blip xmlns:r="http://schemas.openxmlformats.org/officeDocument/2006/relationships" r:embed="rId2"/>
        <a:stretch>
          <a:fillRect/>
        </a:stretch>
      </xdr:blipFill>
      <xdr:spPr>
        <a:xfrm>
          <a:off x="12258674" y="3388479"/>
          <a:ext cx="3137344" cy="2431883"/>
        </a:xfrm>
        <a:prstGeom prst="rect">
          <a:avLst/>
        </a:prstGeom>
      </xdr:spPr>
    </xdr:pic>
    <xdr:clientData/>
  </xdr:twoCellAnchor>
  <xdr:twoCellAnchor>
    <xdr:from>
      <xdr:col>7</xdr:col>
      <xdr:colOff>828675</xdr:colOff>
      <xdr:row>27</xdr:row>
      <xdr:rowOff>28575</xdr:rowOff>
    </xdr:from>
    <xdr:to>
      <xdr:col>9</xdr:col>
      <xdr:colOff>542925</xdr:colOff>
      <xdr:row>27</xdr:row>
      <xdr:rowOff>38100</xdr:rowOff>
    </xdr:to>
    <xdr:cxnSp macro="">
      <xdr:nvCxnSpPr>
        <xdr:cNvPr id="4" name="Conector recto 3">
          <a:extLst>
            <a:ext uri="{FF2B5EF4-FFF2-40B4-BE49-F238E27FC236}">
              <a16:creationId xmlns:a16="http://schemas.microsoft.com/office/drawing/2014/main" id="{83B29B53-1240-4E89-860D-B112ECF15D94}"/>
            </a:ext>
          </a:extLst>
        </xdr:cNvPr>
        <xdr:cNvCxnSpPr/>
      </xdr:nvCxnSpPr>
      <xdr:spPr>
        <a:xfrm>
          <a:off x="14636115" y="4973955"/>
          <a:ext cx="2830830" cy="9525"/>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638175</xdr:colOff>
      <xdr:row>38</xdr:row>
      <xdr:rowOff>57150</xdr:rowOff>
    </xdr:from>
    <xdr:to>
      <xdr:col>8</xdr:col>
      <xdr:colOff>992203</xdr:colOff>
      <xdr:row>54</xdr:row>
      <xdr:rowOff>122555</xdr:rowOff>
    </xdr:to>
    <xdr:pic>
      <xdr:nvPicPr>
        <xdr:cNvPr id="5" name="Imagen 4">
          <a:extLst>
            <a:ext uri="{FF2B5EF4-FFF2-40B4-BE49-F238E27FC236}">
              <a16:creationId xmlns:a16="http://schemas.microsoft.com/office/drawing/2014/main" id="{260BBCF3-5216-44F3-A5C4-91C2507C7F0D}"/>
            </a:ext>
            <a:ext uri="{147F2762-F138-4A5C-976F-8EAC2B608ADB}">
              <a16:predDERef xmlns:a16="http://schemas.microsoft.com/office/drawing/2014/main" pred="{F21CBCE7-83E8-BEA4-22BB-D143193E6759}"/>
            </a:ext>
          </a:extLst>
        </xdr:cNvPr>
        <xdr:cNvPicPr>
          <a:picLocks noChangeAspect="1"/>
        </xdr:cNvPicPr>
      </xdr:nvPicPr>
      <xdr:blipFill>
        <a:blip xmlns:r="http://schemas.openxmlformats.org/officeDocument/2006/relationships" r:embed="rId3"/>
        <a:stretch>
          <a:fillRect/>
        </a:stretch>
      </xdr:blipFill>
      <xdr:spPr>
        <a:xfrm>
          <a:off x="12525375" y="7014210"/>
          <a:ext cx="4329128" cy="2935605"/>
        </a:xfrm>
        <a:prstGeom prst="rect">
          <a:avLst/>
        </a:prstGeom>
      </xdr:spPr>
    </xdr:pic>
    <xdr:clientData/>
  </xdr:twoCellAnchor>
  <xdr:twoCellAnchor>
    <xdr:from>
      <xdr:col>7</xdr:col>
      <xdr:colOff>1152525</xdr:colOff>
      <xdr:row>48</xdr:row>
      <xdr:rowOff>95250</xdr:rowOff>
    </xdr:from>
    <xdr:to>
      <xdr:col>8</xdr:col>
      <xdr:colOff>514350</xdr:colOff>
      <xdr:row>49</xdr:row>
      <xdr:rowOff>38100</xdr:rowOff>
    </xdr:to>
    <xdr:sp macro="" textlink="">
      <xdr:nvSpPr>
        <xdr:cNvPr id="6" name="Rectángulo 5">
          <a:extLst>
            <a:ext uri="{FF2B5EF4-FFF2-40B4-BE49-F238E27FC236}">
              <a16:creationId xmlns:a16="http://schemas.microsoft.com/office/drawing/2014/main" id="{61420C49-DB66-4768-A191-0D42DF7883EE}"/>
            </a:ext>
            <a:ext uri="{147F2762-F138-4A5C-976F-8EAC2B608ADB}">
              <a16:predDERef xmlns:a16="http://schemas.microsoft.com/office/drawing/2014/main" pred="{EA8902B4-89AA-E2FC-29BC-51E99B23B63B}"/>
            </a:ext>
          </a:extLst>
        </xdr:cNvPr>
        <xdr:cNvSpPr/>
      </xdr:nvSpPr>
      <xdr:spPr>
        <a:xfrm>
          <a:off x="14959965" y="8881110"/>
          <a:ext cx="1015365" cy="125730"/>
        </a:xfrm>
        <a:prstGeom prst="rect">
          <a:avLst/>
        </a:prstGeom>
        <a:noFill/>
        <a:ln w="28575">
          <a:solidFill>
            <a:srgbClr val="C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3</xdr:col>
      <xdr:colOff>500063</xdr:colOff>
      <xdr:row>60</xdr:row>
      <xdr:rowOff>47625</xdr:rowOff>
    </xdr:from>
    <xdr:to>
      <xdr:col>6</xdr:col>
      <xdr:colOff>99786</xdr:colOff>
      <xdr:row>74</xdr:row>
      <xdr:rowOff>21948</xdr:rowOff>
    </xdr:to>
    <xdr:pic>
      <xdr:nvPicPr>
        <xdr:cNvPr id="7" name="Imagen 6">
          <a:extLst>
            <a:ext uri="{FF2B5EF4-FFF2-40B4-BE49-F238E27FC236}">
              <a16:creationId xmlns:a16="http://schemas.microsoft.com/office/drawing/2014/main" id="{CC0A8D17-0DA8-451D-A2AE-1203BDEBA7CF}"/>
            </a:ext>
          </a:extLst>
        </xdr:cNvPr>
        <xdr:cNvPicPr>
          <a:picLocks noChangeAspect="1"/>
        </xdr:cNvPicPr>
      </xdr:nvPicPr>
      <xdr:blipFill>
        <a:blip xmlns:r="http://schemas.openxmlformats.org/officeDocument/2006/relationships" r:embed="rId4"/>
        <a:stretch>
          <a:fillRect/>
        </a:stretch>
      </xdr:blipFill>
      <xdr:spPr>
        <a:xfrm>
          <a:off x="6519863" y="11028045"/>
          <a:ext cx="6127523" cy="2463523"/>
        </a:xfrm>
        <a:prstGeom prst="rect">
          <a:avLst/>
        </a:prstGeom>
      </xdr:spPr>
    </xdr:pic>
    <xdr:clientData/>
  </xdr:twoCellAnchor>
  <xdr:twoCellAnchor editAs="oneCell">
    <xdr:from>
      <xdr:col>5</xdr:col>
      <xdr:colOff>846774</xdr:colOff>
      <xdr:row>62</xdr:row>
      <xdr:rowOff>46589</xdr:rowOff>
    </xdr:from>
    <xdr:to>
      <xdr:col>7</xdr:col>
      <xdr:colOff>1601375</xdr:colOff>
      <xdr:row>77</xdr:row>
      <xdr:rowOff>29927</xdr:rowOff>
    </xdr:to>
    <xdr:pic>
      <xdr:nvPicPr>
        <xdr:cNvPr id="8" name="Imagen 7">
          <a:extLst>
            <a:ext uri="{FF2B5EF4-FFF2-40B4-BE49-F238E27FC236}">
              <a16:creationId xmlns:a16="http://schemas.microsoft.com/office/drawing/2014/main" id="{CE9FE258-F976-4D70-A967-0F971E0DADA1}"/>
            </a:ext>
          </a:extLst>
        </xdr:cNvPr>
        <xdr:cNvPicPr>
          <a:picLocks noChangeAspect="1"/>
        </xdr:cNvPicPr>
      </xdr:nvPicPr>
      <xdr:blipFill>
        <a:blip xmlns:r="http://schemas.openxmlformats.org/officeDocument/2006/relationships" r:embed="rId5"/>
        <a:stretch>
          <a:fillRect/>
        </a:stretch>
      </xdr:blipFill>
      <xdr:spPr>
        <a:xfrm>
          <a:off x="10196514" y="11392769"/>
          <a:ext cx="5707601" cy="2650338"/>
        </a:xfrm>
        <a:prstGeom prst="rect">
          <a:avLst/>
        </a:prstGeom>
      </xdr:spPr>
    </xdr:pic>
    <xdr:clientData/>
  </xdr:twoCellAnchor>
  <xdr:twoCellAnchor editAs="oneCell">
    <xdr:from>
      <xdr:col>5</xdr:col>
      <xdr:colOff>69272</xdr:colOff>
      <xdr:row>118</xdr:row>
      <xdr:rowOff>155863</xdr:rowOff>
    </xdr:from>
    <xdr:to>
      <xdr:col>8</xdr:col>
      <xdr:colOff>62975</xdr:colOff>
      <xdr:row>148</xdr:row>
      <xdr:rowOff>53122</xdr:rowOff>
    </xdr:to>
    <xdr:pic>
      <xdr:nvPicPr>
        <xdr:cNvPr id="9" name="Imagen 8">
          <a:extLst>
            <a:ext uri="{FF2B5EF4-FFF2-40B4-BE49-F238E27FC236}">
              <a16:creationId xmlns:a16="http://schemas.microsoft.com/office/drawing/2014/main" id="{B586DE4A-520A-4EE2-A9F4-FDC882F470C5}"/>
            </a:ext>
          </a:extLst>
        </xdr:cNvPr>
        <xdr:cNvPicPr>
          <a:picLocks noChangeAspect="1"/>
        </xdr:cNvPicPr>
      </xdr:nvPicPr>
      <xdr:blipFill>
        <a:blip xmlns:r="http://schemas.openxmlformats.org/officeDocument/2006/relationships" r:embed="rId6"/>
        <a:stretch>
          <a:fillRect/>
        </a:stretch>
      </xdr:blipFill>
      <xdr:spPr>
        <a:xfrm>
          <a:off x="9419012" y="21743323"/>
          <a:ext cx="6788203" cy="5256659"/>
        </a:xfrm>
        <a:prstGeom prst="rect">
          <a:avLst/>
        </a:prstGeom>
      </xdr:spPr>
    </xdr:pic>
    <xdr:clientData/>
  </xdr:twoCellAnchor>
  <xdr:twoCellAnchor editAs="oneCell">
    <xdr:from>
      <xdr:col>5</xdr:col>
      <xdr:colOff>0</xdr:colOff>
      <xdr:row>148</xdr:row>
      <xdr:rowOff>51955</xdr:rowOff>
    </xdr:from>
    <xdr:to>
      <xdr:col>6</xdr:col>
      <xdr:colOff>1688246</xdr:colOff>
      <xdr:row>163</xdr:row>
      <xdr:rowOff>137322</xdr:rowOff>
    </xdr:to>
    <xdr:pic>
      <xdr:nvPicPr>
        <xdr:cNvPr id="10" name="Imagen 9">
          <a:extLst>
            <a:ext uri="{FF2B5EF4-FFF2-40B4-BE49-F238E27FC236}">
              <a16:creationId xmlns:a16="http://schemas.microsoft.com/office/drawing/2014/main" id="{93C835E6-F4E7-437E-ABDC-EFE89E717D64}"/>
            </a:ext>
          </a:extLst>
        </xdr:cNvPr>
        <xdr:cNvPicPr>
          <a:picLocks noChangeAspect="1"/>
        </xdr:cNvPicPr>
      </xdr:nvPicPr>
      <xdr:blipFill>
        <a:blip xmlns:r="http://schemas.openxmlformats.org/officeDocument/2006/relationships" r:embed="rId7"/>
        <a:stretch>
          <a:fillRect/>
        </a:stretch>
      </xdr:blipFill>
      <xdr:spPr>
        <a:xfrm>
          <a:off x="9349740" y="27125815"/>
          <a:ext cx="4507646" cy="2752367"/>
        </a:xfrm>
        <a:prstGeom prst="rect">
          <a:avLst/>
        </a:prstGeom>
      </xdr:spPr>
    </xdr:pic>
    <xdr:clientData/>
  </xdr:twoCellAnchor>
  <xdr:twoCellAnchor editAs="oneCell">
    <xdr:from>
      <xdr:col>6</xdr:col>
      <xdr:colOff>1177636</xdr:colOff>
      <xdr:row>148</xdr:row>
      <xdr:rowOff>138546</xdr:rowOff>
    </xdr:from>
    <xdr:to>
      <xdr:col>9</xdr:col>
      <xdr:colOff>1223818</xdr:colOff>
      <xdr:row>164</xdr:row>
      <xdr:rowOff>172280</xdr:rowOff>
    </xdr:to>
    <xdr:pic>
      <xdr:nvPicPr>
        <xdr:cNvPr id="11" name="Imagen 10">
          <a:extLst>
            <a:ext uri="{FF2B5EF4-FFF2-40B4-BE49-F238E27FC236}">
              <a16:creationId xmlns:a16="http://schemas.microsoft.com/office/drawing/2014/main" id="{149A2469-FB8F-415C-A1D8-C035E1E3AE80}"/>
            </a:ext>
          </a:extLst>
        </xdr:cNvPr>
        <xdr:cNvPicPr>
          <a:picLocks noChangeAspect="1"/>
        </xdr:cNvPicPr>
      </xdr:nvPicPr>
      <xdr:blipFill>
        <a:blip xmlns:r="http://schemas.openxmlformats.org/officeDocument/2006/relationships" r:embed="rId8"/>
        <a:stretch>
          <a:fillRect/>
        </a:stretch>
      </xdr:blipFill>
      <xdr:spPr>
        <a:xfrm>
          <a:off x="13064836" y="27212406"/>
          <a:ext cx="5646882" cy="2878534"/>
        </a:xfrm>
        <a:prstGeom prst="rect">
          <a:avLst/>
        </a:prstGeom>
      </xdr:spPr>
    </xdr:pic>
    <xdr:clientData/>
  </xdr:twoCellAnchor>
  <xdr:twoCellAnchor editAs="oneCell">
    <xdr:from>
      <xdr:col>5</xdr:col>
      <xdr:colOff>7422</xdr:colOff>
      <xdr:row>163</xdr:row>
      <xdr:rowOff>160810</xdr:rowOff>
    </xdr:from>
    <xdr:to>
      <xdr:col>9</xdr:col>
      <xdr:colOff>31578</xdr:colOff>
      <xdr:row>198</xdr:row>
      <xdr:rowOff>34282</xdr:rowOff>
    </xdr:to>
    <xdr:pic>
      <xdr:nvPicPr>
        <xdr:cNvPr id="12" name="Imagen 11">
          <a:extLst>
            <a:ext uri="{FF2B5EF4-FFF2-40B4-BE49-F238E27FC236}">
              <a16:creationId xmlns:a16="http://schemas.microsoft.com/office/drawing/2014/main" id="{1EE8DCCF-F6AF-484D-9C2B-64EC859E1D4F}"/>
            </a:ext>
          </a:extLst>
        </xdr:cNvPr>
        <xdr:cNvPicPr>
          <a:picLocks noChangeAspect="1"/>
        </xdr:cNvPicPr>
      </xdr:nvPicPr>
      <xdr:blipFill>
        <a:blip xmlns:r="http://schemas.openxmlformats.org/officeDocument/2006/relationships" r:embed="rId9"/>
        <a:stretch>
          <a:fillRect/>
        </a:stretch>
      </xdr:blipFill>
      <xdr:spPr>
        <a:xfrm>
          <a:off x="9357162" y="29977870"/>
          <a:ext cx="8444256" cy="6121872"/>
        </a:xfrm>
        <a:prstGeom prst="rect">
          <a:avLst/>
        </a:prstGeom>
      </xdr:spPr>
    </xdr:pic>
    <xdr:clientData/>
  </xdr:twoCellAnchor>
  <xdr:twoCellAnchor editAs="oneCell">
    <xdr:from>
      <xdr:col>5</xdr:col>
      <xdr:colOff>242454</xdr:colOff>
      <xdr:row>206</xdr:row>
      <xdr:rowOff>173181</xdr:rowOff>
    </xdr:from>
    <xdr:to>
      <xdr:col>8</xdr:col>
      <xdr:colOff>113912</xdr:colOff>
      <xdr:row>229</xdr:row>
      <xdr:rowOff>143394</xdr:rowOff>
    </xdr:to>
    <xdr:pic>
      <xdr:nvPicPr>
        <xdr:cNvPr id="13" name="Imagen 12">
          <a:extLst>
            <a:ext uri="{FF2B5EF4-FFF2-40B4-BE49-F238E27FC236}">
              <a16:creationId xmlns:a16="http://schemas.microsoft.com/office/drawing/2014/main" id="{576401A8-8349-4D76-9D3F-F8BC37E207E5}"/>
            </a:ext>
          </a:extLst>
        </xdr:cNvPr>
        <xdr:cNvPicPr>
          <a:picLocks noChangeAspect="1"/>
        </xdr:cNvPicPr>
      </xdr:nvPicPr>
      <xdr:blipFill>
        <a:blip xmlns:r="http://schemas.openxmlformats.org/officeDocument/2006/relationships" r:embed="rId10"/>
        <a:stretch>
          <a:fillRect/>
        </a:stretch>
      </xdr:blipFill>
      <xdr:spPr>
        <a:xfrm>
          <a:off x="9592194" y="37854081"/>
          <a:ext cx="6665958" cy="4085013"/>
        </a:xfrm>
        <a:prstGeom prst="rect">
          <a:avLst/>
        </a:prstGeom>
      </xdr:spPr>
    </xdr:pic>
    <xdr:clientData/>
  </xdr:twoCellAnchor>
  <xdr:twoCellAnchor editAs="oneCell">
    <xdr:from>
      <xdr:col>5</xdr:col>
      <xdr:colOff>225136</xdr:colOff>
      <xdr:row>231</xdr:row>
      <xdr:rowOff>0</xdr:rowOff>
    </xdr:from>
    <xdr:to>
      <xdr:col>8</xdr:col>
      <xdr:colOff>218839</xdr:colOff>
      <xdr:row>260</xdr:row>
      <xdr:rowOff>95379</xdr:rowOff>
    </xdr:to>
    <xdr:pic>
      <xdr:nvPicPr>
        <xdr:cNvPr id="14" name="Imagen 13">
          <a:extLst>
            <a:ext uri="{FF2B5EF4-FFF2-40B4-BE49-F238E27FC236}">
              <a16:creationId xmlns:a16="http://schemas.microsoft.com/office/drawing/2014/main" id="{FF54E426-26B9-42A4-8C57-67B68BEEC036}"/>
            </a:ext>
          </a:extLst>
        </xdr:cNvPr>
        <xdr:cNvPicPr>
          <a:picLocks noChangeAspect="1"/>
        </xdr:cNvPicPr>
      </xdr:nvPicPr>
      <xdr:blipFill>
        <a:blip xmlns:r="http://schemas.openxmlformats.org/officeDocument/2006/relationships" r:embed="rId6"/>
        <a:stretch>
          <a:fillRect/>
        </a:stretch>
      </xdr:blipFill>
      <xdr:spPr>
        <a:xfrm>
          <a:off x="9574876" y="42252900"/>
          <a:ext cx="6788203" cy="5264279"/>
        </a:xfrm>
        <a:prstGeom prst="rect">
          <a:avLst/>
        </a:prstGeom>
      </xdr:spPr>
    </xdr:pic>
    <xdr:clientData/>
  </xdr:twoCellAnchor>
  <xdr:twoCellAnchor editAs="oneCell">
    <xdr:from>
      <xdr:col>5</xdr:col>
      <xdr:colOff>432954</xdr:colOff>
      <xdr:row>296</xdr:row>
      <xdr:rowOff>103910</xdr:rowOff>
    </xdr:from>
    <xdr:to>
      <xdr:col>8</xdr:col>
      <xdr:colOff>240188</xdr:colOff>
      <xdr:row>319</xdr:row>
      <xdr:rowOff>160714</xdr:rowOff>
    </xdr:to>
    <xdr:pic>
      <xdr:nvPicPr>
        <xdr:cNvPr id="15" name="Imagen 14">
          <a:extLst>
            <a:ext uri="{FF2B5EF4-FFF2-40B4-BE49-F238E27FC236}">
              <a16:creationId xmlns:a16="http://schemas.microsoft.com/office/drawing/2014/main" id="{A199A61E-FC27-4622-A2D4-FBF05C99A76D}"/>
            </a:ext>
          </a:extLst>
        </xdr:cNvPr>
        <xdr:cNvPicPr>
          <a:picLocks noChangeAspect="1"/>
        </xdr:cNvPicPr>
      </xdr:nvPicPr>
      <xdr:blipFill>
        <a:blip xmlns:r="http://schemas.openxmlformats.org/officeDocument/2006/relationships" r:embed="rId11"/>
        <a:stretch>
          <a:fillRect/>
        </a:stretch>
      </xdr:blipFill>
      <xdr:spPr>
        <a:xfrm>
          <a:off x="9782694" y="54244010"/>
          <a:ext cx="6601734" cy="4171604"/>
        </a:xfrm>
        <a:prstGeom prst="rect">
          <a:avLst/>
        </a:prstGeom>
      </xdr:spPr>
    </xdr:pic>
    <xdr:clientData/>
  </xdr:twoCellAnchor>
  <xdr:twoCellAnchor editAs="oneCell">
    <xdr:from>
      <xdr:col>7</xdr:col>
      <xdr:colOff>176493</xdr:colOff>
      <xdr:row>311</xdr:row>
      <xdr:rowOff>110658</xdr:rowOff>
    </xdr:from>
    <xdr:to>
      <xdr:col>11</xdr:col>
      <xdr:colOff>3652</xdr:colOff>
      <xdr:row>341</xdr:row>
      <xdr:rowOff>20617</xdr:rowOff>
    </xdr:to>
    <xdr:pic>
      <xdr:nvPicPr>
        <xdr:cNvPr id="16" name="Imagen 14">
          <a:extLst>
            <a:ext uri="{FF2B5EF4-FFF2-40B4-BE49-F238E27FC236}">
              <a16:creationId xmlns:a16="http://schemas.microsoft.com/office/drawing/2014/main" id="{F7E0308B-603A-4AFC-852C-4D8A522D1EDB}"/>
            </a:ext>
          </a:extLst>
        </xdr:cNvPr>
        <xdr:cNvPicPr>
          <a:picLocks noChangeAspect="1"/>
        </xdr:cNvPicPr>
      </xdr:nvPicPr>
      <xdr:blipFill>
        <a:blip xmlns:r="http://schemas.openxmlformats.org/officeDocument/2006/relationships" r:embed="rId6"/>
        <a:stretch>
          <a:fillRect/>
        </a:stretch>
      </xdr:blipFill>
      <xdr:spPr>
        <a:xfrm>
          <a:off x="13983933" y="56993958"/>
          <a:ext cx="6291459" cy="5256659"/>
        </a:xfrm>
        <a:prstGeom prst="rect">
          <a:avLst/>
        </a:prstGeom>
      </xdr:spPr>
    </xdr:pic>
    <xdr:clientData/>
  </xdr:twoCellAnchor>
  <xdr:twoCellAnchor editAs="oneCell">
    <xdr:from>
      <xdr:col>5</xdr:col>
      <xdr:colOff>571500</xdr:colOff>
      <xdr:row>322</xdr:row>
      <xdr:rowOff>119062</xdr:rowOff>
    </xdr:from>
    <xdr:to>
      <xdr:col>7</xdr:col>
      <xdr:colOff>1289302</xdr:colOff>
      <xdr:row>370</xdr:row>
      <xdr:rowOff>30123</xdr:rowOff>
    </xdr:to>
    <xdr:pic>
      <xdr:nvPicPr>
        <xdr:cNvPr id="17" name="Imagen 15">
          <a:extLst>
            <a:ext uri="{FF2B5EF4-FFF2-40B4-BE49-F238E27FC236}">
              <a16:creationId xmlns:a16="http://schemas.microsoft.com/office/drawing/2014/main" id="{ECCF61F9-4F5A-4EB6-AED9-862323AC206E}"/>
            </a:ext>
          </a:extLst>
        </xdr:cNvPr>
        <xdr:cNvPicPr>
          <a:picLocks noChangeAspect="1"/>
        </xdr:cNvPicPr>
      </xdr:nvPicPr>
      <xdr:blipFill>
        <a:blip xmlns:r="http://schemas.openxmlformats.org/officeDocument/2006/relationships" r:embed="rId12"/>
        <a:stretch>
          <a:fillRect/>
        </a:stretch>
      </xdr:blipFill>
      <xdr:spPr>
        <a:xfrm>
          <a:off x="9921240" y="59014042"/>
          <a:ext cx="5670802" cy="8470861"/>
        </a:xfrm>
        <a:prstGeom prst="rect">
          <a:avLst/>
        </a:prstGeom>
      </xdr:spPr>
    </xdr:pic>
    <xdr:clientData/>
  </xdr:twoCellAnchor>
  <xdr:twoCellAnchor editAs="oneCell">
    <xdr:from>
      <xdr:col>5</xdr:col>
      <xdr:colOff>520474</xdr:colOff>
      <xdr:row>385</xdr:row>
      <xdr:rowOff>176892</xdr:rowOff>
    </xdr:from>
    <xdr:to>
      <xdr:col>6</xdr:col>
      <xdr:colOff>1579570</xdr:colOff>
      <xdr:row>400</xdr:row>
      <xdr:rowOff>38832</xdr:rowOff>
    </xdr:to>
    <xdr:pic>
      <xdr:nvPicPr>
        <xdr:cNvPr id="18" name="Imagen 17">
          <a:extLst>
            <a:ext uri="{FF2B5EF4-FFF2-40B4-BE49-F238E27FC236}">
              <a16:creationId xmlns:a16="http://schemas.microsoft.com/office/drawing/2014/main" id="{0C93C48C-856A-40F0-B8BC-BFBDD962E0D3}"/>
            </a:ext>
          </a:extLst>
        </xdr:cNvPr>
        <xdr:cNvPicPr>
          <a:picLocks noChangeAspect="1"/>
        </xdr:cNvPicPr>
      </xdr:nvPicPr>
      <xdr:blipFill>
        <a:blip xmlns:r="http://schemas.openxmlformats.org/officeDocument/2006/relationships" r:embed="rId13"/>
        <a:stretch>
          <a:fillRect/>
        </a:stretch>
      </xdr:blipFill>
      <xdr:spPr>
        <a:xfrm>
          <a:off x="9870214" y="70593312"/>
          <a:ext cx="3878496" cy="2541640"/>
        </a:xfrm>
        <a:prstGeom prst="rect">
          <a:avLst/>
        </a:prstGeom>
      </xdr:spPr>
    </xdr:pic>
    <xdr:clientData/>
  </xdr:twoCellAnchor>
  <xdr:twoCellAnchor editAs="oneCell">
    <xdr:from>
      <xdr:col>0</xdr:col>
      <xdr:colOff>142874</xdr:colOff>
      <xdr:row>386</xdr:row>
      <xdr:rowOff>30618</xdr:rowOff>
    </xdr:from>
    <xdr:to>
      <xdr:col>3</xdr:col>
      <xdr:colOff>883011</xdr:colOff>
      <xdr:row>419</xdr:row>
      <xdr:rowOff>16229</xdr:rowOff>
    </xdr:to>
    <xdr:pic>
      <xdr:nvPicPr>
        <xdr:cNvPr id="19" name="Imagen 18">
          <a:extLst>
            <a:ext uri="{FF2B5EF4-FFF2-40B4-BE49-F238E27FC236}">
              <a16:creationId xmlns:a16="http://schemas.microsoft.com/office/drawing/2014/main" id="{0E1F45C6-5DA3-4C2E-A96D-8A41C633A05D}"/>
            </a:ext>
          </a:extLst>
        </xdr:cNvPr>
        <xdr:cNvPicPr>
          <a:picLocks noChangeAspect="1"/>
        </xdr:cNvPicPr>
      </xdr:nvPicPr>
      <xdr:blipFill>
        <a:blip xmlns:r="http://schemas.openxmlformats.org/officeDocument/2006/relationships" r:embed="rId14"/>
        <a:stretch>
          <a:fillRect/>
        </a:stretch>
      </xdr:blipFill>
      <xdr:spPr>
        <a:xfrm>
          <a:off x="142874" y="70629918"/>
          <a:ext cx="7433037" cy="5853011"/>
        </a:xfrm>
        <a:prstGeom prst="rect">
          <a:avLst/>
        </a:prstGeom>
      </xdr:spPr>
    </xdr:pic>
    <xdr:clientData/>
  </xdr:twoCellAnchor>
  <xdr:twoCellAnchor editAs="oneCell">
    <xdr:from>
      <xdr:col>2</xdr:col>
      <xdr:colOff>2047875</xdr:colOff>
      <xdr:row>386</xdr:row>
      <xdr:rowOff>95250</xdr:rowOff>
    </xdr:from>
    <xdr:to>
      <xdr:col>5</xdr:col>
      <xdr:colOff>2453004</xdr:colOff>
      <xdr:row>439</xdr:row>
      <xdr:rowOff>28665</xdr:rowOff>
    </xdr:to>
    <xdr:pic>
      <xdr:nvPicPr>
        <xdr:cNvPr id="20" name="Imagen 19">
          <a:extLst>
            <a:ext uri="{FF2B5EF4-FFF2-40B4-BE49-F238E27FC236}">
              <a16:creationId xmlns:a16="http://schemas.microsoft.com/office/drawing/2014/main" id="{87352063-2607-4DCF-906D-F86C229DBFC2}"/>
            </a:ext>
          </a:extLst>
        </xdr:cNvPr>
        <xdr:cNvPicPr>
          <a:picLocks noChangeAspect="1"/>
        </xdr:cNvPicPr>
      </xdr:nvPicPr>
      <xdr:blipFill rotWithShape="1">
        <a:blip xmlns:r="http://schemas.openxmlformats.org/officeDocument/2006/relationships" r:embed="rId15"/>
        <a:srcRect r="11915"/>
        <a:stretch/>
      </xdr:blipFill>
      <xdr:spPr>
        <a:xfrm>
          <a:off x="5941695" y="70694550"/>
          <a:ext cx="6475729" cy="9356815"/>
        </a:xfrm>
        <a:prstGeom prst="rect">
          <a:avLst/>
        </a:prstGeom>
      </xdr:spPr>
    </xdr:pic>
    <xdr:clientData/>
  </xdr:twoCellAnchor>
  <xdr:twoCellAnchor editAs="oneCell">
    <xdr:from>
      <xdr:col>0</xdr:col>
      <xdr:colOff>340179</xdr:colOff>
      <xdr:row>419</xdr:row>
      <xdr:rowOff>54429</xdr:rowOff>
    </xdr:from>
    <xdr:to>
      <xdr:col>3</xdr:col>
      <xdr:colOff>109309</xdr:colOff>
      <xdr:row>442</xdr:row>
      <xdr:rowOff>74711</xdr:rowOff>
    </xdr:to>
    <xdr:pic>
      <xdr:nvPicPr>
        <xdr:cNvPr id="21" name="Imagen 20">
          <a:extLst>
            <a:ext uri="{FF2B5EF4-FFF2-40B4-BE49-F238E27FC236}">
              <a16:creationId xmlns:a16="http://schemas.microsoft.com/office/drawing/2014/main" id="{C5831690-947A-41FF-8426-D03BC1AC74DC}"/>
            </a:ext>
          </a:extLst>
        </xdr:cNvPr>
        <xdr:cNvPicPr>
          <a:picLocks noChangeAspect="1"/>
        </xdr:cNvPicPr>
      </xdr:nvPicPr>
      <xdr:blipFill>
        <a:blip xmlns:r="http://schemas.openxmlformats.org/officeDocument/2006/relationships" r:embed="rId16"/>
        <a:stretch>
          <a:fillRect/>
        </a:stretch>
      </xdr:blipFill>
      <xdr:spPr>
        <a:xfrm>
          <a:off x="340179" y="76688769"/>
          <a:ext cx="6462030" cy="4109682"/>
        </a:xfrm>
        <a:prstGeom prst="rect">
          <a:avLst/>
        </a:prstGeom>
      </xdr:spPr>
    </xdr:pic>
    <xdr:clientData/>
  </xdr:twoCellAnchor>
  <xdr:twoCellAnchor editAs="oneCell">
    <xdr:from>
      <xdr:col>0</xdr:col>
      <xdr:colOff>353786</xdr:colOff>
      <xdr:row>442</xdr:row>
      <xdr:rowOff>0</xdr:rowOff>
    </xdr:from>
    <xdr:to>
      <xdr:col>3</xdr:col>
      <xdr:colOff>65758</xdr:colOff>
      <xdr:row>464</xdr:row>
      <xdr:rowOff>150450</xdr:rowOff>
    </xdr:to>
    <xdr:pic>
      <xdr:nvPicPr>
        <xdr:cNvPr id="22" name="Imagen 21">
          <a:extLst>
            <a:ext uri="{FF2B5EF4-FFF2-40B4-BE49-F238E27FC236}">
              <a16:creationId xmlns:a16="http://schemas.microsoft.com/office/drawing/2014/main" id="{83E8D87E-E523-4C80-B513-B29209B8CD4E}"/>
            </a:ext>
          </a:extLst>
        </xdr:cNvPr>
        <xdr:cNvPicPr>
          <a:picLocks noChangeAspect="1"/>
        </xdr:cNvPicPr>
      </xdr:nvPicPr>
      <xdr:blipFill>
        <a:blip xmlns:r="http://schemas.openxmlformats.org/officeDocument/2006/relationships" r:embed="rId17"/>
        <a:stretch>
          <a:fillRect/>
        </a:stretch>
      </xdr:blipFill>
      <xdr:spPr>
        <a:xfrm>
          <a:off x="353786" y="80840580"/>
          <a:ext cx="6404872" cy="4062050"/>
        </a:xfrm>
        <a:prstGeom prst="rect">
          <a:avLst/>
        </a:prstGeom>
      </xdr:spPr>
    </xdr:pic>
    <xdr:clientData/>
  </xdr:twoCellAnchor>
  <xdr:twoCellAnchor editAs="oneCell">
    <xdr:from>
      <xdr:col>0</xdr:col>
      <xdr:colOff>0</xdr:colOff>
      <xdr:row>467</xdr:row>
      <xdr:rowOff>68036</xdr:rowOff>
    </xdr:from>
    <xdr:to>
      <xdr:col>1</xdr:col>
      <xdr:colOff>1443286</xdr:colOff>
      <xdr:row>482</xdr:row>
      <xdr:rowOff>79630</xdr:rowOff>
    </xdr:to>
    <xdr:pic>
      <xdr:nvPicPr>
        <xdr:cNvPr id="23" name="Imagen 22">
          <a:extLst>
            <a:ext uri="{FF2B5EF4-FFF2-40B4-BE49-F238E27FC236}">
              <a16:creationId xmlns:a16="http://schemas.microsoft.com/office/drawing/2014/main" id="{2E10EAD7-D1E2-44C0-9F67-BC5CC9C4C7E1}"/>
            </a:ext>
          </a:extLst>
        </xdr:cNvPr>
        <xdr:cNvPicPr>
          <a:picLocks noChangeAspect="1"/>
        </xdr:cNvPicPr>
      </xdr:nvPicPr>
      <xdr:blipFill>
        <a:blip xmlns:r="http://schemas.openxmlformats.org/officeDocument/2006/relationships" r:embed="rId18"/>
        <a:stretch>
          <a:fillRect/>
        </a:stretch>
      </xdr:blipFill>
      <xdr:spPr>
        <a:xfrm>
          <a:off x="0" y="85480616"/>
          <a:ext cx="4281736" cy="2678594"/>
        </a:xfrm>
        <a:prstGeom prst="rect">
          <a:avLst/>
        </a:prstGeom>
      </xdr:spPr>
    </xdr:pic>
    <xdr:clientData/>
  </xdr:twoCellAnchor>
  <xdr:twoCellAnchor editAs="oneCell">
    <xdr:from>
      <xdr:col>2</xdr:col>
      <xdr:colOff>0</xdr:colOff>
      <xdr:row>468</xdr:row>
      <xdr:rowOff>0</xdr:rowOff>
    </xdr:from>
    <xdr:to>
      <xdr:col>5</xdr:col>
      <xdr:colOff>540886</xdr:colOff>
      <xdr:row>498</xdr:row>
      <xdr:rowOff>94133</xdr:rowOff>
    </xdr:to>
    <xdr:pic>
      <xdr:nvPicPr>
        <xdr:cNvPr id="24" name="Imagen 23">
          <a:extLst>
            <a:ext uri="{FF2B5EF4-FFF2-40B4-BE49-F238E27FC236}">
              <a16:creationId xmlns:a16="http://schemas.microsoft.com/office/drawing/2014/main" id="{31FCB642-32BF-4E61-AC43-D1D96C1EBE1E}"/>
            </a:ext>
          </a:extLst>
        </xdr:cNvPr>
        <xdr:cNvPicPr>
          <a:picLocks noChangeAspect="1"/>
        </xdr:cNvPicPr>
      </xdr:nvPicPr>
      <xdr:blipFill>
        <a:blip xmlns:r="http://schemas.openxmlformats.org/officeDocument/2006/relationships" r:embed="rId19"/>
        <a:stretch>
          <a:fillRect/>
        </a:stretch>
      </xdr:blipFill>
      <xdr:spPr>
        <a:xfrm>
          <a:off x="3893820" y="85595460"/>
          <a:ext cx="6611486" cy="5428133"/>
        </a:xfrm>
        <a:prstGeom prst="rect">
          <a:avLst/>
        </a:prstGeom>
      </xdr:spPr>
    </xdr:pic>
    <xdr:clientData/>
  </xdr:twoCellAnchor>
  <xdr:twoCellAnchor editAs="oneCell">
    <xdr:from>
      <xdr:col>0</xdr:col>
      <xdr:colOff>176893</xdr:colOff>
      <xdr:row>498</xdr:row>
      <xdr:rowOff>68035</xdr:rowOff>
    </xdr:from>
    <xdr:to>
      <xdr:col>3</xdr:col>
      <xdr:colOff>3172</xdr:colOff>
      <xdr:row>522</xdr:row>
      <xdr:rowOff>123909</xdr:rowOff>
    </xdr:to>
    <xdr:pic>
      <xdr:nvPicPr>
        <xdr:cNvPr id="25" name="Imagen 24">
          <a:extLst>
            <a:ext uri="{FF2B5EF4-FFF2-40B4-BE49-F238E27FC236}">
              <a16:creationId xmlns:a16="http://schemas.microsoft.com/office/drawing/2014/main" id="{CBA6B20B-E7D9-492B-A0F9-B57A64B89E79}"/>
            </a:ext>
          </a:extLst>
        </xdr:cNvPr>
        <xdr:cNvPicPr>
          <a:picLocks noChangeAspect="1"/>
        </xdr:cNvPicPr>
      </xdr:nvPicPr>
      <xdr:blipFill>
        <a:blip xmlns:r="http://schemas.openxmlformats.org/officeDocument/2006/relationships" r:embed="rId20"/>
        <a:stretch>
          <a:fillRect/>
        </a:stretch>
      </xdr:blipFill>
      <xdr:spPr>
        <a:xfrm>
          <a:off x="176893" y="91149895"/>
          <a:ext cx="6452504" cy="4323074"/>
        </a:xfrm>
        <a:prstGeom prst="rect">
          <a:avLst/>
        </a:prstGeom>
      </xdr:spPr>
    </xdr:pic>
    <xdr:clientData/>
  </xdr:twoCellAnchor>
  <xdr:twoCellAnchor editAs="oneCell">
    <xdr:from>
      <xdr:col>2</xdr:col>
      <xdr:colOff>1401536</xdr:colOff>
      <xdr:row>498</xdr:row>
      <xdr:rowOff>108857</xdr:rowOff>
    </xdr:from>
    <xdr:to>
      <xdr:col>5</xdr:col>
      <xdr:colOff>1799527</xdr:colOff>
      <xdr:row>522</xdr:row>
      <xdr:rowOff>174257</xdr:rowOff>
    </xdr:to>
    <xdr:pic>
      <xdr:nvPicPr>
        <xdr:cNvPr id="26" name="Imagen 25">
          <a:extLst>
            <a:ext uri="{FF2B5EF4-FFF2-40B4-BE49-F238E27FC236}">
              <a16:creationId xmlns:a16="http://schemas.microsoft.com/office/drawing/2014/main" id="{BAF2E9F5-5146-49C5-B1F4-6AE01A003F96}"/>
            </a:ext>
          </a:extLst>
        </xdr:cNvPr>
        <xdr:cNvPicPr>
          <a:picLocks noChangeAspect="1"/>
        </xdr:cNvPicPr>
      </xdr:nvPicPr>
      <xdr:blipFill>
        <a:blip xmlns:r="http://schemas.openxmlformats.org/officeDocument/2006/relationships" r:embed="rId21"/>
        <a:stretch>
          <a:fillRect/>
        </a:stretch>
      </xdr:blipFill>
      <xdr:spPr>
        <a:xfrm>
          <a:off x="5295356" y="91190717"/>
          <a:ext cx="6468591" cy="4332600"/>
        </a:xfrm>
        <a:prstGeom prst="rect">
          <a:avLst/>
        </a:prstGeom>
      </xdr:spPr>
    </xdr:pic>
    <xdr:clientData/>
  </xdr:twoCellAnchor>
  <xdr:twoCellAnchor editAs="oneCell">
    <xdr:from>
      <xdr:col>1</xdr:col>
      <xdr:colOff>1564821</xdr:colOff>
      <xdr:row>524</xdr:row>
      <xdr:rowOff>27214</xdr:rowOff>
    </xdr:from>
    <xdr:to>
      <xdr:col>4</xdr:col>
      <xdr:colOff>1415641</xdr:colOff>
      <xdr:row>525</xdr:row>
      <xdr:rowOff>79952</xdr:rowOff>
    </xdr:to>
    <xdr:pic>
      <xdr:nvPicPr>
        <xdr:cNvPr id="27" name="Imagen 26">
          <a:extLst>
            <a:ext uri="{FF2B5EF4-FFF2-40B4-BE49-F238E27FC236}">
              <a16:creationId xmlns:a16="http://schemas.microsoft.com/office/drawing/2014/main" id="{57FC058B-88F1-494E-82D5-6E98581C8261}"/>
            </a:ext>
          </a:extLst>
        </xdr:cNvPr>
        <xdr:cNvPicPr>
          <a:picLocks noChangeAspect="1"/>
        </xdr:cNvPicPr>
      </xdr:nvPicPr>
      <xdr:blipFill>
        <a:blip xmlns:r="http://schemas.openxmlformats.org/officeDocument/2006/relationships" r:embed="rId22"/>
        <a:stretch>
          <a:fillRect/>
        </a:stretch>
      </xdr:blipFill>
      <xdr:spPr>
        <a:xfrm>
          <a:off x="3896541" y="95863954"/>
          <a:ext cx="5578520" cy="230538"/>
        </a:xfrm>
        <a:prstGeom prst="rect">
          <a:avLst/>
        </a:prstGeom>
      </xdr:spPr>
    </xdr:pic>
    <xdr:clientData/>
  </xdr:twoCellAnchor>
  <xdr:twoCellAnchor editAs="oneCell">
    <xdr:from>
      <xdr:col>0</xdr:col>
      <xdr:colOff>0</xdr:colOff>
      <xdr:row>530</xdr:row>
      <xdr:rowOff>0</xdr:rowOff>
    </xdr:from>
    <xdr:to>
      <xdr:col>3</xdr:col>
      <xdr:colOff>1510362</xdr:colOff>
      <xdr:row>560</xdr:row>
      <xdr:rowOff>132239</xdr:rowOff>
    </xdr:to>
    <xdr:pic>
      <xdr:nvPicPr>
        <xdr:cNvPr id="28" name="Imagen 16">
          <a:extLst>
            <a:ext uri="{FF2B5EF4-FFF2-40B4-BE49-F238E27FC236}">
              <a16:creationId xmlns:a16="http://schemas.microsoft.com/office/drawing/2014/main" id="{012D8D07-E6D0-4DD9-9169-2FB5D00D281F}"/>
            </a:ext>
          </a:extLst>
        </xdr:cNvPr>
        <xdr:cNvPicPr>
          <a:picLocks noChangeAspect="1"/>
        </xdr:cNvPicPr>
      </xdr:nvPicPr>
      <xdr:blipFill>
        <a:blip xmlns:r="http://schemas.openxmlformats.org/officeDocument/2006/relationships" r:embed="rId23"/>
        <a:stretch>
          <a:fillRect/>
        </a:stretch>
      </xdr:blipFill>
      <xdr:spPr>
        <a:xfrm>
          <a:off x="0" y="96934020"/>
          <a:ext cx="8241362" cy="5466239"/>
        </a:xfrm>
        <a:prstGeom prst="rect">
          <a:avLst/>
        </a:prstGeom>
      </xdr:spPr>
    </xdr:pic>
    <xdr:clientData/>
  </xdr:twoCellAnchor>
  <xdr:twoCellAnchor editAs="oneCell">
    <xdr:from>
      <xdr:col>3</xdr:col>
      <xdr:colOff>425824</xdr:colOff>
      <xdr:row>529</xdr:row>
      <xdr:rowOff>100853</xdr:rowOff>
    </xdr:from>
    <xdr:to>
      <xdr:col>5</xdr:col>
      <xdr:colOff>831159</xdr:colOff>
      <xdr:row>537</xdr:row>
      <xdr:rowOff>41149</xdr:rowOff>
    </xdr:to>
    <xdr:pic>
      <xdr:nvPicPr>
        <xdr:cNvPr id="29" name="Imagen 27">
          <a:extLst>
            <a:ext uri="{FF2B5EF4-FFF2-40B4-BE49-F238E27FC236}">
              <a16:creationId xmlns:a16="http://schemas.microsoft.com/office/drawing/2014/main" id="{B19D3663-1157-4A70-B9DB-04C1C1CE80A7}"/>
            </a:ext>
          </a:extLst>
        </xdr:cNvPr>
        <xdr:cNvPicPr>
          <a:picLocks noChangeAspect="1"/>
        </xdr:cNvPicPr>
      </xdr:nvPicPr>
      <xdr:blipFill>
        <a:blip xmlns:r="http://schemas.openxmlformats.org/officeDocument/2006/relationships" r:embed="rId24"/>
        <a:stretch>
          <a:fillRect/>
        </a:stretch>
      </xdr:blipFill>
      <xdr:spPr>
        <a:xfrm>
          <a:off x="6445624" y="96851993"/>
          <a:ext cx="4113735" cy="1362696"/>
        </a:xfrm>
        <a:prstGeom prst="rect">
          <a:avLst/>
        </a:prstGeom>
      </xdr:spPr>
    </xdr:pic>
    <xdr:clientData/>
  </xdr:twoCellAnchor>
  <xdr:twoCellAnchor editAs="oneCell">
    <xdr:from>
      <xdr:col>3</xdr:col>
      <xdr:colOff>347382</xdr:colOff>
      <xdr:row>538</xdr:row>
      <xdr:rowOff>134471</xdr:rowOff>
    </xdr:from>
    <xdr:to>
      <xdr:col>6</xdr:col>
      <xdr:colOff>1673000</xdr:colOff>
      <xdr:row>567</xdr:row>
      <xdr:rowOff>168246</xdr:rowOff>
    </xdr:to>
    <xdr:pic>
      <xdr:nvPicPr>
        <xdr:cNvPr id="30" name="Imagen 28">
          <a:extLst>
            <a:ext uri="{FF2B5EF4-FFF2-40B4-BE49-F238E27FC236}">
              <a16:creationId xmlns:a16="http://schemas.microsoft.com/office/drawing/2014/main" id="{6C6D4EC6-8384-4E5E-AC67-8710E2E7806D}"/>
            </a:ext>
          </a:extLst>
        </xdr:cNvPr>
        <xdr:cNvPicPr>
          <a:picLocks noChangeAspect="1"/>
        </xdr:cNvPicPr>
      </xdr:nvPicPr>
      <xdr:blipFill>
        <a:blip xmlns:r="http://schemas.openxmlformats.org/officeDocument/2006/relationships" r:embed="rId25"/>
        <a:stretch>
          <a:fillRect/>
        </a:stretch>
      </xdr:blipFill>
      <xdr:spPr>
        <a:xfrm>
          <a:off x="6367182" y="98531531"/>
          <a:ext cx="7853418" cy="5189975"/>
        </a:xfrm>
        <a:prstGeom prst="rect">
          <a:avLst/>
        </a:prstGeom>
      </xdr:spPr>
    </xdr:pic>
    <xdr:clientData/>
  </xdr:twoCellAnchor>
  <xdr:twoCellAnchor>
    <xdr:from>
      <xdr:col>3</xdr:col>
      <xdr:colOff>1052606</xdr:colOff>
      <xdr:row>591</xdr:row>
      <xdr:rowOff>186017</xdr:rowOff>
    </xdr:from>
    <xdr:to>
      <xdr:col>5</xdr:col>
      <xdr:colOff>1198283</xdr:colOff>
      <xdr:row>593</xdr:row>
      <xdr:rowOff>10957</xdr:rowOff>
    </xdr:to>
    <xdr:sp macro="" textlink="">
      <xdr:nvSpPr>
        <xdr:cNvPr id="31" name="Rectángulo 30">
          <a:extLst>
            <a:ext uri="{FF2B5EF4-FFF2-40B4-BE49-F238E27FC236}">
              <a16:creationId xmlns:a16="http://schemas.microsoft.com/office/drawing/2014/main" id="{EAC642F7-42B1-49F8-AA48-897C5FE0F580}"/>
            </a:ext>
          </a:extLst>
        </xdr:cNvPr>
        <xdr:cNvSpPr/>
      </xdr:nvSpPr>
      <xdr:spPr>
        <a:xfrm>
          <a:off x="7072406" y="108534797"/>
          <a:ext cx="3475617" cy="19070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824753</xdr:colOff>
      <xdr:row>576</xdr:row>
      <xdr:rowOff>174812</xdr:rowOff>
    </xdr:from>
    <xdr:to>
      <xdr:col>5</xdr:col>
      <xdr:colOff>795619</xdr:colOff>
      <xdr:row>577</xdr:row>
      <xdr:rowOff>179294</xdr:rowOff>
    </xdr:to>
    <xdr:sp macro="" textlink="">
      <xdr:nvSpPr>
        <xdr:cNvPr id="32" name="Rectángulo 31">
          <a:extLst>
            <a:ext uri="{FF2B5EF4-FFF2-40B4-BE49-F238E27FC236}">
              <a16:creationId xmlns:a16="http://schemas.microsoft.com/office/drawing/2014/main" id="{FE5CDC1E-F738-4241-8FA9-18CB07391F90}"/>
            </a:ext>
          </a:extLst>
        </xdr:cNvPr>
        <xdr:cNvSpPr/>
      </xdr:nvSpPr>
      <xdr:spPr>
        <a:xfrm>
          <a:off x="6844553" y="105780392"/>
          <a:ext cx="3300806" cy="187362"/>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753034</xdr:colOff>
      <xdr:row>579</xdr:row>
      <xdr:rowOff>80682</xdr:rowOff>
    </xdr:from>
    <xdr:to>
      <xdr:col>5</xdr:col>
      <xdr:colOff>898711</xdr:colOff>
      <xdr:row>580</xdr:row>
      <xdr:rowOff>91888</xdr:rowOff>
    </xdr:to>
    <xdr:sp macro="" textlink="">
      <xdr:nvSpPr>
        <xdr:cNvPr id="33" name="Rectángulo 32">
          <a:extLst>
            <a:ext uri="{FF2B5EF4-FFF2-40B4-BE49-F238E27FC236}">
              <a16:creationId xmlns:a16="http://schemas.microsoft.com/office/drawing/2014/main" id="{AF16CB4C-9ED7-44EE-9015-3892F772E4A8}"/>
            </a:ext>
          </a:extLst>
        </xdr:cNvPr>
        <xdr:cNvSpPr/>
      </xdr:nvSpPr>
      <xdr:spPr>
        <a:xfrm>
          <a:off x="6772834" y="106234902"/>
          <a:ext cx="3475617" cy="194086"/>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xdr:from>
      <xdr:col>3</xdr:col>
      <xdr:colOff>1095935</xdr:colOff>
      <xdr:row>594</xdr:row>
      <xdr:rowOff>99382</xdr:rowOff>
    </xdr:from>
    <xdr:to>
      <xdr:col>5</xdr:col>
      <xdr:colOff>1241612</xdr:colOff>
      <xdr:row>595</xdr:row>
      <xdr:rowOff>110587</xdr:rowOff>
    </xdr:to>
    <xdr:sp macro="" textlink="">
      <xdr:nvSpPr>
        <xdr:cNvPr id="34" name="Rectángulo 33">
          <a:extLst>
            <a:ext uri="{FF2B5EF4-FFF2-40B4-BE49-F238E27FC236}">
              <a16:creationId xmlns:a16="http://schemas.microsoft.com/office/drawing/2014/main" id="{6AF756D6-D2FC-4BE4-AA16-86AE244874E8}"/>
            </a:ext>
          </a:extLst>
        </xdr:cNvPr>
        <xdr:cNvSpPr/>
      </xdr:nvSpPr>
      <xdr:spPr>
        <a:xfrm>
          <a:off x="7115735" y="108996802"/>
          <a:ext cx="3475617" cy="19408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1</xdr:col>
      <xdr:colOff>638735</xdr:colOff>
      <xdr:row>586</xdr:row>
      <xdr:rowOff>123264</xdr:rowOff>
    </xdr:from>
    <xdr:to>
      <xdr:col>2</xdr:col>
      <xdr:colOff>1278890</xdr:colOff>
      <xdr:row>608</xdr:row>
      <xdr:rowOff>66553</xdr:rowOff>
    </xdr:to>
    <xdr:pic>
      <xdr:nvPicPr>
        <xdr:cNvPr id="35" name="Imagen 34">
          <a:extLst>
            <a:ext uri="{FF2B5EF4-FFF2-40B4-BE49-F238E27FC236}">
              <a16:creationId xmlns:a16="http://schemas.microsoft.com/office/drawing/2014/main" id="{5F78E77A-F577-4449-9A9A-45D10532F8D0}"/>
            </a:ext>
          </a:extLst>
        </xdr:cNvPr>
        <xdr:cNvPicPr>
          <a:picLocks noChangeAspect="1"/>
        </xdr:cNvPicPr>
      </xdr:nvPicPr>
      <xdr:blipFill>
        <a:blip xmlns:r="http://schemas.openxmlformats.org/officeDocument/2006/relationships" r:embed="rId26"/>
        <a:stretch>
          <a:fillRect/>
        </a:stretch>
      </xdr:blipFill>
      <xdr:spPr>
        <a:xfrm>
          <a:off x="3069515" y="107557644"/>
          <a:ext cx="2265755" cy="3854889"/>
        </a:xfrm>
        <a:prstGeom prst="rect">
          <a:avLst/>
        </a:prstGeom>
      </xdr:spPr>
    </xdr:pic>
    <xdr:clientData/>
  </xdr:twoCellAnchor>
  <xdr:twoCellAnchor>
    <xdr:from>
      <xdr:col>1</xdr:col>
      <xdr:colOff>2274794</xdr:colOff>
      <xdr:row>594</xdr:row>
      <xdr:rowOff>56029</xdr:rowOff>
    </xdr:from>
    <xdr:to>
      <xdr:col>1</xdr:col>
      <xdr:colOff>2846294</xdr:colOff>
      <xdr:row>594</xdr:row>
      <xdr:rowOff>56029</xdr:rowOff>
    </xdr:to>
    <xdr:cxnSp macro="">
      <xdr:nvCxnSpPr>
        <xdr:cNvPr id="36" name="Conector recto 36">
          <a:extLst>
            <a:ext uri="{FF2B5EF4-FFF2-40B4-BE49-F238E27FC236}">
              <a16:creationId xmlns:a16="http://schemas.microsoft.com/office/drawing/2014/main" id="{F8F6E22D-4ED1-4117-A3FD-DD469BCB7124}"/>
            </a:ext>
          </a:extLst>
        </xdr:cNvPr>
        <xdr:cNvCxnSpPr/>
      </xdr:nvCxnSpPr>
      <xdr:spPr>
        <a:xfrm>
          <a:off x="3890234" y="108953449"/>
          <a:ext cx="0" cy="0"/>
        </a:xfrm>
        <a:prstGeom prst="line">
          <a:avLst/>
        </a:prstGeom>
        <a:ln w="5715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2980764</xdr:colOff>
      <xdr:row>590</xdr:row>
      <xdr:rowOff>100853</xdr:rowOff>
    </xdr:from>
    <xdr:to>
      <xdr:col>1</xdr:col>
      <xdr:colOff>2980764</xdr:colOff>
      <xdr:row>603</xdr:row>
      <xdr:rowOff>0</xdr:rowOff>
    </xdr:to>
    <xdr:cxnSp macro="">
      <xdr:nvCxnSpPr>
        <xdr:cNvPr id="37" name="Conector recto 38">
          <a:extLst>
            <a:ext uri="{FF2B5EF4-FFF2-40B4-BE49-F238E27FC236}">
              <a16:creationId xmlns:a16="http://schemas.microsoft.com/office/drawing/2014/main" id="{1CDEED51-4E84-44FC-A792-4713E7D979F5}"/>
            </a:ext>
          </a:extLst>
        </xdr:cNvPr>
        <xdr:cNvCxnSpPr/>
      </xdr:nvCxnSpPr>
      <xdr:spPr>
        <a:xfrm>
          <a:off x="3895164" y="108266753"/>
          <a:ext cx="0" cy="2276587"/>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6</xdr:col>
      <xdr:colOff>407670</xdr:colOff>
      <xdr:row>569</xdr:row>
      <xdr:rowOff>50483</xdr:rowOff>
    </xdr:from>
    <xdr:to>
      <xdr:col>7</xdr:col>
      <xdr:colOff>1608386</xdr:colOff>
      <xdr:row>580</xdr:row>
      <xdr:rowOff>48267</xdr:rowOff>
    </xdr:to>
    <xdr:pic>
      <xdr:nvPicPr>
        <xdr:cNvPr id="38" name="Imagen 42">
          <a:extLst>
            <a:ext uri="{FF2B5EF4-FFF2-40B4-BE49-F238E27FC236}">
              <a16:creationId xmlns:a16="http://schemas.microsoft.com/office/drawing/2014/main" id="{7D679195-0857-4B8A-8EF2-4D7B5ACA63D5}"/>
            </a:ext>
          </a:extLst>
        </xdr:cNvPr>
        <xdr:cNvPicPr>
          <a:picLocks noChangeAspect="1"/>
        </xdr:cNvPicPr>
      </xdr:nvPicPr>
      <xdr:blipFill>
        <a:blip xmlns:r="http://schemas.openxmlformats.org/officeDocument/2006/relationships" r:embed="rId27"/>
        <a:stretch>
          <a:fillRect/>
        </a:stretch>
      </xdr:blipFill>
      <xdr:spPr>
        <a:xfrm>
          <a:off x="12294870" y="104116823"/>
          <a:ext cx="3562916" cy="2258384"/>
        </a:xfrm>
        <a:prstGeom prst="rect">
          <a:avLst/>
        </a:prstGeom>
      </xdr:spPr>
    </xdr:pic>
    <xdr:clientData/>
  </xdr:twoCellAnchor>
  <xdr:twoCellAnchor editAs="oneCell">
    <xdr:from>
      <xdr:col>2</xdr:col>
      <xdr:colOff>1123950</xdr:colOff>
      <xdr:row>609</xdr:row>
      <xdr:rowOff>57150</xdr:rowOff>
    </xdr:from>
    <xdr:to>
      <xdr:col>4</xdr:col>
      <xdr:colOff>1422167</xdr:colOff>
      <xdr:row>621</xdr:row>
      <xdr:rowOff>99376</xdr:rowOff>
    </xdr:to>
    <xdr:pic>
      <xdr:nvPicPr>
        <xdr:cNvPr id="39" name="Imagen 43">
          <a:extLst>
            <a:ext uri="{FF2B5EF4-FFF2-40B4-BE49-F238E27FC236}">
              <a16:creationId xmlns:a16="http://schemas.microsoft.com/office/drawing/2014/main" id="{D50C64C2-3E1B-45DF-BB36-7DBB05C960CB}"/>
            </a:ext>
          </a:extLst>
        </xdr:cNvPr>
        <xdr:cNvPicPr>
          <a:picLocks noChangeAspect="1"/>
        </xdr:cNvPicPr>
      </xdr:nvPicPr>
      <xdr:blipFill>
        <a:blip xmlns:r="http://schemas.openxmlformats.org/officeDocument/2006/relationships" r:embed="rId28"/>
        <a:stretch>
          <a:fillRect/>
        </a:stretch>
      </xdr:blipFill>
      <xdr:spPr>
        <a:xfrm>
          <a:off x="5017770" y="111697770"/>
          <a:ext cx="4400317" cy="2175826"/>
        </a:xfrm>
        <a:prstGeom prst="rect">
          <a:avLst/>
        </a:prstGeom>
      </xdr:spPr>
    </xdr:pic>
    <xdr:clientData/>
  </xdr:twoCellAnchor>
  <xdr:twoCellAnchor editAs="oneCell">
    <xdr:from>
      <xdr:col>0</xdr:col>
      <xdr:colOff>56030</xdr:colOff>
      <xdr:row>680</xdr:row>
      <xdr:rowOff>123265</xdr:rowOff>
    </xdr:from>
    <xdr:to>
      <xdr:col>2</xdr:col>
      <xdr:colOff>632689</xdr:colOff>
      <xdr:row>705</xdr:row>
      <xdr:rowOff>1339</xdr:rowOff>
    </xdr:to>
    <xdr:pic>
      <xdr:nvPicPr>
        <xdr:cNvPr id="40" name="Imagen 14">
          <a:extLst>
            <a:ext uri="{FF2B5EF4-FFF2-40B4-BE49-F238E27FC236}">
              <a16:creationId xmlns:a16="http://schemas.microsoft.com/office/drawing/2014/main" id="{E5229AD3-E779-4D4E-8734-63BCE2DE0933}"/>
            </a:ext>
          </a:extLst>
        </xdr:cNvPr>
        <xdr:cNvPicPr>
          <a:picLocks noChangeAspect="1"/>
        </xdr:cNvPicPr>
      </xdr:nvPicPr>
      <xdr:blipFill>
        <a:blip xmlns:r="http://schemas.openxmlformats.org/officeDocument/2006/relationships" r:embed="rId29"/>
        <a:stretch>
          <a:fillRect/>
        </a:stretch>
      </xdr:blipFill>
      <xdr:spPr>
        <a:xfrm>
          <a:off x="56030" y="124748365"/>
          <a:ext cx="4907359" cy="4323074"/>
        </a:xfrm>
        <a:prstGeom prst="rect">
          <a:avLst/>
        </a:prstGeom>
      </xdr:spPr>
    </xdr:pic>
    <xdr:clientData/>
  </xdr:twoCellAnchor>
  <xdr:twoCellAnchor editAs="oneCell">
    <xdr:from>
      <xdr:col>1</xdr:col>
      <xdr:colOff>2745441</xdr:colOff>
      <xdr:row>680</xdr:row>
      <xdr:rowOff>145676</xdr:rowOff>
    </xdr:from>
    <xdr:to>
      <xdr:col>4</xdr:col>
      <xdr:colOff>1079051</xdr:colOff>
      <xdr:row>685</xdr:row>
      <xdr:rowOff>47367</xdr:rowOff>
    </xdr:to>
    <xdr:pic>
      <xdr:nvPicPr>
        <xdr:cNvPr id="41" name="Imagen 15">
          <a:extLst>
            <a:ext uri="{FF2B5EF4-FFF2-40B4-BE49-F238E27FC236}">
              <a16:creationId xmlns:a16="http://schemas.microsoft.com/office/drawing/2014/main" id="{9B84493D-65CF-412C-A3C2-4EC4386A628B}"/>
            </a:ext>
          </a:extLst>
        </xdr:cNvPr>
        <xdr:cNvPicPr>
          <a:picLocks noChangeAspect="1"/>
        </xdr:cNvPicPr>
      </xdr:nvPicPr>
      <xdr:blipFill>
        <a:blip xmlns:r="http://schemas.openxmlformats.org/officeDocument/2006/relationships" r:embed="rId30"/>
        <a:stretch>
          <a:fillRect/>
        </a:stretch>
      </xdr:blipFill>
      <xdr:spPr>
        <a:xfrm>
          <a:off x="3896061" y="124770776"/>
          <a:ext cx="5178910" cy="790691"/>
        </a:xfrm>
        <a:prstGeom prst="rect">
          <a:avLst/>
        </a:prstGeom>
      </xdr:spPr>
    </xdr:pic>
    <xdr:clientData/>
  </xdr:twoCellAnchor>
  <xdr:twoCellAnchor editAs="oneCell">
    <xdr:from>
      <xdr:col>1</xdr:col>
      <xdr:colOff>2767853</xdr:colOff>
      <xdr:row>688</xdr:row>
      <xdr:rowOff>33618</xdr:rowOff>
    </xdr:from>
    <xdr:to>
      <xdr:col>5</xdr:col>
      <xdr:colOff>1921201</xdr:colOff>
      <xdr:row>709</xdr:row>
      <xdr:rowOff>5581</xdr:rowOff>
    </xdr:to>
    <xdr:pic>
      <xdr:nvPicPr>
        <xdr:cNvPr id="42" name="Imagen 16">
          <a:extLst>
            <a:ext uri="{FF2B5EF4-FFF2-40B4-BE49-F238E27FC236}">
              <a16:creationId xmlns:a16="http://schemas.microsoft.com/office/drawing/2014/main" id="{81D4C2E3-CB49-4F62-A645-C5832125184D}"/>
            </a:ext>
          </a:extLst>
        </xdr:cNvPr>
        <xdr:cNvPicPr>
          <a:picLocks noChangeAspect="1"/>
        </xdr:cNvPicPr>
      </xdr:nvPicPr>
      <xdr:blipFill>
        <a:blip xmlns:r="http://schemas.openxmlformats.org/officeDocument/2006/relationships" r:embed="rId31"/>
        <a:stretch>
          <a:fillRect/>
        </a:stretch>
      </xdr:blipFill>
      <xdr:spPr>
        <a:xfrm>
          <a:off x="3895613" y="126121758"/>
          <a:ext cx="7992548" cy="3705763"/>
        </a:xfrm>
        <a:prstGeom prst="rect">
          <a:avLst/>
        </a:prstGeom>
      </xdr:spPr>
    </xdr:pic>
    <xdr:clientData/>
  </xdr:twoCellAnchor>
  <xdr:twoCellAnchor editAs="oneCell">
    <xdr:from>
      <xdr:col>4</xdr:col>
      <xdr:colOff>1857375</xdr:colOff>
      <xdr:row>675</xdr:row>
      <xdr:rowOff>71437</xdr:rowOff>
    </xdr:from>
    <xdr:to>
      <xdr:col>7</xdr:col>
      <xdr:colOff>1051035</xdr:colOff>
      <xdr:row>710</xdr:row>
      <xdr:rowOff>67261</xdr:rowOff>
    </xdr:to>
    <xdr:pic>
      <xdr:nvPicPr>
        <xdr:cNvPr id="43" name="Imagen 17">
          <a:extLst>
            <a:ext uri="{FF2B5EF4-FFF2-40B4-BE49-F238E27FC236}">
              <a16:creationId xmlns:a16="http://schemas.microsoft.com/office/drawing/2014/main" id="{4F9FBE32-7900-46B9-99F8-741A4D9519F6}"/>
            </a:ext>
          </a:extLst>
        </xdr:cNvPr>
        <xdr:cNvPicPr>
          <a:picLocks noChangeAspect="1"/>
        </xdr:cNvPicPr>
      </xdr:nvPicPr>
      <xdr:blipFill>
        <a:blip xmlns:r="http://schemas.openxmlformats.org/officeDocument/2006/relationships" r:embed="rId32"/>
        <a:stretch>
          <a:fillRect/>
        </a:stretch>
      </xdr:blipFill>
      <xdr:spPr>
        <a:xfrm>
          <a:off x="9347835" y="123782137"/>
          <a:ext cx="6115160" cy="6218824"/>
        </a:xfrm>
        <a:prstGeom prst="rect">
          <a:avLst/>
        </a:prstGeom>
      </xdr:spPr>
    </xdr:pic>
    <xdr:clientData/>
  </xdr:twoCellAnchor>
  <xdr:twoCellAnchor editAs="oneCell">
    <xdr:from>
      <xdr:col>2</xdr:col>
      <xdr:colOff>1501588</xdr:colOff>
      <xdr:row>767</xdr:row>
      <xdr:rowOff>89284</xdr:rowOff>
    </xdr:from>
    <xdr:to>
      <xdr:col>4</xdr:col>
      <xdr:colOff>1357528</xdr:colOff>
      <xdr:row>778</xdr:row>
      <xdr:rowOff>136804</xdr:rowOff>
    </xdr:to>
    <xdr:pic>
      <xdr:nvPicPr>
        <xdr:cNvPr id="44" name="Imagen 20">
          <a:extLst>
            <a:ext uri="{FF2B5EF4-FFF2-40B4-BE49-F238E27FC236}">
              <a16:creationId xmlns:a16="http://schemas.microsoft.com/office/drawing/2014/main" id="{33171217-B894-497F-8EC3-1FC66D7B22BA}"/>
            </a:ext>
          </a:extLst>
        </xdr:cNvPr>
        <xdr:cNvPicPr>
          <a:picLocks noChangeAspect="1"/>
        </xdr:cNvPicPr>
      </xdr:nvPicPr>
      <xdr:blipFill>
        <a:blip xmlns:r="http://schemas.openxmlformats.org/officeDocument/2006/relationships" r:embed="rId33"/>
        <a:stretch>
          <a:fillRect/>
        </a:stretch>
      </xdr:blipFill>
      <xdr:spPr>
        <a:xfrm>
          <a:off x="5395408" y="140624944"/>
          <a:ext cx="3958040" cy="2016020"/>
        </a:xfrm>
        <a:prstGeom prst="rect">
          <a:avLst/>
        </a:prstGeom>
      </xdr:spPr>
    </xdr:pic>
    <xdr:clientData/>
  </xdr:twoCellAnchor>
  <xdr:twoCellAnchor>
    <xdr:from>
      <xdr:col>5</xdr:col>
      <xdr:colOff>1842200</xdr:colOff>
      <xdr:row>815</xdr:row>
      <xdr:rowOff>160180</xdr:rowOff>
    </xdr:from>
    <xdr:to>
      <xdr:col>6</xdr:col>
      <xdr:colOff>1288102</xdr:colOff>
      <xdr:row>830</xdr:row>
      <xdr:rowOff>71279</xdr:rowOff>
    </xdr:to>
    <xdr:graphicFrame macro="">
      <xdr:nvGraphicFramePr>
        <xdr:cNvPr id="48" name="Gráfico 44">
          <a:extLst>
            <a:ext uri="{FF2B5EF4-FFF2-40B4-BE49-F238E27FC236}">
              <a16:creationId xmlns:a16="http://schemas.microsoft.com/office/drawing/2014/main" id="{162751E6-B3FB-4890-8367-F0C0A0C59B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7</xdr:col>
      <xdr:colOff>1584325</xdr:colOff>
      <xdr:row>824</xdr:row>
      <xdr:rowOff>40217</xdr:rowOff>
    </xdr:from>
    <xdr:to>
      <xdr:col>11</xdr:col>
      <xdr:colOff>119591</xdr:colOff>
      <xdr:row>838</xdr:row>
      <xdr:rowOff>107949</xdr:rowOff>
    </xdr:to>
    <xdr:graphicFrame macro="">
      <xdr:nvGraphicFramePr>
        <xdr:cNvPr id="50" name="Chart 14">
          <a:extLst>
            <a:ext uri="{FF2B5EF4-FFF2-40B4-BE49-F238E27FC236}">
              <a16:creationId xmlns:a16="http://schemas.microsoft.com/office/drawing/2014/main" id="{C8D77522-1C0B-4AEE-94EC-3598545EEE6D}"/>
            </a:ext>
            <a:ext uri="{147F2762-F138-4A5C-976F-8EAC2B608ADB}">
              <a16:predDERef xmlns:a16="http://schemas.microsoft.com/office/drawing/2014/main" pred="{85EE4AD8-52F3-9618-E5C1-61043E0B3C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1381125</xdr:colOff>
      <xdr:row>42</xdr:row>
      <xdr:rowOff>114300</xdr:rowOff>
    </xdr:from>
    <xdr:to>
      <xdr:col>8</xdr:col>
      <xdr:colOff>352425</xdr:colOff>
      <xdr:row>58</xdr:row>
      <xdr:rowOff>28575</xdr:rowOff>
    </xdr:to>
    <xdr:pic>
      <xdr:nvPicPr>
        <xdr:cNvPr id="2" name="Picture 1">
          <a:extLst>
            <a:ext uri="{FF2B5EF4-FFF2-40B4-BE49-F238E27FC236}">
              <a16:creationId xmlns:a16="http://schemas.microsoft.com/office/drawing/2014/main" id="{94E39F7B-508E-4499-97B7-5249DE03B50E}"/>
            </a:ext>
          </a:extLst>
        </xdr:cNvPr>
        <xdr:cNvPicPr>
          <a:picLocks noChangeAspect="1"/>
        </xdr:cNvPicPr>
      </xdr:nvPicPr>
      <xdr:blipFill>
        <a:blip xmlns:r="http://schemas.openxmlformats.org/officeDocument/2006/relationships" r:embed="rId1"/>
        <a:stretch>
          <a:fillRect/>
        </a:stretch>
      </xdr:blipFill>
      <xdr:spPr>
        <a:xfrm>
          <a:off x="1990725" y="8105775"/>
          <a:ext cx="6381750" cy="2962275"/>
        </a:xfrm>
        <a:prstGeom prst="rect">
          <a:avLst/>
        </a:prstGeom>
      </xdr:spPr>
    </xdr:pic>
    <xdr:clientData/>
  </xdr:twoCellAnchor>
  <xdr:twoCellAnchor editAs="oneCell">
    <xdr:from>
      <xdr:col>15</xdr:col>
      <xdr:colOff>1323975</xdr:colOff>
      <xdr:row>41</xdr:row>
      <xdr:rowOff>123825</xdr:rowOff>
    </xdr:from>
    <xdr:to>
      <xdr:col>22</xdr:col>
      <xdr:colOff>114300</xdr:colOff>
      <xdr:row>71</xdr:row>
      <xdr:rowOff>76200</xdr:rowOff>
    </xdr:to>
    <xdr:pic>
      <xdr:nvPicPr>
        <xdr:cNvPr id="3" name="Picture 2">
          <a:extLst>
            <a:ext uri="{FF2B5EF4-FFF2-40B4-BE49-F238E27FC236}">
              <a16:creationId xmlns:a16="http://schemas.microsoft.com/office/drawing/2014/main" id="{EB315AD0-25E6-45E4-A2B1-8C1B905319A8}"/>
            </a:ext>
            <a:ext uri="{147F2762-F138-4A5C-976F-8EAC2B608ADB}">
              <a16:predDERef xmlns:a16="http://schemas.microsoft.com/office/drawing/2014/main" pred="{94E39F7B-508E-4499-97B7-5249DE03B50E}"/>
            </a:ext>
          </a:extLst>
        </xdr:cNvPr>
        <xdr:cNvPicPr>
          <a:picLocks noChangeAspect="1"/>
        </xdr:cNvPicPr>
      </xdr:nvPicPr>
      <xdr:blipFill>
        <a:blip xmlns:r="http://schemas.openxmlformats.org/officeDocument/2006/relationships" r:embed="rId2"/>
        <a:stretch>
          <a:fillRect/>
        </a:stretch>
      </xdr:blipFill>
      <xdr:spPr>
        <a:xfrm>
          <a:off x="15563850" y="7934325"/>
          <a:ext cx="5638800" cy="5667375"/>
        </a:xfrm>
        <a:prstGeom prst="rect">
          <a:avLst/>
        </a:prstGeom>
      </xdr:spPr>
    </xdr:pic>
    <xdr:clientData/>
  </xdr:twoCellAnchor>
  <xdr:twoCellAnchor>
    <xdr:from>
      <xdr:col>16</xdr:col>
      <xdr:colOff>247650</xdr:colOff>
      <xdr:row>46</xdr:row>
      <xdr:rowOff>0</xdr:rowOff>
    </xdr:from>
    <xdr:to>
      <xdr:col>21</xdr:col>
      <xdr:colOff>457200</xdr:colOff>
      <xdr:row>51</xdr:row>
      <xdr:rowOff>123825</xdr:rowOff>
    </xdr:to>
    <xdr:cxnSp macro="">
      <xdr:nvCxnSpPr>
        <xdr:cNvPr id="4" name="Straight Connector 3">
          <a:extLst>
            <a:ext uri="{FF2B5EF4-FFF2-40B4-BE49-F238E27FC236}">
              <a16:creationId xmlns:a16="http://schemas.microsoft.com/office/drawing/2014/main" id="{C3177097-009C-4785-9984-D277F0CF59C0}"/>
            </a:ext>
            <a:ext uri="{147F2762-F138-4A5C-976F-8EAC2B608ADB}">
              <a16:predDERef xmlns:a16="http://schemas.microsoft.com/office/drawing/2014/main" pred="{EB315AD0-25E6-45E4-A2B1-8C1B905319A8}"/>
            </a:ext>
          </a:extLst>
        </xdr:cNvPr>
        <xdr:cNvCxnSpPr>
          <a:cxnSpLocks/>
          <a:extLst>
            <a:ext uri="{5F17804C-33F3-41E3-A699-7DCFA2EF7971}">
              <a16:cxnDERefs xmlns:a16="http://schemas.microsoft.com/office/drawing/2014/main" st="{22F23F64-D85D-72BB-0EC5-FF54D8A9C6B6}" end="{00000000-0000-0000-0000-000000000000}"/>
            </a:ext>
          </a:extLst>
        </xdr:cNvCxnSpPr>
      </xdr:nvCxnSpPr>
      <xdr:spPr>
        <a:xfrm>
          <a:off x="15840075" y="8763000"/>
          <a:ext cx="5095875" cy="1076325"/>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724970</xdr:colOff>
      <xdr:row>37</xdr:row>
      <xdr:rowOff>21763</xdr:rowOff>
    </xdr:from>
    <xdr:to>
      <xdr:col>22</xdr:col>
      <xdr:colOff>316001</xdr:colOff>
      <xdr:row>66</xdr:row>
      <xdr:rowOff>111377</xdr:rowOff>
    </xdr:to>
    <xdr:pic>
      <xdr:nvPicPr>
        <xdr:cNvPr id="2" name="Picture 2">
          <a:extLst>
            <a:ext uri="{FF2B5EF4-FFF2-40B4-BE49-F238E27FC236}">
              <a16:creationId xmlns:a16="http://schemas.microsoft.com/office/drawing/2014/main" id="{E17EF458-2C71-497D-A3AB-4A775AF63E09}"/>
            </a:ext>
            <a:ext uri="{147F2762-F138-4A5C-976F-8EAC2B608ADB}">
              <a16:predDERef xmlns:a16="http://schemas.microsoft.com/office/drawing/2014/main" pred="{FE5CABB6-58CC-59D3-FC84-CCC78655AD0A}"/>
            </a:ext>
          </a:extLst>
        </xdr:cNvPr>
        <xdr:cNvPicPr>
          <a:picLocks noChangeAspect="1"/>
        </xdr:cNvPicPr>
      </xdr:nvPicPr>
      <xdr:blipFill>
        <a:blip xmlns:r="http://schemas.openxmlformats.org/officeDocument/2006/relationships" r:embed="rId1"/>
        <a:stretch>
          <a:fillRect/>
        </a:stretch>
      </xdr:blipFill>
      <xdr:spPr>
        <a:xfrm>
          <a:off x="19424450" y="6834043"/>
          <a:ext cx="5770851" cy="5415221"/>
        </a:xfrm>
        <a:prstGeom prst="rect">
          <a:avLst/>
        </a:prstGeom>
      </xdr:spPr>
    </xdr:pic>
    <xdr:clientData/>
  </xdr:twoCellAnchor>
  <xdr:twoCellAnchor>
    <xdr:from>
      <xdr:col>17</xdr:col>
      <xdr:colOff>213591</xdr:colOff>
      <xdr:row>50</xdr:row>
      <xdr:rowOff>11545</xdr:rowOff>
    </xdr:from>
    <xdr:to>
      <xdr:col>20</xdr:col>
      <xdr:colOff>450273</xdr:colOff>
      <xdr:row>56</xdr:row>
      <xdr:rowOff>98137</xdr:rowOff>
    </xdr:to>
    <xdr:cxnSp macro="">
      <xdr:nvCxnSpPr>
        <xdr:cNvPr id="3" name="Straight Connector 3">
          <a:extLst>
            <a:ext uri="{FF2B5EF4-FFF2-40B4-BE49-F238E27FC236}">
              <a16:creationId xmlns:a16="http://schemas.microsoft.com/office/drawing/2014/main" id="{53D05EFD-4D6F-40E3-AA22-FF954FA1B17B}"/>
            </a:ext>
            <a:ext uri="{147F2762-F138-4A5C-976F-8EAC2B608ADB}">
              <a16:predDERef xmlns:a16="http://schemas.microsoft.com/office/drawing/2014/main" pred="{22F23F64-D85D-72BB-0EC5-FF54D8A9C6B6}"/>
            </a:ext>
          </a:extLst>
        </xdr:cNvPr>
        <xdr:cNvCxnSpPr>
          <a:cxnSpLocks/>
          <a:extLst>
            <a:ext uri="{5F17804C-33F3-41E3-A699-7DCFA2EF7971}">
              <a16:cxnDERefs xmlns:a16="http://schemas.microsoft.com/office/drawing/2014/main" st="{22F23F64-D85D-72BB-0EC5-FF54D8A9C6B6}" end="{00000000-0000-0000-0000-000000000000}"/>
            </a:ext>
          </a:extLst>
        </xdr:cNvCxnSpPr>
      </xdr:nvCxnSpPr>
      <xdr:spPr>
        <a:xfrm>
          <a:off x="19644591" y="9201265"/>
          <a:ext cx="4435302" cy="1183872"/>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13</xdr:col>
      <xdr:colOff>205340</xdr:colOff>
      <xdr:row>54</xdr:row>
      <xdr:rowOff>156086</xdr:rowOff>
    </xdr:from>
    <xdr:to>
      <xdr:col>22</xdr:col>
      <xdr:colOff>1843</xdr:colOff>
      <xdr:row>81</xdr:row>
      <xdr:rowOff>180133</xdr:rowOff>
    </xdr:to>
    <xdr:pic>
      <xdr:nvPicPr>
        <xdr:cNvPr id="4" name="Imagen 3">
          <a:extLst>
            <a:ext uri="{FF2B5EF4-FFF2-40B4-BE49-F238E27FC236}">
              <a16:creationId xmlns:a16="http://schemas.microsoft.com/office/drawing/2014/main" id="{6E5651E2-B61F-4033-BD71-AC2383F6554C}"/>
            </a:ext>
          </a:extLst>
        </xdr:cNvPr>
        <xdr:cNvPicPr>
          <a:picLocks noChangeAspect="1"/>
        </xdr:cNvPicPr>
      </xdr:nvPicPr>
      <xdr:blipFill>
        <a:blip xmlns:r="http://schemas.openxmlformats.org/officeDocument/2006/relationships" r:embed="rId2"/>
        <a:stretch>
          <a:fillRect/>
        </a:stretch>
      </xdr:blipFill>
      <xdr:spPr>
        <a:xfrm>
          <a:off x="15147166" y="10338173"/>
          <a:ext cx="9715755" cy="5093003"/>
        </a:xfrm>
        <a:prstGeom prst="rect">
          <a:avLst/>
        </a:prstGeom>
      </xdr:spPr>
    </xdr:pic>
    <xdr:clientData/>
  </xdr:twoCellAnchor>
  <xdr:twoCellAnchor editAs="oneCell">
    <xdr:from>
      <xdr:col>14</xdr:col>
      <xdr:colOff>177912</xdr:colOff>
      <xdr:row>62</xdr:row>
      <xdr:rowOff>149737</xdr:rowOff>
    </xdr:from>
    <xdr:to>
      <xdr:col>19</xdr:col>
      <xdr:colOff>724928</xdr:colOff>
      <xdr:row>78</xdr:row>
      <xdr:rowOff>42191</xdr:rowOff>
    </xdr:to>
    <xdr:pic>
      <xdr:nvPicPr>
        <xdr:cNvPr id="5" name="Picture 1">
          <a:extLst>
            <a:ext uri="{FF2B5EF4-FFF2-40B4-BE49-F238E27FC236}">
              <a16:creationId xmlns:a16="http://schemas.microsoft.com/office/drawing/2014/main" id="{E0EDA4E6-7612-43C7-8C4C-B3C9DF1E9E70}"/>
            </a:ext>
          </a:extLst>
        </xdr:cNvPr>
        <xdr:cNvPicPr>
          <a:picLocks noChangeAspect="1"/>
        </xdr:cNvPicPr>
      </xdr:nvPicPr>
      <xdr:blipFill>
        <a:blip xmlns:r="http://schemas.openxmlformats.org/officeDocument/2006/relationships" r:embed="rId3"/>
        <a:stretch>
          <a:fillRect/>
        </a:stretch>
      </xdr:blipFill>
      <xdr:spPr>
        <a:xfrm>
          <a:off x="16290347" y="11833737"/>
          <a:ext cx="6565712" cy="28962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724970</xdr:colOff>
      <xdr:row>37</xdr:row>
      <xdr:rowOff>21763</xdr:rowOff>
    </xdr:from>
    <xdr:to>
      <xdr:col>22</xdr:col>
      <xdr:colOff>316001</xdr:colOff>
      <xdr:row>66</xdr:row>
      <xdr:rowOff>133464</xdr:rowOff>
    </xdr:to>
    <xdr:pic>
      <xdr:nvPicPr>
        <xdr:cNvPr id="3" name="Picture 2">
          <a:extLst>
            <a:ext uri="{FF2B5EF4-FFF2-40B4-BE49-F238E27FC236}">
              <a16:creationId xmlns:a16="http://schemas.microsoft.com/office/drawing/2014/main" id="{22F23F64-D85D-72BB-0EC5-FF54D8A9C6B6}"/>
            </a:ext>
            <a:ext uri="{147F2762-F138-4A5C-976F-8EAC2B608ADB}">
              <a16:predDERef xmlns:a16="http://schemas.microsoft.com/office/drawing/2014/main" pred="{FE5CABB6-58CC-59D3-FC84-CCC78655AD0A}"/>
            </a:ext>
          </a:extLst>
        </xdr:cNvPr>
        <xdr:cNvPicPr>
          <a:picLocks noChangeAspect="1"/>
        </xdr:cNvPicPr>
      </xdr:nvPicPr>
      <xdr:blipFill>
        <a:blip xmlns:r="http://schemas.openxmlformats.org/officeDocument/2006/relationships" r:embed="rId1"/>
        <a:stretch>
          <a:fillRect/>
        </a:stretch>
      </xdr:blipFill>
      <xdr:spPr>
        <a:xfrm>
          <a:off x="19433658" y="6800388"/>
          <a:ext cx="5797203" cy="5392679"/>
        </a:xfrm>
        <a:prstGeom prst="rect">
          <a:avLst/>
        </a:prstGeom>
      </xdr:spPr>
    </xdr:pic>
    <xdr:clientData/>
  </xdr:twoCellAnchor>
  <xdr:twoCellAnchor>
    <xdr:from>
      <xdr:col>17</xdr:col>
      <xdr:colOff>213591</xdr:colOff>
      <xdr:row>50</xdr:row>
      <xdr:rowOff>11545</xdr:rowOff>
    </xdr:from>
    <xdr:to>
      <xdr:col>20</xdr:col>
      <xdr:colOff>450273</xdr:colOff>
      <xdr:row>56</xdr:row>
      <xdr:rowOff>98137</xdr:rowOff>
    </xdr:to>
    <xdr:cxnSp macro="">
      <xdr:nvCxnSpPr>
        <xdr:cNvPr id="4" name="Straight Connector 3">
          <a:extLst>
            <a:ext uri="{FF2B5EF4-FFF2-40B4-BE49-F238E27FC236}">
              <a16:creationId xmlns:a16="http://schemas.microsoft.com/office/drawing/2014/main" id="{F4A0B93D-1638-E610-DD37-733EEACB4903}"/>
            </a:ext>
            <a:ext uri="{147F2762-F138-4A5C-976F-8EAC2B608ADB}">
              <a16:predDERef xmlns:a16="http://schemas.microsoft.com/office/drawing/2014/main" pred="{22F23F64-D85D-72BB-0EC5-FF54D8A9C6B6}"/>
            </a:ext>
          </a:extLst>
        </xdr:cNvPr>
        <xdr:cNvCxnSpPr>
          <a:cxnSpLocks/>
          <a:extLst>
            <a:ext uri="{5F17804C-33F3-41E3-A699-7DCFA2EF7971}">
              <a16:cxnDERefs xmlns:a16="http://schemas.microsoft.com/office/drawing/2014/main" st="{22F23F64-D85D-72BB-0EC5-FF54D8A9C6B6}" end="{00000000-0000-0000-0000-000000000000}"/>
            </a:ext>
          </a:extLst>
        </xdr:cNvCxnSpPr>
      </xdr:nvCxnSpPr>
      <xdr:spPr>
        <a:xfrm>
          <a:off x="19644591" y="9271000"/>
          <a:ext cx="4358409" cy="1194955"/>
        </a:xfrm>
        <a:prstGeom prst="line">
          <a:avLst/>
        </a:prstGeom>
      </xdr:spPr>
      <xdr:style>
        <a:lnRef idx="3">
          <a:schemeClr val="accent1"/>
        </a:lnRef>
        <a:fillRef idx="0">
          <a:schemeClr val="accent1"/>
        </a:fillRef>
        <a:effectRef idx="2">
          <a:schemeClr val="accent1"/>
        </a:effectRef>
        <a:fontRef idx="minor">
          <a:schemeClr val="tx1"/>
        </a:fontRef>
      </xdr:style>
    </xdr:cxnSp>
    <xdr:clientData/>
  </xdr:twoCellAnchor>
  <xdr:twoCellAnchor editAs="oneCell">
    <xdr:from>
      <xdr:col>3</xdr:col>
      <xdr:colOff>39687</xdr:colOff>
      <xdr:row>37</xdr:row>
      <xdr:rowOff>34608</xdr:rowOff>
    </xdr:from>
    <xdr:to>
      <xdr:col>11</xdr:col>
      <xdr:colOff>743964</xdr:colOff>
      <xdr:row>64</xdr:row>
      <xdr:rowOff>58655</xdr:rowOff>
    </xdr:to>
    <xdr:pic>
      <xdr:nvPicPr>
        <xdr:cNvPr id="6" name="Imagen 5">
          <a:extLst>
            <a:ext uri="{FF2B5EF4-FFF2-40B4-BE49-F238E27FC236}">
              <a16:creationId xmlns:a16="http://schemas.microsoft.com/office/drawing/2014/main" id="{EA6AABB5-2045-060A-67D6-753DCC2A5FA3}"/>
            </a:ext>
          </a:extLst>
        </xdr:cNvPr>
        <xdr:cNvPicPr>
          <a:picLocks noChangeAspect="1"/>
        </xdr:cNvPicPr>
      </xdr:nvPicPr>
      <xdr:blipFill>
        <a:blip xmlns:r="http://schemas.openxmlformats.org/officeDocument/2006/relationships" r:embed="rId2"/>
        <a:stretch>
          <a:fillRect/>
        </a:stretch>
      </xdr:blipFill>
      <xdr:spPr>
        <a:xfrm>
          <a:off x="3683000" y="6813233"/>
          <a:ext cx="9713657" cy="4945615"/>
        </a:xfrm>
        <a:prstGeom prst="rect">
          <a:avLst/>
        </a:prstGeom>
      </xdr:spPr>
    </xdr:pic>
    <xdr:clientData/>
  </xdr:twoCellAnchor>
  <xdr:twoCellAnchor editAs="oneCell">
    <xdr:from>
      <xdr:col>10</xdr:col>
      <xdr:colOff>995130</xdr:colOff>
      <xdr:row>39</xdr:row>
      <xdr:rowOff>171824</xdr:rowOff>
    </xdr:from>
    <xdr:to>
      <xdr:col>16</xdr:col>
      <xdr:colOff>371537</xdr:colOff>
      <xdr:row>55</xdr:row>
      <xdr:rowOff>64278</xdr:rowOff>
    </xdr:to>
    <xdr:pic>
      <xdr:nvPicPr>
        <xdr:cNvPr id="2" name="Picture 1">
          <a:extLst>
            <a:ext uri="{FF2B5EF4-FFF2-40B4-BE49-F238E27FC236}">
              <a16:creationId xmlns:a16="http://schemas.microsoft.com/office/drawing/2014/main" id="{FE5CABB6-58CC-59D3-FC84-CCC78655AD0A}"/>
            </a:ext>
          </a:extLst>
        </xdr:cNvPr>
        <xdr:cNvPicPr>
          <a:picLocks noChangeAspect="1"/>
        </xdr:cNvPicPr>
      </xdr:nvPicPr>
      <xdr:blipFill>
        <a:blip xmlns:r="http://schemas.openxmlformats.org/officeDocument/2006/relationships" r:embed="rId3"/>
        <a:stretch>
          <a:fillRect/>
        </a:stretch>
      </xdr:blipFill>
      <xdr:spPr>
        <a:xfrm>
          <a:off x="12507956" y="7303150"/>
          <a:ext cx="6565711" cy="280793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10</xdr:col>
      <xdr:colOff>320040</xdr:colOff>
      <xdr:row>11</xdr:row>
      <xdr:rowOff>48868</xdr:rowOff>
    </xdr:to>
    <xdr:pic>
      <xdr:nvPicPr>
        <xdr:cNvPr id="2" name="Imagen 1">
          <a:extLst>
            <a:ext uri="{FF2B5EF4-FFF2-40B4-BE49-F238E27FC236}">
              <a16:creationId xmlns:a16="http://schemas.microsoft.com/office/drawing/2014/main" id="{92264054-9138-250C-8DCD-E68C151BB8F9}"/>
            </a:ext>
          </a:extLst>
        </xdr:cNvPr>
        <xdr:cNvPicPr>
          <a:picLocks noChangeAspect="1"/>
        </xdr:cNvPicPr>
      </xdr:nvPicPr>
      <xdr:blipFill>
        <a:blip xmlns:r="http://schemas.openxmlformats.org/officeDocument/2006/relationships" r:embed="rId1"/>
        <a:stretch>
          <a:fillRect/>
        </a:stretch>
      </xdr:blipFill>
      <xdr:spPr>
        <a:xfrm>
          <a:off x="11173239" y="198783"/>
          <a:ext cx="1844040" cy="1962150"/>
        </a:xfrm>
        <a:prstGeom prst="rect">
          <a:avLst/>
        </a:prstGeom>
      </xdr:spPr>
    </xdr:pic>
    <xdr:clientData/>
  </xdr:twoCellAnchor>
  <xdr:twoCellAnchor editAs="oneCell">
    <xdr:from>
      <xdr:col>8</xdr:col>
      <xdr:colOff>1</xdr:colOff>
      <xdr:row>12</xdr:row>
      <xdr:rowOff>0</xdr:rowOff>
    </xdr:from>
    <xdr:to>
      <xdr:col>9</xdr:col>
      <xdr:colOff>463827</xdr:colOff>
      <xdr:row>18</xdr:row>
      <xdr:rowOff>36566</xdr:rowOff>
    </xdr:to>
    <xdr:pic>
      <xdr:nvPicPr>
        <xdr:cNvPr id="3" name="Imagen 2" descr="Imagen que contiene luz, vuelo, avión&#10;&#10;Descripción generada automáticamente">
          <a:extLst>
            <a:ext uri="{FF2B5EF4-FFF2-40B4-BE49-F238E27FC236}">
              <a16:creationId xmlns:a16="http://schemas.microsoft.com/office/drawing/2014/main" id="{1E1889D0-E4DA-288D-3B99-A6F29882699A}"/>
            </a:ext>
          </a:extLst>
        </xdr:cNvPr>
        <xdr:cNvPicPr>
          <a:picLocks noChangeAspect="1"/>
        </xdr:cNvPicPr>
      </xdr:nvPicPr>
      <xdr:blipFill>
        <a:blip xmlns:r="http://schemas.openxmlformats.org/officeDocument/2006/relationships" r:embed="rId2"/>
        <a:stretch>
          <a:fillRect/>
        </a:stretch>
      </xdr:blipFill>
      <xdr:spPr>
        <a:xfrm>
          <a:off x="11173240" y="2310848"/>
          <a:ext cx="1225826" cy="1216423"/>
        </a:xfrm>
        <a:prstGeom prst="rect">
          <a:avLst/>
        </a:prstGeom>
      </xdr:spPr>
    </xdr:pic>
    <xdr:clientData/>
  </xdr:twoCellAnchor>
  <xdr:twoCellAnchor editAs="oneCell">
    <xdr:from>
      <xdr:col>8</xdr:col>
      <xdr:colOff>0</xdr:colOff>
      <xdr:row>21</xdr:row>
      <xdr:rowOff>0</xdr:rowOff>
    </xdr:from>
    <xdr:to>
      <xdr:col>10</xdr:col>
      <xdr:colOff>281609</xdr:colOff>
      <xdr:row>25</xdr:row>
      <xdr:rowOff>36086</xdr:rowOff>
    </xdr:to>
    <xdr:pic>
      <xdr:nvPicPr>
        <xdr:cNvPr id="4" name="Imagen 3" descr="Imagen que contiene pasto, avión, verde, aire&#10;&#10;Descripción generada automáticamente">
          <a:extLst>
            <a:ext uri="{FF2B5EF4-FFF2-40B4-BE49-F238E27FC236}">
              <a16:creationId xmlns:a16="http://schemas.microsoft.com/office/drawing/2014/main" id="{9D908FFA-04B3-ADEC-3120-C3060007F369}"/>
            </a:ext>
          </a:extLst>
        </xdr:cNvPr>
        <xdr:cNvPicPr>
          <a:picLocks noChangeAspect="1"/>
        </xdr:cNvPicPr>
      </xdr:nvPicPr>
      <xdr:blipFill>
        <a:blip xmlns:r="http://schemas.openxmlformats.org/officeDocument/2006/relationships" r:embed="rId3"/>
        <a:stretch>
          <a:fillRect/>
        </a:stretch>
      </xdr:blipFill>
      <xdr:spPr>
        <a:xfrm>
          <a:off x="11173239" y="3851413"/>
          <a:ext cx="1805609" cy="806369"/>
        </a:xfrm>
        <a:prstGeom prst="rect">
          <a:avLst/>
        </a:prstGeom>
      </xdr:spPr>
    </xdr:pic>
    <xdr:clientData/>
  </xdr:twoCellAnchor>
  <xdr:twoCellAnchor editAs="oneCell">
    <xdr:from>
      <xdr:col>8</xdr:col>
      <xdr:colOff>32347</xdr:colOff>
      <xdr:row>26</xdr:row>
      <xdr:rowOff>158156</xdr:rowOff>
    </xdr:from>
    <xdr:to>
      <xdr:col>10</xdr:col>
      <xdr:colOff>196387</xdr:colOff>
      <xdr:row>31</xdr:row>
      <xdr:rowOff>132525</xdr:rowOff>
    </xdr:to>
    <xdr:pic>
      <xdr:nvPicPr>
        <xdr:cNvPr id="5" name="Imagen 4" descr="Imagen que contiene pasto, campo&#10;&#10;Descripción generada automáticamente">
          <a:extLst>
            <a:ext uri="{FF2B5EF4-FFF2-40B4-BE49-F238E27FC236}">
              <a16:creationId xmlns:a16="http://schemas.microsoft.com/office/drawing/2014/main" id="{FBEC2C26-726A-E6C3-F962-41610F0EB439}"/>
            </a:ext>
          </a:extLst>
        </xdr:cNvPr>
        <xdr:cNvPicPr>
          <a:picLocks noChangeAspect="1"/>
        </xdr:cNvPicPr>
      </xdr:nvPicPr>
      <xdr:blipFill>
        <a:blip xmlns:r="http://schemas.openxmlformats.org/officeDocument/2006/relationships" r:embed="rId4"/>
        <a:stretch>
          <a:fillRect/>
        </a:stretch>
      </xdr:blipFill>
      <xdr:spPr>
        <a:xfrm rot="5400000">
          <a:off x="11577889" y="4598049"/>
          <a:ext cx="943434" cy="1688040"/>
        </a:xfrm>
        <a:prstGeom prst="rect">
          <a:avLst/>
        </a:prstGeom>
      </xdr:spPr>
    </xdr:pic>
    <xdr:clientData/>
  </xdr:twoCellAnchor>
  <xdr:twoCellAnchor editAs="oneCell">
    <xdr:from>
      <xdr:col>8</xdr:col>
      <xdr:colOff>0</xdr:colOff>
      <xdr:row>32</xdr:row>
      <xdr:rowOff>198782</xdr:rowOff>
    </xdr:from>
    <xdr:to>
      <xdr:col>10</xdr:col>
      <xdr:colOff>4445</xdr:colOff>
      <xdr:row>37</xdr:row>
      <xdr:rowOff>113030</xdr:rowOff>
    </xdr:to>
    <xdr:pic>
      <xdr:nvPicPr>
        <xdr:cNvPr id="6" name="Imagen 5" descr="Imagen que contiene avión, verde, pequeño, aire&#10;&#10;Descripción generada automáticamente">
          <a:extLst>
            <a:ext uri="{FF2B5EF4-FFF2-40B4-BE49-F238E27FC236}">
              <a16:creationId xmlns:a16="http://schemas.microsoft.com/office/drawing/2014/main" id="{17C977DA-1613-A9C0-A2A1-E06833D53243}"/>
            </a:ext>
          </a:extLst>
        </xdr:cNvPr>
        <xdr:cNvPicPr>
          <a:picLocks noChangeAspect="1"/>
        </xdr:cNvPicPr>
      </xdr:nvPicPr>
      <xdr:blipFill>
        <a:blip xmlns:r="http://schemas.openxmlformats.org/officeDocument/2006/relationships" r:embed="rId5"/>
        <a:stretch>
          <a:fillRect/>
        </a:stretch>
      </xdr:blipFill>
      <xdr:spPr>
        <a:xfrm>
          <a:off x="11173239" y="6170543"/>
          <a:ext cx="1528445" cy="875030"/>
        </a:xfrm>
        <a:prstGeom prst="rect">
          <a:avLst/>
        </a:prstGeom>
      </xdr:spPr>
    </xdr:pic>
    <xdr:clientData/>
  </xdr:twoCellAnchor>
  <xdr:twoCellAnchor editAs="oneCell">
    <xdr:from>
      <xdr:col>8</xdr:col>
      <xdr:colOff>0</xdr:colOff>
      <xdr:row>40</xdr:row>
      <xdr:rowOff>0</xdr:rowOff>
    </xdr:from>
    <xdr:to>
      <xdr:col>10</xdr:col>
      <xdr:colOff>115957</xdr:colOff>
      <xdr:row>45</xdr:row>
      <xdr:rowOff>48703</xdr:rowOff>
    </xdr:to>
    <xdr:pic>
      <xdr:nvPicPr>
        <xdr:cNvPr id="7" name="Imagen 6">
          <a:extLst>
            <a:ext uri="{FF2B5EF4-FFF2-40B4-BE49-F238E27FC236}">
              <a16:creationId xmlns:a16="http://schemas.microsoft.com/office/drawing/2014/main" id="{2AB5E10A-DAE5-0317-0610-E058213A2E94}"/>
            </a:ext>
          </a:extLst>
        </xdr:cNvPr>
        <xdr:cNvPicPr>
          <a:picLocks noChangeAspect="1"/>
        </xdr:cNvPicPr>
      </xdr:nvPicPr>
      <xdr:blipFill>
        <a:blip xmlns:r="http://schemas.openxmlformats.org/officeDocument/2006/relationships" r:embed="rId6"/>
        <a:stretch>
          <a:fillRect/>
        </a:stretch>
      </xdr:blipFill>
      <xdr:spPr>
        <a:xfrm>
          <a:off x="11173239" y="7520609"/>
          <a:ext cx="1639957" cy="1009485"/>
        </a:xfrm>
        <a:prstGeom prst="rect">
          <a:avLst/>
        </a:prstGeom>
      </xdr:spPr>
    </xdr:pic>
    <xdr:clientData/>
  </xdr:twoCellAnchor>
  <xdr:twoCellAnchor editAs="oneCell">
    <xdr:from>
      <xdr:col>0</xdr:col>
      <xdr:colOff>1211036</xdr:colOff>
      <xdr:row>47</xdr:row>
      <xdr:rowOff>54429</xdr:rowOff>
    </xdr:from>
    <xdr:to>
      <xdr:col>5</xdr:col>
      <xdr:colOff>196397</xdr:colOff>
      <xdr:row>57</xdr:row>
      <xdr:rowOff>93164</xdr:rowOff>
    </xdr:to>
    <xdr:pic>
      <xdr:nvPicPr>
        <xdr:cNvPr id="8" name="Imagen 7">
          <a:extLst>
            <a:ext uri="{FF2B5EF4-FFF2-40B4-BE49-F238E27FC236}">
              <a16:creationId xmlns:a16="http://schemas.microsoft.com/office/drawing/2014/main" id="{C2440298-5E30-A940-74F6-ECF9B9009D8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211036" y="8980715"/>
          <a:ext cx="5518150" cy="194373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18</xdr:col>
      <xdr:colOff>85725</xdr:colOff>
      <xdr:row>36</xdr:row>
      <xdr:rowOff>47625</xdr:rowOff>
    </xdr:from>
    <xdr:to>
      <xdr:col>21</xdr:col>
      <xdr:colOff>247015</xdr:colOff>
      <xdr:row>50</xdr:row>
      <xdr:rowOff>53754</xdr:rowOff>
    </xdr:to>
    <xdr:pic>
      <xdr:nvPicPr>
        <xdr:cNvPr id="16" name="Picture 1">
          <a:extLst>
            <a:ext uri="{FF2B5EF4-FFF2-40B4-BE49-F238E27FC236}">
              <a16:creationId xmlns:a16="http://schemas.microsoft.com/office/drawing/2014/main" id="{26BF1DE9-7C50-6377-E17D-142C208801E0}"/>
            </a:ext>
          </a:extLst>
        </xdr:cNvPr>
        <xdr:cNvPicPr>
          <a:picLocks noChangeAspect="1"/>
        </xdr:cNvPicPr>
      </xdr:nvPicPr>
      <xdr:blipFill>
        <a:blip xmlns:r="http://schemas.openxmlformats.org/officeDocument/2006/relationships" r:embed="rId1"/>
        <a:stretch>
          <a:fillRect/>
        </a:stretch>
      </xdr:blipFill>
      <xdr:spPr>
        <a:xfrm>
          <a:off x="12582525" y="6924675"/>
          <a:ext cx="5600700" cy="3124200"/>
        </a:xfrm>
        <a:prstGeom prst="rect">
          <a:avLst/>
        </a:prstGeom>
      </xdr:spPr>
    </xdr:pic>
    <xdr:clientData/>
  </xdr:twoCellAnchor>
  <xdr:twoCellAnchor editAs="oneCell">
    <xdr:from>
      <xdr:col>26</xdr:col>
      <xdr:colOff>668215</xdr:colOff>
      <xdr:row>4</xdr:row>
      <xdr:rowOff>128953</xdr:rowOff>
    </xdr:from>
    <xdr:to>
      <xdr:col>33</xdr:col>
      <xdr:colOff>288484</xdr:colOff>
      <xdr:row>15</xdr:row>
      <xdr:rowOff>170863</xdr:rowOff>
    </xdr:to>
    <xdr:pic>
      <xdr:nvPicPr>
        <xdr:cNvPr id="3" name="Picture 12">
          <a:extLst>
            <a:ext uri="{FF2B5EF4-FFF2-40B4-BE49-F238E27FC236}">
              <a16:creationId xmlns:a16="http://schemas.microsoft.com/office/drawing/2014/main" id="{5B063208-A436-4A27-8609-9ED43404A525}"/>
            </a:ext>
            <a:ext uri="{147F2762-F138-4A5C-976F-8EAC2B608ADB}">
              <a16:predDERef xmlns:a16="http://schemas.microsoft.com/office/drawing/2014/main" pred="{1017BE8F-7897-E2CF-A096-1FC2943C9361}"/>
            </a:ext>
          </a:extLst>
        </xdr:cNvPr>
        <xdr:cNvPicPr>
          <a:picLocks noChangeAspect="1"/>
        </xdr:cNvPicPr>
      </xdr:nvPicPr>
      <xdr:blipFill>
        <a:blip xmlns:r="http://schemas.openxmlformats.org/officeDocument/2006/relationships" r:embed="rId2"/>
        <a:stretch>
          <a:fillRect/>
        </a:stretch>
      </xdr:blipFill>
      <xdr:spPr>
        <a:xfrm>
          <a:off x="25720430" y="867507"/>
          <a:ext cx="5394960" cy="2590800"/>
        </a:xfrm>
        <a:prstGeom prst="rect">
          <a:avLst/>
        </a:prstGeom>
      </xdr:spPr>
    </xdr:pic>
    <xdr:clientData/>
  </xdr:twoCellAnchor>
  <xdr:twoCellAnchor editAs="oneCell">
    <xdr:from>
      <xdr:col>2</xdr:col>
      <xdr:colOff>696670</xdr:colOff>
      <xdr:row>38</xdr:row>
      <xdr:rowOff>37203</xdr:rowOff>
    </xdr:from>
    <xdr:to>
      <xdr:col>9</xdr:col>
      <xdr:colOff>631197</xdr:colOff>
      <xdr:row>71</xdr:row>
      <xdr:rowOff>91479</xdr:rowOff>
    </xdr:to>
    <xdr:pic>
      <xdr:nvPicPr>
        <xdr:cNvPr id="2" name="Imagen 1">
          <a:extLst>
            <a:ext uri="{FF2B5EF4-FFF2-40B4-BE49-F238E27FC236}">
              <a16:creationId xmlns:a16="http://schemas.microsoft.com/office/drawing/2014/main" id="{838C187A-A4E8-3A8A-2706-B47EA6979C45}"/>
            </a:ext>
          </a:extLst>
        </xdr:cNvPr>
        <xdr:cNvPicPr>
          <a:picLocks noChangeAspect="1"/>
        </xdr:cNvPicPr>
      </xdr:nvPicPr>
      <xdr:blipFill>
        <a:blip xmlns:r="http://schemas.openxmlformats.org/officeDocument/2006/relationships" r:embed="rId3"/>
        <a:stretch>
          <a:fillRect/>
        </a:stretch>
      </xdr:blipFill>
      <xdr:spPr>
        <a:xfrm>
          <a:off x="2265494" y="7578762"/>
          <a:ext cx="7001852" cy="6725586"/>
        </a:xfrm>
        <a:prstGeom prst="rect">
          <a:avLst/>
        </a:prstGeom>
      </xdr:spPr>
    </xdr:pic>
    <xdr:clientData/>
  </xdr:twoCellAnchor>
  <xdr:twoCellAnchor editAs="oneCell">
    <xdr:from>
      <xdr:col>8</xdr:col>
      <xdr:colOff>947724</xdr:colOff>
      <xdr:row>34</xdr:row>
      <xdr:rowOff>54472</xdr:rowOff>
    </xdr:from>
    <xdr:to>
      <xdr:col>16</xdr:col>
      <xdr:colOff>503373</xdr:colOff>
      <xdr:row>46</xdr:row>
      <xdr:rowOff>120773</xdr:rowOff>
    </xdr:to>
    <xdr:pic>
      <xdr:nvPicPr>
        <xdr:cNvPr id="4" name="Imagen 3">
          <a:extLst>
            <a:ext uri="{FF2B5EF4-FFF2-40B4-BE49-F238E27FC236}">
              <a16:creationId xmlns:a16="http://schemas.microsoft.com/office/drawing/2014/main" id="{8E6C09AC-BF98-FEAF-D647-C022AA02B71C}"/>
            </a:ext>
          </a:extLst>
        </xdr:cNvPr>
        <xdr:cNvPicPr>
          <a:picLocks noChangeAspect="1"/>
        </xdr:cNvPicPr>
      </xdr:nvPicPr>
      <xdr:blipFill>
        <a:blip xmlns:r="http://schemas.openxmlformats.org/officeDocument/2006/relationships" r:embed="rId4"/>
        <a:stretch>
          <a:fillRect/>
        </a:stretch>
      </xdr:blipFill>
      <xdr:spPr>
        <a:xfrm>
          <a:off x="8480281" y="7037390"/>
          <a:ext cx="6188797" cy="2677088"/>
        </a:xfrm>
        <a:prstGeom prst="rect">
          <a:avLst/>
        </a:prstGeom>
      </xdr:spPr>
    </xdr:pic>
    <xdr:clientData/>
  </xdr:twoCellAnchor>
  <xdr:twoCellAnchor editAs="oneCell">
    <xdr:from>
      <xdr:col>9</xdr:col>
      <xdr:colOff>428029</xdr:colOff>
      <xdr:row>20</xdr:row>
      <xdr:rowOff>31964</xdr:rowOff>
    </xdr:from>
    <xdr:to>
      <xdr:col>15</xdr:col>
      <xdr:colOff>294196</xdr:colOff>
      <xdr:row>31</xdr:row>
      <xdr:rowOff>2436</xdr:rowOff>
    </xdr:to>
    <xdr:pic>
      <xdr:nvPicPr>
        <xdr:cNvPr id="5" name="Imagen 4">
          <a:extLst>
            <a:ext uri="{FF2B5EF4-FFF2-40B4-BE49-F238E27FC236}">
              <a16:creationId xmlns:a16="http://schemas.microsoft.com/office/drawing/2014/main" id="{E0C753EB-4919-91C8-3D65-64F11E40DBDA}"/>
            </a:ext>
          </a:extLst>
        </xdr:cNvPr>
        <xdr:cNvPicPr>
          <a:picLocks noChangeAspect="1"/>
        </xdr:cNvPicPr>
      </xdr:nvPicPr>
      <xdr:blipFill>
        <a:blip xmlns:r="http://schemas.openxmlformats.org/officeDocument/2006/relationships" r:embed="rId5"/>
        <a:stretch>
          <a:fillRect/>
        </a:stretch>
      </xdr:blipFill>
      <xdr:spPr>
        <a:xfrm>
          <a:off x="9084849" y="4341636"/>
          <a:ext cx="4588068" cy="204735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arepublica.co/especiales/efecto-hidroituango/el-consumo-per-capita-de-energia-fue-de-1-159-kwh-durante-el-ano-pasado-2829778" TargetMode="External"/><Relationship Id="rId7" Type="http://schemas.openxmlformats.org/officeDocument/2006/relationships/drawing" Target="../drawings/drawing1.xml"/><Relationship Id="rId2" Type="http://schemas.openxmlformats.org/officeDocument/2006/relationships/hyperlink" Target="https://es.omega.com/pptst/T3HEADPROBES.html" TargetMode="External"/><Relationship Id="rId1" Type="http://schemas.openxmlformats.org/officeDocument/2006/relationships/hyperlink" Target="https://www.alibaba.com/product-detail/Kunkeandao-Differential-Pressure-Transmitter-With-Display_1600984128317.html?spm=a2700.7735675.0.0.36521FUb1FUbYL&amp;s=p" TargetMode="External"/><Relationship Id="rId6" Type="http://schemas.openxmlformats.org/officeDocument/2006/relationships/hyperlink" Target="https://www.alibaba.com/product-detail/Kunkeandao-Differential-Pressure-Transmitter-With-Display_1600984128317.html?spm=a2700.7735675.0.0.36521FUb1FUbYL&amp;s=p%20;;" TargetMode="External"/><Relationship Id="rId5" Type="http://schemas.openxmlformats.org/officeDocument/2006/relationships/hyperlink" Target="https://www.alibaba.com/product-detail/LETON-Cummins-Engines-1000kw-1250kva-2000Kw_1600606712547.html?spm=a2700.galleryofferlist.p_offer.d_title.14646cbdXK8Mhl&amp;s=p" TargetMode="External"/><Relationship Id="rId4" Type="http://schemas.openxmlformats.org/officeDocument/2006/relationships/hyperlink" Target="https://www.genpowerusa.com/diesel-generators/1500-kw-cummins-generator-1875-kva-three-phase-broadcrown-bcc1500s-60t2f/?utm_source=google&amp;utm_medium=cpc&amp;utm_campaign=DSA-Generators-Non-USA&amp;utm_term=&amp;gad_source=1&amp;gclid=Cj0KCQjwqpSwBhClARIsADlZ_TniqE2qHwLUX4xomrwgXar7fT-uNWDgR7lljIq7MB0o42sdyfd0a-kaAuaDEALw_wcB"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A8CB4-86EC-4652-B2DE-75D8B866D207}">
  <dimension ref="A1:AA1438"/>
  <sheetViews>
    <sheetView tabSelected="1" zoomScale="42" zoomScaleNormal="125" workbookViewId="0">
      <selection activeCell="B1315" sqref="B1315"/>
    </sheetView>
  </sheetViews>
  <sheetFormatPr baseColWidth="10" defaultColWidth="11.5" defaultRowHeight="15" x14ac:dyDescent="0.2"/>
  <cols>
    <col min="1" max="1" width="40.1640625" customWidth="1"/>
    <col min="2" max="2" width="40.6640625" customWidth="1"/>
    <col min="3" max="3" width="31" customWidth="1"/>
    <col min="4" max="4" width="29" customWidth="1"/>
    <col min="5" max="5" width="53.33203125" customWidth="1"/>
    <col min="6" max="6" width="37" customWidth="1"/>
    <col min="7" max="7" width="56.5" customWidth="1"/>
    <col min="8" max="8" width="24.1640625" customWidth="1"/>
    <col min="9" max="9" width="19.5" customWidth="1"/>
    <col min="10" max="10" width="19.1640625" customWidth="1"/>
    <col min="11" max="11" width="19.5" customWidth="1"/>
    <col min="12" max="12" width="22" customWidth="1"/>
    <col min="13" max="13" width="14.83203125" customWidth="1"/>
    <col min="14" max="15" width="23" customWidth="1"/>
    <col min="16" max="17" width="11.6640625" bestFit="1" customWidth="1"/>
    <col min="18" max="18" width="11.5" bestFit="1" customWidth="1"/>
    <col min="19" max="19" width="15.5" customWidth="1"/>
    <col min="20" max="20" width="14" bestFit="1" customWidth="1"/>
    <col min="21" max="22" width="11.5" bestFit="1" customWidth="1"/>
    <col min="24" max="24" width="15.6640625" bestFit="1" customWidth="1"/>
    <col min="26" max="27" width="11.6640625" bestFit="1" customWidth="1"/>
  </cols>
  <sheetData>
    <row r="1" spans="1:7" x14ac:dyDescent="0.2">
      <c r="E1" t="s">
        <v>0</v>
      </c>
    </row>
    <row r="2" spans="1:7" x14ac:dyDescent="0.2">
      <c r="B2" s="65" t="s">
        <v>1</v>
      </c>
      <c r="C2" s="65">
        <v>60</v>
      </c>
      <c r="D2" s="65" t="s">
        <v>2</v>
      </c>
      <c r="E2" s="62" t="s">
        <v>3</v>
      </c>
    </row>
    <row r="3" spans="1:7" x14ac:dyDescent="0.2">
      <c r="B3" t="s">
        <v>4</v>
      </c>
      <c r="C3">
        <v>0.80500000000000005</v>
      </c>
      <c r="D3" t="s">
        <v>5</v>
      </c>
      <c r="E3" s="61" t="s">
        <v>6</v>
      </c>
    </row>
    <row r="4" spans="1:7" x14ac:dyDescent="0.2">
      <c r="B4" t="s">
        <v>7</v>
      </c>
      <c r="C4">
        <f>1-(C3+C5)</f>
        <v>0.16499999999999992</v>
      </c>
      <c r="D4" t="s">
        <v>5</v>
      </c>
      <c r="E4" s="61" t="s">
        <v>8</v>
      </c>
    </row>
    <row r="5" spans="1:7" x14ac:dyDescent="0.2">
      <c r="A5">
        <f>9000000*1*400/252</f>
        <v>14285714.285714285</v>
      </c>
      <c r="B5" t="s">
        <v>9</v>
      </c>
      <c r="C5">
        <v>0.03</v>
      </c>
      <c r="D5" t="s">
        <v>5</v>
      </c>
      <c r="E5" s="61" t="s">
        <v>8</v>
      </c>
    </row>
    <row r="7" spans="1:7" x14ac:dyDescent="0.2">
      <c r="B7" t="s">
        <v>10</v>
      </c>
      <c r="C7">
        <v>0.4</v>
      </c>
      <c r="G7" t="s">
        <v>11</v>
      </c>
    </row>
    <row r="8" spans="1:7" x14ac:dyDescent="0.2">
      <c r="B8" s="64" t="s">
        <v>12</v>
      </c>
      <c r="C8" s="64">
        <v>30</v>
      </c>
      <c r="D8" s="64" t="s">
        <v>13</v>
      </c>
      <c r="E8" s="64" t="s">
        <v>14</v>
      </c>
      <c r="G8">
        <f>C20+C21/C23</f>
        <v>48.465000000000003</v>
      </c>
    </row>
    <row r="9" spans="1:7" x14ac:dyDescent="0.2">
      <c r="B9" s="63" t="s">
        <v>15</v>
      </c>
      <c r="C9" s="63">
        <v>40</v>
      </c>
      <c r="D9" s="63" t="s">
        <v>16</v>
      </c>
      <c r="E9" s="63" t="s">
        <v>14</v>
      </c>
    </row>
    <row r="11" spans="1:7" x14ac:dyDescent="0.2">
      <c r="B11" t="s">
        <v>17</v>
      </c>
      <c r="C11" t="s">
        <v>5</v>
      </c>
      <c r="E11" t="s">
        <v>18</v>
      </c>
    </row>
    <row r="12" spans="1:7" ht="15" customHeight="1" x14ac:dyDescent="0.2">
      <c r="B12" t="s">
        <v>19</v>
      </c>
      <c r="C12">
        <v>0.151</v>
      </c>
      <c r="E12" s="61" t="s">
        <v>8</v>
      </c>
    </row>
    <row r="13" spans="1:7" x14ac:dyDescent="0.2">
      <c r="B13" t="s">
        <v>20</v>
      </c>
      <c r="C13">
        <v>0.20100000000000001</v>
      </c>
      <c r="E13" s="61" t="s">
        <v>8</v>
      </c>
    </row>
    <row r="14" spans="1:7" x14ac:dyDescent="0.2">
      <c r="B14" t="s">
        <v>21</v>
      </c>
      <c r="C14">
        <v>0.28699999999999998</v>
      </c>
      <c r="E14" s="61" t="s">
        <v>8</v>
      </c>
    </row>
    <row r="15" spans="1:7" x14ac:dyDescent="0.2">
      <c r="B15" t="s">
        <v>22</v>
      </c>
      <c r="C15">
        <v>7.8E-2</v>
      </c>
      <c r="E15" s="61" t="s">
        <v>8</v>
      </c>
    </row>
    <row r="16" spans="1:7" x14ac:dyDescent="0.2">
      <c r="B16" t="s">
        <v>23</v>
      </c>
      <c r="C16">
        <v>0.28299999999999997</v>
      </c>
      <c r="E16" s="61" t="s">
        <v>8</v>
      </c>
    </row>
    <row r="17" spans="2:9" x14ac:dyDescent="0.2">
      <c r="B17" t="s">
        <v>24</v>
      </c>
      <c r="C17">
        <f>SUM(C12:C16)</f>
        <v>1</v>
      </c>
    </row>
    <row r="19" spans="2:9" x14ac:dyDescent="0.2">
      <c r="D19" t="s">
        <v>25</v>
      </c>
      <c r="E19" t="s">
        <v>26</v>
      </c>
    </row>
    <row r="20" spans="2:9" x14ac:dyDescent="0.2">
      <c r="B20" s="66" t="s">
        <v>27</v>
      </c>
      <c r="C20" s="3">
        <f>$C$2*C3</f>
        <v>48.300000000000004</v>
      </c>
      <c r="D20" s="3" t="s">
        <v>2</v>
      </c>
      <c r="E20" s="3">
        <f>C20*907.2</f>
        <v>43817.760000000009</v>
      </c>
      <c r="F20" s="3" t="s">
        <v>28</v>
      </c>
    </row>
    <row r="21" spans="2:9" x14ac:dyDescent="0.2">
      <c r="B21" s="66" t="s">
        <v>29</v>
      </c>
      <c r="C21" s="3">
        <f t="shared" ref="C21:C22" si="0">$C$2*C4</f>
        <v>9.899999999999995</v>
      </c>
      <c r="D21" s="3" t="s">
        <v>2</v>
      </c>
      <c r="E21" s="3">
        <f t="shared" ref="E21:E23" si="1">C21*907.2</f>
        <v>8981.2799999999952</v>
      </c>
      <c r="F21" s="3" t="s">
        <v>28</v>
      </c>
    </row>
    <row r="22" spans="2:9" x14ac:dyDescent="0.2">
      <c r="B22" s="66" t="s">
        <v>30</v>
      </c>
      <c r="C22" s="3">
        <f t="shared" si="0"/>
        <v>1.7999999999999998</v>
      </c>
      <c r="D22" s="3" t="s">
        <v>2</v>
      </c>
      <c r="E22" s="3">
        <f t="shared" si="1"/>
        <v>1632.9599999999998</v>
      </c>
      <c r="F22" s="3" t="s">
        <v>28</v>
      </c>
    </row>
    <row r="23" spans="2:9" x14ac:dyDescent="0.2">
      <c r="B23" s="66" t="s">
        <v>24</v>
      </c>
      <c r="C23" s="3">
        <f>SUM(C20:C22)</f>
        <v>60</v>
      </c>
      <c r="D23" s="3" t="s">
        <v>2</v>
      </c>
      <c r="E23" s="3">
        <f t="shared" si="1"/>
        <v>54432</v>
      </c>
      <c r="F23" s="3" t="s">
        <v>28</v>
      </c>
    </row>
    <row r="25" spans="2:9" x14ac:dyDescent="0.2">
      <c r="B25" t="s">
        <v>31</v>
      </c>
      <c r="C25" t="s">
        <v>32</v>
      </c>
    </row>
    <row r="26" spans="2:9" x14ac:dyDescent="0.2">
      <c r="E26" t="s">
        <v>33</v>
      </c>
    </row>
    <row r="27" spans="2:9" x14ac:dyDescent="0.2">
      <c r="B27" s="66" t="s">
        <v>34</v>
      </c>
      <c r="C27" s="3">
        <f>C7*(E20*I60)</f>
        <v>793258.0361480657</v>
      </c>
      <c r="D27" s="3" t="s">
        <v>35</v>
      </c>
      <c r="E27" s="3">
        <f>C27*0.2778</f>
        <v>220367.08244193264</v>
      </c>
      <c r="F27" s="3" t="s">
        <v>36</v>
      </c>
    </row>
    <row r="28" spans="2:9" x14ac:dyDescent="0.2">
      <c r="B28" s="66" t="s">
        <v>37</v>
      </c>
      <c r="C28" s="3">
        <f>C7*(E21*I38)</f>
        <v>50833.452035519971</v>
      </c>
      <c r="D28" s="3" t="s">
        <v>35</v>
      </c>
      <c r="E28" s="3">
        <f>C28*0.2778*1000</f>
        <v>14121532.975467447</v>
      </c>
      <c r="F28" s="3" t="s">
        <v>36</v>
      </c>
    </row>
    <row r="29" spans="2:9" x14ac:dyDescent="0.2">
      <c r="D29" s="66" t="s">
        <v>24</v>
      </c>
      <c r="E29" s="3">
        <f>E27+E28</f>
        <v>14341900.057909381</v>
      </c>
      <c r="F29" s="3" t="s">
        <v>36</v>
      </c>
    </row>
    <row r="30" spans="2:9" x14ac:dyDescent="0.2">
      <c r="E30" s="66">
        <f>E29/1000</f>
        <v>14341.900057909381</v>
      </c>
      <c r="F30" s="66" t="s">
        <v>38</v>
      </c>
    </row>
    <row r="31" spans="2:9" x14ac:dyDescent="0.2">
      <c r="F31" s="68">
        <f>+E29*3000*360/100</f>
        <v>154892520625.4213</v>
      </c>
      <c r="I31">
        <f>(0.68/550)*300</f>
        <v>0.37090909090909091</v>
      </c>
    </row>
    <row r="32" spans="2:9" x14ac:dyDescent="0.2">
      <c r="E32" t="s">
        <v>39</v>
      </c>
    </row>
    <row r="33" spans="2:12" x14ac:dyDescent="0.2">
      <c r="B33" t="s">
        <v>40</v>
      </c>
      <c r="C33">
        <v>1159</v>
      </c>
      <c r="D33" t="s">
        <v>41</v>
      </c>
      <c r="E33" s="234" t="s">
        <v>42</v>
      </c>
      <c r="H33" t="s">
        <v>43</v>
      </c>
    </row>
    <row r="34" spans="2:12" x14ac:dyDescent="0.2">
      <c r="B34" t="s">
        <v>44</v>
      </c>
      <c r="C34" s="1">
        <f>C33/365</f>
        <v>3.1753424657534248</v>
      </c>
      <c r="D34" t="s">
        <v>36</v>
      </c>
      <c r="E34" s="230"/>
      <c r="H34" t="s">
        <v>45</v>
      </c>
      <c r="I34">
        <f>0.586</f>
        <v>0.58599999999999997</v>
      </c>
      <c r="J34" t="s">
        <v>46</v>
      </c>
    </row>
    <row r="35" spans="2:12" x14ac:dyDescent="0.2">
      <c r="H35" t="s">
        <v>47</v>
      </c>
      <c r="I35">
        <v>1.2250000000000001</v>
      </c>
      <c r="J35" t="s">
        <v>48</v>
      </c>
      <c r="K35" s="1">
        <f>2344568.561/1000</f>
        <v>2344.568561</v>
      </c>
      <c r="L35" t="s">
        <v>36</v>
      </c>
    </row>
    <row r="36" spans="2:12" x14ac:dyDescent="0.2">
      <c r="B36" t="s">
        <v>49</v>
      </c>
      <c r="C36">
        <v>82.92</v>
      </c>
      <c r="D36" t="s">
        <v>50</v>
      </c>
      <c r="E36" s="230" t="s">
        <v>51</v>
      </c>
      <c r="H36" t="s">
        <v>52</v>
      </c>
      <c r="I36">
        <v>0.37090000000000001</v>
      </c>
      <c r="J36" t="s">
        <v>48</v>
      </c>
      <c r="K36">
        <v>8</v>
      </c>
      <c r="L36" t="s">
        <v>53</v>
      </c>
    </row>
    <row r="37" spans="2:12" x14ac:dyDescent="0.2">
      <c r="B37" t="s">
        <v>44</v>
      </c>
      <c r="C37" s="1">
        <f>C36/30</f>
        <v>2.7640000000000002</v>
      </c>
      <c r="D37" t="s">
        <v>36</v>
      </c>
      <c r="E37" s="230"/>
      <c r="H37" t="s">
        <v>54</v>
      </c>
      <c r="I37">
        <f>38.15</f>
        <v>38.15</v>
      </c>
      <c r="J37" t="s">
        <v>16</v>
      </c>
      <c r="K37">
        <v>1.5</v>
      </c>
      <c r="L37" t="s">
        <v>55</v>
      </c>
    </row>
    <row r="38" spans="2:12" x14ac:dyDescent="0.2">
      <c r="G38" s="63" t="s">
        <v>56</v>
      </c>
      <c r="H38" s="63" t="s">
        <v>57</v>
      </c>
      <c r="I38" s="63">
        <f>I37*I36</f>
        <v>14.149834999999999</v>
      </c>
      <c r="J38" s="63" t="s">
        <v>13</v>
      </c>
      <c r="K38">
        <f>1.5*1000</f>
        <v>1500</v>
      </c>
      <c r="L38" s="63" t="s">
        <v>28</v>
      </c>
    </row>
    <row r="39" spans="2:12" x14ac:dyDescent="0.2">
      <c r="B39" t="s">
        <v>58</v>
      </c>
      <c r="C39">
        <v>1320.35</v>
      </c>
      <c r="D39" t="s">
        <v>41</v>
      </c>
      <c r="E39" s="230" t="s">
        <v>59</v>
      </c>
      <c r="K39">
        <f>K38*I38</f>
        <v>21224.752499999999</v>
      </c>
      <c r="L39" t="s">
        <v>35</v>
      </c>
    </row>
    <row r="40" spans="2:12" x14ac:dyDescent="0.2">
      <c r="B40" t="s">
        <v>44</v>
      </c>
      <c r="C40" s="1">
        <f>C39/365</f>
        <v>3.6173972602739726</v>
      </c>
      <c r="D40" t="s">
        <v>36</v>
      </c>
      <c r="E40" s="230"/>
      <c r="K40">
        <f>K39*1000</f>
        <v>21224752.5</v>
      </c>
      <c r="L40" t="s">
        <v>60</v>
      </c>
    </row>
    <row r="41" spans="2:12" x14ac:dyDescent="0.2">
      <c r="K41">
        <f>((K40/3.6)*0.3)*0.9</f>
        <v>1591856.4374999998</v>
      </c>
      <c r="L41" t="s">
        <v>36</v>
      </c>
    </row>
    <row r="42" spans="2:12" x14ac:dyDescent="0.2">
      <c r="B42" t="s">
        <v>61</v>
      </c>
      <c r="C42">
        <f>SQRT(C33*C39)</f>
        <v>1237.0471494652093</v>
      </c>
      <c r="D42" t="s">
        <v>41</v>
      </c>
      <c r="E42" t="s">
        <v>62</v>
      </c>
      <c r="K42" s="1">
        <f>K35/K41</f>
        <v>1.4728517633676374E-3</v>
      </c>
    </row>
    <row r="43" spans="2:12" x14ac:dyDescent="0.2">
      <c r="B43" t="s">
        <v>44</v>
      </c>
      <c r="C43" s="1">
        <f>C42/365</f>
        <v>3.3891702725074224</v>
      </c>
      <c r="D43" t="s">
        <v>36</v>
      </c>
      <c r="K43">
        <f>K39/1000</f>
        <v>21.224752499999997</v>
      </c>
      <c r="L43" t="s">
        <v>63</v>
      </c>
    </row>
    <row r="44" spans="2:12" x14ac:dyDescent="0.2">
      <c r="K44">
        <f>(K43*0.3)*0.9</f>
        <v>5.7306831749999994</v>
      </c>
      <c r="L44" t="s">
        <v>64</v>
      </c>
    </row>
    <row r="45" spans="2:12" x14ac:dyDescent="0.2">
      <c r="B45" t="s">
        <v>65</v>
      </c>
      <c r="C45">
        <v>284.54768674015497</v>
      </c>
      <c r="D45" t="s">
        <v>36</v>
      </c>
      <c r="K45">
        <f>K44-K36</f>
        <v>-2.2693168250000006</v>
      </c>
      <c r="L45" t="s">
        <v>64</v>
      </c>
    </row>
    <row r="46" spans="2:12" x14ac:dyDescent="0.2">
      <c r="B46" t="s">
        <v>66</v>
      </c>
      <c r="C46" s="67"/>
      <c r="D46" t="s">
        <v>67</v>
      </c>
      <c r="K46">
        <f>K36/K44</f>
        <v>1.3959941172284405</v>
      </c>
    </row>
    <row r="47" spans="2:12" x14ac:dyDescent="0.2">
      <c r="K47">
        <f>1-K46</f>
        <v>-0.39599411722844047</v>
      </c>
    </row>
    <row r="48" spans="2:12" x14ac:dyDescent="0.2">
      <c r="B48" t="s">
        <v>68</v>
      </c>
      <c r="C48">
        <v>379.39691565354002</v>
      </c>
      <c r="D48" t="s">
        <v>36</v>
      </c>
      <c r="K48">
        <f>K37*K47</f>
        <v>-0.5939911758426607</v>
      </c>
      <c r="L48" t="s">
        <v>55</v>
      </c>
    </row>
    <row r="49" spans="1:12" x14ac:dyDescent="0.2">
      <c r="B49" t="s">
        <v>66</v>
      </c>
      <c r="C49" s="67"/>
      <c r="D49" t="s">
        <v>67</v>
      </c>
      <c r="K49">
        <f>K48*1000</f>
        <v>-593.99117584266071</v>
      </c>
      <c r="L49" t="s">
        <v>28</v>
      </c>
    </row>
    <row r="50" spans="1:12" x14ac:dyDescent="0.2">
      <c r="E50">
        <f>E51/0.2</f>
        <v>229.43764950340457</v>
      </c>
      <c r="F50" t="s">
        <v>69</v>
      </c>
      <c r="K50">
        <f>K49*I38*0.4</f>
        <v>-3361.9508518518542</v>
      </c>
      <c r="L50" t="s">
        <v>35</v>
      </c>
    </row>
    <row r="51" spans="1:12" x14ac:dyDescent="0.2">
      <c r="B51" t="s">
        <v>70</v>
      </c>
      <c r="C51">
        <f>E29</f>
        <v>14341900.057909381</v>
      </c>
      <c r="D51" t="s">
        <v>36</v>
      </c>
      <c r="E51">
        <f>E52*30</f>
        <v>45.887529900680917</v>
      </c>
      <c r="F51" t="s">
        <v>71</v>
      </c>
      <c r="K51">
        <f>K50*1000</f>
        <v>-3361950.851851854</v>
      </c>
      <c r="L51" t="s">
        <v>72</v>
      </c>
    </row>
    <row r="52" spans="1:12" x14ac:dyDescent="0.2">
      <c r="B52" t="s">
        <v>66</v>
      </c>
      <c r="C52" s="67">
        <f>C51/C43</f>
        <v>4231684.7206672681</v>
      </c>
      <c r="D52" t="s">
        <v>67</v>
      </c>
      <c r="E52">
        <f>(7300*I60*0.4)/(24*3600)</f>
        <v>1.5295843300226972</v>
      </c>
      <c r="F52" t="s">
        <v>73</v>
      </c>
      <c r="K52">
        <f>4.2</f>
        <v>4.2</v>
      </c>
      <c r="L52" t="s">
        <v>36</v>
      </c>
    </row>
    <row r="53" spans="1:12" x14ac:dyDescent="0.2">
      <c r="E53">
        <f>E52*1000</f>
        <v>1529.5843300226973</v>
      </c>
      <c r="F53" t="s">
        <v>73</v>
      </c>
    </row>
    <row r="54" spans="1:12" x14ac:dyDescent="0.2">
      <c r="E54">
        <f>E53/C43</f>
        <v>451.31527985788074</v>
      </c>
      <c r="F54" t="s">
        <v>74</v>
      </c>
    </row>
    <row r="55" spans="1:12" x14ac:dyDescent="0.2">
      <c r="C55">
        <f>3800/C43</f>
        <v>1121.2183792668027</v>
      </c>
      <c r="E55">
        <f>E52*(1000/24)</f>
        <v>63.732680417612379</v>
      </c>
      <c r="F55" t="s">
        <v>75</v>
      </c>
    </row>
    <row r="56" spans="1:12" x14ac:dyDescent="0.2">
      <c r="C56">
        <f>C55/4</f>
        <v>280.30459481670067</v>
      </c>
    </row>
    <row r="57" spans="1:12" x14ac:dyDescent="0.2">
      <c r="D57" s="68">
        <f>900*500*360*40*3</f>
        <v>19440000000</v>
      </c>
    </row>
    <row r="58" spans="1:12" x14ac:dyDescent="0.2">
      <c r="A58">
        <v>2</v>
      </c>
      <c r="H58" t="s">
        <v>76</v>
      </c>
      <c r="I58">
        <f>SQRT(19.17*19.75)*1000</f>
        <v>19457.839037262074</v>
      </c>
      <c r="J58" t="s">
        <v>77</v>
      </c>
    </row>
    <row r="59" spans="1:12" x14ac:dyDescent="0.2">
      <c r="B59">
        <f>12.5*8</f>
        <v>100</v>
      </c>
      <c r="H59" t="s">
        <v>78</v>
      </c>
      <c r="I59">
        <f>I58*2.326</f>
        <v>45258.933600671589</v>
      </c>
      <c r="J59" t="s">
        <v>79</v>
      </c>
    </row>
    <row r="60" spans="1:12" x14ac:dyDescent="0.2">
      <c r="B60">
        <f>2+1+2+3+3+4+4+5+6+7+8+8+47</f>
        <v>100</v>
      </c>
      <c r="G60" s="64" t="s">
        <v>56</v>
      </c>
      <c r="H60" s="64" t="s">
        <v>80</v>
      </c>
      <c r="I60" s="64">
        <f>I59/1000</f>
        <v>45.25893360067159</v>
      </c>
      <c r="J60" s="64" t="s">
        <v>13</v>
      </c>
    </row>
    <row r="62" spans="1:12" x14ac:dyDescent="0.2">
      <c r="B62">
        <f>12.5*8</f>
        <v>100</v>
      </c>
    </row>
    <row r="63" spans="1:12" x14ac:dyDescent="0.2">
      <c r="B63">
        <f>6+4+4+8+6+8+10+12+6+8+10+16+2</f>
        <v>100</v>
      </c>
      <c r="C63" t="s">
        <v>81</v>
      </c>
    </row>
    <row r="64" spans="1:12" x14ac:dyDescent="0.2">
      <c r="B64" t="s">
        <v>82</v>
      </c>
      <c r="C64" t="s">
        <v>83</v>
      </c>
    </row>
    <row r="65" spans="1:3" x14ac:dyDescent="0.2">
      <c r="B65" t="s">
        <v>84</v>
      </c>
    </row>
    <row r="66" spans="1:3" x14ac:dyDescent="0.2">
      <c r="A66">
        <v>3</v>
      </c>
    </row>
    <row r="67" spans="1:3" x14ac:dyDescent="0.2">
      <c r="A67" t="s">
        <v>85</v>
      </c>
      <c r="B67">
        <f>18*3</f>
        <v>54</v>
      </c>
    </row>
    <row r="68" spans="1:3" x14ac:dyDescent="0.2">
      <c r="A68" t="s">
        <v>86</v>
      </c>
      <c r="B68">
        <f>6*18</f>
        <v>108</v>
      </c>
    </row>
    <row r="70" spans="1:3" x14ac:dyDescent="0.2">
      <c r="A70" t="s">
        <v>85</v>
      </c>
      <c r="B70">
        <f>2+1+2+3+3+4+4+5+6+7+8+8+1</f>
        <v>54</v>
      </c>
    </row>
    <row r="71" spans="1:3" x14ac:dyDescent="0.2">
      <c r="A71" t="s">
        <v>86</v>
      </c>
      <c r="B71">
        <f>6+4+4+8+4+8+10+12+6+8+10+8+20</f>
        <v>108</v>
      </c>
      <c r="C71" t="s">
        <v>87</v>
      </c>
    </row>
    <row r="74" spans="1:3" x14ac:dyDescent="0.2">
      <c r="A74">
        <v>1</v>
      </c>
    </row>
    <row r="75" spans="1:3" x14ac:dyDescent="0.2">
      <c r="A75" t="s">
        <v>85</v>
      </c>
      <c r="B75">
        <f>27*2</f>
        <v>54</v>
      </c>
    </row>
    <row r="76" spans="1:3" x14ac:dyDescent="0.2">
      <c r="A76" t="s">
        <v>86</v>
      </c>
      <c r="B76">
        <f>27*4</f>
        <v>108</v>
      </c>
    </row>
    <row r="78" spans="1:3" x14ac:dyDescent="0.2">
      <c r="A78" t="s">
        <v>85</v>
      </c>
      <c r="B78">
        <f>2+1+2+3+3+4+4+5+6+7+8+8+1</f>
        <v>54</v>
      </c>
    </row>
    <row r="79" spans="1:3" x14ac:dyDescent="0.2">
      <c r="A79" t="s">
        <v>86</v>
      </c>
      <c r="B79">
        <f>6+4+2+8+6+8+10+12+6+8+10+8+20</f>
        <v>108</v>
      </c>
      <c r="C79" t="s">
        <v>88</v>
      </c>
    </row>
    <row r="81" spans="1:6" x14ac:dyDescent="0.2">
      <c r="A81">
        <v>4</v>
      </c>
    </row>
    <row r="82" spans="1:6" x14ac:dyDescent="0.2">
      <c r="A82" t="s">
        <v>85</v>
      </c>
      <c r="B82">
        <f>4+(57*2)</f>
        <v>118</v>
      </c>
    </row>
    <row r="83" spans="1:6" x14ac:dyDescent="0.2">
      <c r="A83" t="s">
        <v>86</v>
      </c>
      <c r="B83">
        <f>6+(57*4)</f>
        <v>234</v>
      </c>
    </row>
    <row r="84" spans="1:6" x14ac:dyDescent="0.2">
      <c r="A84" t="s">
        <v>89</v>
      </c>
      <c r="B84">
        <v>2</v>
      </c>
    </row>
    <row r="86" spans="1:6" x14ac:dyDescent="0.2">
      <c r="A86" t="s">
        <v>85</v>
      </c>
      <c r="B86">
        <f>2*2+16+2*3+2*3+2*4+2*4+2*5+2*6+2*7+2*8+2*8+2</f>
        <v>118</v>
      </c>
    </row>
    <row r="87" spans="1:6" x14ac:dyDescent="0.2">
      <c r="A87" t="s">
        <v>86</v>
      </c>
      <c r="B87">
        <f>6*2+16*4+8*2+6*2+8*2+2*10+2*12+6*2+8*2+10*2+2*8+2*2+2</f>
        <v>234</v>
      </c>
    </row>
    <row r="88" spans="1:6" x14ac:dyDescent="0.2">
      <c r="A88" t="s">
        <v>89</v>
      </c>
      <c r="B88">
        <v>2</v>
      </c>
      <c r="C88" t="s">
        <v>90</v>
      </c>
    </row>
    <row r="90" spans="1:6" x14ac:dyDescent="0.2">
      <c r="A90" t="s">
        <v>91</v>
      </c>
      <c r="B90">
        <f>100</f>
        <v>100</v>
      </c>
      <c r="C90" t="s">
        <v>2</v>
      </c>
      <c r="D90" t="s">
        <v>26</v>
      </c>
    </row>
    <row r="91" spans="1:6" x14ac:dyDescent="0.2">
      <c r="A91" t="s">
        <v>92</v>
      </c>
      <c r="B91" s="9" t="s">
        <v>93</v>
      </c>
      <c r="C91" t="s">
        <v>94</v>
      </c>
      <c r="D91" t="s">
        <v>95</v>
      </c>
      <c r="E91" t="s">
        <v>96</v>
      </c>
      <c r="F91" t="s">
        <v>97</v>
      </c>
    </row>
    <row r="92" spans="1:6" x14ac:dyDescent="0.2">
      <c r="A92" t="s">
        <v>98</v>
      </c>
      <c r="B92">
        <f>C13+C14</f>
        <v>0.48799999999999999</v>
      </c>
      <c r="C92">
        <f>$B$90*B92</f>
        <v>48.8</v>
      </c>
      <c r="D92">
        <f>C92*907.2</f>
        <v>44271.360000000001</v>
      </c>
      <c r="E92">
        <f>28.054</f>
        <v>28.053999999999998</v>
      </c>
      <c r="F92">
        <f>D92/E92</f>
        <v>1578.0765666215157</v>
      </c>
    </row>
    <row r="93" spans="1:6" x14ac:dyDescent="0.2">
      <c r="A93" t="s">
        <v>99</v>
      </c>
      <c r="B93">
        <f>C15</f>
        <v>7.8E-2</v>
      </c>
      <c r="C93">
        <f t="shared" ref="C93:C95" si="2">$B$90*B93</f>
        <v>7.8</v>
      </c>
      <c r="D93">
        <f t="shared" ref="D93:D95" si="3">C93*907.2</f>
        <v>7076.16</v>
      </c>
      <c r="E93">
        <v>104.15</v>
      </c>
      <c r="F93">
        <f t="shared" ref="F93:F95" si="4">D93/E93</f>
        <v>67.942006721075373</v>
      </c>
    </row>
    <row r="94" spans="1:6" x14ac:dyDescent="0.2">
      <c r="A94" t="s">
        <v>100</v>
      </c>
      <c r="B94">
        <f>C16</f>
        <v>0.28299999999999997</v>
      </c>
      <c r="C94">
        <f t="shared" si="2"/>
        <v>28.299999999999997</v>
      </c>
      <c r="D94">
        <f t="shared" si="3"/>
        <v>25673.759999999998</v>
      </c>
      <c r="E94">
        <v>42.081000000000003</v>
      </c>
      <c r="F94">
        <f t="shared" si="4"/>
        <v>610.10337206815416</v>
      </c>
    </row>
    <row r="95" spans="1:6" x14ac:dyDescent="0.2">
      <c r="A95" t="s">
        <v>101</v>
      </c>
      <c r="B95">
        <f>C12</f>
        <v>0.151</v>
      </c>
      <c r="C95">
        <f t="shared" si="2"/>
        <v>15.1</v>
      </c>
      <c r="D95">
        <f t="shared" si="3"/>
        <v>13698.720000000001</v>
      </c>
      <c r="E95">
        <v>62.497999999999998</v>
      </c>
      <c r="F95">
        <f t="shared" si="4"/>
        <v>219.18653396908704</v>
      </c>
    </row>
    <row r="96" spans="1:6" x14ac:dyDescent="0.2">
      <c r="A96" s="65" t="s">
        <v>102</v>
      </c>
      <c r="B96" s="65">
        <f>SUM(B92:B95)</f>
        <v>1</v>
      </c>
      <c r="C96" s="65">
        <f>SUM(C92:C95)</f>
        <v>99.999999999999986</v>
      </c>
      <c r="D96" s="65">
        <f>SUM(D92:D95)</f>
        <v>90720</v>
      </c>
      <c r="E96" s="65"/>
      <c r="F96" s="65">
        <f>SUM(F92:F95)</f>
        <v>2475.3084793798321</v>
      </c>
    </row>
    <row r="98" spans="1:8" x14ac:dyDescent="0.2">
      <c r="A98" t="s">
        <v>103</v>
      </c>
      <c r="B98" t="s">
        <v>104</v>
      </c>
      <c r="C98" t="s">
        <v>105</v>
      </c>
      <c r="D98" t="s">
        <v>106</v>
      </c>
      <c r="E98" t="s">
        <v>107</v>
      </c>
      <c r="F98" t="s">
        <v>108</v>
      </c>
      <c r="G98" t="s">
        <v>109</v>
      </c>
    </row>
    <row r="99" spans="1:8" x14ac:dyDescent="0.2">
      <c r="A99" t="s">
        <v>110</v>
      </c>
      <c r="B99">
        <f>$F$92*1/27</f>
        <v>58.447280245241323</v>
      </c>
      <c r="C99">
        <f>$F$93*(1/12.5)</f>
        <v>5.4353605376860301</v>
      </c>
      <c r="D99">
        <f>$F$94*(1/18)</f>
        <v>33.894631781564115</v>
      </c>
      <c r="E99">
        <f>F95*(16/2)</f>
        <v>1753.4922717526963</v>
      </c>
      <c r="F99">
        <f>SUM(B99:E99)</f>
        <v>1851.2695443171879</v>
      </c>
      <c r="G99" s="73">
        <f>F99*0.8</f>
        <v>1481.0156354537503</v>
      </c>
    </row>
    <row r="100" spans="1:8" x14ac:dyDescent="0.2">
      <c r="A100" t="s">
        <v>111</v>
      </c>
      <c r="B100">
        <f>$F$92*1/27</f>
        <v>58.447280245241323</v>
      </c>
      <c r="C100">
        <v>0</v>
      </c>
      <c r="D100">
        <v>0</v>
      </c>
      <c r="E100">
        <v>0</v>
      </c>
      <c r="F100">
        <f t="shared" ref="F100:F116" si="5">SUM(B100:E100)</f>
        <v>58.447280245241323</v>
      </c>
      <c r="G100" s="73">
        <f t="shared" ref="G100:G117" si="6">F100*0.8</f>
        <v>46.757824196193063</v>
      </c>
    </row>
    <row r="101" spans="1:8" x14ac:dyDescent="0.2">
      <c r="A101" t="s">
        <v>112</v>
      </c>
      <c r="B101">
        <v>0</v>
      </c>
      <c r="C101">
        <f>$F$93*(1/12.5)</f>
        <v>5.4353605376860301</v>
      </c>
      <c r="D101">
        <f>$F$94*(1/18)</f>
        <v>33.894631781564115</v>
      </c>
      <c r="E101">
        <v>0</v>
      </c>
      <c r="F101">
        <f t="shared" si="5"/>
        <v>39.329992319250145</v>
      </c>
      <c r="G101" s="73">
        <f t="shared" si="6"/>
        <v>31.463993855400119</v>
      </c>
    </row>
    <row r="102" spans="1:8" x14ac:dyDescent="0.2">
      <c r="A102" t="s">
        <v>113</v>
      </c>
      <c r="B102">
        <f>$F$92*1/27</f>
        <v>58.447280245241323</v>
      </c>
      <c r="C102">
        <f>$F$93*(1/12.5)</f>
        <v>5.4353605376860301</v>
      </c>
      <c r="D102">
        <f>$F$94*(1/18)</f>
        <v>33.894631781564115</v>
      </c>
      <c r="E102">
        <f>$F$95*(2/2)</f>
        <v>219.18653396908704</v>
      </c>
      <c r="F102">
        <f t="shared" si="5"/>
        <v>316.96380653357852</v>
      </c>
      <c r="G102" s="73">
        <f t="shared" si="6"/>
        <v>253.57104522686282</v>
      </c>
    </row>
    <row r="103" spans="1:8" x14ac:dyDescent="0.2">
      <c r="A103" t="s">
        <v>114</v>
      </c>
      <c r="B103">
        <f>$F$92*1/27</f>
        <v>58.447280245241323</v>
      </c>
      <c r="C103">
        <f>$F$93*(1/12.5)</f>
        <v>5.4353605376860301</v>
      </c>
      <c r="D103">
        <f>$F$94*(1/18)</f>
        <v>33.894631781564115</v>
      </c>
      <c r="E103">
        <f>$F$95*(2/2)</f>
        <v>219.18653396908704</v>
      </c>
      <c r="F103">
        <f t="shared" si="5"/>
        <v>316.96380653357852</v>
      </c>
      <c r="G103" s="73">
        <f t="shared" si="6"/>
        <v>253.57104522686282</v>
      </c>
    </row>
    <row r="104" spans="1:8" x14ac:dyDescent="0.2">
      <c r="A104" t="s">
        <v>115</v>
      </c>
      <c r="B104">
        <v>0</v>
      </c>
      <c r="C104">
        <v>0</v>
      </c>
      <c r="D104">
        <f>$F$94*(1/18)</f>
        <v>33.894631781564115</v>
      </c>
      <c r="E104">
        <v>0</v>
      </c>
      <c r="F104">
        <f t="shared" si="5"/>
        <v>33.894631781564115</v>
      </c>
      <c r="G104" s="73">
        <f t="shared" si="6"/>
        <v>27.115705425251292</v>
      </c>
    </row>
    <row r="105" spans="1:8" x14ac:dyDescent="0.2">
      <c r="A105" t="s">
        <v>116</v>
      </c>
      <c r="B105">
        <f t="shared" ref="B105:B112" si="7">$F$92*1/27</f>
        <v>58.447280245241323</v>
      </c>
      <c r="C105">
        <f t="shared" ref="C105:C111" si="8">$F$93*(1/12.5)</f>
        <v>5.4353605376860301</v>
      </c>
      <c r="D105">
        <v>0</v>
      </c>
      <c r="E105">
        <f t="shared" ref="E105:E112" si="9">$F$95*(2/2)</f>
        <v>219.18653396908704</v>
      </c>
      <c r="F105">
        <f t="shared" si="5"/>
        <v>283.06917475201442</v>
      </c>
      <c r="G105" s="73">
        <f t="shared" si="6"/>
        <v>226.45533980161156</v>
      </c>
    </row>
    <row r="106" spans="1:8" x14ac:dyDescent="0.2">
      <c r="A106" t="s">
        <v>117</v>
      </c>
      <c r="B106">
        <f t="shared" si="7"/>
        <v>58.447280245241323</v>
      </c>
      <c r="C106">
        <f t="shared" si="8"/>
        <v>5.4353605376860301</v>
      </c>
      <c r="D106">
        <f t="shared" ref="D106:D112" si="10">$F$94*(1/18)</f>
        <v>33.894631781564115</v>
      </c>
      <c r="E106">
        <f t="shared" si="9"/>
        <v>219.18653396908704</v>
      </c>
      <c r="F106">
        <f t="shared" si="5"/>
        <v>316.96380653357852</v>
      </c>
      <c r="G106" s="73">
        <f t="shared" si="6"/>
        <v>253.57104522686282</v>
      </c>
    </row>
    <row r="107" spans="1:8" x14ac:dyDescent="0.2">
      <c r="A107" t="s">
        <v>118</v>
      </c>
      <c r="B107">
        <f t="shared" si="7"/>
        <v>58.447280245241323</v>
      </c>
      <c r="C107">
        <f t="shared" si="8"/>
        <v>5.4353605376860301</v>
      </c>
      <c r="D107">
        <f t="shared" si="10"/>
        <v>33.894631781564115</v>
      </c>
      <c r="E107">
        <f t="shared" si="9"/>
        <v>219.18653396908704</v>
      </c>
      <c r="F107">
        <f t="shared" si="5"/>
        <v>316.96380653357852</v>
      </c>
      <c r="G107" s="73">
        <f t="shared" si="6"/>
        <v>253.57104522686282</v>
      </c>
    </row>
    <row r="108" spans="1:8" x14ac:dyDescent="0.2">
      <c r="A108" t="s">
        <v>119</v>
      </c>
      <c r="B108">
        <f t="shared" si="7"/>
        <v>58.447280245241323</v>
      </c>
      <c r="C108">
        <f t="shared" si="8"/>
        <v>5.4353605376860301</v>
      </c>
      <c r="D108">
        <f t="shared" si="10"/>
        <v>33.894631781564115</v>
      </c>
      <c r="E108">
        <f t="shared" si="9"/>
        <v>219.18653396908704</v>
      </c>
      <c r="F108">
        <f t="shared" si="5"/>
        <v>316.96380653357852</v>
      </c>
      <c r="G108" s="73">
        <f t="shared" si="6"/>
        <v>253.57104522686282</v>
      </c>
    </row>
    <row r="109" spans="1:8" x14ac:dyDescent="0.2">
      <c r="A109" t="s">
        <v>120</v>
      </c>
      <c r="B109">
        <f t="shared" si="7"/>
        <v>58.447280245241323</v>
      </c>
      <c r="C109">
        <f t="shared" si="8"/>
        <v>5.4353605376860301</v>
      </c>
      <c r="D109">
        <f t="shared" si="10"/>
        <v>33.894631781564115</v>
      </c>
      <c r="E109">
        <f t="shared" si="9"/>
        <v>219.18653396908704</v>
      </c>
      <c r="F109">
        <f t="shared" si="5"/>
        <v>316.96380653357852</v>
      </c>
      <c r="G109" s="73">
        <f t="shared" si="6"/>
        <v>253.57104522686282</v>
      </c>
    </row>
    <row r="110" spans="1:8" x14ac:dyDescent="0.2">
      <c r="A110" t="s">
        <v>121</v>
      </c>
      <c r="B110">
        <f t="shared" si="7"/>
        <v>58.447280245241323</v>
      </c>
      <c r="C110">
        <f t="shared" si="8"/>
        <v>5.4353605376860301</v>
      </c>
      <c r="D110">
        <f t="shared" si="10"/>
        <v>33.894631781564115</v>
      </c>
      <c r="E110">
        <f t="shared" si="9"/>
        <v>219.18653396908704</v>
      </c>
      <c r="F110">
        <f t="shared" si="5"/>
        <v>316.96380653357852</v>
      </c>
      <c r="G110" s="73">
        <f t="shared" si="6"/>
        <v>253.57104522686282</v>
      </c>
    </row>
    <row r="111" spans="1:8" x14ac:dyDescent="0.2">
      <c r="A111" s="72" t="s">
        <v>122</v>
      </c>
      <c r="B111" s="72">
        <f t="shared" si="7"/>
        <v>58.447280245241323</v>
      </c>
      <c r="C111" s="72">
        <f t="shared" si="8"/>
        <v>5.4353605376860301</v>
      </c>
      <c r="D111" s="72">
        <f t="shared" si="10"/>
        <v>33.894631781564115</v>
      </c>
      <c r="E111" s="72">
        <f t="shared" si="9"/>
        <v>219.18653396908704</v>
      </c>
      <c r="F111" s="72">
        <f t="shared" si="5"/>
        <v>316.96380653357852</v>
      </c>
      <c r="G111" s="74">
        <f t="shared" si="6"/>
        <v>253.57104522686282</v>
      </c>
      <c r="H111" t="s">
        <v>123</v>
      </c>
    </row>
    <row r="112" spans="1:8" x14ac:dyDescent="0.2">
      <c r="A112" t="s">
        <v>124</v>
      </c>
      <c r="B112">
        <f t="shared" si="7"/>
        <v>58.447280245241323</v>
      </c>
      <c r="C112">
        <v>0</v>
      </c>
      <c r="D112">
        <f t="shared" si="10"/>
        <v>33.894631781564115</v>
      </c>
      <c r="E112">
        <f t="shared" si="9"/>
        <v>219.18653396908704</v>
      </c>
      <c r="F112">
        <f t="shared" si="5"/>
        <v>311.52844599589247</v>
      </c>
      <c r="G112" s="73">
        <f t="shared" si="6"/>
        <v>249.22275679671398</v>
      </c>
    </row>
    <row r="113" spans="1:9" x14ac:dyDescent="0.2">
      <c r="A113" t="s">
        <v>125</v>
      </c>
      <c r="B113">
        <v>0</v>
      </c>
      <c r="C113">
        <f>$F$93*(1/12.5)</f>
        <v>5.4353605376860301</v>
      </c>
      <c r="D113">
        <v>0</v>
      </c>
      <c r="E113">
        <v>0</v>
      </c>
      <c r="F113">
        <f t="shared" si="5"/>
        <v>5.4353605376860301</v>
      </c>
      <c r="G113" s="73">
        <f t="shared" si="6"/>
        <v>4.3482884301488243</v>
      </c>
    </row>
    <row r="114" spans="1:9" x14ac:dyDescent="0.2">
      <c r="A114" s="72" t="s">
        <v>85</v>
      </c>
      <c r="B114" s="72">
        <f>$F$92*1/27</f>
        <v>58.447280245241323</v>
      </c>
      <c r="C114" s="72">
        <f>F93*(47/12.5)</f>
        <v>255.46194527124339</v>
      </c>
      <c r="D114" s="72">
        <f>$F$94*(1/18)</f>
        <v>33.894631781564115</v>
      </c>
      <c r="E114" s="72">
        <f>$F$95*(2/2)</f>
        <v>219.18653396908704</v>
      </c>
      <c r="F114" s="72">
        <f t="shared" si="5"/>
        <v>566.99039126713581</v>
      </c>
      <c r="G114" s="74">
        <f t="shared" si="6"/>
        <v>453.59231301370869</v>
      </c>
      <c r="H114" t="s">
        <v>126</v>
      </c>
    </row>
    <row r="115" spans="1:9" x14ac:dyDescent="0.2">
      <c r="A115" t="s">
        <v>127</v>
      </c>
      <c r="B115">
        <f>F92*(10/27)</f>
        <v>584.47280245241313</v>
      </c>
      <c r="C115">
        <f>$F$93*(1/12.5)</f>
        <v>5.4353605376860301</v>
      </c>
      <c r="D115">
        <f>F94*(10/18)</f>
        <v>338.94631781564124</v>
      </c>
      <c r="E115">
        <f>$F$95*(2/2)</f>
        <v>219.18653396908704</v>
      </c>
      <c r="F115">
        <f t="shared" si="5"/>
        <v>1148.0410147748275</v>
      </c>
      <c r="G115" s="73">
        <f t="shared" si="6"/>
        <v>918.43281181986208</v>
      </c>
    </row>
    <row r="116" spans="1:9" x14ac:dyDescent="0.2">
      <c r="A116" t="s">
        <v>128</v>
      </c>
      <c r="B116">
        <v>0</v>
      </c>
      <c r="C116">
        <v>0</v>
      </c>
      <c r="D116">
        <v>0</v>
      </c>
      <c r="E116">
        <f>$F$95*(2/2)</f>
        <v>219.18653396908704</v>
      </c>
      <c r="F116">
        <f t="shared" si="5"/>
        <v>219.18653396908704</v>
      </c>
      <c r="G116" s="73">
        <f t="shared" si="6"/>
        <v>175.34922717526965</v>
      </c>
    </row>
    <row r="117" spans="1:9" x14ac:dyDescent="0.2">
      <c r="E117" s="65" t="s">
        <v>129</v>
      </c>
      <c r="F117" s="65">
        <f>SUM(F99:F116)</f>
        <v>7052.9028222285142</v>
      </c>
      <c r="G117" s="75">
        <f t="shared" si="6"/>
        <v>5642.3222577828119</v>
      </c>
      <c r="H117" s="73">
        <f>G117-G114</f>
        <v>5188.729944769103</v>
      </c>
      <c r="I117" s="73">
        <f>H117-G111</f>
        <v>4935.1588995422399</v>
      </c>
    </row>
    <row r="118" spans="1:9" x14ac:dyDescent="0.2">
      <c r="E118" t="s">
        <v>130</v>
      </c>
      <c r="F118">
        <f>F114/F117</f>
        <v>8.0391068125901549E-2</v>
      </c>
      <c r="G118" s="71">
        <f>F118</f>
        <v>8.0391068125901549E-2</v>
      </c>
    </row>
    <row r="119" spans="1:9" x14ac:dyDescent="0.2">
      <c r="A119" s="223" t="s">
        <v>131</v>
      </c>
      <c r="B119" s="223"/>
      <c r="C119" s="223"/>
      <c r="D119" s="223"/>
      <c r="E119" s="223"/>
    </row>
    <row r="120" spans="1:9" x14ac:dyDescent="0.2">
      <c r="A120" s="232" t="s">
        <v>132</v>
      </c>
      <c r="B120" s="232"/>
      <c r="C120" s="232"/>
      <c r="D120" s="232"/>
      <c r="E120" s="232"/>
    </row>
    <row r="121" spans="1:9" x14ac:dyDescent="0.2">
      <c r="A121" s="76" t="s">
        <v>133</v>
      </c>
      <c r="B121" s="76" t="s">
        <v>134</v>
      </c>
      <c r="C121" s="76" t="s">
        <v>135</v>
      </c>
      <c r="D121" s="76" t="s">
        <v>136</v>
      </c>
      <c r="E121" s="76" t="s">
        <v>137</v>
      </c>
    </row>
    <row r="122" spans="1:9" x14ac:dyDescent="0.2">
      <c r="A122" s="76" t="s">
        <v>138</v>
      </c>
      <c r="B122" s="76"/>
      <c r="C122" s="76"/>
      <c r="D122" s="76"/>
      <c r="E122" s="76"/>
    </row>
    <row r="123" spans="1:9" x14ac:dyDescent="0.2">
      <c r="A123" s="76" t="s">
        <v>139</v>
      </c>
      <c r="B123" s="76"/>
      <c r="C123" s="76"/>
      <c r="D123" s="76" t="s">
        <v>140</v>
      </c>
      <c r="E123" s="76" t="s">
        <v>140</v>
      </c>
    </row>
    <row r="124" spans="1:9" x14ac:dyDescent="0.2">
      <c r="A124" s="76" t="s">
        <v>141</v>
      </c>
      <c r="B124" s="76"/>
      <c r="C124" s="76" t="s">
        <v>140</v>
      </c>
      <c r="D124" s="76"/>
      <c r="E124" s="76"/>
    </row>
    <row r="125" spans="1:9" x14ac:dyDescent="0.2">
      <c r="A125" s="76" t="s">
        <v>142</v>
      </c>
      <c r="B125" s="76"/>
      <c r="C125" s="76" t="s">
        <v>143</v>
      </c>
      <c r="D125" s="76" t="s">
        <v>143</v>
      </c>
      <c r="E125" s="76" t="s">
        <v>143</v>
      </c>
    </row>
    <row r="126" spans="1:9" x14ac:dyDescent="0.2">
      <c r="A126" s="76" t="s">
        <v>144</v>
      </c>
      <c r="B126" s="76"/>
      <c r="C126" s="76"/>
      <c r="D126" s="76"/>
      <c r="E126" s="76"/>
    </row>
    <row r="127" spans="1:9" x14ac:dyDescent="0.2">
      <c r="A127" s="76" t="s">
        <v>145</v>
      </c>
      <c r="B127" s="76" t="s">
        <v>146</v>
      </c>
      <c r="C127" s="76"/>
      <c r="D127" s="76"/>
      <c r="E127" s="76"/>
    </row>
    <row r="128" spans="1:9" x14ac:dyDescent="0.2">
      <c r="A128" s="76" t="s">
        <v>147</v>
      </c>
      <c r="B128" s="76"/>
      <c r="C128" s="76"/>
      <c r="D128" s="76"/>
      <c r="E128" s="76"/>
    </row>
    <row r="129" spans="1:5" x14ac:dyDescent="0.2">
      <c r="A129" s="76" t="s">
        <v>148</v>
      </c>
      <c r="B129" s="76"/>
      <c r="C129" s="76" t="s">
        <v>149</v>
      </c>
      <c r="D129" s="76" t="s">
        <v>149</v>
      </c>
      <c r="E129" s="76" t="s">
        <v>150</v>
      </c>
    </row>
    <row r="130" spans="1:5" x14ac:dyDescent="0.2">
      <c r="A130" s="76" t="s">
        <v>151</v>
      </c>
      <c r="B130" s="76" t="s">
        <v>85</v>
      </c>
      <c r="C130" s="76">
        <v>500</v>
      </c>
      <c r="D130" s="76">
        <v>30</v>
      </c>
      <c r="E130" s="76">
        <v>30</v>
      </c>
    </row>
    <row r="131" spans="1:5" x14ac:dyDescent="0.2">
      <c r="A131" s="76" t="s">
        <v>152</v>
      </c>
      <c r="B131" s="76" t="s">
        <v>153</v>
      </c>
      <c r="C131" s="76">
        <v>1</v>
      </c>
      <c r="D131" s="76">
        <v>1</v>
      </c>
      <c r="E131" s="76">
        <v>1</v>
      </c>
    </row>
    <row r="132" spans="1:5" x14ac:dyDescent="0.2">
      <c r="A132" s="76" t="s">
        <v>154</v>
      </c>
      <c r="B132" s="76"/>
      <c r="C132" s="76">
        <v>1</v>
      </c>
      <c r="D132" s="76">
        <v>1</v>
      </c>
      <c r="E132" s="76">
        <v>0</v>
      </c>
    </row>
    <row r="133" spans="1:5" x14ac:dyDescent="0.2">
      <c r="A133" s="76" t="s">
        <v>155</v>
      </c>
      <c r="B133" s="76"/>
      <c r="C133" s="76">
        <v>0</v>
      </c>
      <c r="D133" s="76">
        <v>0</v>
      </c>
      <c r="E133" s="76">
        <v>1</v>
      </c>
    </row>
    <row r="134" spans="1:5" x14ac:dyDescent="0.2">
      <c r="A134" s="76" t="s">
        <v>156</v>
      </c>
      <c r="B134" s="76"/>
      <c r="C134" s="76">
        <v>0</v>
      </c>
      <c r="D134" s="76">
        <v>0</v>
      </c>
      <c r="E134" s="76">
        <v>0</v>
      </c>
    </row>
    <row r="135" spans="1:5" x14ac:dyDescent="0.2">
      <c r="A135" s="76" t="s">
        <v>157</v>
      </c>
      <c r="B135" s="76"/>
      <c r="C135" s="76">
        <v>1</v>
      </c>
      <c r="D135" s="76">
        <v>1</v>
      </c>
      <c r="E135" s="76">
        <v>0</v>
      </c>
    </row>
    <row r="136" spans="1:5" x14ac:dyDescent="0.2">
      <c r="A136" s="76" t="s">
        <v>158</v>
      </c>
      <c r="B136" s="76"/>
      <c r="C136" s="76">
        <v>0</v>
      </c>
      <c r="D136" s="76">
        <v>0</v>
      </c>
      <c r="E136" s="76">
        <v>1</v>
      </c>
    </row>
    <row r="137" spans="1:5" x14ac:dyDescent="0.2">
      <c r="A137" s="76" t="s">
        <v>159</v>
      </c>
      <c r="B137" s="76"/>
      <c r="C137" s="76">
        <v>0</v>
      </c>
      <c r="D137" s="76">
        <v>0</v>
      </c>
      <c r="E137" s="76">
        <v>0</v>
      </c>
    </row>
    <row r="138" spans="1:5" x14ac:dyDescent="0.2">
      <c r="A138" s="77" t="s">
        <v>160</v>
      </c>
      <c r="B138" s="77" t="s">
        <v>161</v>
      </c>
      <c r="C138" s="77" t="s">
        <v>162</v>
      </c>
      <c r="D138" s="77" t="s">
        <v>163</v>
      </c>
      <c r="E138" s="80">
        <v>613311</v>
      </c>
    </row>
    <row r="139" spans="1:5" x14ac:dyDescent="0.2">
      <c r="A139" s="76" t="s">
        <v>164</v>
      </c>
      <c r="B139" s="76" t="s">
        <v>161</v>
      </c>
      <c r="C139" s="76">
        <v>1481</v>
      </c>
      <c r="D139" s="76" t="s">
        <v>165</v>
      </c>
      <c r="E139" s="76" t="s">
        <v>166</v>
      </c>
    </row>
    <row r="140" spans="1:5" x14ac:dyDescent="0.2">
      <c r="A140" s="76" t="s">
        <v>167</v>
      </c>
      <c r="B140" s="76" t="s">
        <v>161</v>
      </c>
      <c r="C140" s="76" t="s">
        <v>168</v>
      </c>
      <c r="D140" s="78">
        <v>466765</v>
      </c>
      <c r="E140" s="76" t="s">
        <v>169</v>
      </c>
    </row>
    <row r="141" spans="1:5" x14ac:dyDescent="0.2">
      <c r="A141" s="76" t="s">
        <v>170</v>
      </c>
      <c r="B141" s="76" t="s">
        <v>161</v>
      </c>
      <c r="C141" s="76" t="s">
        <v>171</v>
      </c>
      <c r="D141" s="78">
        <v>314409</v>
      </c>
      <c r="E141" s="76" t="s">
        <v>172</v>
      </c>
    </row>
    <row r="142" spans="1:5" x14ac:dyDescent="0.2">
      <c r="A142" s="76" t="s">
        <v>173</v>
      </c>
      <c r="B142" s="76" t="s">
        <v>161</v>
      </c>
      <c r="C142" s="76" t="s">
        <v>174</v>
      </c>
      <c r="D142" s="78">
        <v>252815</v>
      </c>
      <c r="E142" s="76" t="s">
        <v>175</v>
      </c>
    </row>
    <row r="143" spans="1:5" x14ac:dyDescent="0.2">
      <c r="A143" s="76" t="s">
        <v>176</v>
      </c>
      <c r="B143" s="76" t="s">
        <v>161</v>
      </c>
      <c r="C143" s="76" t="s">
        <v>174</v>
      </c>
      <c r="D143" s="76" t="s">
        <v>177</v>
      </c>
      <c r="E143" s="78">
        <v>333957</v>
      </c>
    </row>
    <row r="144" spans="1:5" x14ac:dyDescent="0.2">
      <c r="A144" s="76" t="s">
        <v>178</v>
      </c>
      <c r="B144" s="76" t="s">
        <v>161</v>
      </c>
      <c r="C144" s="76" t="s">
        <v>179</v>
      </c>
      <c r="D144" s="78">
        <v>267037</v>
      </c>
      <c r="E144" s="76" t="s">
        <v>180</v>
      </c>
    </row>
    <row r="145" spans="1:5" x14ac:dyDescent="0.2">
      <c r="A145" s="76" t="s">
        <v>181</v>
      </c>
      <c r="B145" s="76" t="s">
        <v>161</v>
      </c>
      <c r="C145" s="76" t="s">
        <v>182</v>
      </c>
      <c r="D145" s="78">
        <v>224251</v>
      </c>
      <c r="E145" s="78">
        <v>224932</v>
      </c>
    </row>
    <row r="146" spans="1:5" x14ac:dyDescent="0.2">
      <c r="A146" s="76" t="s">
        <v>183</v>
      </c>
      <c r="B146" s="76" t="s">
        <v>161</v>
      </c>
      <c r="C146" s="76" t="s">
        <v>174</v>
      </c>
      <c r="D146" s="78">
        <v>239803</v>
      </c>
      <c r="E146" s="78">
        <v>137971</v>
      </c>
    </row>
    <row r="147" spans="1:5" x14ac:dyDescent="0.2">
      <c r="A147" s="76" t="s">
        <v>184</v>
      </c>
      <c r="B147" s="76" t="s">
        <v>161</v>
      </c>
      <c r="C147" s="76" t="s">
        <v>174</v>
      </c>
      <c r="D147" s="78">
        <v>241865</v>
      </c>
      <c r="E147" s="78">
        <v>117353</v>
      </c>
    </row>
    <row r="148" spans="1:5" x14ac:dyDescent="0.2">
      <c r="A148" s="76" t="s">
        <v>185</v>
      </c>
      <c r="B148" s="76" t="s">
        <v>161</v>
      </c>
      <c r="C148" s="76" t="s">
        <v>174</v>
      </c>
      <c r="D148" s="78">
        <v>222251</v>
      </c>
      <c r="E148" s="78">
        <v>313486</v>
      </c>
    </row>
    <row r="149" spans="1:5" x14ac:dyDescent="0.2">
      <c r="A149" s="76" t="s">
        <v>186</v>
      </c>
      <c r="B149" s="76" t="s">
        <v>161</v>
      </c>
      <c r="C149" s="76" t="s">
        <v>174</v>
      </c>
      <c r="D149" s="78">
        <v>131111</v>
      </c>
      <c r="E149" s="78">
        <v>122489</v>
      </c>
    </row>
    <row r="150" spans="1:5" x14ac:dyDescent="0.2">
      <c r="A150" s="76" t="s">
        <v>187</v>
      </c>
      <c r="B150" s="76" t="s">
        <v>161</v>
      </c>
      <c r="C150" s="76" t="s">
        <v>174</v>
      </c>
      <c r="D150" s="78">
        <v>632838</v>
      </c>
      <c r="E150" s="78">
        <v>190316</v>
      </c>
    </row>
    <row r="151" spans="1:5" x14ac:dyDescent="0.2">
      <c r="A151" s="76" t="s">
        <v>188</v>
      </c>
      <c r="B151" s="76" t="s">
        <v>161</v>
      </c>
      <c r="C151" s="76" t="s">
        <v>189</v>
      </c>
      <c r="D151" s="78">
        <v>173917</v>
      </c>
      <c r="E151" s="78">
        <v>231808</v>
      </c>
    </row>
    <row r="152" spans="1:5" x14ac:dyDescent="0.2">
      <c r="A152" s="79">
        <v>37166</v>
      </c>
      <c r="B152" s="76" t="s">
        <v>161</v>
      </c>
      <c r="C152" s="76" t="s">
        <v>190</v>
      </c>
      <c r="D152" s="76" t="s">
        <v>191</v>
      </c>
      <c r="E152" s="78">
        <v>38316</v>
      </c>
    </row>
    <row r="153" spans="1:5" x14ac:dyDescent="0.2">
      <c r="A153" s="76" t="s">
        <v>192</v>
      </c>
      <c r="B153" s="76" t="s">
        <v>161</v>
      </c>
      <c r="C153" s="76" t="s">
        <v>193</v>
      </c>
      <c r="D153" s="78">
        <v>918391</v>
      </c>
      <c r="E153" s="76" t="s">
        <v>194</v>
      </c>
    </row>
    <row r="154" spans="1:5" x14ac:dyDescent="0.2">
      <c r="A154" s="76" t="s">
        <v>195</v>
      </c>
      <c r="B154" s="76" t="s">
        <v>161</v>
      </c>
      <c r="C154" s="76" t="s">
        <v>196</v>
      </c>
      <c r="D154" s="78">
        <v>174823</v>
      </c>
      <c r="E154" s="76" t="s">
        <v>197</v>
      </c>
    </row>
    <row r="155" spans="1:5" x14ac:dyDescent="0.2">
      <c r="A155" s="77" t="s">
        <v>198</v>
      </c>
      <c r="B155" s="77" t="s">
        <v>199</v>
      </c>
      <c r="C155" s="80">
        <v>198868</v>
      </c>
      <c r="D155" s="80">
        <v>137461</v>
      </c>
      <c r="E155" s="80">
        <v>61407</v>
      </c>
    </row>
    <row r="156" spans="1:5" x14ac:dyDescent="0.2">
      <c r="A156" s="76" t="s">
        <v>164</v>
      </c>
      <c r="B156" s="76" t="s">
        <v>200</v>
      </c>
      <c r="C156" s="78">
        <v>989972</v>
      </c>
      <c r="D156" s="78">
        <v>989607</v>
      </c>
      <c r="E156" s="76" t="s">
        <v>201</v>
      </c>
    </row>
    <row r="157" spans="1:5" x14ac:dyDescent="0.2">
      <c r="A157" s="76" t="s">
        <v>167</v>
      </c>
      <c r="B157" s="76" t="s">
        <v>200</v>
      </c>
      <c r="C157" s="78">
        <v>507739</v>
      </c>
      <c r="D157" s="78">
        <v>506399</v>
      </c>
      <c r="E157" s="76" t="s">
        <v>202</v>
      </c>
    </row>
    <row r="158" spans="1:5" x14ac:dyDescent="0.2">
      <c r="A158" s="76" t="s">
        <v>170</v>
      </c>
      <c r="B158" s="76" t="s">
        <v>200</v>
      </c>
      <c r="C158" s="78">
        <v>368206</v>
      </c>
      <c r="D158" s="78">
        <v>367514</v>
      </c>
      <c r="E158" s="76" t="s">
        <v>203</v>
      </c>
    </row>
    <row r="159" spans="1:5" x14ac:dyDescent="0.2">
      <c r="A159" s="76" t="s">
        <v>173</v>
      </c>
      <c r="B159" s="76" t="s">
        <v>200</v>
      </c>
      <c r="C159" s="78">
        <v>317736</v>
      </c>
      <c r="D159" s="78">
        <v>316752</v>
      </c>
      <c r="E159" s="76" t="s">
        <v>204</v>
      </c>
    </row>
    <row r="160" spans="1:5" x14ac:dyDescent="0.2">
      <c r="A160" s="76" t="s">
        <v>176</v>
      </c>
      <c r="B160" s="76" t="s">
        <v>200</v>
      </c>
      <c r="C160" s="78">
        <v>465953</v>
      </c>
      <c r="D160" s="78">
        <v>459817</v>
      </c>
      <c r="E160" s="78">
        <v>613598</v>
      </c>
    </row>
    <row r="161" spans="1:5" x14ac:dyDescent="0.2">
      <c r="A161" s="76" t="s">
        <v>178</v>
      </c>
      <c r="B161" s="76" t="s">
        <v>200</v>
      </c>
      <c r="C161" s="78">
        <v>452398</v>
      </c>
      <c r="D161" s="78">
        <v>445783</v>
      </c>
      <c r="E161" s="76" t="s">
        <v>205</v>
      </c>
    </row>
    <row r="162" spans="1:5" x14ac:dyDescent="0.2">
      <c r="A162" s="76" t="s">
        <v>181</v>
      </c>
      <c r="B162" s="76" t="s">
        <v>200</v>
      </c>
      <c r="C162" s="78">
        <v>397136</v>
      </c>
      <c r="D162" s="78">
        <v>393192</v>
      </c>
      <c r="E162" s="78">
        <v>394386</v>
      </c>
    </row>
    <row r="163" spans="1:5" x14ac:dyDescent="0.2">
      <c r="A163" s="76" t="s">
        <v>183</v>
      </c>
      <c r="B163" s="76" t="s">
        <v>200</v>
      </c>
      <c r="C163" s="78">
        <v>592869</v>
      </c>
      <c r="D163" s="78">
        <v>560614</v>
      </c>
      <c r="E163" s="78">
        <v>32255</v>
      </c>
    </row>
    <row r="164" spans="1:5" x14ac:dyDescent="0.2">
      <c r="A164" s="76" t="s">
        <v>184</v>
      </c>
      <c r="B164" s="76" t="s">
        <v>200</v>
      </c>
      <c r="C164" s="78">
        <v>614171</v>
      </c>
      <c r="D164" s="76" t="s">
        <v>206</v>
      </c>
      <c r="E164" s="78">
        <v>284207</v>
      </c>
    </row>
    <row r="165" spans="1:5" x14ac:dyDescent="0.2">
      <c r="A165" s="76" t="s">
        <v>185</v>
      </c>
      <c r="B165" s="76" t="s">
        <v>200</v>
      </c>
      <c r="C165" s="78">
        <v>762388</v>
      </c>
      <c r="D165" s="78">
        <v>668146</v>
      </c>
      <c r="E165" s="78">
        <v>942419</v>
      </c>
    </row>
    <row r="166" spans="1:5" x14ac:dyDescent="0.2">
      <c r="A166" s="76" t="s">
        <v>186</v>
      </c>
      <c r="B166" s="76" t="s">
        <v>200</v>
      </c>
      <c r="C166" s="78">
        <v>825401</v>
      </c>
      <c r="D166" s="76" t="s">
        <v>207</v>
      </c>
      <c r="E166" s="78">
        <v>398671</v>
      </c>
    </row>
    <row r="167" spans="1:5" x14ac:dyDescent="0.2">
      <c r="A167" s="76" t="s">
        <v>187</v>
      </c>
      <c r="B167" s="76" t="s">
        <v>200</v>
      </c>
      <c r="C167" s="78">
        <v>973618</v>
      </c>
      <c r="D167" s="78">
        <v>242958</v>
      </c>
      <c r="E167" s="76" t="s">
        <v>208</v>
      </c>
    </row>
    <row r="168" spans="1:5" x14ac:dyDescent="0.2">
      <c r="A168" s="76" t="s">
        <v>188</v>
      </c>
      <c r="B168" s="76" t="s">
        <v>200</v>
      </c>
      <c r="C168" s="76" t="s">
        <v>209</v>
      </c>
      <c r="D168" s="78">
        <v>75474</v>
      </c>
      <c r="E168" s="76" t="s">
        <v>210</v>
      </c>
    </row>
    <row r="169" spans="1:5" x14ac:dyDescent="0.2">
      <c r="A169" s="79">
        <v>37166</v>
      </c>
      <c r="B169" s="76" t="s">
        <v>200</v>
      </c>
      <c r="C169" s="78">
        <v>201052</v>
      </c>
      <c r="D169" s="78">
        <v>219005</v>
      </c>
      <c r="E169" s="78">
        <v>179151</v>
      </c>
    </row>
    <row r="170" spans="1:5" x14ac:dyDescent="0.2">
      <c r="A170" s="76" t="s">
        <v>192</v>
      </c>
      <c r="B170" s="76" t="s">
        <v>200</v>
      </c>
      <c r="C170" s="78">
        <v>77141</v>
      </c>
      <c r="D170" s="78">
        <v>771402</v>
      </c>
      <c r="E170" s="76" t="s">
        <v>211</v>
      </c>
    </row>
    <row r="171" spans="1:5" x14ac:dyDescent="0.2">
      <c r="A171" s="76" t="s">
        <v>195</v>
      </c>
      <c r="B171" s="76" t="s">
        <v>200</v>
      </c>
      <c r="C171" s="78">
        <v>266315</v>
      </c>
      <c r="D171" s="76" t="s">
        <v>212</v>
      </c>
      <c r="E171" s="76" t="s">
        <v>213</v>
      </c>
    </row>
    <row r="172" spans="1:5" x14ac:dyDescent="0.2">
      <c r="A172" s="233" t="s">
        <v>214</v>
      </c>
      <c r="B172" s="233"/>
      <c r="C172" s="233"/>
      <c r="D172" s="233"/>
      <c r="E172" s="233"/>
    </row>
    <row r="173" spans="1:5" x14ac:dyDescent="0.2">
      <c r="A173" s="76" t="s">
        <v>164</v>
      </c>
      <c r="B173" s="76"/>
      <c r="C173" s="83">
        <v>0.13169600000000001</v>
      </c>
      <c r="D173" s="76" t="s">
        <v>215</v>
      </c>
      <c r="E173" s="76" t="s">
        <v>216</v>
      </c>
    </row>
    <row r="174" spans="1:5" x14ac:dyDescent="0.2">
      <c r="A174" s="76" t="s">
        <v>167</v>
      </c>
      <c r="B174" s="76"/>
      <c r="C174" s="83">
        <v>6.7544700000000003E-3</v>
      </c>
      <c r="D174" s="76" t="s">
        <v>217</v>
      </c>
      <c r="E174" s="82">
        <v>5.7702900000000001</v>
      </c>
    </row>
    <row r="175" spans="1:5" x14ac:dyDescent="0.2">
      <c r="A175" s="76" t="s">
        <v>170</v>
      </c>
      <c r="B175" s="76"/>
      <c r="C175" s="83">
        <v>4.8982499999999998E-3</v>
      </c>
      <c r="D175" s="76" t="s">
        <v>218</v>
      </c>
      <c r="E175" s="82">
        <v>2.9782899999999999</v>
      </c>
    </row>
    <row r="176" spans="1:5" x14ac:dyDescent="0.2">
      <c r="A176" s="76" t="s">
        <v>173</v>
      </c>
      <c r="B176" s="76"/>
      <c r="C176" s="83">
        <v>4.2268500000000001E-2</v>
      </c>
      <c r="D176" s="76" t="s">
        <v>219</v>
      </c>
      <c r="E176" s="76" t="s">
        <v>220</v>
      </c>
    </row>
    <row r="177" spans="1:5" x14ac:dyDescent="0.2">
      <c r="A177" s="76" t="s">
        <v>176</v>
      </c>
      <c r="B177" s="76"/>
      <c r="C177" s="83">
        <v>6.1985899999999997E-2</v>
      </c>
      <c r="D177" s="76" t="s">
        <v>221</v>
      </c>
      <c r="E177" s="76" t="s">
        <v>222</v>
      </c>
    </row>
    <row r="178" spans="1:5" x14ac:dyDescent="0.2">
      <c r="A178" s="76" t="s">
        <v>178</v>
      </c>
      <c r="B178" s="76"/>
      <c r="C178" s="83">
        <v>6.01827E-3</v>
      </c>
      <c r="D178" s="76" t="s">
        <v>223</v>
      </c>
      <c r="E178" s="76" t="s">
        <v>224</v>
      </c>
    </row>
    <row r="179" spans="1:5" x14ac:dyDescent="0.2">
      <c r="A179" s="76" t="s">
        <v>181</v>
      </c>
      <c r="B179" s="76"/>
      <c r="C179" s="83">
        <v>5.2831200000000002E-2</v>
      </c>
      <c r="D179" s="76" t="s">
        <v>225</v>
      </c>
      <c r="E179" s="76" t="s">
        <v>226</v>
      </c>
    </row>
    <row r="180" spans="1:5" x14ac:dyDescent="0.2">
      <c r="A180" s="76" t="s">
        <v>183</v>
      </c>
      <c r="B180" s="76"/>
      <c r="C180" s="83">
        <v>7.8869700000000001E-2</v>
      </c>
      <c r="D180" s="76" t="s">
        <v>227</v>
      </c>
      <c r="E180" s="76" t="s">
        <v>228</v>
      </c>
    </row>
    <row r="181" spans="1:5" x14ac:dyDescent="0.2">
      <c r="A181" s="76" t="s">
        <v>184</v>
      </c>
      <c r="B181" s="76"/>
      <c r="C181" s="83">
        <v>8.1703399999999995E-2</v>
      </c>
      <c r="D181" s="76" t="s">
        <v>229</v>
      </c>
      <c r="E181" s="76" t="s">
        <v>230</v>
      </c>
    </row>
    <row r="182" spans="1:5" x14ac:dyDescent="0.2">
      <c r="A182" s="76" t="s">
        <v>185</v>
      </c>
      <c r="B182" s="76"/>
      <c r="C182" s="83">
        <v>0.101421</v>
      </c>
      <c r="D182" s="76" t="s">
        <v>231</v>
      </c>
      <c r="E182" s="76" t="s">
        <v>232</v>
      </c>
    </row>
    <row r="183" spans="1:5" x14ac:dyDescent="0.2">
      <c r="A183" s="76" t="s">
        <v>186</v>
      </c>
      <c r="B183" s="76"/>
      <c r="C183" s="83">
        <v>0.109803</v>
      </c>
      <c r="D183" s="76" t="s">
        <v>233</v>
      </c>
      <c r="E183" s="76" t="s">
        <v>234</v>
      </c>
    </row>
    <row r="184" spans="1:5" x14ac:dyDescent="0.2">
      <c r="A184" s="76" t="s">
        <v>187</v>
      </c>
      <c r="B184" s="76"/>
      <c r="C184" s="83">
        <v>0.129521</v>
      </c>
      <c r="D184" s="76" t="s">
        <v>235</v>
      </c>
      <c r="E184" s="76" t="s">
        <v>236</v>
      </c>
    </row>
    <row r="185" spans="1:5" x14ac:dyDescent="0.2">
      <c r="A185" s="76" t="s">
        <v>188</v>
      </c>
      <c r="B185" s="76"/>
      <c r="C185" s="83">
        <v>0.14386399999999999</v>
      </c>
      <c r="D185" s="76" t="s">
        <v>237</v>
      </c>
      <c r="E185" s="76" t="s">
        <v>238</v>
      </c>
    </row>
    <row r="186" spans="1:5" x14ac:dyDescent="0.2">
      <c r="A186" s="79">
        <v>37166</v>
      </c>
      <c r="B186" s="76"/>
      <c r="C186" s="83">
        <v>2.6746000000000001E-3</v>
      </c>
      <c r="D186" s="76" t="s">
        <v>239</v>
      </c>
      <c r="E186" s="76" t="s">
        <v>240</v>
      </c>
    </row>
    <row r="187" spans="1:5" x14ac:dyDescent="0.2">
      <c r="A187" s="76" t="s">
        <v>192</v>
      </c>
      <c r="B187" s="76"/>
      <c r="C187" s="83">
        <v>1.02621E-2</v>
      </c>
      <c r="D187" s="76" t="s">
        <v>241</v>
      </c>
      <c r="E187" s="82">
        <v>3.3213199999999998E-2</v>
      </c>
    </row>
    <row r="188" spans="1:5" x14ac:dyDescent="0.2">
      <c r="A188" s="76" t="s">
        <v>195</v>
      </c>
      <c r="B188" s="76"/>
      <c r="C188" s="83">
        <v>3.5427899999999998E-2</v>
      </c>
      <c r="D188" s="76" t="s">
        <v>242</v>
      </c>
      <c r="E188" s="76" t="s">
        <v>243</v>
      </c>
    </row>
    <row r="189" spans="1:5" x14ac:dyDescent="0.2">
      <c r="A189" s="233" t="s">
        <v>244</v>
      </c>
      <c r="B189" s="233"/>
      <c r="C189" s="233"/>
      <c r="D189" s="233"/>
      <c r="E189" s="233"/>
    </row>
    <row r="190" spans="1:5" x14ac:dyDescent="0.2">
      <c r="A190" s="76" t="s">
        <v>164</v>
      </c>
      <c r="B190" s="76"/>
      <c r="C190" s="76" t="s">
        <v>245</v>
      </c>
      <c r="D190" s="76" t="s">
        <v>246</v>
      </c>
      <c r="E190" s="76" t="s">
        <v>247</v>
      </c>
    </row>
    <row r="191" spans="1:5" x14ac:dyDescent="0.2">
      <c r="A191" s="76" t="s">
        <v>167</v>
      </c>
      <c r="B191" s="76"/>
      <c r="C191" s="76" t="s">
        <v>248</v>
      </c>
      <c r="D191" s="76" t="s">
        <v>249</v>
      </c>
      <c r="E191" s="76" t="s">
        <v>250</v>
      </c>
    </row>
    <row r="192" spans="1:5" x14ac:dyDescent="0.2">
      <c r="A192" s="76" t="s">
        <v>170</v>
      </c>
      <c r="B192" s="76"/>
      <c r="C192" s="76" t="s">
        <v>251</v>
      </c>
      <c r="D192" s="76" t="s">
        <v>252</v>
      </c>
      <c r="E192" s="82">
        <v>9.6429299999999998</v>
      </c>
    </row>
    <row r="193" spans="1:5" x14ac:dyDescent="0.2">
      <c r="A193" s="76" t="s">
        <v>173</v>
      </c>
      <c r="B193" s="76"/>
      <c r="C193" s="76" t="s">
        <v>253</v>
      </c>
      <c r="D193" s="76" t="s">
        <v>254</v>
      </c>
      <c r="E193" s="76" t="s">
        <v>255</v>
      </c>
    </row>
    <row r="194" spans="1:5" x14ac:dyDescent="0.2">
      <c r="A194" s="76" t="s">
        <v>176</v>
      </c>
      <c r="B194" s="76"/>
      <c r="C194" s="76" t="s">
        <v>253</v>
      </c>
      <c r="D194" s="76" t="s">
        <v>256</v>
      </c>
      <c r="E194" s="76" t="s">
        <v>257</v>
      </c>
    </row>
    <row r="195" spans="1:5" x14ac:dyDescent="0.2">
      <c r="A195" s="76" t="s">
        <v>178</v>
      </c>
      <c r="B195" s="76"/>
      <c r="C195" s="76" t="s">
        <v>258</v>
      </c>
      <c r="D195" s="76" t="s">
        <v>259</v>
      </c>
      <c r="E195" s="76" t="s">
        <v>260</v>
      </c>
    </row>
    <row r="196" spans="1:5" x14ac:dyDescent="0.2">
      <c r="A196" s="76" t="s">
        <v>181</v>
      </c>
      <c r="B196" s="76"/>
      <c r="C196" s="76" t="s">
        <v>261</v>
      </c>
      <c r="D196" s="76" t="s">
        <v>262</v>
      </c>
      <c r="E196" s="76" t="s">
        <v>263</v>
      </c>
    </row>
    <row r="197" spans="1:5" x14ac:dyDescent="0.2">
      <c r="A197" s="76" t="s">
        <v>183</v>
      </c>
      <c r="B197" s="76"/>
      <c r="C197" s="76" t="s">
        <v>253</v>
      </c>
      <c r="D197" s="76" t="s">
        <v>264</v>
      </c>
      <c r="E197" s="76" t="s">
        <v>265</v>
      </c>
    </row>
    <row r="198" spans="1:5" x14ac:dyDescent="0.2">
      <c r="A198" s="76" t="s">
        <v>184</v>
      </c>
      <c r="B198" s="76"/>
      <c r="C198" s="76" t="s">
        <v>253</v>
      </c>
      <c r="D198" s="76" t="s">
        <v>266</v>
      </c>
      <c r="E198" s="76" t="s">
        <v>267</v>
      </c>
    </row>
    <row r="199" spans="1:5" x14ac:dyDescent="0.2">
      <c r="A199" s="76" t="s">
        <v>185</v>
      </c>
      <c r="B199" s="76"/>
      <c r="C199" s="76" t="s">
        <v>253</v>
      </c>
      <c r="D199" s="76" t="s">
        <v>268</v>
      </c>
      <c r="E199" s="76" t="s">
        <v>269</v>
      </c>
    </row>
    <row r="200" spans="1:5" x14ac:dyDescent="0.2">
      <c r="A200" s="76" t="s">
        <v>186</v>
      </c>
      <c r="B200" s="76"/>
      <c r="C200" s="76" t="s">
        <v>253</v>
      </c>
      <c r="D200" s="76" t="s">
        <v>270</v>
      </c>
      <c r="E200" s="76" t="s">
        <v>271</v>
      </c>
    </row>
    <row r="201" spans="1:5" x14ac:dyDescent="0.2">
      <c r="A201" s="76" t="s">
        <v>187</v>
      </c>
      <c r="B201" s="76"/>
      <c r="C201" s="76" t="s">
        <v>253</v>
      </c>
      <c r="D201" s="76" t="s">
        <v>272</v>
      </c>
      <c r="E201" s="76" t="s">
        <v>273</v>
      </c>
    </row>
    <row r="202" spans="1:5" x14ac:dyDescent="0.2">
      <c r="A202" s="76" t="s">
        <v>188</v>
      </c>
      <c r="B202" s="76"/>
      <c r="C202" s="76" t="s">
        <v>274</v>
      </c>
      <c r="D202" s="76" t="s">
        <v>275</v>
      </c>
      <c r="E202" s="76" t="s">
        <v>276</v>
      </c>
    </row>
    <row r="203" spans="1:5" x14ac:dyDescent="0.2">
      <c r="A203" s="79">
        <v>37166</v>
      </c>
      <c r="B203" s="76"/>
      <c r="C203" s="76" t="s">
        <v>277</v>
      </c>
      <c r="D203" s="76" t="s">
        <v>278</v>
      </c>
      <c r="E203" s="76" t="s">
        <v>279</v>
      </c>
    </row>
    <row r="204" spans="1:5" x14ac:dyDescent="0.2">
      <c r="A204" s="76" t="s">
        <v>192</v>
      </c>
      <c r="B204" s="76"/>
      <c r="C204" s="76" t="s">
        <v>280</v>
      </c>
      <c r="D204" s="76" t="s">
        <v>281</v>
      </c>
      <c r="E204" s="82">
        <v>1.49651</v>
      </c>
    </row>
    <row r="205" spans="1:5" x14ac:dyDescent="0.2">
      <c r="A205" s="76" t="s">
        <v>195</v>
      </c>
      <c r="B205" s="76"/>
      <c r="C205" s="76" t="s">
        <v>282</v>
      </c>
      <c r="D205" s="76" t="s">
        <v>283</v>
      </c>
      <c r="E205" s="76" t="s">
        <v>284</v>
      </c>
    </row>
    <row r="208" spans="1:5" x14ac:dyDescent="0.2">
      <c r="A208" s="223" t="s">
        <v>285</v>
      </c>
      <c r="B208" s="223"/>
      <c r="C208" s="223"/>
      <c r="D208" s="223"/>
      <c r="E208" s="223"/>
    </row>
    <row r="209" spans="1:5" x14ac:dyDescent="0.2">
      <c r="A209" s="232" t="s">
        <v>132</v>
      </c>
      <c r="B209" s="232"/>
      <c r="C209" s="232"/>
      <c r="D209" s="232"/>
      <c r="E209" s="232"/>
    </row>
    <row r="210" spans="1:5" x14ac:dyDescent="0.2">
      <c r="A210" s="76" t="s">
        <v>133</v>
      </c>
      <c r="B210" s="76" t="s">
        <v>134</v>
      </c>
      <c r="C210" s="76" t="s">
        <v>135</v>
      </c>
      <c r="D210" s="76" t="s">
        <v>136</v>
      </c>
      <c r="E210" s="76" t="s">
        <v>137</v>
      </c>
    </row>
    <row r="211" spans="1:5" x14ac:dyDescent="0.2">
      <c r="A211" s="76" t="s">
        <v>138</v>
      </c>
      <c r="B211" s="76"/>
      <c r="C211" s="76"/>
      <c r="D211" s="76"/>
      <c r="E211" s="76"/>
    </row>
    <row r="212" spans="1:5" x14ac:dyDescent="0.2">
      <c r="A212" s="76" t="s">
        <v>139</v>
      </c>
      <c r="B212" s="76"/>
      <c r="C212" s="76"/>
      <c r="D212" s="76" t="s">
        <v>140</v>
      </c>
      <c r="E212" s="76" t="s">
        <v>140</v>
      </c>
    </row>
    <row r="213" spans="1:5" x14ac:dyDescent="0.2">
      <c r="A213" s="76" t="s">
        <v>141</v>
      </c>
      <c r="B213" s="76"/>
      <c r="C213" s="76" t="s">
        <v>140</v>
      </c>
      <c r="D213" s="76"/>
      <c r="E213" s="76"/>
    </row>
    <row r="214" spans="1:5" x14ac:dyDescent="0.2">
      <c r="A214" s="76" t="s">
        <v>142</v>
      </c>
      <c r="B214" s="76"/>
      <c r="C214" s="76" t="s">
        <v>143</v>
      </c>
      <c r="D214" s="76" t="s">
        <v>143</v>
      </c>
      <c r="E214" s="76" t="s">
        <v>143</v>
      </c>
    </row>
    <row r="215" spans="1:5" x14ac:dyDescent="0.2">
      <c r="A215" s="76" t="s">
        <v>144</v>
      </c>
      <c r="B215" s="76"/>
      <c r="C215" s="76"/>
      <c r="D215" s="76"/>
      <c r="E215" s="76"/>
    </row>
    <row r="216" spans="1:5" x14ac:dyDescent="0.2">
      <c r="A216" s="76" t="s">
        <v>145</v>
      </c>
      <c r="B216" s="76" t="s">
        <v>146</v>
      </c>
      <c r="C216" s="76"/>
      <c r="D216" s="76"/>
      <c r="E216" s="76"/>
    </row>
    <row r="217" spans="1:5" x14ac:dyDescent="0.2">
      <c r="A217" s="76" t="s">
        <v>147</v>
      </c>
      <c r="B217" s="76"/>
      <c r="C217" s="76"/>
      <c r="D217" s="76"/>
      <c r="E217" s="76"/>
    </row>
    <row r="218" spans="1:5" x14ac:dyDescent="0.2">
      <c r="A218" s="76" t="s">
        <v>148</v>
      </c>
      <c r="B218" s="76"/>
      <c r="C218" s="76" t="s">
        <v>149</v>
      </c>
      <c r="D218" s="76" t="s">
        <v>149</v>
      </c>
      <c r="E218" s="76" t="s">
        <v>150</v>
      </c>
    </row>
    <row r="219" spans="1:5" x14ac:dyDescent="0.2">
      <c r="A219" s="76" t="s">
        <v>151</v>
      </c>
      <c r="B219" s="76" t="s">
        <v>85</v>
      </c>
      <c r="C219" s="76">
        <v>500</v>
      </c>
      <c r="D219" s="76">
        <v>30</v>
      </c>
      <c r="E219" s="76">
        <v>30</v>
      </c>
    </row>
    <row r="220" spans="1:5" x14ac:dyDescent="0.2">
      <c r="A220" s="76" t="s">
        <v>152</v>
      </c>
      <c r="B220" s="76" t="s">
        <v>286</v>
      </c>
      <c r="C220" s="78">
        <v>101325</v>
      </c>
      <c r="D220" s="78">
        <v>101325</v>
      </c>
      <c r="E220" s="78">
        <v>101325</v>
      </c>
    </row>
    <row r="221" spans="1:5" x14ac:dyDescent="0.2">
      <c r="A221" s="76" t="s">
        <v>154</v>
      </c>
      <c r="B221" s="76"/>
      <c r="C221" s="76">
        <v>1</v>
      </c>
      <c r="D221" s="76">
        <v>1</v>
      </c>
      <c r="E221" s="76">
        <v>0</v>
      </c>
    </row>
    <row r="222" spans="1:5" x14ac:dyDescent="0.2">
      <c r="A222" s="76" t="s">
        <v>155</v>
      </c>
      <c r="B222" s="76"/>
      <c r="C222" s="76">
        <v>0</v>
      </c>
      <c r="D222" s="76">
        <v>0</v>
      </c>
      <c r="E222" s="76">
        <v>1</v>
      </c>
    </row>
    <row r="223" spans="1:5" x14ac:dyDescent="0.2">
      <c r="A223" s="76" t="s">
        <v>156</v>
      </c>
      <c r="B223" s="76"/>
      <c r="C223" s="76">
        <v>0</v>
      </c>
      <c r="D223" s="76">
        <v>0</v>
      </c>
      <c r="E223" s="76">
        <v>0</v>
      </c>
    </row>
    <row r="224" spans="1:5" x14ac:dyDescent="0.2">
      <c r="A224" s="76" t="s">
        <v>157</v>
      </c>
      <c r="B224" s="76"/>
      <c r="C224" s="76">
        <v>1</v>
      </c>
      <c r="D224" s="76">
        <v>1</v>
      </c>
      <c r="E224" s="76">
        <v>0</v>
      </c>
    </row>
    <row r="225" spans="1:5" x14ac:dyDescent="0.2">
      <c r="A225" s="76" t="s">
        <v>158</v>
      </c>
      <c r="B225" s="76"/>
      <c r="C225" s="76">
        <v>0</v>
      </c>
      <c r="D225" s="76">
        <v>0</v>
      </c>
      <c r="E225" s="76">
        <v>1</v>
      </c>
    </row>
    <row r="226" spans="1:5" x14ac:dyDescent="0.2">
      <c r="A226" s="76" t="s">
        <v>159</v>
      </c>
      <c r="B226" s="76"/>
      <c r="C226" s="76">
        <v>0</v>
      </c>
      <c r="D226" s="76">
        <v>0</v>
      </c>
      <c r="E226" s="76">
        <v>0</v>
      </c>
    </row>
    <row r="227" spans="1:5" x14ac:dyDescent="0.2">
      <c r="A227" s="77" t="s">
        <v>160</v>
      </c>
      <c r="B227" s="77" t="s">
        <v>161</v>
      </c>
      <c r="C227" s="77" t="s">
        <v>287</v>
      </c>
      <c r="D227" s="77" t="s">
        <v>288</v>
      </c>
      <c r="E227" s="80">
        <v>308339</v>
      </c>
    </row>
    <row r="228" spans="1:5" x14ac:dyDescent="0.2">
      <c r="A228" s="76" t="s">
        <v>164</v>
      </c>
      <c r="B228" s="76" t="s">
        <v>161</v>
      </c>
      <c r="C228" s="78">
        <v>744736</v>
      </c>
      <c r="D228" s="78">
        <v>744462</v>
      </c>
      <c r="E228" s="76" t="s">
        <v>289</v>
      </c>
    </row>
    <row r="229" spans="1:5" x14ac:dyDescent="0.2">
      <c r="A229" s="76" t="s">
        <v>167</v>
      </c>
      <c r="B229" s="76" t="s">
        <v>161</v>
      </c>
      <c r="C229" s="78">
        <v>236919</v>
      </c>
      <c r="D229" s="78">
        <v>236294</v>
      </c>
      <c r="E229" s="76" t="s">
        <v>290</v>
      </c>
    </row>
    <row r="230" spans="1:5" x14ac:dyDescent="0.2">
      <c r="A230" s="76" t="s">
        <v>170</v>
      </c>
      <c r="B230" s="76" t="s">
        <v>161</v>
      </c>
      <c r="C230" s="78">
        <v>158453</v>
      </c>
      <c r="D230" s="78">
        <v>158156</v>
      </c>
      <c r="E230" s="76" t="s">
        <v>291</v>
      </c>
    </row>
    <row r="231" spans="1:5" x14ac:dyDescent="0.2">
      <c r="A231" s="76" t="s">
        <v>173</v>
      </c>
      <c r="B231" s="76" t="s">
        <v>161</v>
      </c>
      <c r="C231" s="78">
        <v>127617</v>
      </c>
      <c r="D231" s="78">
        <v>127222</v>
      </c>
      <c r="E231" s="76" t="s">
        <v>292</v>
      </c>
    </row>
    <row r="232" spans="1:5" x14ac:dyDescent="0.2">
      <c r="A232" s="76" t="s">
        <v>176</v>
      </c>
      <c r="B232" s="76" t="s">
        <v>161</v>
      </c>
      <c r="C232" s="78">
        <v>127551</v>
      </c>
      <c r="D232" s="78">
        <v>125873</v>
      </c>
      <c r="E232" s="78">
        <v>167803</v>
      </c>
    </row>
    <row r="233" spans="1:5" x14ac:dyDescent="0.2">
      <c r="A233" s="76" t="s">
        <v>178</v>
      </c>
      <c r="B233" s="76" t="s">
        <v>161</v>
      </c>
      <c r="C233" s="78">
        <v>135858</v>
      </c>
      <c r="D233" s="78">
        <v>133873</v>
      </c>
      <c r="E233" s="76" t="s">
        <v>293</v>
      </c>
    </row>
    <row r="234" spans="1:5" x14ac:dyDescent="0.2">
      <c r="A234" s="76" t="s">
        <v>181</v>
      </c>
      <c r="B234" s="76" t="s">
        <v>161</v>
      </c>
      <c r="C234" s="78">
        <v>113828</v>
      </c>
      <c r="D234" s="78">
        <v>112698</v>
      </c>
      <c r="E234" s="78">
        <v>112931</v>
      </c>
    </row>
    <row r="235" spans="1:5" x14ac:dyDescent="0.2">
      <c r="A235" s="76" t="s">
        <v>183</v>
      </c>
      <c r="B235" s="76" t="s">
        <v>161</v>
      </c>
      <c r="C235" s="78">
        <v>127571</v>
      </c>
      <c r="D235" s="78">
        <v>120637</v>
      </c>
      <c r="E235" s="78">
        <v>693394</v>
      </c>
    </row>
    <row r="236" spans="1:5" x14ac:dyDescent="0.2">
      <c r="A236" s="76" t="s">
        <v>184</v>
      </c>
      <c r="B236" s="76" t="s">
        <v>161</v>
      </c>
      <c r="C236" s="78">
        <v>127517</v>
      </c>
      <c r="D236" s="78">
        <v>121621</v>
      </c>
      <c r="E236" s="78">
        <v>589516</v>
      </c>
    </row>
    <row r="237" spans="1:5" x14ac:dyDescent="0.2">
      <c r="A237" s="76" t="s">
        <v>185</v>
      </c>
      <c r="B237" s="76" t="s">
        <v>161</v>
      </c>
      <c r="C237" s="78">
        <v>127496</v>
      </c>
      <c r="D237" s="78">
        <v>111748</v>
      </c>
      <c r="E237" s="78">
        <v>157477</v>
      </c>
    </row>
    <row r="238" spans="1:5" x14ac:dyDescent="0.2">
      <c r="A238" s="76" t="s">
        <v>186</v>
      </c>
      <c r="B238" s="76" t="s">
        <v>161</v>
      </c>
      <c r="C238" s="78">
        <v>127518</v>
      </c>
      <c r="D238" s="78">
        <v>659566</v>
      </c>
      <c r="E238" s="78">
        <v>615613</v>
      </c>
    </row>
    <row r="239" spans="1:5" x14ac:dyDescent="0.2">
      <c r="A239" s="76" t="s">
        <v>187</v>
      </c>
      <c r="B239" s="76" t="s">
        <v>161</v>
      </c>
      <c r="C239" s="78">
        <v>127501</v>
      </c>
      <c r="D239" s="76" t="s">
        <v>294</v>
      </c>
      <c r="E239" s="78">
        <v>956614</v>
      </c>
    </row>
    <row r="240" spans="1:5" x14ac:dyDescent="0.2">
      <c r="A240" s="76" t="s">
        <v>188</v>
      </c>
      <c r="B240" s="76" t="s">
        <v>161</v>
      </c>
      <c r="C240" s="76" t="s">
        <v>295</v>
      </c>
      <c r="D240" s="78">
        <v>875584</v>
      </c>
      <c r="E240" s="78">
        <v>116585</v>
      </c>
    </row>
    <row r="241" spans="1:5" x14ac:dyDescent="0.2">
      <c r="A241" s="79">
        <v>37166</v>
      </c>
      <c r="B241" s="76" t="s">
        <v>161</v>
      </c>
      <c r="C241" s="78">
        <v>218277</v>
      </c>
      <c r="D241" s="76" t="s">
        <v>296</v>
      </c>
      <c r="E241" s="78">
        <v>194479</v>
      </c>
    </row>
    <row r="242" spans="1:5" x14ac:dyDescent="0.2">
      <c r="A242" s="76" t="s">
        <v>192</v>
      </c>
      <c r="B242" s="76" t="s">
        <v>161</v>
      </c>
      <c r="C242" s="76" t="s">
        <v>297</v>
      </c>
      <c r="D242" s="78">
        <v>463515</v>
      </c>
      <c r="E242" s="76" t="s">
        <v>298</v>
      </c>
    </row>
    <row r="243" spans="1:5" x14ac:dyDescent="0.2">
      <c r="A243" s="76" t="s">
        <v>195</v>
      </c>
      <c r="B243" s="76" t="s">
        <v>161</v>
      </c>
      <c r="C243" s="78">
        <v>878307</v>
      </c>
      <c r="D243" s="78">
        <v>87592</v>
      </c>
      <c r="E243" s="76" t="s">
        <v>299</v>
      </c>
    </row>
    <row r="244" spans="1:5" x14ac:dyDescent="0.2">
      <c r="A244" s="231" t="s">
        <v>244</v>
      </c>
      <c r="B244" s="231"/>
      <c r="C244" s="231"/>
      <c r="D244" s="231"/>
      <c r="E244" s="231"/>
    </row>
    <row r="245" spans="1:5" x14ac:dyDescent="0.2">
      <c r="A245" s="76" t="s">
        <v>164</v>
      </c>
      <c r="B245" s="76"/>
      <c r="C245" s="76" t="s">
        <v>300</v>
      </c>
      <c r="D245" s="76" t="s">
        <v>301</v>
      </c>
      <c r="E245" s="76" t="s">
        <v>302</v>
      </c>
    </row>
    <row r="246" spans="1:5" x14ac:dyDescent="0.2">
      <c r="A246" s="76" t="s">
        <v>167</v>
      </c>
      <c r="B246" s="76"/>
      <c r="C246" s="76" t="s">
        <v>303</v>
      </c>
      <c r="D246" s="76" t="s">
        <v>304</v>
      </c>
      <c r="E246" s="76" t="s">
        <v>305</v>
      </c>
    </row>
    <row r="247" spans="1:5" x14ac:dyDescent="0.2">
      <c r="A247" s="76" t="s">
        <v>170</v>
      </c>
      <c r="B247" s="76"/>
      <c r="C247" s="76" t="s">
        <v>306</v>
      </c>
      <c r="D247" s="76" t="s">
        <v>307</v>
      </c>
      <c r="E247" s="82">
        <v>9.6387400000000003</v>
      </c>
    </row>
    <row r="248" spans="1:5" x14ac:dyDescent="0.2">
      <c r="A248" s="76" t="s">
        <v>173</v>
      </c>
      <c r="B248" s="76"/>
      <c r="C248" s="76" t="s">
        <v>308</v>
      </c>
      <c r="D248" s="76" t="s">
        <v>309</v>
      </c>
      <c r="E248" s="76" t="s">
        <v>310</v>
      </c>
    </row>
    <row r="249" spans="1:5" x14ac:dyDescent="0.2">
      <c r="A249" s="76" t="s">
        <v>176</v>
      </c>
      <c r="B249" s="76"/>
      <c r="C249" s="76" t="s">
        <v>311</v>
      </c>
      <c r="D249" s="76" t="s">
        <v>312</v>
      </c>
      <c r="E249" s="76" t="s">
        <v>313</v>
      </c>
    </row>
    <row r="250" spans="1:5" x14ac:dyDescent="0.2">
      <c r="A250" s="76" t="s">
        <v>178</v>
      </c>
      <c r="B250" s="76"/>
      <c r="C250" s="76" t="s">
        <v>314</v>
      </c>
      <c r="D250" s="76" t="s">
        <v>315</v>
      </c>
      <c r="E250" s="76" t="s">
        <v>316</v>
      </c>
    </row>
    <row r="251" spans="1:5" x14ac:dyDescent="0.2">
      <c r="A251" s="76" t="s">
        <v>181</v>
      </c>
      <c r="B251" s="76"/>
      <c r="C251" s="76" t="s">
        <v>317</v>
      </c>
      <c r="D251" s="76" t="s">
        <v>318</v>
      </c>
      <c r="E251" s="76" t="s">
        <v>319</v>
      </c>
    </row>
    <row r="252" spans="1:5" x14ac:dyDescent="0.2">
      <c r="A252" s="76" t="s">
        <v>183</v>
      </c>
      <c r="B252" s="76"/>
      <c r="C252" s="76" t="s">
        <v>320</v>
      </c>
      <c r="D252" s="76" t="s">
        <v>321</v>
      </c>
      <c r="E252" s="76" t="s">
        <v>322</v>
      </c>
    </row>
    <row r="253" spans="1:5" x14ac:dyDescent="0.2">
      <c r="A253" s="76" t="s">
        <v>184</v>
      </c>
      <c r="B253" s="76"/>
      <c r="C253" s="76" t="s">
        <v>323</v>
      </c>
      <c r="D253" s="76" t="s">
        <v>324</v>
      </c>
      <c r="E253" s="76" t="s">
        <v>325</v>
      </c>
    </row>
    <row r="254" spans="1:5" x14ac:dyDescent="0.2">
      <c r="A254" s="76" t="s">
        <v>185</v>
      </c>
      <c r="B254" s="76"/>
      <c r="C254" s="76" t="s">
        <v>326</v>
      </c>
      <c r="D254" s="76" t="s">
        <v>327</v>
      </c>
      <c r="E254" s="76" t="s">
        <v>328</v>
      </c>
    </row>
    <row r="255" spans="1:5" x14ac:dyDescent="0.2">
      <c r="A255" s="76" t="s">
        <v>186</v>
      </c>
      <c r="B255" s="76"/>
      <c r="C255" s="76" t="s">
        <v>329</v>
      </c>
      <c r="D255" s="76" t="s">
        <v>330</v>
      </c>
      <c r="E255" s="76" t="s">
        <v>331</v>
      </c>
    </row>
    <row r="256" spans="1:5" x14ac:dyDescent="0.2">
      <c r="A256" s="76" t="s">
        <v>187</v>
      </c>
      <c r="B256" s="76"/>
      <c r="C256" s="76" t="s">
        <v>332</v>
      </c>
      <c r="D256" s="76" t="s">
        <v>333</v>
      </c>
      <c r="E256" s="76" t="s">
        <v>334</v>
      </c>
    </row>
    <row r="257" spans="1:5" x14ac:dyDescent="0.2">
      <c r="A257" s="76" t="s">
        <v>188</v>
      </c>
      <c r="B257" s="76"/>
      <c r="C257" s="76" t="s">
        <v>335</v>
      </c>
      <c r="D257" s="76" t="s">
        <v>336</v>
      </c>
      <c r="E257" s="76" t="s">
        <v>337</v>
      </c>
    </row>
    <row r="258" spans="1:5" x14ac:dyDescent="0.2">
      <c r="A258" s="79">
        <v>37166</v>
      </c>
      <c r="B258" s="76"/>
      <c r="C258" s="76" t="s">
        <v>338</v>
      </c>
      <c r="D258" s="76" t="s">
        <v>339</v>
      </c>
      <c r="E258" s="76" t="s">
        <v>340</v>
      </c>
    </row>
    <row r="259" spans="1:5" x14ac:dyDescent="0.2">
      <c r="A259" s="76" t="s">
        <v>192</v>
      </c>
      <c r="B259" s="76"/>
      <c r="C259" s="76" t="s">
        <v>341</v>
      </c>
      <c r="D259" s="76" t="s">
        <v>342</v>
      </c>
      <c r="E259" s="82">
        <v>1.50084</v>
      </c>
    </row>
    <row r="260" spans="1:5" x14ac:dyDescent="0.2">
      <c r="A260" s="76" t="s">
        <v>195</v>
      </c>
      <c r="B260" s="76"/>
      <c r="C260" s="76" t="s">
        <v>343</v>
      </c>
      <c r="D260" s="76" t="s">
        <v>344</v>
      </c>
      <c r="E260" s="76" t="s">
        <v>345</v>
      </c>
    </row>
    <row r="261" spans="1:5" x14ac:dyDescent="0.2">
      <c r="A261" s="77" t="s">
        <v>198</v>
      </c>
      <c r="B261" s="77" t="s">
        <v>199</v>
      </c>
      <c r="C261" s="77">
        <v>100</v>
      </c>
      <c r="D261" s="80">
        <v>691259</v>
      </c>
      <c r="E261" s="80">
        <v>308741</v>
      </c>
    </row>
    <row r="262" spans="1:5" x14ac:dyDescent="0.2">
      <c r="A262" s="76" t="s">
        <v>164</v>
      </c>
      <c r="B262" s="76" t="s">
        <v>199</v>
      </c>
      <c r="C262" s="76" t="s">
        <v>346</v>
      </c>
      <c r="D262" s="78">
        <v>131651</v>
      </c>
      <c r="E262" s="76" t="s">
        <v>347</v>
      </c>
    </row>
    <row r="263" spans="1:5" x14ac:dyDescent="0.2">
      <c r="A263" s="76" t="s">
        <v>167</v>
      </c>
      <c r="B263" s="76" t="s">
        <v>199</v>
      </c>
      <c r="C263" s="76" t="s">
        <v>348</v>
      </c>
      <c r="D263" s="76" t="s">
        <v>349</v>
      </c>
      <c r="E263" s="76" t="s">
        <v>350</v>
      </c>
    </row>
    <row r="264" spans="1:5" x14ac:dyDescent="0.2">
      <c r="A264" s="76" t="s">
        <v>170</v>
      </c>
      <c r="B264" s="76" t="s">
        <v>199</v>
      </c>
      <c r="C264" s="76" t="s">
        <v>351</v>
      </c>
      <c r="D264" s="76" t="s">
        <v>352</v>
      </c>
      <c r="E264" s="76" t="s">
        <v>353</v>
      </c>
    </row>
    <row r="265" spans="1:5" x14ac:dyDescent="0.2">
      <c r="A265" s="76" t="s">
        <v>173</v>
      </c>
      <c r="B265" s="76" t="s">
        <v>199</v>
      </c>
      <c r="C265" s="76" t="s">
        <v>354</v>
      </c>
      <c r="D265" s="78">
        <v>421692</v>
      </c>
      <c r="E265" s="76" t="s">
        <v>355</v>
      </c>
    </row>
    <row r="266" spans="1:5" x14ac:dyDescent="0.2">
      <c r="A266" s="76" t="s">
        <v>176</v>
      </c>
      <c r="B266" s="76" t="s">
        <v>199</v>
      </c>
      <c r="C266" s="76" t="s">
        <v>356</v>
      </c>
      <c r="D266" s="78">
        <v>611843</v>
      </c>
      <c r="E266" s="76" t="s">
        <v>357</v>
      </c>
    </row>
    <row r="267" spans="1:5" x14ac:dyDescent="0.2">
      <c r="A267" s="76" t="s">
        <v>178</v>
      </c>
      <c r="B267" s="76" t="s">
        <v>199</v>
      </c>
      <c r="C267" s="76" t="s">
        <v>358</v>
      </c>
      <c r="D267" s="76" t="s">
        <v>359</v>
      </c>
      <c r="E267" s="76" t="s">
        <v>360</v>
      </c>
    </row>
    <row r="268" spans="1:5" x14ac:dyDescent="0.2">
      <c r="A268" s="76" t="s">
        <v>181</v>
      </c>
      <c r="B268" s="76" t="s">
        <v>199</v>
      </c>
      <c r="C268" s="76" t="s">
        <v>361</v>
      </c>
      <c r="D268" s="78">
        <v>522762</v>
      </c>
      <c r="E268" s="76" t="s">
        <v>362</v>
      </c>
    </row>
    <row r="269" spans="1:5" x14ac:dyDescent="0.2">
      <c r="A269" s="76" t="s">
        <v>183</v>
      </c>
      <c r="B269" s="76" t="s">
        <v>199</v>
      </c>
      <c r="C269" s="76" t="s">
        <v>363</v>
      </c>
      <c r="D269" s="78">
        <v>746115</v>
      </c>
      <c r="E269" s="76" t="s">
        <v>364</v>
      </c>
    </row>
    <row r="270" spans="1:5" x14ac:dyDescent="0.2">
      <c r="A270" s="76" t="s">
        <v>184</v>
      </c>
      <c r="B270" s="76" t="s">
        <v>199</v>
      </c>
      <c r="C270" s="76" t="s">
        <v>365</v>
      </c>
      <c r="D270" s="78">
        <v>77923</v>
      </c>
      <c r="E270" s="76" t="s">
        <v>366</v>
      </c>
    </row>
    <row r="271" spans="1:5" x14ac:dyDescent="0.2">
      <c r="A271" s="76" t="s">
        <v>185</v>
      </c>
      <c r="B271" s="76" t="s">
        <v>199</v>
      </c>
      <c r="C271" s="76" t="s">
        <v>367</v>
      </c>
      <c r="D271" s="78">
        <v>888755</v>
      </c>
      <c r="E271" s="78">
        <v>125245</v>
      </c>
    </row>
    <row r="272" spans="1:5" x14ac:dyDescent="0.2">
      <c r="A272" s="76" t="s">
        <v>186</v>
      </c>
      <c r="B272" s="76" t="s">
        <v>199</v>
      </c>
      <c r="C272" s="76" t="s">
        <v>368</v>
      </c>
      <c r="D272" s="78">
        <v>567923</v>
      </c>
      <c r="E272" s="78">
        <v>530077</v>
      </c>
    </row>
    <row r="273" spans="1:5" x14ac:dyDescent="0.2">
      <c r="A273" s="76" t="s">
        <v>187</v>
      </c>
      <c r="B273" s="76" t="s">
        <v>199</v>
      </c>
      <c r="C273" s="76" t="s">
        <v>369</v>
      </c>
      <c r="D273" s="78">
        <v>323391</v>
      </c>
      <c r="E273" s="78">
        <v>971609</v>
      </c>
    </row>
    <row r="274" spans="1:5" x14ac:dyDescent="0.2">
      <c r="A274" s="76" t="s">
        <v>188</v>
      </c>
      <c r="B274" s="76" t="s">
        <v>199</v>
      </c>
      <c r="C274" s="76" t="s">
        <v>370</v>
      </c>
      <c r="D274" s="78">
        <v>100524</v>
      </c>
      <c r="E274" s="78">
        <v>133848</v>
      </c>
    </row>
    <row r="275" spans="1:5" x14ac:dyDescent="0.2">
      <c r="A275" s="79">
        <v>37166</v>
      </c>
      <c r="B275" s="76" t="s">
        <v>199</v>
      </c>
      <c r="C275" s="76" t="s">
        <v>371</v>
      </c>
      <c r="D275" s="76" t="s">
        <v>372</v>
      </c>
      <c r="E275" s="76" t="s">
        <v>373</v>
      </c>
    </row>
    <row r="276" spans="1:5" x14ac:dyDescent="0.2">
      <c r="A276" s="76" t="s">
        <v>192</v>
      </c>
      <c r="B276" s="76" t="s">
        <v>199</v>
      </c>
      <c r="C276" s="76" t="s">
        <v>374</v>
      </c>
      <c r="D276" s="78">
        <v>102999</v>
      </c>
      <c r="E276" s="82">
        <v>1.02833</v>
      </c>
    </row>
    <row r="277" spans="1:5" x14ac:dyDescent="0.2">
      <c r="A277" s="76" t="s">
        <v>195</v>
      </c>
      <c r="B277" s="76" t="s">
        <v>199</v>
      </c>
      <c r="C277" s="76" t="s">
        <v>375</v>
      </c>
      <c r="D277" s="78">
        <v>352041</v>
      </c>
      <c r="E277" s="76" t="s">
        <v>376</v>
      </c>
    </row>
    <row r="278" spans="1:5" x14ac:dyDescent="0.2">
      <c r="A278" s="231" t="s">
        <v>214</v>
      </c>
      <c r="B278" s="231"/>
      <c r="C278" s="231"/>
      <c r="D278" s="231"/>
      <c r="E278" s="231"/>
    </row>
    <row r="279" spans="1:5" x14ac:dyDescent="0.2">
      <c r="A279" s="76" t="s">
        <v>164</v>
      </c>
      <c r="B279" s="76"/>
      <c r="C279" s="76" t="s">
        <v>377</v>
      </c>
      <c r="D279" s="76" t="s">
        <v>378</v>
      </c>
      <c r="E279" s="76" t="s">
        <v>379</v>
      </c>
    </row>
    <row r="280" spans="1:5" x14ac:dyDescent="0.2">
      <c r="A280" s="76" t="s">
        <v>167</v>
      </c>
      <c r="B280" s="76"/>
      <c r="C280" s="76" t="s">
        <v>380</v>
      </c>
      <c r="D280" s="76" t="s">
        <v>381</v>
      </c>
      <c r="E280" s="82">
        <v>5.8042100000000003</v>
      </c>
    </row>
    <row r="281" spans="1:5" x14ac:dyDescent="0.2">
      <c r="A281" s="76" t="s">
        <v>170</v>
      </c>
      <c r="B281" s="76"/>
      <c r="C281" s="76" t="s">
        <v>382</v>
      </c>
      <c r="D281" s="76" t="s">
        <v>383</v>
      </c>
      <c r="E281" s="82">
        <v>0.29768</v>
      </c>
    </row>
    <row r="282" spans="1:5" x14ac:dyDescent="0.2">
      <c r="A282" s="76" t="s">
        <v>173</v>
      </c>
      <c r="B282" s="76"/>
      <c r="C282" s="76" t="s">
        <v>384</v>
      </c>
      <c r="D282" s="76" t="s">
        <v>385</v>
      </c>
      <c r="E282" s="76" t="s">
        <v>386</v>
      </c>
    </row>
    <row r="283" spans="1:5" x14ac:dyDescent="0.2">
      <c r="A283" s="76" t="s">
        <v>176</v>
      </c>
      <c r="B283" s="76"/>
      <c r="C283" s="76" t="s">
        <v>387</v>
      </c>
      <c r="D283" s="76" t="s">
        <v>388</v>
      </c>
      <c r="E283" s="76" t="s">
        <v>389</v>
      </c>
    </row>
    <row r="284" spans="1:5" x14ac:dyDescent="0.2">
      <c r="A284" s="76" t="s">
        <v>178</v>
      </c>
      <c r="B284" s="76"/>
      <c r="C284" s="76" t="s">
        <v>390</v>
      </c>
      <c r="D284" s="76" t="s">
        <v>391</v>
      </c>
      <c r="E284" s="76" t="s">
        <v>392</v>
      </c>
    </row>
    <row r="285" spans="1:5" x14ac:dyDescent="0.2">
      <c r="A285" s="76" t="s">
        <v>181</v>
      </c>
      <c r="B285" s="76"/>
      <c r="C285" s="76" t="s">
        <v>393</v>
      </c>
      <c r="D285" s="76" t="s">
        <v>394</v>
      </c>
      <c r="E285" s="76" t="s">
        <v>395</v>
      </c>
    </row>
    <row r="286" spans="1:5" x14ac:dyDescent="0.2">
      <c r="A286" s="76" t="s">
        <v>183</v>
      </c>
      <c r="B286" s="76"/>
      <c r="C286" s="76" t="s">
        <v>396</v>
      </c>
      <c r="D286" s="76" t="s">
        <v>397</v>
      </c>
      <c r="E286" s="76" t="s">
        <v>398</v>
      </c>
    </row>
    <row r="287" spans="1:5" x14ac:dyDescent="0.2">
      <c r="A287" s="76" t="s">
        <v>184</v>
      </c>
      <c r="B287" s="76"/>
      <c r="C287" s="76" t="s">
        <v>399</v>
      </c>
      <c r="D287" s="76" t="s">
        <v>400</v>
      </c>
      <c r="E287" s="76" t="s">
        <v>401</v>
      </c>
    </row>
    <row r="288" spans="1:5" x14ac:dyDescent="0.2">
      <c r="A288" s="76" t="s">
        <v>185</v>
      </c>
      <c r="B288" s="76"/>
      <c r="C288" s="76" t="s">
        <v>402</v>
      </c>
      <c r="D288" s="76" t="s">
        <v>403</v>
      </c>
      <c r="E288" s="76" t="s">
        <v>404</v>
      </c>
    </row>
    <row r="289" spans="1:5" x14ac:dyDescent="0.2">
      <c r="A289" s="76" t="s">
        <v>186</v>
      </c>
      <c r="B289" s="76"/>
      <c r="C289" s="76" t="s">
        <v>405</v>
      </c>
      <c r="D289" s="76" t="s">
        <v>406</v>
      </c>
      <c r="E289" s="76" t="s">
        <v>407</v>
      </c>
    </row>
    <row r="290" spans="1:5" x14ac:dyDescent="0.2">
      <c r="A290" s="76" t="s">
        <v>187</v>
      </c>
      <c r="B290" s="76"/>
      <c r="C290" s="76" t="s">
        <v>408</v>
      </c>
      <c r="D290" s="76" t="s">
        <v>409</v>
      </c>
      <c r="E290" s="76" t="s">
        <v>410</v>
      </c>
    </row>
    <row r="291" spans="1:5" x14ac:dyDescent="0.2">
      <c r="A291" s="76" t="s">
        <v>188</v>
      </c>
      <c r="B291" s="76"/>
      <c r="C291" s="76" t="s">
        <v>411</v>
      </c>
      <c r="D291" s="76" t="s">
        <v>412</v>
      </c>
      <c r="E291" s="76" t="s">
        <v>413</v>
      </c>
    </row>
    <row r="292" spans="1:5" x14ac:dyDescent="0.2">
      <c r="A292" s="79">
        <v>37166</v>
      </c>
      <c r="B292" s="76"/>
      <c r="C292" s="76" t="s">
        <v>414</v>
      </c>
      <c r="D292" s="76" t="s">
        <v>415</v>
      </c>
      <c r="E292" s="76" t="s">
        <v>416</v>
      </c>
    </row>
    <row r="293" spans="1:5" x14ac:dyDescent="0.2">
      <c r="A293" s="76" t="s">
        <v>192</v>
      </c>
      <c r="B293" s="76"/>
      <c r="C293" s="76" t="s">
        <v>417</v>
      </c>
      <c r="D293" s="76" t="s">
        <v>418</v>
      </c>
      <c r="E293" s="82">
        <v>3.3307200000000002E-2</v>
      </c>
    </row>
    <row r="294" spans="1:5" x14ac:dyDescent="0.2">
      <c r="A294" s="76" t="s">
        <v>195</v>
      </c>
      <c r="B294" s="76"/>
      <c r="C294" s="76" t="s">
        <v>419</v>
      </c>
      <c r="D294" s="76" t="s">
        <v>420</v>
      </c>
      <c r="E294" s="76" t="s">
        <v>421</v>
      </c>
    </row>
    <row r="297" spans="1:5" x14ac:dyDescent="0.2">
      <c r="A297" s="223" t="s">
        <v>422</v>
      </c>
      <c r="B297" s="223"/>
      <c r="C297" s="223"/>
      <c r="D297" s="223"/>
      <c r="E297" s="223"/>
    </row>
    <row r="298" spans="1:5" x14ac:dyDescent="0.2">
      <c r="A298" s="232" t="s">
        <v>132</v>
      </c>
      <c r="B298" s="232"/>
      <c r="C298" s="232"/>
      <c r="D298" s="232"/>
      <c r="E298" s="232"/>
    </row>
    <row r="299" spans="1:5" x14ac:dyDescent="0.2">
      <c r="A299" s="76" t="s">
        <v>133</v>
      </c>
      <c r="B299" s="76" t="s">
        <v>134</v>
      </c>
      <c r="C299" s="76" t="s">
        <v>135</v>
      </c>
      <c r="D299" s="76" t="s">
        <v>136</v>
      </c>
      <c r="E299" s="76" t="s">
        <v>137</v>
      </c>
    </row>
    <row r="300" spans="1:5" x14ac:dyDescent="0.2">
      <c r="A300" s="76" t="s">
        <v>138</v>
      </c>
      <c r="B300" s="76"/>
      <c r="C300" s="76"/>
      <c r="D300" s="76"/>
      <c r="E300" s="76"/>
    </row>
    <row r="301" spans="1:5" x14ac:dyDescent="0.2">
      <c r="A301" s="76" t="s">
        <v>139</v>
      </c>
      <c r="B301" s="76"/>
      <c r="C301" s="76"/>
      <c r="D301" s="76" t="s">
        <v>140</v>
      </c>
      <c r="E301" s="76" t="s">
        <v>140</v>
      </c>
    </row>
    <row r="302" spans="1:5" x14ac:dyDescent="0.2">
      <c r="A302" s="76" t="s">
        <v>141</v>
      </c>
      <c r="B302" s="76"/>
      <c r="C302" s="76" t="s">
        <v>140</v>
      </c>
      <c r="D302" s="76"/>
      <c r="E302" s="76"/>
    </row>
    <row r="303" spans="1:5" x14ac:dyDescent="0.2">
      <c r="A303" s="76" t="s">
        <v>142</v>
      </c>
      <c r="B303" s="76"/>
      <c r="C303" s="76" t="s">
        <v>143</v>
      </c>
      <c r="D303" s="76" t="s">
        <v>143</v>
      </c>
      <c r="E303" s="76" t="s">
        <v>143</v>
      </c>
    </row>
    <row r="304" spans="1:5" x14ac:dyDescent="0.2">
      <c r="A304" s="76" t="s">
        <v>144</v>
      </c>
      <c r="B304" s="76"/>
      <c r="C304" s="76"/>
      <c r="D304" s="76"/>
      <c r="E304" s="76"/>
    </row>
    <row r="305" spans="1:5" x14ac:dyDescent="0.2">
      <c r="A305" s="76" t="s">
        <v>145</v>
      </c>
      <c r="B305" s="76" t="s">
        <v>146</v>
      </c>
      <c r="C305" s="76"/>
      <c r="D305" s="76"/>
      <c r="E305" s="76"/>
    </row>
    <row r="306" spans="1:5" x14ac:dyDescent="0.2">
      <c r="A306" s="76" t="s">
        <v>147</v>
      </c>
      <c r="B306" s="76"/>
      <c r="C306" s="76"/>
      <c r="D306" s="76"/>
      <c r="E306" s="76"/>
    </row>
    <row r="307" spans="1:5" x14ac:dyDescent="0.2">
      <c r="A307" s="76" t="s">
        <v>148</v>
      </c>
      <c r="B307" s="76"/>
      <c r="C307" s="76" t="s">
        <v>149</v>
      </c>
      <c r="D307" s="76" t="s">
        <v>149</v>
      </c>
      <c r="E307" s="76" t="s">
        <v>150</v>
      </c>
    </row>
    <row r="308" spans="1:5" x14ac:dyDescent="0.2">
      <c r="A308" s="76" t="s">
        <v>151</v>
      </c>
      <c r="B308" s="76" t="s">
        <v>85</v>
      </c>
      <c r="C308" s="76">
        <v>500</v>
      </c>
      <c r="D308" s="76">
        <v>30</v>
      </c>
      <c r="E308" s="76">
        <v>30</v>
      </c>
    </row>
    <row r="309" spans="1:5" x14ac:dyDescent="0.2">
      <c r="A309" s="76" t="s">
        <v>152</v>
      </c>
      <c r="B309" s="76" t="s">
        <v>153</v>
      </c>
      <c r="C309" s="76">
        <v>1</v>
      </c>
      <c r="D309" s="76">
        <v>1</v>
      </c>
      <c r="E309" s="76">
        <v>1</v>
      </c>
    </row>
    <row r="310" spans="1:5" x14ac:dyDescent="0.2">
      <c r="A310" s="76" t="s">
        <v>154</v>
      </c>
      <c r="B310" s="76"/>
      <c r="C310" s="76">
        <v>1</v>
      </c>
      <c r="D310" s="76">
        <v>1</v>
      </c>
      <c r="E310" s="76">
        <v>0</v>
      </c>
    </row>
    <row r="311" spans="1:5" x14ac:dyDescent="0.2">
      <c r="A311" s="76" t="s">
        <v>155</v>
      </c>
      <c r="B311" s="76"/>
      <c r="C311" s="76">
        <v>0</v>
      </c>
      <c r="D311" s="76">
        <v>0</v>
      </c>
      <c r="E311" s="76">
        <v>1</v>
      </c>
    </row>
    <row r="312" spans="1:5" x14ac:dyDescent="0.2">
      <c r="A312" s="76" t="s">
        <v>156</v>
      </c>
      <c r="B312" s="76"/>
      <c r="C312" s="76">
        <v>0</v>
      </c>
      <c r="D312" s="76">
        <v>0</v>
      </c>
      <c r="E312" s="76">
        <v>0</v>
      </c>
    </row>
    <row r="313" spans="1:5" x14ac:dyDescent="0.2">
      <c r="A313" s="76" t="s">
        <v>157</v>
      </c>
      <c r="B313" s="76"/>
      <c r="C313" s="76">
        <v>1</v>
      </c>
      <c r="D313" s="76">
        <v>1</v>
      </c>
      <c r="E313" s="76">
        <v>0</v>
      </c>
    </row>
    <row r="314" spans="1:5" x14ac:dyDescent="0.2">
      <c r="A314" s="76" t="s">
        <v>158</v>
      </c>
      <c r="B314" s="76"/>
      <c r="C314" s="76">
        <v>0</v>
      </c>
      <c r="D314" s="76">
        <v>0</v>
      </c>
      <c r="E314" s="76">
        <v>1</v>
      </c>
    </row>
    <row r="315" spans="1:5" x14ac:dyDescent="0.2">
      <c r="A315" s="76" t="s">
        <v>159</v>
      </c>
      <c r="B315" s="76"/>
      <c r="C315" s="76">
        <v>0</v>
      </c>
      <c r="D315" s="76">
        <v>0</v>
      </c>
      <c r="E315" s="76">
        <v>0</v>
      </c>
    </row>
    <row r="316" spans="1:5" x14ac:dyDescent="0.2">
      <c r="A316" s="77" t="s">
        <v>160</v>
      </c>
      <c r="B316" s="77" t="s">
        <v>161</v>
      </c>
      <c r="C316" s="77">
        <v>1490</v>
      </c>
      <c r="D316" s="77" t="s">
        <v>423</v>
      </c>
      <c r="E316" s="80">
        <v>185003</v>
      </c>
    </row>
    <row r="317" spans="1:5" x14ac:dyDescent="0.2">
      <c r="A317" s="76" t="s">
        <v>164</v>
      </c>
      <c r="B317" s="76" t="s">
        <v>161</v>
      </c>
      <c r="C317" s="86">
        <v>446842</v>
      </c>
      <c r="D317" s="86">
        <v>446677</v>
      </c>
      <c r="E317" s="87" t="s">
        <v>424</v>
      </c>
    </row>
    <row r="318" spans="1:5" x14ac:dyDescent="0.2">
      <c r="A318" s="76" t="s">
        <v>167</v>
      </c>
      <c r="B318" s="76" t="s">
        <v>161</v>
      </c>
      <c r="C318" s="86">
        <v>142151</v>
      </c>
      <c r="D318" s="86">
        <v>141777</v>
      </c>
      <c r="E318" s="87" t="s">
        <v>425</v>
      </c>
    </row>
    <row r="319" spans="1:5" x14ac:dyDescent="0.2">
      <c r="A319" s="76" t="s">
        <v>170</v>
      </c>
      <c r="B319" s="76" t="s">
        <v>161</v>
      </c>
      <c r="C319" s="86">
        <v>950719</v>
      </c>
      <c r="D319" s="86">
        <v>948935</v>
      </c>
      <c r="E319" s="87" t="s">
        <v>426</v>
      </c>
    </row>
    <row r="320" spans="1:5" x14ac:dyDescent="0.2">
      <c r="A320" s="76" t="s">
        <v>173</v>
      </c>
      <c r="B320" s="76" t="s">
        <v>161</v>
      </c>
      <c r="C320" s="86">
        <v>765701</v>
      </c>
      <c r="D320" s="86">
        <v>763333</v>
      </c>
      <c r="E320" s="87" t="s">
        <v>427</v>
      </c>
    </row>
    <row r="321" spans="1:5" x14ac:dyDescent="0.2">
      <c r="A321" s="76" t="s">
        <v>176</v>
      </c>
      <c r="B321" s="76" t="s">
        <v>161</v>
      </c>
      <c r="C321" s="86">
        <v>765305</v>
      </c>
      <c r="D321" s="86">
        <v>755237</v>
      </c>
      <c r="E321" s="86">
        <v>100682</v>
      </c>
    </row>
    <row r="322" spans="1:5" x14ac:dyDescent="0.2">
      <c r="A322" s="76" t="s">
        <v>178</v>
      </c>
      <c r="B322" s="76" t="s">
        <v>161</v>
      </c>
      <c r="C322" s="86">
        <v>815147</v>
      </c>
      <c r="D322" s="86">
        <v>803239</v>
      </c>
      <c r="E322" s="87" t="s">
        <v>428</v>
      </c>
    </row>
    <row r="323" spans="1:5" x14ac:dyDescent="0.2">
      <c r="A323" s="76" t="s">
        <v>181</v>
      </c>
      <c r="B323" s="76" t="s">
        <v>161</v>
      </c>
      <c r="C323" s="86">
        <v>682965</v>
      </c>
      <c r="D323" s="86">
        <v>676189</v>
      </c>
      <c r="E323" s="87" t="s">
        <v>429</v>
      </c>
    </row>
    <row r="324" spans="1:5" x14ac:dyDescent="0.2">
      <c r="A324" s="76" t="s">
        <v>183</v>
      </c>
      <c r="B324" s="76" t="s">
        <v>161</v>
      </c>
      <c r="C324" s="86">
        <v>765425</v>
      </c>
      <c r="D324" s="86">
        <v>723822</v>
      </c>
      <c r="E324" s="86">
        <v>416037</v>
      </c>
    </row>
    <row r="325" spans="1:5" x14ac:dyDescent="0.2">
      <c r="A325" s="76" t="s">
        <v>184</v>
      </c>
      <c r="B325" s="76" t="s">
        <v>161</v>
      </c>
      <c r="C325" s="87" t="s">
        <v>430</v>
      </c>
      <c r="D325" s="86">
        <v>729729</v>
      </c>
      <c r="E325" s="86">
        <v>35371</v>
      </c>
    </row>
    <row r="326" spans="1:5" x14ac:dyDescent="0.2">
      <c r="A326" s="76" t="s">
        <v>185</v>
      </c>
      <c r="B326" s="76" t="s">
        <v>161</v>
      </c>
      <c r="C326" s="86">
        <v>764974</v>
      </c>
      <c r="D326" s="86">
        <v>670488</v>
      </c>
      <c r="E326" s="86">
        <v>944861</v>
      </c>
    </row>
    <row r="327" spans="1:5" x14ac:dyDescent="0.2">
      <c r="A327" s="76" t="s">
        <v>186</v>
      </c>
      <c r="B327" s="76" t="s">
        <v>161</v>
      </c>
      <c r="C327" s="86">
        <v>765107</v>
      </c>
      <c r="D327" s="86">
        <v>39574</v>
      </c>
      <c r="E327" s="86">
        <v>369368</v>
      </c>
    </row>
    <row r="328" spans="1:5" x14ac:dyDescent="0.2">
      <c r="A328" s="76" t="s">
        <v>187</v>
      </c>
      <c r="B328" s="76" t="s">
        <v>161</v>
      </c>
      <c r="C328" s="86">
        <v>765008</v>
      </c>
      <c r="D328" s="86">
        <v>19104</v>
      </c>
      <c r="E328" s="86">
        <v>573968</v>
      </c>
    </row>
    <row r="329" spans="1:5" x14ac:dyDescent="0.2">
      <c r="A329" s="76" t="s">
        <v>188</v>
      </c>
      <c r="B329" s="76" t="s">
        <v>161</v>
      </c>
      <c r="C329" s="86">
        <v>752042</v>
      </c>
      <c r="D329" s="86">
        <v>52535</v>
      </c>
      <c r="E329" s="86">
        <v>699507</v>
      </c>
    </row>
    <row r="330" spans="1:5" x14ac:dyDescent="0.2">
      <c r="A330" s="79">
        <v>37166</v>
      </c>
      <c r="B330" s="76" t="s">
        <v>161</v>
      </c>
      <c r="C330" s="86">
        <v>130966</v>
      </c>
      <c r="D330" s="87" t="s">
        <v>431</v>
      </c>
      <c r="E330" s="86">
        <v>116688</v>
      </c>
    </row>
    <row r="331" spans="1:5" x14ac:dyDescent="0.2">
      <c r="A331" s="76" t="s">
        <v>192</v>
      </c>
      <c r="B331" s="76" t="s">
        <v>161</v>
      </c>
      <c r="C331" s="86">
        <v>278112</v>
      </c>
      <c r="D331" s="86">
        <v>278109</v>
      </c>
      <c r="E331" s="87" t="s">
        <v>432</v>
      </c>
    </row>
    <row r="332" spans="1:5" x14ac:dyDescent="0.2">
      <c r="A332" s="76" t="s">
        <v>195</v>
      </c>
      <c r="B332" s="76" t="s">
        <v>161</v>
      </c>
      <c r="C332" s="86">
        <v>526984</v>
      </c>
      <c r="D332" s="86">
        <v>525552</v>
      </c>
      <c r="E332" s="87" t="s">
        <v>433</v>
      </c>
    </row>
    <row r="333" spans="1:5" x14ac:dyDescent="0.2">
      <c r="A333" s="233" t="s">
        <v>244</v>
      </c>
      <c r="B333" s="233"/>
      <c r="C333" s="233"/>
      <c r="D333" s="233"/>
      <c r="E333" s="233"/>
    </row>
    <row r="334" spans="1:5" x14ac:dyDescent="0.2">
      <c r="A334" s="76" t="s">
        <v>164</v>
      </c>
      <c r="B334" s="76"/>
      <c r="C334" s="76" t="s">
        <v>300</v>
      </c>
      <c r="D334" s="76" t="s">
        <v>301</v>
      </c>
      <c r="E334" s="76" t="s">
        <v>302</v>
      </c>
    </row>
    <row r="335" spans="1:5" x14ac:dyDescent="0.2">
      <c r="A335" s="76" t="s">
        <v>167</v>
      </c>
      <c r="B335" s="76"/>
      <c r="C335" s="76" t="s">
        <v>303</v>
      </c>
      <c r="D335" s="76" t="s">
        <v>304</v>
      </c>
      <c r="E335" s="76" t="s">
        <v>305</v>
      </c>
    </row>
    <row r="336" spans="1:5" x14ac:dyDescent="0.2">
      <c r="A336" s="76" t="s">
        <v>170</v>
      </c>
      <c r="B336" s="76"/>
      <c r="C336" s="76" t="s">
        <v>306</v>
      </c>
      <c r="D336" s="76" t="s">
        <v>307</v>
      </c>
      <c r="E336" s="82">
        <v>9.6387400000000003</v>
      </c>
    </row>
    <row r="337" spans="1:5" x14ac:dyDescent="0.2">
      <c r="A337" s="76" t="s">
        <v>173</v>
      </c>
      <c r="B337" s="76"/>
      <c r="C337" s="76" t="s">
        <v>308</v>
      </c>
      <c r="D337" s="76" t="s">
        <v>309</v>
      </c>
      <c r="E337" s="76" t="s">
        <v>310</v>
      </c>
    </row>
    <row r="338" spans="1:5" x14ac:dyDescent="0.2">
      <c r="A338" s="76" t="s">
        <v>176</v>
      </c>
      <c r="B338" s="76"/>
      <c r="C338" s="76" t="s">
        <v>311</v>
      </c>
      <c r="D338" s="76" t="s">
        <v>312</v>
      </c>
      <c r="E338" s="76" t="s">
        <v>313</v>
      </c>
    </row>
    <row r="339" spans="1:5" x14ac:dyDescent="0.2">
      <c r="A339" s="76" t="s">
        <v>178</v>
      </c>
      <c r="B339" s="76"/>
      <c r="C339" s="76" t="s">
        <v>314</v>
      </c>
      <c r="D339" s="76" t="s">
        <v>315</v>
      </c>
      <c r="E339" s="76" t="s">
        <v>316</v>
      </c>
    </row>
    <row r="340" spans="1:5" x14ac:dyDescent="0.2">
      <c r="A340" s="76" t="s">
        <v>181</v>
      </c>
      <c r="B340" s="76"/>
      <c r="C340" s="76" t="s">
        <v>317</v>
      </c>
      <c r="D340" s="76" t="s">
        <v>318</v>
      </c>
      <c r="E340" s="76" t="s">
        <v>319</v>
      </c>
    </row>
    <row r="341" spans="1:5" x14ac:dyDescent="0.2">
      <c r="A341" s="76" t="s">
        <v>183</v>
      </c>
      <c r="B341" s="76"/>
      <c r="C341" s="76" t="s">
        <v>320</v>
      </c>
      <c r="D341" s="76" t="s">
        <v>321</v>
      </c>
      <c r="E341" s="76" t="s">
        <v>322</v>
      </c>
    </row>
    <row r="342" spans="1:5" x14ac:dyDescent="0.2">
      <c r="A342" s="76" t="s">
        <v>184</v>
      </c>
      <c r="B342" s="76"/>
      <c r="C342" s="76" t="s">
        <v>323</v>
      </c>
      <c r="D342" s="76" t="s">
        <v>324</v>
      </c>
      <c r="E342" s="76" t="s">
        <v>325</v>
      </c>
    </row>
    <row r="343" spans="1:5" x14ac:dyDescent="0.2">
      <c r="A343" s="76" t="s">
        <v>185</v>
      </c>
      <c r="B343" s="76"/>
      <c r="C343" s="76" t="s">
        <v>326</v>
      </c>
      <c r="D343" s="76" t="s">
        <v>327</v>
      </c>
      <c r="E343" s="76" t="s">
        <v>328</v>
      </c>
    </row>
    <row r="344" spans="1:5" x14ac:dyDescent="0.2">
      <c r="A344" s="76" t="s">
        <v>186</v>
      </c>
      <c r="B344" s="76"/>
      <c r="C344" s="76" t="s">
        <v>329</v>
      </c>
      <c r="D344" s="76" t="s">
        <v>330</v>
      </c>
      <c r="E344" s="76" t="s">
        <v>331</v>
      </c>
    </row>
    <row r="345" spans="1:5" x14ac:dyDescent="0.2">
      <c r="A345" s="76" t="s">
        <v>187</v>
      </c>
      <c r="B345" s="76"/>
      <c r="C345" s="76" t="s">
        <v>332</v>
      </c>
      <c r="D345" s="76" t="s">
        <v>333</v>
      </c>
      <c r="E345" s="76" t="s">
        <v>334</v>
      </c>
    </row>
    <row r="346" spans="1:5" x14ac:dyDescent="0.2">
      <c r="A346" s="76" t="s">
        <v>188</v>
      </c>
      <c r="B346" s="76"/>
      <c r="C346" s="76" t="s">
        <v>335</v>
      </c>
      <c r="D346" s="76" t="s">
        <v>336</v>
      </c>
      <c r="E346" s="76" t="s">
        <v>337</v>
      </c>
    </row>
    <row r="347" spans="1:5" x14ac:dyDescent="0.2">
      <c r="A347" s="79">
        <v>37166</v>
      </c>
      <c r="B347" s="76"/>
      <c r="C347" s="76" t="s">
        <v>338</v>
      </c>
      <c r="D347" s="76" t="s">
        <v>339</v>
      </c>
      <c r="E347" s="76" t="s">
        <v>340</v>
      </c>
    </row>
    <row r="348" spans="1:5" x14ac:dyDescent="0.2">
      <c r="A348" s="76" t="s">
        <v>192</v>
      </c>
      <c r="B348" s="76"/>
      <c r="C348" s="76" t="s">
        <v>341</v>
      </c>
      <c r="D348" s="76" t="s">
        <v>342</v>
      </c>
      <c r="E348" s="82">
        <v>1.50084</v>
      </c>
    </row>
    <row r="349" spans="1:5" x14ac:dyDescent="0.2">
      <c r="A349" s="76" t="s">
        <v>195</v>
      </c>
      <c r="B349" s="76"/>
      <c r="C349" s="76" t="s">
        <v>343</v>
      </c>
      <c r="D349" s="76" t="s">
        <v>344</v>
      </c>
      <c r="E349" s="76" t="s">
        <v>345</v>
      </c>
    </row>
    <row r="350" spans="1:5" x14ac:dyDescent="0.2">
      <c r="A350" s="77" t="s">
        <v>198</v>
      </c>
      <c r="B350" s="77" t="s">
        <v>199</v>
      </c>
      <c r="C350" s="77">
        <v>60</v>
      </c>
      <c r="D350" s="80">
        <v>414755</v>
      </c>
      <c r="E350" s="80">
        <v>185245</v>
      </c>
    </row>
    <row r="351" spans="1:5" x14ac:dyDescent="0.2">
      <c r="A351" s="76" t="s">
        <v>164</v>
      </c>
      <c r="B351" s="76" t="s">
        <v>199</v>
      </c>
      <c r="C351" s="86">
        <v>7902</v>
      </c>
      <c r="D351" s="86">
        <v>789909</v>
      </c>
      <c r="E351" s="87" t="s">
        <v>434</v>
      </c>
    </row>
    <row r="352" spans="1:5" x14ac:dyDescent="0.2">
      <c r="A352" s="76" t="s">
        <v>167</v>
      </c>
      <c r="B352" s="76" t="s">
        <v>199</v>
      </c>
      <c r="C352" s="87" t="s">
        <v>435</v>
      </c>
      <c r="D352" s="87" t="s">
        <v>436</v>
      </c>
      <c r="E352" s="87" t="s">
        <v>437</v>
      </c>
    </row>
    <row r="353" spans="1:5" x14ac:dyDescent="0.2">
      <c r="A353" s="76" t="s">
        <v>170</v>
      </c>
      <c r="B353" s="76" t="s">
        <v>199</v>
      </c>
      <c r="C353" s="87" t="s">
        <v>438</v>
      </c>
      <c r="D353" s="87" t="s">
        <v>439</v>
      </c>
      <c r="E353" s="87" t="s">
        <v>440</v>
      </c>
    </row>
    <row r="354" spans="1:5" x14ac:dyDescent="0.2">
      <c r="A354" s="76" t="s">
        <v>173</v>
      </c>
      <c r="B354" s="76" t="s">
        <v>199</v>
      </c>
      <c r="C354" s="86">
        <v>2538</v>
      </c>
      <c r="D354" s="86">
        <v>253015</v>
      </c>
      <c r="E354" s="87" t="s">
        <v>441</v>
      </c>
    </row>
    <row r="355" spans="1:5" x14ac:dyDescent="0.2">
      <c r="A355" s="76" t="s">
        <v>176</v>
      </c>
      <c r="B355" s="76" t="s">
        <v>199</v>
      </c>
      <c r="C355" s="87" t="s">
        <v>442</v>
      </c>
      <c r="D355" s="86">
        <v>367106</v>
      </c>
      <c r="E355" s="87" t="s">
        <v>443</v>
      </c>
    </row>
    <row r="356" spans="1:5" x14ac:dyDescent="0.2">
      <c r="A356" s="76" t="s">
        <v>178</v>
      </c>
      <c r="B356" s="76" t="s">
        <v>199</v>
      </c>
      <c r="C356" s="87" t="s">
        <v>444</v>
      </c>
      <c r="D356" s="87" t="s">
        <v>445</v>
      </c>
      <c r="E356" s="87" t="s">
        <v>446</v>
      </c>
    </row>
    <row r="357" spans="1:5" x14ac:dyDescent="0.2">
      <c r="A357" s="76" t="s">
        <v>181</v>
      </c>
      <c r="B357" s="76" t="s">
        <v>199</v>
      </c>
      <c r="C357" s="86">
        <v>3168</v>
      </c>
      <c r="D357" s="86">
        <v>313657</v>
      </c>
      <c r="E357" s="87" t="s">
        <v>447</v>
      </c>
    </row>
    <row r="358" spans="1:5" x14ac:dyDescent="0.2">
      <c r="A358" s="76" t="s">
        <v>183</v>
      </c>
      <c r="B358" s="76" t="s">
        <v>199</v>
      </c>
      <c r="C358" s="86">
        <v>4734</v>
      </c>
      <c r="D358" s="86">
        <v>447669</v>
      </c>
      <c r="E358" s="87" t="s">
        <v>448</v>
      </c>
    </row>
    <row r="359" spans="1:5" x14ac:dyDescent="0.2">
      <c r="A359" s="76" t="s">
        <v>184</v>
      </c>
      <c r="B359" s="76" t="s">
        <v>199</v>
      </c>
      <c r="C359" s="86">
        <v>4902</v>
      </c>
      <c r="D359" s="86">
        <v>467538</v>
      </c>
      <c r="E359" s="87" t="s">
        <v>449</v>
      </c>
    </row>
    <row r="360" spans="1:5" x14ac:dyDescent="0.2">
      <c r="A360" s="76" t="s">
        <v>185</v>
      </c>
      <c r="B360" s="76" t="s">
        <v>199</v>
      </c>
      <c r="C360" s="86">
        <v>6084</v>
      </c>
      <c r="D360" s="86">
        <v>533253</v>
      </c>
      <c r="E360" s="87" t="s">
        <v>450</v>
      </c>
    </row>
    <row r="361" spans="1:5" x14ac:dyDescent="0.2">
      <c r="A361" s="76" t="s">
        <v>186</v>
      </c>
      <c r="B361" s="76" t="s">
        <v>199</v>
      </c>
      <c r="C361" s="86">
        <v>6588</v>
      </c>
      <c r="D361" s="86">
        <v>340754</v>
      </c>
      <c r="E361" s="86">
        <v>318046</v>
      </c>
    </row>
    <row r="362" spans="1:5" x14ac:dyDescent="0.2">
      <c r="A362" s="76" t="s">
        <v>187</v>
      </c>
      <c r="B362" s="76" t="s">
        <v>199</v>
      </c>
      <c r="C362" s="87" t="s">
        <v>451</v>
      </c>
      <c r="D362" s="86">
        <v>194035</v>
      </c>
      <c r="E362" s="86">
        <v>582965</v>
      </c>
    </row>
    <row r="363" spans="1:5" x14ac:dyDescent="0.2">
      <c r="A363" s="76" t="s">
        <v>188</v>
      </c>
      <c r="B363" s="76" t="s">
        <v>199</v>
      </c>
      <c r="C363" s="86">
        <v>8634</v>
      </c>
      <c r="D363" s="87" t="s">
        <v>452</v>
      </c>
      <c r="E363" s="86">
        <v>803086</v>
      </c>
    </row>
    <row r="364" spans="1:5" x14ac:dyDescent="0.2">
      <c r="A364" s="79">
        <v>37166</v>
      </c>
      <c r="B364" s="76" t="s">
        <v>199</v>
      </c>
      <c r="C364" s="87" t="s">
        <v>453</v>
      </c>
      <c r="D364" s="87" t="s">
        <v>454</v>
      </c>
      <c r="E364" s="87" t="s">
        <v>455</v>
      </c>
    </row>
    <row r="365" spans="1:5" x14ac:dyDescent="0.2">
      <c r="A365" s="76" t="s">
        <v>192</v>
      </c>
      <c r="B365" s="76" t="s">
        <v>199</v>
      </c>
      <c r="C365" s="87" t="s">
        <v>456</v>
      </c>
      <c r="D365" s="87" t="s">
        <v>457</v>
      </c>
      <c r="E365" s="88">
        <v>0.61699899999999996</v>
      </c>
    </row>
    <row r="366" spans="1:5" x14ac:dyDescent="0.2">
      <c r="A366" s="76" t="s">
        <v>195</v>
      </c>
      <c r="B366" s="76" t="s">
        <v>199</v>
      </c>
      <c r="C366" s="86">
        <v>2118</v>
      </c>
      <c r="D366" s="86">
        <v>211225</v>
      </c>
      <c r="E366" s="87" t="s">
        <v>458</v>
      </c>
    </row>
    <row r="367" spans="1:5" x14ac:dyDescent="0.2">
      <c r="A367" s="233" t="s">
        <v>214</v>
      </c>
      <c r="B367" s="233"/>
      <c r="C367" s="233"/>
      <c r="D367" s="233"/>
      <c r="E367" s="233"/>
    </row>
    <row r="368" spans="1:5" x14ac:dyDescent="0.2">
      <c r="A368" s="76" t="s">
        <v>164</v>
      </c>
      <c r="B368" s="76"/>
      <c r="C368" s="76" t="s">
        <v>377</v>
      </c>
      <c r="D368" s="76" t="s">
        <v>378</v>
      </c>
      <c r="E368" s="76" t="s">
        <v>379</v>
      </c>
    </row>
    <row r="369" spans="1:9" x14ac:dyDescent="0.2">
      <c r="A369" s="76" t="s">
        <v>167</v>
      </c>
      <c r="B369" s="76"/>
      <c r="C369" s="76" t="s">
        <v>380</v>
      </c>
      <c r="D369" s="76" t="s">
        <v>381</v>
      </c>
      <c r="E369" s="82">
        <v>5.8042100000000003</v>
      </c>
    </row>
    <row r="370" spans="1:9" x14ac:dyDescent="0.2">
      <c r="A370" s="76" t="s">
        <v>170</v>
      </c>
      <c r="B370" s="76"/>
      <c r="C370" s="76" t="s">
        <v>382</v>
      </c>
      <c r="D370" s="76" t="s">
        <v>383</v>
      </c>
      <c r="E370" s="82">
        <v>0.29768</v>
      </c>
    </row>
    <row r="371" spans="1:9" x14ac:dyDescent="0.2">
      <c r="A371" s="76" t="s">
        <v>173</v>
      </c>
      <c r="B371" s="76"/>
      <c r="C371" s="76" t="s">
        <v>384</v>
      </c>
      <c r="D371" s="76" t="s">
        <v>385</v>
      </c>
      <c r="E371" s="76" t="s">
        <v>386</v>
      </c>
      <c r="G371" s="84" t="s">
        <v>459</v>
      </c>
    </row>
    <row r="372" spans="1:9" x14ac:dyDescent="0.2">
      <c r="A372" s="76" t="s">
        <v>176</v>
      </c>
      <c r="B372" s="76"/>
      <c r="C372" s="76" t="s">
        <v>387</v>
      </c>
      <c r="D372" s="76" t="s">
        <v>388</v>
      </c>
      <c r="E372" s="76" t="s">
        <v>389</v>
      </c>
      <c r="G372" s="84" t="s">
        <v>460</v>
      </c>
    </row>
    <row r="373" spans="1:9" x14ac:dyDescent="0.2">
      <c r="A373" s="76" t="s">
        <v>178</v>
      </c>
      <c r="B373" s="76"/>
      <c r="C373" s="76" t="s">
        <v>390</v>
      </c>
      <c r="D373" s="76" t="s">
        <v>391</v>
      </c>
      <c r="E373" s="76" t="s">
        <v>392</v>
      </c>
    </row>
    <row r="374" spans="1:9" x14ac:dyDescent="0.2">
      <c r="A374" s="76" t="s">
        <v>181</v>
      </c>
      <c r="B374" s="76"/>
      <c r="C374" s="76" t="s">
        <v>393</v>
      </c>
      <c r="D374" s="76" t="s">
        <v>394</v>
      </c>
      <c r="E374" s="76" t="s">
        <v>395</v>
      </c>
      <c r="F374" s="85" t="s">
        <v>461</v>
      </c>
      <c r="G374">
        <f>5*1490</f>
        <v>7450</v>
      </c>
      <c r="H374" s="84" t="s">
        <v>462</v>
      </c>
      <c r="I374" s="84" t="s">
        <v>463</v>
      </c>
    </row>
    <row r="375" spans="1:9" x14ac:dyDescent="0.2">
      <c r="A375" s="76" t="s">
        <v>183</v>
      </c>
      <c r="B375" s="76"/>
      <c r="C375" s="76" t="s">
        <v>396</v>
      </c>
      <c r="D375" s="76" t="s">
        <v>397</v>
      </c>
      <c r="E375" s="76" t="s">
        <v>398</v>
      </c>
      <c r="F375" s="85" t="s">
        <v>24</v>
      </c>
      <c r="G375">
        <f>G374+1490</f>
        <v>8940</v>
      </c>
      <c r="H375" s="84" t="s">
        <v>462</v>
      </c>
    </row>
    <row r="376" spans="1:9" x14ac:dyDescent="0.2">
      <c r="A376" s="76" t="s">
        <v>184</v>
      </c>
      <c r="B376" s="76"/>
      <c r="C376" s="76" t="s">
        <v>399</v>
      </c>
      <c r="D376" s="76" t="s">
        <v>400</v>
      </c>
      <c r="E376" s="76" t="s">
        <v>401</v>
      </c>
    </row>
    <row r="377" spans="1:9" x14ac:dyDescent="0.2">
      <c r="A377" s="76" t="s">
        <v>185</v>
      </c>
      <c r="B377" s="76"/>
      <c r="C377" s="76" t="s">
        <v>402</v>
      </c>
      <c r="D377" s="76" t="s">
        <v>403</v>
      </c>
      <c r="E377" s="76" t="s">
        <v>404</v>
      </c>
    </row>
    <row r="378" spans="1:9" x14ac:dyDescent="0.2">
      <c r="A378" s="76" t="s">
        <v>186</v>
      </c>
      <c r="B378" s="76"/>
      <c r="C378" s="76" t="s">
        <v>405</v>
      </c>
      <c r="D378" s="76" t="s">
        <v>406</v>
      </c>
      <c r="E378" s="76" t="s">
        <v>407</v>
      </c>
    </row>
    <row r="379" spans="1:9" x14ac:dyDescent="0.2">
      <c r="A379" s="76" t="s">
        <v>187</v>
      </c>
      <c r="B379" s="76"/>
      <c r="C379" s="76" t="s">
        <v>408</v>
      </c>
      <c r="D379" s="76" t="s">
        <v>409</v>
      </c>
      <c r="E379" s="76" t="s">
        <v>410</v>
      </c>
    </row>
    <row r="380" spans="1:9" x14ac:dyDescent="0.2">
      <c r="A380" s="76" t="s">
        <v>188</v>
      </c>
      <c r="B380" s="76"/>
      <c r="C380" s="76" t="s">
        <v>411</v>
      </c>
      <c r="D380" s="76" t="s">
        <v>412</v>
      </c>
      <c r="E380" s="76" t="s">
        <v>413</v>
      </c>
    </row>
    <row r="381" spans="1:9" x14ac:dyDescent="0.2">
      <c r="A381" s="79">
        <v>37166</v>
      </c>
      <c r="B381" s="76"/>
      <c r="C381" s="76" t="s">
        <v>414</v>
      </c>
      <c r="D381" s="76" t="s">
        <v>415</v>
      </c>
      <c r="E381" s="76" t="s">
        <v>416</v>
      </c>
    </row>
    <row r="382" spans="1:9" x14ac:dyDescent="0.2">
      <c r="A382" s="76" t="s">
        <v>192</v>
      </c>
      <c r="B382" s="76"/>
      <c r="C382" s="76" t="s">
        <v>417</v>
      </c>
      <c r="D382" s="76" t="s">
        <v>418</v>
      </c>
      <c r="E382" s="82">
        <v>3.3307200000000002E-2</v>
      </c>
    </row>
    <row r="383" spans="1:9" x14ac:dyDescent="0.2">
      <c r="A383" s="76" t="s">
        <v>195</v>
      </c>
      <c r="B383" s="76"/>
      <c r="C383" s="76" t="s">
        <v>419</v>
      </c>
      <c r="D383" s="76" t="s">
        <v>420</v>
      </c>
      <c r="E383" s="76" t="s">
        <v>421</v>
      </c>
    </row>
    <row r="386" spans="1:5" x14ac:dyDescent="0.2">
      <c r="A386" s="223" t="s">
        <v>464</v>
      </c>
      <c r="B386" s="223"/>
      <c r="C386" s="223"/>
      <c r="D386" s="223"/>
      <c r="E386" s="223"/>
    </row>
    <row r="467" spans="1:5" x14ac:dyDescent="0.2">
      <c r="A467" s="223" t="s">
        <v>465</v>
      </c>
      <c r="B467" s="223"/>
      <c r="C467" s="223"/>
      <c r="D467" s="223"/>
      <c r="E467" s="223"/>
    </row>
    <row r="485" spans="2:2" x14ac:dyDescent="0.2">
      <c r="B485">
        <f>7.3/4.184/252*24</f>
        <v>0.1661658927433306</v>
      </c>
    </row>
    <row r="529" spans="1:5" x14ac:dyDescent="0.2">
      <c r="A529" s="223" t="s">
        <v>466</v>
      </c>
      <c r="B529" s="223"/>
      <c r="C529" s="223"/>
      <c r="D529" s="223"/>
      <c r="E529" s="223"/>
    </row>
    <row r="545" spans="4:4" x14ac:dyDescent="0.2">
      <c r="D545" t="s">
        <v>467</v>
      </c>
    </row>
    <row r="562" spans="1:3" x14ac:dyDescent="0.2">
      <c r="A562" t="s">
        <v>468</v>
      </c>
      <c r="B562">
        <v>3.4697</v>
      </c>
      <c r="C562" t="s">
        <v>469</v>
      </c>
    </row>
    <row r="563" spans="1:3" x14ac:dyDescent="0.2">
      <c r="A563" t="s">
        <v>470</v>
      </c>
      <c r="B563">
        <v>47.066600000000001</v>
      </c>
      <c r="C563" t="s">
        <v>469</v>
      </c>
    </row>
    <row r="564" spans="1:3" x14ac:dyDescent="0.2">
      <c r="A564" t="s">
        <v>471</v>
      </c>
      <c r="B564">
        <v>27.195</v>
      </c>
      <c r="C564" t="s">
        <v>472</v>
      </c>
    </row>
    <row r="565" spans="1:3" x14ac:dyDescent="0.2">
      <c r="A565" t="s">
        <v>473</v>
      </c>
      <c r="B565">
        <v>74.352599999999995</v>
      </c>
      <c r="C565" t="s">
        <v>472</v>
      </c>
    </row>
    <row r="566" spans="1:3" x14ac:dyDescent="0.2">
      <c r="A566" t="s">
        <v>474</v>
      </c>
      <c r="B566">
        <f>(B565/B564)*SQRT(B563/B562)</f>
        <v>10.06972353156104</v>
      </c>
    </row>
    <row r="567" spans="1:3" x14ac:dyDescent="0.2">
      <c r="A567" t="s">
        <v>467</v>
      </c>
      <c r="B567">
        <v>-1.877478</v>
      </c>
    </row>
    <row r="568" spans="1:3" x14ac:dyDescent="0.2">
      <c r="A568" t="s">
        <v>475</v>
      </c>
      <c r="B568">
        <v>-0.81457999999999997</v>
      </c>
    </row>
    <row r="569" spans="1:3" x14ac:dyDescent="0.2">
      <c r="A569" t="s">
        <v>85</v>
      </c>
      <c r="B569">
        <v>-0.18707399999999999</v>
      </c>
    </row>
    <row r="570" spans="1:3" ht="16.5" customHeight="1" x14ac:dyDescent="0.2">
      <c r="A570" t="s">
        <v>476</v>
      </c>
      <c r="B570">
        <v>-1.4522999999999999E-2</v>
      </c>
    </row>
    <row r="571" spans="1:3" ht="15.75" customHeight="1" x14ac:dyDescent="0.2">
      <c r="A571" t="s">
        <v>477</v>
      </c>
      <c r="B571">
        <f>-0.001015</f>
        <v>-1.0150000000000001E-3</v>
      </c>
      <c r="C571" s="230" t="s">
        <v>478</v>
      </c>
    </row>
    <row r="572" spans="1:3" ht="32" customHeight="1" x14ac:dyDescent="0.2">
      <c r="A572" t="s">
        <v>479</v>
      </c>
      <c r="B572" s="89">
        <f>EXP(B567+(B568*LN(B566))+(B569*(LN(B566))^2)+(B570*(LN(B566))^3)+(B571*(LN(B566))^4))</f>
        <v>6.9821023432735723E-3</v>
      </c>
      <c r="C572" s="230"/>
    </row>
    <row r="573" spans="1:3" x14ac:dyDescent="0.2">
      <c r="A573" t="s">
        <v>480</v>
      </c>
      <c r="B573">
        <f>B572*SQRT((B563-B562)/B562)</f>
        <v>2.4749592463190747E-2</v>
      </c>
      <c r="C573" s="230"/>
    </row>
    <row r="574" spans="1:3" ht="16" x14ac:dyDescent="0.2">
      <c r="A574" t="s">
        <v>481</v>
      </c>
      <c r="B574">
        <v>5.9</v>
      </c>
      <c r="C574" s="70" t="s">
        <v>482</v>
      </c>
    </row>
    <row r="575" spans="1:3" x14ac:dyDescent="0.2">
      <c r="A575" t="s">
        <v>476</v>
      </c>
      <c r="B575">
        <f>SQRT((4/PI())*(B574/(B573*B562)))</f>
        <v>9.3530030519974368</v>
      </c>
      <c r="C575" t="s">
        <v>483</v>
      </c>
    </row>
    <row r="576" spans="1:3" x14ac:dyDescent="0.2">
      <c r="A576" t="s">
        <v>476</v>
      </c>
      <c r="B576">
        <f>B575*(0.3048)</f>
        <v>2.8507953302488187</v>
      </c>
      <c r="C576" t="s">
        <v>484</v>
      </c>
    </row>
    <row r="577" spans="1:8" x14ac:dyDescent="0.2">
      <c r="A577" t="s">
        <v>485</v>
      </c>
      <c r="B577">
        <v>3.5</v>
      </c>
      <c r="C577" t="s">
        <v>483</v>
      </c>
    </row>
    <row r="578" spans="1:8" x14ac:dyDescent="0.2">
      <c r="A578" t="s">
        <v>486</v>
      </c>
      <c r="B578">
        <f>B582/((PI()*(B575)^2)/4)</f>
        <v>21.832286687169386</v>
      </c>
      <c r="C578" t="s">
        <v>483</v>
      </c>
    </row>
    <row r="579" spans="1:8" x14ac:dyDescent="0.2">
      <c r="A579" t="s">
        <v>487</v>
      </c>
      <c r="B579">
        <v>1</v>
      </c>
      <c r="C579" t="s">
        <v>483</v>
      </c>
    </row>
    <row r="580" spans="1:8" x14ac:dyDescent="0.2">
      <c r="A580" t="s">
        <v>488</v>
      </c>
      <c r="B580">
        <f>SUM(B577:B579)</f>
        <v>26.332286687169386</v>
      </c>
      <c r="C580" t="s">
        <v>483</v>
      </c>
    </row>
    <row r="581" spans="1:8" x14ac:dyDescent="0.2">
      <c r="A581" t="s">
        <v>489</v>
      </c>
      <c r="B581" s="73">
        <f>B580/B575</f>
        <v>2.8153830957583015</v>
      </c>
    </row>
    <row r="582" spans="1:8" x14ac:dyDescent="0.2">
      <c r="A582" t="s">
        <v>490</v>
      </c>
      <c r="B582">
        <v>1500</v>
      </c>
      <c r="C582" t="s">
        <v>491</v>
      </c>
      <c r="G582" t="s">
        <v>26</v>
      </c>
    </row>
    <row r="583" spans="1:8" x14ac:dyDescent="0.2">
      <c r="A583" t="s">
        <v>492</v>
      </c>
      <c r="B583">
        <v>1</v>
      </c>
      <c r="C583" t="s">
        <v>483</v>
      </c>
      <c r="G583">
        <f>10963*0.03</f>
        <v>328.89</v>
      </c>
      <c r="H583" t="s">
        <v>493</v>
      </c>
    </row>
    <row r="584" spans="1:8" x14ac:dyDescent="0.2">
      <c r="A584" t="s">
        <v>494</v>
      </c>
      <c r="G584">
        <f>G583*(1/907.2)</f>
        <v>0.36253306878306873</v>
      </c>
      <c r="H584" t="s">
        <v>495</v>
      </c>
    </row>
    <row r="585" spans="1:8" x14ac:dyDescent="0.2">
      <c r="A585" s="90" t="s">
        <v>476</v>
      </c>
      <c r="B585">
        <f>B576</f>
        <v>2.8507953302488187</v>
      </c>
      <c r="C585" t="s">
        <v>484</v>
      </c>
    </row>
    <row r="586" spans="1:8" x14ac:dyDescent="0.2">
      <c r="A586" s="91" t="s">
        <v>488</v>
      </c>
      <c r="B586">
        <f>B580*0.3048</f>
        <v>8.0260809822492298</v>
      </c>
      <c r="C586" t="s">
        <v>484</v>
      </c>
      <c r="G586" t="s">
        <v>496</v>
      </c>
    </row>
    <row r="587" spans="1:8" x14ac:dyDescent="0.2">
      <c r="G587">
        <v>12</v>
      </c>
      <c r="H587" t="s">
        <v>497</v>
      </c>
    </row>
    <row r="588" spans="1:8" x14ac:dyDescent="0.2">
      <c r="G588" t="s">
        <v>498</v>
      </c>
    </row>
    <row r="589" spans="1:8" x14ac:dyDescent="0.2">
      <c r="G589">
        <f>G583/G587</f>
        <v>27.407499999999999</v>
      </c>
      <c r="H589" t="s">
        <v>499</v>
      </c>
    </row>
    <row r="590" spans="1:8" x14ac:dyDescent="0.2">
      <c r="G590">
        <f>G589*24</f>
        <v>657.78</v>
      </c>
      <c r="H590" t="s">
        <v>462</v>
      </c>
    </row>
    <row r="599" spans="4:6" x14ac:dyDescent="0.2">
      <c r="D599" t="s">
        <v>500</v>
      </c>
      <c r="E599" t="s">
        <v>26</v>
      </c>
      <c r="F599" t="s">
        <v>501</v>
      </c>
    </row>
    <row r="600" spans="4:6" x14ac:dyDescent="0.2">
      <c r="D600" t="s">
        <v>461</v>
      </c>
      <c r="E600">
        <v>230</v>
      </c>
      <c r="F600" t="s">
        <v>502</v>
      </c>
    </row>
    <row r="601" spans="4:6" x14ac:dyDescent="0.2">
      <c r="D601" t="s">
        <v>461</v>
      </c>
      <c r="E601">
        <f>907.2*E600</f>
        <v>208656</v>
      </c>
      <c r="F601" t="s">
        <v>28</v>
      </c>
    </row>
    <row r="602" spans="4:6" x14ac:dyDescent="0.2">
      <c r="D602" t="s">
        <v>503</v>
      </c>
      <c r="E602">
        <v>22.601400000000002</v>
      </c>
      <c r="F602" t="s">
        <v>48</v>
      </c>
    </row>
    <row r="603" spans="4:6" x14ac:dyDescent="0.2">
      <c r="D603" t="s">
        <v>504</v>
      </c>
      <c r="E603">
        <f>E601/E602</f>
        <v>9231.9944782181628</v>
      </c>
      <c r="F603" t="s">
        <v>505</v>
      </c>
    </row>
    <row r="604" spans="4:6" x14ac:dyDescent="0.2">
      <c r="D604" t="s">
        <v>506</v>
      </c>
    </row>
    <row r="605" spans="4:6" x14ac:dyDescent="0.2">
      <c r="D605" t="s">
        <v>507</v>
      </c>
      <c r="E605">
        <v>500</v>
      </c>
      <c r="F605" t="s">
        <v>508</v>
      </c>
    </row>
    <row r="606" spans="4:6" x14ac:dyDescent="0.2">
      <c r="D606" t="s">
        <v>509</v>
      </c>
      <c r="E606" s="5">
        <f>E605*E600</f>
        <v>115000</v>
      </c>
      <c r="F606" t="s">
        <v>510</v>
      </c>
    </row>
    <row r="607" spans="4:6" x14ac:dyDescent="0.2">
      <c r="D607" t="s">
        <v>511</v>
      </c>
      <c r="E607" s="5">
        <f>E606*365</f>
        <v>41975000</v>
      </c>
      <c r="F607" t="s">
        <v>512</v>
      </c>
    </row>
    <row r="608" spans="4:6" x14ac:dyDescent="0.2">
      <c r="D608" t="s">
        <v>513</v>
      </c>
      <c r="E608" s="5">
        <f>E607*0.4</f>
        <v>16790000</v>
      </c>
      <c r="F608" t="s">
        <v>512</v>
      </c>
    </row>
    <row r="609" spans="1:6" x14ac:dyDescent="0.2">
      <c r="D609" t="s">
        <v>513</v>
      </c>
      <c r="E609" s="5">
        <f>E608*3962</f>
        <v>66521980000</v>
      </c>
      <c r="F609" t="s">
        <v>514</v>
      </c>
    </row>
    <row r="610" spans="1:6" x14ac:dyDescent="0.2">
      <c r="A610" t="s">
        <v>515</v>
      </c>
    </row>
    <row r="611" spans="1:6" x14ac:dyDescent="0.2">
      <c r="A611" t="s">
        <v>476</v>
      </c>
      <c r="B611">
        <v>1.5</v>
      </c>
      <c r="C611" t="s">
        <v>484</v>
      </c>
    </row>
    <row r="612" spans="1:6" x14ac:dyDescent="0.2">
      <c r="A612" t="s">
        <v>488</v>
      </c>
      <c r="B612">
        <v>5</v>
      </c>
      <c r="C612" t="s">
        <v>484</v>
      </c>
    </row>
    <row r="613" spans="1:6" x14ac:dyDescent="0.2">
      <c r="A613" t="s">
        <v>516</v>
      </c>
      <c r="B613">
        <v>50</v>
      </c>
      <c r="C613" t="s">
        <v>153</v>
      </c>
    </row>
    <row r="614" spans="1:6" x14ac:dyDescent="0.2">
      <c r="A614" t="s">
        <v>517</v>
      </c>
      <c r="B614">
        <f>B613*10^5</f>
        <v>5000000</v>
      </c>
      <c r="C614" t="s">
        <v>518</v>
      </c>
    </row>
    <row r="615" spans="1:6" x14ac:dyDescent="0.2">
      <c r="A615" t="s">
        <v>519</v>
      </c>
      <c r="B615">
        <v>0.01</v>
      </c>
      <c r="C615" t="s">
        <v>520</v>
      </c>
    </row>
    <row r="616" spans="1:6" x14ac:dyDescent="0.2">
      <c r="A616" t="s">
        <v>521</v>
      </c>
      <c r="B616">
        <f>+B614</f>
        <v>5000000</v>
      </c>
      <c r="C616" t="s">
        <v>518</v>
      </c>
    </row>
    <row r="617" spans="1:6" x14ac:dyDescent="0.2">
      <c r="A617" t="s">
        <v>522</v>
      </c>
      <c r="B617">
        <f>B611</f>
        <v>1.5</v>
      </c>
      <c r="C617" t="s">
        <v>484</v>
      </c>
    </row>
    <row r="618" spans="1:6" x14ac:dyDescent="0.2">
      <c r="A618" t="s">
        <v>523</v>
      </c>
      <c r="B618" s="73">
        <f>B616*50</f>
        <v>250000000</v>
      </c>
      <c r="C618" t="s">
        <v>518</v>
      </c>
    </row>
    <row r="619" spans="1:6" x14ac:dyDescent="0.2">
      <c r="A619" t="s">
        <v>477</v>
      </c>
      <c r="B619">
        <v>0.8</v>
      </c>
    </row>
    <row r="620" spans="1:6" x14ac:dyDescent="0.2">
      <c r="A620" t="s">
        <v>524</v>
      </c>
      <c r="B620">
        <f>(B616*B617)/((B618*B619)-(0.6*B616))</f>
        <v>3.8071065989847719E-2</v>
      </c>
      <c r="C620" t="s">
        <v>484</v>
      </c>
    </row>
    <row r="621" spans="1:6" x14ac:dyDescent="0.2">
      <c r="A621" t="s">
        <v>524</v>
      </c>
      <c r="B621">
        <f>(B616*(B617+B615))/(2*B618)</f>
        <v>1.5100000000000001E-2</v>
      </c>
      <c r="C621" t="s">
        <v>484</v>
      </c>
    </row>
    <row r="622" spans="1:6" x14ac:dyDescent="0.2">
      <c r="A622" t="s">
        <v>525</v>
      </c>
      <c r="B622">
        <f>PI()*B611*B612*B621*B623</f>
        <v>2786.8667876931718</v>
      </c>
      <c r="C622" t="s">
        <v>526</v>
      </c>
    </row>
    <row r="623" spans="1:6" x14ac:dyDescent="0.2">
      <c r="A623" t="s">
        <v>527</v>
      </c>
      <c r="B623">
        <f>7833</f>
        <v>7833</v>
      </c>
      <c r="C623" t="s">
        <v>48</v>
      </c>
    </row>
    <row r="624" spans="1:6" x14ac:dyDescent="0.2">
      <c r="A624" t="s">
        <v>528</v>
      </c>
      <c r="B624">
        <v>-400</v>
      </c>
      <c r="C624">
        <v>-10000</v>
      </c>
    </row>
    <row r="625" spans="1:3" x14ac:dyDescent="0.2">
      <c r="A625" t="s">
        <v>529</v>
      </c>
      <c r="B625">
        <v>230</v>
      </c>
      <c r="C625">
        <v>600</v>
      </c>
    </row>
    <row r="626" spans="1:3" x14ac:dyDescent="0.2">
      <c r="A626" t="s">
        <v>530</v>
      </c>
      <c r="B626">
        <v>0.6</v>
      </c>
      <c r="C626">
        <v>0.6</v>
      </c>
    </row>
    <row r="627" spans="1:3" x14ac:dyDescent="0.2">
      <c r="A627" t="s">
        <v>531</v>
      </c>
      <c r="B627" s="5">
        <f>B624+B625*(B622)^B626</f>
        <v>26440.930156214221</v>
      </c>
      <c r="C627" t="s">
        <v>532</v>
      </c>
    </row>
    <row r="628" spans="1:3" x14ac:dyDescent="0.2">
      <c r="A628" t="s">
        <v>533</v>
      </c>
      <c r="B628" s="5">
        <f>C624+C625*(B622)^C626</f>
        <v>60019.817798819713</v>
      </c>
      <c r="C628" t="s">
        <v>532</v>
      </c>
    </row>
    <row r="629" spans="1:3" x14ac:dyDescent="0.2">
      <c r="A629" t="s">
        <v>534</v>
      </c>
      <c r="B629" s="5">
        <f>$B$627*($B$632/$B$631)</f>
        <v>44125.304880418509</v>
      </c>
      <c r="C629" t="s">
        <v>532</v>
      </c>
    </row>
    <row r="630" spans="1:3" x14ac:dyDescent="0.2">
      <c r="A630" t="s">
        <v>535</v>
      </c>
      <c r="B630" s="5">
        <f>$B$628*($B$632/$B$631)</f>
        <v>100162.61695762078</v>
      </c>
      <c r="C630" t="s">
        <v>532</v>
      </c>
    </row>
    <row r="631" spans="1:3" x14ac:dyDescent="0.2">
      <c r="A631" t="s">
        <v>536</v>
      </c>
      <c r="B631">
        <v>478.6</v>
      </c>
    </row>
    <row r="632" spans="1:3" x14ac:dyDescent="0.2">
      <c r="A632" t="s">
        <v>537</v>
      </c>
      <c r="B632">
        <v>798.7</v>
      </c>
    </row>
    <row r="633" spans="1:3" x14ac:dyDescent="0.2">
      <c r="A633" t="s">
        <v>538</v>
      </c>
    </row>
    <row r="634" spans="1:3" x14ac:dyDescent="0.2">
      <c r="A634" t="s">
        <v>539</v>
      </c>
      <c r="B634" s="38">
        <f>B629*1.4</f>
        <v>61775.426832585908</v>
      </c>
      <c r="C634" t="s">
        <v>532</v>
      </c>
    </row>
    <row r="635" spans="1:3" x14ac:dyDescent="0.2">
      <c r="A635" t="s">
        <v>540</v>
      </c>
      <c r="B635" s="38">
        <f>B630*1.4</f>
        <v>140227.66374066909</v>
      </c>
      <c r="C635" t="s">
        <v>532</v>
      </c>
    </row>
    <row r="637" spans="1:3" x14ac:dyDescent="0.2">
      <c r="A637" t="s">
        <v>541</v>
      </c>
      <c r="B637" t="s">
        <v>542</v>
      </c>
    </row>
    <row r="638" spans="1:3" x14ac:dyDescent="0.2">
      <c r="A638" t="s">
        <v>539</v>
      </c>
      <c r="B638" s="38">
        <f>B634*3.5</f>
        <v>216213.99391405069</v>
      </c>
      <c r="C638" t="s">
        <v>532</v>
      </c>
    </row>
    <row r="639" spans="1:3" x14ac:dyDescent="0.2">
      <c r="A639" t="s">
        <v>540</v>
      </c>
      <c r="B639" s="38">
        <f>B635*2.5</f>
        <v>350569.15935167274</v>
      </c>
      <c r="C639" t="s">
        <v>532</v>
      </c>
    </row>
    <row r="643" spans="1:5" x14ac:dyDescent="0.2">
      <c r="B643" t="s">
        <v>543</v>
      </c>
    </row>
    <row r="645" spans="1:5" x14ac:dyDescent="0.2">
      <c r="B645" t="s">
        <v>544</v>
      </c>
      <c r="C645" t="s">
        <v>545</v>
      </c>
      <c r="D645" t="s">
        <v>546</v>
      </c>
    </row>
    <row r="646" spans="1:5" x14ac:dyDescent="0.2">
      <c r="A646" t="s">
        <v>547</v>
      </c>
      <c r="B646">
        <f>10963.8</f>
        <v>10963.8</v>
      </c>
      <c r="C646">
        <v>9648.84</v>
      </c>
      <c r="D646">
        <v>1314.98</v>
      </c>
    </row>
    <row r="647" spans="1:5" x14ac:dyDescent="0.2">
      <c r="A647" t="s">
        <v>548</v>
      </c>
      <c r="B647">
        <v>8695.86</v>
      </c>
      <c r="C647">
        <v>8673.14</v>
      </c>
      <c r="D647">
        <v>22.7181</v>
      </c>
    </row>
    <row r="648" spans="1:5" x14ac:dyDescent="0.2">
      <c r="A648" t="s">
        <v>549</v>
      </c>
      <c r="B648">
        <f>B646-B647</f>
        <v>2267.9399999999987</v>
      </c>
      <c r="C648">
        <f>C646-C647</f>
        <v>975.70000000000073</v>
      </c>
      <c r="D648">
        <f>D646-D647</f>
        <v>1292.2619</v>
      </c>
    </row>
    <row r="649" spans="1:5" x14ac:dyDescent="0.2">
      <c r="A649" t="s">
        <v>550</v>
      </c>
      <c r="B649" s="1">
        <f>B648/907.2*24</f>
        <v>59.998412698412658</v>
      </c>
      <c r="C649" s="1">
        <f t="shared" ref="C649:D649" si="11">C648/907.2*24</f>
        <v>25.812169312169328</v>
      </c>
      <c r="D649" s="1">
        <f t="shared" si="11"/>
        <v>34.186822751322751</v>
      </c>
    </row>
    <row r="650" spans="1:5" x14ac:dyDescent="0.2">
      <c r="A650" t="s">
        <v>26</v>
      </c>
    </row>
    <row r="651" spans="1:5" x14ac:dyDescent="0.2">
      <c r="A651" s="92" t="s">
        <v>551</v>
      </c>
      <c r="B651" s="92"/>
      <c r="C651" s="93">
        <f>C649/$B$649</f>
        <v>0.430214203197616</v>
      </c>
      <c r="D651" s="93">
        <f>D649/$B$649</f>
        <v>0.5697954531424998</v>
      </c>
      <c r="E651" s="92" t="s">
        <v>552</v>
      </c>
    </row>
    <row r="653" spans="1:5" x14ac:dyDescent="0.2">
      <c r="B653">
        <v>60</v>
      </c>
      <c r="C653">
        <f>-228.494+249.228</f>
        <v>20.734000000000009</v>
      </c>
      <c r="D653">
        <f>B653-C653</f>
        <v>39.265999999999991</v>
      </c>
    </row>
    <row r="654" spans="1:5" x14ac:dyDescent="0.2">
      <c r="C654" s="93">
        <f>C653/$B$653</f>
        <v>0.3455666666666668</v>
      </c>
      <c r="D654" s="93">
        <f>D653/$B$653</f>
        <v>0.6544333333333332</v>
      </c>
      <c r="E654" s="92" t="s">
        <v>553</v>
      </c>
    </row>
    <row r="657" spans="1:3" x14ac:dyDescent="0.2">
      <c r="A657" t="s">
        <v>554</v>
      </c>
    </row>
    <row r="658" spans="1:3" x14ac:dyDescent="0.2">
      <c r="A658" t="s">
        <v>555</v>
      </c>
      <c r="B658">
        <v>50</v>
      </c>
    </row>
    <row r="659" spans="1:3" x14ac:dyDescent="0.2">
      <c r="A659" t="s">
        <v>528</v>
      </c>
      <c r="B659">
        <v>53000</v>
      </c>
    </row>
    <row r="660" spans="1:3" x14ac:dyDescent="0.2">
      <c r="A660" t="s">
        <v>529</v>
      </c>
      <c r="B660">
        <v>69000</v>
      </c>
    </row>
    <row r="661" spans="1:3" x14ac:dyDescent="0.2">
      <c r="A661" t="s">
        <v>523</v>
      </c>
      <c r="B661">
        <f>B658</f>
        <v>50</v>
      </c>
    </row>
    <row r="662" spans="1:3" x14ac:dyDescent="0.2">
      <c r="A662" t="s">
        <v>530</v>
      </c>
      <c r="B662">
        <v>0.8</v>
      </c>
    </row>
    <row r="663" spans="1:3" x14ac:dyDescent="0.2">
      <c r="A663" t="s">
        <v>556</v>
      </c>
      <c r="B663" s="94">
        <f>B659+(B660*(B661)^B662)</f>
        <v>1630702.4291492761</v>
      </c>
      <c r="C663" t="s">
        <v>532</v>
      </c>
    </row>
    <row r="664" spans="1:3" x14ac:dyDescent="0.2">
      <c r="A664" t="s">
        <v>536</v>
      </c>
      <c r="B664">
        <v>478.6</v>
      </c>
    </row>
    <row r="665" spans="1:3" x14ac:dyDescent="0.2">
      <c r="A665" t="s">
        <v>537</v>
      </c>
      <c r="B665">
        <v>798.7</v>
      </c>
    </row>
    <row r="666" spans="1:3" x14ac:dyDescent="0.2">
      <c r="A666" t="s">
        <v>557</v>
      </c>
      <c r="B666" s="94">
        <f>B663*(B665/B664)</f>
        <v>2721358.1908932864</v>
      </c>
      <c r="C666" t="s">
        <v>532</v>
      </c>
    </row>
    <row r="667" spans="1:3" x14ac:dyDescent="0.2">
      <c r="A667" t="s">
        <v>558</v>
      </c>
      <c r="B667" s="94">
        <f>B666*2.5</f>
        <v>6803395.4772332162</v>
      </c>
      <c r="C667" t="s">
        <v>532</v>
      </c>
    </row>
    <row r="668" spans="1:3" x14ac:dyDescent="0.2">
      <c r="A668" t="s">
        <v>559</v>
      </c>
      <c r="B668">
        <v>60</v>
      </c>
      <c r="C668" t="s">
        <v>2</v>
      </c>
    </row>
    <row r="670" spans="1:3" x14ac:dyDescent="0.2">
      <c r="A670" t="s">
        <v>560</v>
      </c>
    </row>
    <row r="671" spans="1:3" x14ac:dyDescent="0.2">
      <c r="A671" t="s">
        <v>559</v>
      </c>
      <c r="B671">
        <v>25</v>
      </c>
      <c r="C671" t="s">
        <v>561</v>
      </c>
    </row>
    <row r="672" spans="1:3" x14ac:dyDescent="0.2">
      <c r="A672" t="s">
        <v>562</v>
      </c>
      <c r="B672">
        <f>B671*(35000/80)</f>
        <v>10937.5</v>
      </c>
      <c r="C672" t="s">
        <v>532</v>
      </c>
    </row>
    <row r="673" spans="1:3" x14ac:dyDescent="0.2">
      <c r="A673" t="s">
        <v>541</v>
      </c>
      <c r="B673">
        <f>B672*3</f>
        <v>32812.5</v>
      </c>
      <c r="C673" t="s">
        <v>532</v>
      </c>
    </row>
    <row r="675" spans="1:3" x14ac:dyDescent="0.2">
      <c r="A675" t="s">
        <v>563</v>
      </c>
    </row>
    <row r="676" spans="1:3" x14ac:dyDescent="0.2">
      <c r="A676" t="s">
        <v>559</v>
      </c>
      <c r="B676">
        <v>1</v>
      </c>
      <c r="C676" t="s">
        <v>561</v>
      </c>
    </row>
    <row r="677" spans="1:3" x14ac:dyDescent="0.2">
      <c r="A677" t="s">
        <v>562</v>
      </c>
      <c r="B677">
        <f>800</f>
        <v>800</v>
      </c>
      <c r="C677" t="s">
        <v>532</v>
      </c>
    </row>
    <row r="678" spans="1:3" x14ac:dyDescent="0.2">
      <c r="A678" t="s">
        <v>541</v>
      </c>
      <c r="B678">
        <f>B677*4</f>
        <v>3200</v>
      </c>
      <c r="C678" t="s">
        <v>532</v>
      </c>
    </row>
    <row r="680" spans="1:3" x14ac:dyDescent="0.2">
      <c r="A680" t="s">
        <v>564</v>
      </c>
    </row>
    <row r="688" spans="1:3" x14ac:dyDescent="0.2">
      <c r="C688" t="s">
        <v>565</v>
      </c>
    </row>
    <row r="709" spans="1:6" x14ac:dyDescent="0.2">
      <c r="A709" t="s">
        <v>566</v>
      </c>
    </row>
    <row r="710" spans="1:6" x14ac:dyDescent="0.2">
      <c r="A710" t="s">
        <v>567</v>
      </c>
      <c r="B710">
        <f>5165.19*0.1</f>
        <v>516.51900000000001</v>
      </c>
      <c r="C710" t="s">
        <v>568</v>
      </c>
    </row>
    <row r="711" spans="1:6" x14ac:dyDescent="0.2">
      <c r="A711" t="s">
        <v>528</v>
      </c>
      <c r="B711">
        <v>8400</v>
      </c>
    </row>
    <row r="712" spans="1:6" x14ac:dyDescent="0.2">
      <c r="A712" t="s">
        <v>529</v>
      </c>
      <c r="B712">
        <v>3100</v>
      </c>
    </row>
    <row r="713" spans="1:6" x14ac:dyDescent="0.2">
      <c r="A713" t="s">
        <v>530</v>
      </c>
      <c r="B713">
        <v>0.6</v>
      </c>
    </row>
    <row r="714" spans="1:6" x14ac:dyDescent="0.2">
      <c r="A714" t="s">
        <v>569</v>
      </c>
      <c r="B714" s="5">
        <f>$B$711+$B$712*($B$710)^$B$713</f>
        <v>139987.14817227807</v>
      </c>
      <c r="C714" t="s">
        <v>532</v>
      </c>
      <c r="D714" t="s">
        <v>570</v>
      </c>
    </row>
    <row r="715" spans="1:6" x14ac:dyDescent="0.2">
      <c r="A715" t="s">
        <v>536</v>
      </c>
      <c r="B715">
        <v>478.6</v>
      </c>
      <c r="D715" t="s">
        <v>571</v>
      </c>
      <c r="E715">
        <v>50</v>
      </c>
      <c r="F715" t="s">
        <v>561</v>
      </c>
    </row>
    <row r="716" spans="1:6" x14ac:dyDescent="0.2">
      <c r="A716" t="s">
        <v>537</v>
      </c>
      <c r="B716">
        <v>798.7</v>
      </c>
      <c r="D716" t="s">
        <v>572</v>
      </c>
      <c r="E716">
        <v>950</v>
      </c>
      <c r="F716" t="s">
        <v>532</v>
      </c>
    </row>
    <row r="717" spans="1:6" x14ac:dyDescent="0.2">
      <c r="A717" t="s">
        <v>573</v>
      </c>
      <c r="B717" s="5">
        <f>$B$714*($B$716/$B$715)</f>
        <v>233614.15638361574</v>
      </c>
      <c r="C717" t="s">
        <v>532</v>
      </c>
      <c r="D717" t="s">
        <v>574</v>
      </c>
      <c r="E717" s="5">
        <f>E716*4</f>
        <v>3800</v>
      </c>
      <c r="F717" t="s">
        <v>532</v>
      </c>
    </row>
    <row r="718" spans="1:6" x14ac:dyDescent="0.2">
      <c r="A718" t="s">
        <v>575</v>
      </c>
      <c r="B718" s="5">
        <f>$B$717*2.5</f>
        <v>584035.39095903933</v>
      </c>
      <c r="C718" t="s">
        <v>532</v>
      </c>
    </row>
    <row r="720" spans="1:6" x14ac:dyDescent="0.2">
      <c r="A720" t="s">
        <v>576</v>
      </c>
    </row>
    <row r="721" spans="1:9" x14ac:dyDescent="0.2">
      <c r="A721" t="s">
        <v>567</v>
      </c>
      <c r="B721">
        <v>516.51900000000001</v>
      </c>
      <c r="C721" t="s">
        <v>568</v>
      </c>
    </row>
    <row r="722" spans="1:9" x14ac:dyDescent="0.2">
      <c r="A722" t="s">
        <v>528</v>
      </c>
      <c r="B722">
        <v>240000</v>
      </c>
    </row>
    <row r="723" spans="1:9" x14ac:dyDescent="0.2">
      <c r="A723" t="s">
        <v>529</v>
      </c>
      <c r="B723">
        <v>1.33</v>
      </c>
      <c r="D723">
        <v>24.6</v>
      </c>
    </row>
    <row r="724" spans="1:9" x14ac:dyDescent="0.2">
      <c r="A724" t="s">
        <v>530</v>
      </c>
      <c r="B724">
        <v>1.5</v>
      </c>
      <c r="D724">
        <f>D723*2.2</f>
        <v>54.120000000000005</v>
      </c>
    </row>
    <row r="725" spans="1:9" x14ac:dyDescent="0.2">
      <c r="A725" t="s">
        <v>569</v>
      </c>
      <c r="B725" s="5">
        <f>B722+B723*(B721)^B724</f>
        <v>255612.81067177132</v>
      </c>
      <c r="C725" t="s">
        <v>532</v>
      </c>
    </row>
    <row r="726" spans="1:9" x14ac:dyDescent="0.2">
      <c r="A726" t="s">
        <v>536</v>
      </c>
      <c r="B726">
        <v>478.6</v>
      </c>
    </row>
    <row r="727" spans="1:9" x14ac:dyDescent="0.2">
      <c r="A727" t="s">
        <v>537</v>
      </c>
      <c r="B727">
        <v>798.7</v>
      </c>
    </row>
    <row r="728" spans="1:9" x14ac:dyDescent="0.2">
      <c r="A728" t="s">
        <v>573</v>
      </c>
      <c r="B728" s="5">
        <f>B725*(B727/B726)</f>
        <v>426573.23836929328</v>
      </c>
      <c r="C728" t="s">
        <v>532</v>
      </c>
    </row>
    <row r="729" spans="1:9" x14ac:dyDescent="0.2">
      <c r="A729" t="s">
        <v>575</v>
      </c>
      <c r="B729" s="5">
        <f>B728*2.5</f>
        <v>1066433.0959232333</v>
      </c>
      <c r="C729" t="s">
        <v>532</v>
      </c>
    </row>
    <row r="732" spans="1:9" x14ac:dyDescent="0.2">
      <c r="A732" s="235" t="s">
        <v>577</v>
      </c>
      <c r="B732" s="235"/>
      <c r="C732" s="235"/>
      <c r="D732" s="235"/>
    </row>
    <row r="733" spans="1:9" x14ac:dyDescent="0.2">
      <c r="A733" s="99" t="s">
        <v>578</v>
      </c>
      <c r="B733" s="99" t="s">
        <v>579</v>
      </c>
      <c r="C733" s="99" t="s">
        <v>580</v>
      </c>
      <c r="D733" s="99" t="s">
        <v>581</v>
      </c>
    </row>
    <row r="734" spans="1:9" x14ac:dyDescent="0.2">
      <c r="A734" s="99" t="s">
        <v>582</v>
      </c>
      <c r="B734" s="95">
        <f>B673</f>
        <v>32812.5</v>
      </c>
      <c r="C734" s="95">
        <f t="shared" ref="C734:C739" si="12">B734/2</f>
        <v>16406.25</v>
      </c>
      <c r="D734" s="95">
        <f t="shared" ref="D734:D739" si="13">3962*C734</f>
        <v>65001562.5</v>
      </c>
      <c r="F734">
        <f>2.3*(230/1.5)</f>
        <v>352.66666666666669</v>
      </c>
    </row>
    <row r="735" spans="1:9" x14ac:dyDescent="0.2">
      <c r="A735" s="99" t="s">
        <v>583</v>
      </c>
      <c r="B735" s="95">
        <f>B678</f>
        <v>3200</v>
      </c>
      <c r="C735" s="95">
        <f t="shared" si="12"/>
        <v>1600</v>
      </c>
      <c r="D735" s="95">
        <f t="shared" si="13"/>
        <v>6339200</v>
      </c>
      <c r="G735" t="s">
        <v>467</v>
      </c>
      <c r="H735">
        <f>G749/(F748*G750)</f>
        <v>27.421854514619884</v>
      </c>
      <c r="I735" t="s">
        <v>584</v>
      </c>
    </row>
    <row r="736" spans="1:9" x14ac:dyDescent="0.2">
      <c r="A736" s="99" t="s">
        <v>585</v>
      </c>
      <c r="B736" s="96">
        <f>B667</f>
        <v>6803395.4772332162</v>
      </c>
      <c r="C736" s="95">
        <f t="shared" si="12"/>
        <v>3401697.7386166081</v>
      </c>
      <c r="D736" s="95">
        <f t="shared" si="13"/>
        <v>13477526440.399002</v>
      </c>
    </row>
    <row r="737" spans="1:8" x14ac:dyDescent="0.2">
      <c r="A737" s="99" t="s">
        <v>586</v>
      </c>
      <c r="B737" s="95">
        <f>E717</f>
        <v>3800</v>
      </c>
      <c r="C737" s="95">
        <f t="shared" si="12"/>
        <v>1900</v>
      </c>
      <c r="D737" s="95">
        <f t="shared" si="13"/>
        <v>7527800</v>
      </c>
    </row>
    <row r="738" spans="1:8" x14ac:dyDescent="0.2">
      <c r="A738" s="99" t="s">
        <v>587</v>
      </c>
      <c r="B738" s="95">
        <f>B718</f>
        <v>584035.39095903933</v>
      </c>
      <c r="C738" s="95">
        <f t="shared" si="12"/>
        <v>292017.69547951967</v>
      </c>
      <c r="D738" s="95">
        <f t="shared" si="13"/>
        <v>1156974109.489857</v>
      </c>
      <c r="E738" t="s">
        <v>528</v>
      </c>
      <c r="F738">
        <f>10000</f>
        <v>10000</v>
      </c>
    </row>
    <row r="739" spans="1:8" x14ac:dyDescent="0.2">
      <c r="A739" s="99" t="s">
        <v>588</v>
      </c>
      <c r="B739" s="97">
        <f>B639</f>
        <v>350569.15935167274</v>
      </c>
      <c r="C739" s="95">
        <f t="shared" si="12"/>
        <v>175284.57967583637</v>
      </c>
      <c r="D739" s="95">
        <f t="shared" si="13"/>
        <v>694477504.67566371</v>
      </c>
      <c r="E739" t="s">
        <v>529</v>
      </c>
      <c r="F739">
        <v>88</v>
      </c>
    </row>
    <row r="740" spans="1:8" x14ac:dyDescent="0.2">
      <c r="A740" s="81" t="s">
        <v>24</v>
      </c>
      <c r="B740" s="98">
        <f>SUM(B734:B739)</f>
        <v>7777812.5275439285</v>
      </c>
      <c r="C740" s="98">
        <f>SUM(C734:C739)</f>
        <v>3888906.2637719642</v>
      </c>
      <c r="D740" s="98">
        <f>SUM(D734:D739)</f>
        <v>15407846617.064522</v>
      </c>
      <c r="E740" t="s">
        <v>523</v>
      </c>
      <c r="F740">
        <v>27.42</v>
      </c>
      <c r="G740" t="s">
        <v>584</v>
      </c>
    </row>
    <row r="741" spans="1:8" x14ac:dyDescent="0.2">
      <c r="E741" t="s">
        <v>530</v>
      </c>
      <c r="F741">
        <v>1</v>
      </c>
    </row>
    <row r="742" spans="1:8" x14ac:dyDescent="0.2">
      <c r="E742" t="s">
        <v>589</v>
      </c>
      <c r="F742">
        <f>F738+F739*(F740)^F741</f>
        <v>12412.96</v>
      </c>
      <c r="G742" t="s">
        <v>532</v>
      </c>
    </row>
    <row r="743" spans="1:8" x14ac:dyDescent="0.2">
      <c r="A743" s="222" t="s">
        <v>590</v>
      </c>
      <c r="B743" s="222"/>
      <c r="C743" s="222"/>
      <c r="D743" t="s">
        <v>591</v>
      </c>
      <c r="E743" t="s">
        <v>536</v>
      </c>
      <c r="F743">
        <v>478.6</v>
      </c>
    </row>
    <row r="744" spans="1:8" x14ac:dyDescent="0.2">
      <c r="A744" t="s">
        <v>592</v>
      </c>
      <c r="B744">
        <v>5165.1899999999996</v>
      </c>
      <c r="C744" t="s">
        <v>593</v>
      </c>
      <c r="D744" t="s">
        <v>594</v>
      </c>
      <c r="E744" t="s">
        <v>537</v>
      </c>
      <c r="F744">
        <v>798.7</v>
      </c>
    </row>
    <row r="745" spans="1:8" x14ac:dyDescent="0.2">
      <c r="A745" t="s">
        <v>595</v>
      </c>
      <c r="B745">
        <v>20000</v>
      </c>
      <c r="C745" t="s">
        <v>593</v>
      </c>
      <c r="D745" t="s">
        <v>594</v>
      </c>
      <c r="E745" t="s">
        <v>596</v>
      </c>
      <c r="F745">
        <f>F742*(F744/F743)</f>
        <v>20715.067179272879</v>
      </c>
      <c r="G745" t="s">
        <v>532</v>
      </c>
    </row>
    <row r="746" spans="1:8" x14ac:dyDescent="0.2">
      <c r="A746" t="s">
        <v>597</v>
      </c>
      <c r="B746">
        <v>7255.65</v>
      </c>
      <c r="C746" t="s">
        <v>593</v>
      </c>
      <c r="D746" t="s">
        <v>598</v>
      </c>
      <c r="E746" t="s">
        <v>599</v>
      </c>
      <c r="F746" s="11">
        <f>F745*3960</f>
        <v>82031666.029920608</v>
      </c>
      <c r="G746" t="s">
        <v>600</v>
      </c>
    </row>
    <row r="748" spans="1:8" x14ac:dyDescent="0.2">
      <c r="B748">
        <f>2*8.314*700/200000</f>
        <v>5.8198E-2</v>
      </c>
      <c r="C748">
        <f>+B748*3.3^3</f>
        <v>2.0914615259999998</v>
      </c>
      <c r="F748">
        <f>(850+2000)/2</f>
        <v>1425</v>
      </c>
      <c r="G748" t="s">
        <v>601</v>
      </c>
    </row>
    <row r="749" spans="1:8" x14ac:dyDescent="0.2">
      <c r="A749" t="s">
        <v>602</v>
      </c>
      <c r="B749">
        <f>-6.2387*10^6</f>
        <v>-6238700</v>
      </c>
      <c r="C749" t="s">
        <v>603</v>
      </c>
      <c r="D749">
        <f>B749*3.96</f>
        <v>-24705252</v>
      </c>
      <c r="E749" t="s">
        <v>604</v>
      </c>
      <c r="F749" t="s">
        <v>605</v>
      </c>
      <c r="G749">
        <v>2344568.5610000002</v>
      </c>
      <c r="H749" t="s">
        <v>606</v>
      </c>
    </row>
    <row r="750" spans="1:8" x14ac:dyDescent="0.2">
      <c r="A750" t="s">
        <v>607</v>
      </c>
      <c r="B750">
        <v>1</v>
      </c>
      <c r="C750" t="s">
        <v>608</v>
      </c>
      <c r="D750">
        <v>3.5</v>
      </c>
      <c r="E750" t="s">
        <v>609</v>
      </c>
      <c r="F750" t="s">
        <v>610</v>
      </c>
      <c r="G750">
        <v>60</v>
      </c>
      <c r="H750" t="s">
        <v>611</v>
      </c>
    </row>
    <row r="751" spans="1:8" x14ac:dyDescent="0.2">
      <c r="A751" t="s">
        <v>610</v>
      </c>
      <c r="B751">
        <f>25-500</f>
        <v>-475</v>
      </c>
      <c r="C751" t="s">
        <v>612</v>
      </c>
      <c r="D751">
        <f>(3.5/24)*(B753/D750)</f>
        <v>0.54725438596491227</v>
      </c>
      <c r="E751" t="s">
        <v>613</v>
      </c>
    </row>
    <row r="752" spans="1:8" x14ac:dyDescent="0.2">
      <c r="A752" t="s">
        <v>484</v>
      </c>
      <c r="B752">
        <f>B749/(B750*B751)</f>
        <v>13134.105263157895</v>
      </c>
      <c r="C752" t="s">
        <v>493</v>
      </c>
      <c r="D752">
        <f>D751*1000</f>
        <v>547.25438596491222</v>
      </c>
      <c r="E752" t="s">
        <v>614</v>
      </c>
      <c r="G752">
        <v>2000000</v>
      </c>
      <c r="H752" t="s">
        <v>615</v>
      </c>
    </row>
    <row r="753" spans="1:8" x14ac:dyDescent="0.2">
      <c r="A753" t="s">
        <v>616</v>
      </c>
      <c r="B753">
        <f>B752/1000</f>
        <v>13.134105263157895</v>
      </c>
      <c r="C753" t="s">
        <v>613</v>
      </c>
      <c r="D753">
        <f>D752*24</f>
        <v>13134.105263157893</v>
      </c>
      <c r="E753" t="s">
        <v>617</v>
      </c>
      <c r="G753">
        <f>G752/24</f>
        <v>83333.333333333328</v>
      </c>
      <c r="H753" t="s">
        <v>618</v>
      </c>
    </row>
    <row r="754" spans="1:8" x14ac:dyDescent="0.2">
      <c r="A754" t="s">
        <v>619</v>
      </c>
      <c r="B754">
        <v>5476.6</v>
      </c>
      <c r="C754" t="s">
        <v>620</v>
      </c>
      <c r="D754" t="s">
        <v>621</v>
      </c>
      <c r="G754">
        <f>G753/35.315</f>
        <v>2359.7149464344707</v>
      </c>
      <c r="H754" t="s">
        <v>613</v>
      </c>
    </row>
    <row r="755" spans="1:8" x14ac:dyDescent="0.2">
      <c r="A755" t="s">
        <v>622</v>
      </c>
      <c r="B755" s="5">
        <f>B753*B754*8200</f>
        <v>589827975.25052643</v>
      </c>
      <c r="C755" t="s">
        <v>514</v>
      </c>
    </row>
    <row r="756" spans="1:8" x14ac:dyDescent="0.2">
      <c r="A756" t="s">
        <v>623</v>
      </c>
      <c r="B756" s="5">
        <f>B755/3962</f>
        <v>148871.27088604908</v>
      </c>
      <c r="C756" t="s">
        <v>512</v>
      </c>
      <c r="G756">
        <f>7+250+16+82+40+108</f>
        <v>503</v>
      </c>
    </row>
    <row r="757" spans="1:8" x14ac:dyDescent="0.2">
      <c r="G757">
        <f>750-G756</f>
        <v>247</v>
      </c>
    </row>
    <row r="758" spans="1:8" x14ac:dyDescent="0.2">
      <c r="A758" t="s">
        <v>624</v>
      </c>
      <c r="G758">
        <f>G757+G756</f>
        <v>750</v>
      </c>
    </row>
    <row r="759" spans="1:8" x14ac:dyDescent="0.2">
      <c r="A759" t="s">
        <v>625</v>
      </c>
      <c r="B759">
        <v>700</v>
      </c>
      <c r="C759" t="s">
        <v>626</v>
      </c>
      <c r="D759" t="s">
        <v>627</v>
      </c>
    </row>
    <row r="760" spans="1:8" x14ac:dyDescent="0.2">
      <c r="A760" t="s">
        <v>628</v>
      </c>
      <c r="B760">
        <f>B710</f>
        <v>516.51900000000001</v>
      </c>
      <c r="C760" t="s">
        <v>593</v>
      </c>
    </row>
    <row r="761" spans="1:8" x14ac:dyDescent="0.2">
      <c r="A761" t="s">
        <v>629</v>
      </c>
      <c r="B761" s="5">
        <f>$B$759*$B$760*2000</f>
        <v>723126600</v>
      </c>
      <c r="C761" t="s">
        <v>514</v>
      </c>
    </row>
    <row r="762" spans="1:8" x14ac:dyDescent="0.2">
      <c r="D762" t="s">
        <v>630</v>
      </c>
      <c r="E762" t="s">
        <v>631</v>
      </c>
    </row>
    <row r="763" spans="1:8" x14ac:dyDescent="0.2">
      <c r="A763" t="s">
        <v>632</v>
      </c>
      <c r="D763" t="s">
        <v>633</v>
      </c>
      <c r="E763" t="s">
        <v>634</v>
      </c>
    </row>
    <row r="764" spans="1:8" x14ac:dyDescent="0.2">
      <c r="A764" t="s">
        <v>625</v>
      </c>
      <c r="B764">
        <v>744.95699999999999</v>
      </c>
      <c r="C764" t="s">
        <v>626</v>
      </c>
    </row>
    <row r="765" spans="1:8" x14ac:dyDescent="0.2">
      <c r="A765" t="s">
        <v>595</v>
      </c>
      <c r="B765">
        <f>B745</f>
        <v>20000</v>
      </c>
      <c r="C765" t="s">
        <v>593</v>
      </c>
    </row>
    <row r="766" spans="1:8" x14ac:dyDescent="0.2">
      <c r="A766" t="s">
        <v>635</v>
      </c>
      <c r="B766" s="5">
        <f>B764*B765*3000</f>
        <v>44697420000</v>
      </c>
      <c r="C766" t="s">
        <v>514</v>
      </c>
    </row>
    <row r="769" spans="1:3" x14ac:dyDescent="0.2">
      <c r="A769" s="229" t="s">
        <v>636</v>
      </c>
      <c r="B769" s="229"/>
    </row>
    <row r="770" spans="1:3" x14ac:dyDescent="0.2">
      <c r="A770" s="99" t="s">
        <v>637</v>
      </c>
      <c r="B770" s="99" t="s">
        <v>514</v>
      </c>
    </row>
    <row r="771" spans="1:3" x14ac:dyDescent="0.2">
      <c r="A771" s="99" t="s">
        <v>638</v>
      </c>
      <c r="B771" s="95">
        <f>E609</f>
        <v>66521980000</v>
      </c>
    </row>
    <row r="772" spans="1:3" x14ac:dyDescent="0.2">
      <c r="A772" s="99" t="s">
        <v>635</v>
      </c>
      <c r="B772" s="95">
        <f>B766</f>
        <v>44697420000</v>
      </c>
    </row>
    <row r="773" spans="1:3" x14ac:dyDescent="0.2">
      <c r="A773" s="99" t="s">
        <v>629</v>
      </c>
      <c r="B773" s="95">
        <f>B761</f>
        <v>723126600</v>
      </c>
    </row>
    <row r="774" spans="1:3" x14ac:dyDescent="0.2">
      <c r="A774" s="99" t="s">
        <v>622</v>
      </c>
      <c r="B774" s="96">
        <f>B755</f>
        <v>589827975.25052643</v>
      </c>
    </row>
    <row r="775" spans="1:3" x14ac:dyDescent="0.2">
      <c r="A775" s="81" t="s">
        <v>639</v>
      </c>
      <c r="B775" s="98">
        <f>SUM(B771:B774)</f>
        <v>112532354575.25052</v>
      </c>
    </row>
    <row r="776" spans="1:3" x14ac:dyDescent="0.2">
      <c r="A776" s="99" t="s">
        <v>640</v>
      </c>
      <c r="B776" s="95">
        <f>8*(1160000)*12</f>
        <v>111360000</v>
      </c>
      <c r="C776" t="s">
        <v>641</v>
      </c>
    </row>
    <row r="777" spans="1:3" x14ac:dyDescent="0.2">
      <c r="A777" s="99" t="s">
        <v>642</v>
      </c>
      <c r="B777" s="95">
        <f>33994000*12</f>
        <v>407928000</v>
      </c>
      <c r="C777" t="s">
        <v>643</v>
      </c>
    </row>
    <row r="778" spans="1:3" x14ac:dyDescent="0.2">
      <c r="A778" s="81" t="s">
        <v>644</v>
      </c>
      <c r="B778" s="98">
        <f>SUM(B776:B777)</f>
        <v>519288000</v>
      </c>
    </row>
    <row r="779" spans="1:3" x14ac:dyDescent="0.2">
      <c r="A779" s="81" t="s">
        <v>645</v>
      </c>
      <c r="B779" s="98">
        <f>B775+B778</f>
        <v>113051642575.25052</v>
      </c>
    </row>
    <row r="781" spans="1:3" x14ac:dyDescent="0.2">
      <c r="C781">
        <f>6*800*360*4100</f>
        <v>7084800000</v>
      </c>
    </row>
    <row r="782" spans="1:3" x14ac:dyDescent="0.2">
      <c r="A782" t="s">
        <v>646</v>
      </c>
      <c r="B782">
        <f>E29</f>
        <v>14341900.057909381</v>
      </c>
      <c r="C782" t="s">
        <v>36</v>
      </c>
    </row>
    <row r="783" spans="1:3" x14ac:dyDescent="0.2">
      <c r="A783" t="s">
        <v>647</v>
      </c>
      <c r="B783">
        <f>B782*365</f>
        <v>5234793521.1369238</v>
      </c>
      <c r="C783" t="s">
        <v>41</v>
      </c>
    </row>
    <row r="784" spans="1:3" x14ac:dyDescent="0.2">
      <c r="A784" t="s">
        <v>648</v>
      </c>
      <c r="B784">
        <v>700</v>
      </c>
      <c r="C784" t="s">
        <v>626</v>
      </c>
    </row>
    <row r="785" spans="1:11" x14ac:dyDescent="0.2">
      <c r="A785" t="s">
        <v>649</v>
      </c>
      <c r="B785" s="5">
        <f>B783*B784</f>
        <v>3664355464795.8467</v>
      </c>
      <c r="C785" t="s">
        <v>514</v>
      </c>
      <c r="D785" t="s">
        <v>650</v>
      </c>
      <c r="E785" s="100">
        <v>7.0000000000000007E-2</v>
      </c>
      <c r="F785" t="s">
        <v>651</v>
      </c>
    </row>
    <row r="786" spans="1:11" x14ac:dyDescent="0.2">
      <c r="A786" t="s">
        <v>652</v>
      </c>
      <c r="B786" s="5">
        <f>B783*3000</f>
        <v>15704380563410.771</v>
      </c>
      <c r="C786" t="s">
        <v>514</v>
      </c>
    </row>
    <row r="788" spans="1:11" x14ac:dyDescent="0.2">
      <c r="A788" t="s">
        <v>653</v>
      </c>
      <c r="B788" s="5">
        <f>B785-(D740+B779)</f>
        <v>3535895975603.5317</v>
      </c>
      <c r="C788" t="s">
        <v>514</v>
      </c>
    </row>
    <row r="789" spans="1:11" x14ac:dyDescent="0.2">
      <c r="A789" t="s">
        <v>654</v>
      </c>
      <c r="B789" s="5">
        <f>B786-(D740+B779)</f>
        <v>15575921074218.457</v>
      </c>
      <c r="C789" t="s">
        <v>514</v>
      </c>
    </row>
    <row r="794" spans="1:11" x14ac:dyDescent="0.2">
      <c r="A794" t="s">
        <v>655</v>
      </c>
      <c r="B794">
        <v>0</v>
      </c>
      <c r="C794">
        <v>1</v>
      </c>
      <c r="D794">
        <v>2</v>
      </c>
      <c r="E794">
        <v>3</v>
      </c>
      <c r="F794">
        <v>4</v>
      </c>
      <c r="G794">
        <v>5</v>
      </c>
      <c r="H794">
        <v>6</v>
      </c>
      <c r="I794">
        <v>7</v>
      </c>
      <c r="J794">
        <v>8</v>
      </c>
      <c r="K794">
        <v>9</v>
      </c>
    </row>
    <row r="795" spans="1:11" x14ac:dyDescent="0.2">
      <c r="A795" t="s">
        <v>656</v>
      </c>
      <c r="C795" s="5">
        <f>B786</f>
        <v>15704380563410.771</v>
      </c>
      <c r="D795" s="38">
        <f>C795*1.07</f>
        <v>16803687202849.527</v>
      </c>
      <c r="E795" s="38">
        <f t="shared" ref="E795:K795" si="14">D795*1.07</f>
        <v>17979945307048.996</v>
      </c>
      <c r="F795" s="38">
        <f t="shared" si="14"/>
        <v>19238541478542.426</v>
      </c>
      <c r="G795" s="38">
        <f t="shared" si="14"/>
        <v>20585239382040.398</v>
      </c>
      <c r="H795" s="38">
        <f>G795*1.07</f>
        <v>22026206138783.227</v>
      </c>
      <c r="I795" s="38">
        <f>H795*1.07</f>
        <v>23568040568498.055</v>
      </c>
      <c r="J795" s="38">
        <f t="shared" si="14"/>
        <v>25217803408292.922</v>
      </c>
      <c r="K795" s="38">
        <f t="shared" si="14"/>
        <v>26983049646873.43</v>
      </c>
    </row>
    <row r="796" spans="1:11" x14ac:dyDescent="0.2">
      <c r="A796" t="s">
        <v>657</v>
      </c>
      <c r="C796" s="5">
        <f>B779</f>
        <v>113051642575.25052</v>
      </c>
      <c r="D796" s="38">
        <f>C796*1.07</f>
        <v>120965257555.51807</v>
      </c>
      <c r="E796" s="38">
        <f t="shared" ref="E796:K796" si="15">D796*1.07</f>
        <v>129432825584.40434</v>
      </c>
      <c r="F796" s="38">
        <f t="shared" si="15"/>
        <v>138493123375.31265</v>
      </c>
      <c r="G796" s="38">
        <f t="shared" si="15"/>
        <v>148187642011.58453</v>
      </c>
      <c r="H796" s="38">
        <f>G796*1.07</f>
        <v>158560776952.39545</v>
      </c>
      <c r="I796" s="38">
        <f>H796*1.07</f>
        <v>169660031339.06314</v>
      </c>
      <c r="J796" s="38">
        <f t="shared" si="15"/>
        <v>181536233532.79758</v>
      </c>
      <c r="K796" s="38">
        <f t="shared" si="15"/>
        <v>194243769880.09341</v>
      </c>
    </row>
    <row r="797" spans="1:11" x14ac:dyDescent="0.2">
      <c r="A797" t="s">
        <v>658</v>
      </c>
      <c r="C797" s="38">
        <f>C795-C796-B800</f>
        <v>15575921074218.457</v>
      </c>
      <c r="D797" s="38">
        <f>D795-D796-C800</f>
        <v>16667314098676.945</v>
      </c>
      <c r="E797" s="38">
        <f>E795-E796</f>
        <v>17850512481464.59</v>
      </c>
      <c r="F797" s="38">
        <f t="shared" ref="F797:K797" si="16">F795-F796</f>
        <v>19100048355167.113</v>
      </c>
      <c r="G797" s="38">
        <f t="shared" si="16"/>
        <v>20437051740028.812</v>
      </c>
      <c r="H797" s="38">
        <f>H795-H796</f>
        <v>21867645361830.832</v>
      </c>
      <c r="I797" s="38">
        <f t="shared" si="16"/>
        <v>23398380537158.992</v>
      </c>
      <c r="J797" s="38">
        <f t="shared" si="16"/>
        <v>25036267174760.125</v>
      </c>
      <c r="K797" s="38">
        <f t="shared" si="16"/>
        <v>26788805876993.336</v>
      </c>
    </row>
    <row r="798" spans="1:11" x14ac:dyDescent="0.2">
      <c r="A798" t="s">
        <v>659</v>
      </c>
      <c r="C798" s="38">
        <f>0.35*C797</f>
        <v>5451572375976.46</v>
      </c>
      <c r="D798" s="38">
        <f t="shared" ref="D798:K798" si="17">0.35*D797</f>
        <v>5833559934536.9307</v>
      </c>
      <c r="E798" s="38">
        <f t="shared" si="17"/>
        <v>6247679368512.6064</v>
      </c>
      <c r="F798" s="38">
        <f t="shared" si="17"/>
        <v>6685016924308.4893</v>
      </c>
      <c r="G798" s="38">
        <f t="shared" si="17"/>
        <v>7152968109010.084</v>
      </c>
      <c r="H798" s="38">
        <f>0.35*H797</f>
        <v>7653675876640.791</v>
      </c>
      <c r="I798" s="38">
        <f t="shared" si="17"/>
        <v>8189433188005.6465</v>
      </c>
      <c r="J798" s="38">
        <f t="shared" si="17"/>
        <v>8762693511166.043</v>
      </c>
      <c r="K798" s="38">
        <f t="shared" si="17"/>
        <v>9376082056947.666</v>
      </c>
    </row>
    <row r="799" spans="1:11" x14ac:dyDescent="0.2">
      <c r="A799" t="s">
        <v>660</v>
      </c>
      <c r="C799" s="38">
        <f>C797-C798</f>
        <v>10124348698241.996</v>
      </c>
      <c r="D799" s="38">
        <f t="shared" ref="D799:K799" si="18">D797-D798</f>
        <v>10833754164140.016</v>
      </c>
      <c r="E799" s="38">
        <f t="shared" si="18"/>
        <v>11602833112951.984</v>
      </c>
      <c r="F799" s="38">
        <f t="shared" si="18"/>
        <v>12415031430858.625</v>
      </c>
      <c r="G799" s="38">
        <f t="shared" si="18"/>
        <v>13284083631018.729</v>
      </c>
      <c r="H799" s="38">
        <f>H797-H798</f>
        <v>14213969485190.041</v>
      </c>
      <c r="I799" s="38">
        <f t="shared" si="18"/>
        <v>15208947349153.346</v>
      </c>
      <c r="J799" s="38">
        <f t="shared" si="18"/>
        <v>16273573663594.082</v>
      </c>
      <c r="K799" s="38">
        <f t="shared" si="18"/>
        <v>17412723820045.67</v>
      </c>
    </row>
    <row r="800" spans="1:11" x14ac:dyDescent="0.2">
      <c r="A800" t="s">
        <v>661</v>
      </c>
      <c r="B800" s="5">
        <f>D740</f>
        <v>15407846617.064522</v>
      </c>
      <c r="C800" s="5">
        <f>D740</f>
        <v>15407846617.064522</v>
      </c>
    </row>
    <row r="802" spans="1:7" x14ac:dyDescent="0.2">
      <c r="B802" t="s">
        <v>662</v>
      </c>
    </row>
    <row r="803" spans="1:7" x14ac:dyDescent="0.2">
      <c r="A803" s="221" t="s">
        <v>663</v>
      </c>
      <c r="B803" s="221"/>
      <c r="C803" s="221"/>
      <c r="D803" t="s">
        <v>664</v>
      </c>
      <c r="E803">
        <v>8200</v>
      </c>
      <c r="F803" t="s">
        <v>665</v>
      </c>
      <c r="G803">
        <f>4.2-3.73-0.288</f>
        <v>0.18200000000000022</v>
      </c>
    </row>
    <row r="804" spans="1:7" x14ac:dyDescent="0.2">
      <c r="A804" s="3" t="s">
        <v>666</v>
      </c>
      <c r="B804" s="3">
        <v>3.73</v>
      </c>
      <c r="C804" s="3" t="s">
        <v>593</v>
      </c>
    </row>
    <row r="805" spans="1:7" x14ac:dyDescent="0.2">
      <c r="A805" s="3" t="s">
        <v>667</v>
      </c>
      <c r="B805" s="3">
        <f>280</f>
        <v>280</v>
      </c>
      <c r="C805" s="3" t="s">
        <v>626</v>
      </c>
    </row>
    <row r="806" spans="1:7" x14ac:dyDescent="0.2">
      <c r="A806" s="3" t="s">
        <v>668</v>
      </c>
      <c r="B806" s="199">
        <f>B804*B805*E803</f>
        <v>8564080</v>
      </c>
      <c r="C806" s="3" t="s">
        <v>514</v>
      </c>
    </row>
    <row r="807" spans="1:7" x14ac:dyDescent="0.2">
      <c r="D807" t="s">
        <v>484</v>
      </c>
      <c r="E807" t="s">
        <v>669</v>
      </c>
    </row>
    <row r="808" spans="1:7" x14ac:dyDescent="0.2">
      <c r="A808" t="s">
        <v>670</v>
      </c>
      <c r="D808">
        <v>1</v>
      </c>
      <c r="E808">
        <v>20</v>
      </c>
    </row>
    <row r="809" spans="1:7" x14ac:dyDescent="0.2">
      <c r="A809" t="s">
        <v>671</v>
      </c>
      <c r="B809" s="1">
        <f>K35</f>
        <v>2344.568561</v>
      </c>
      <c r="C809" t="s">
        <v>593</v>
      </c>
      <c r="D809">
        <v>20</v>
      </c>
      <c r="E809">
        <v>80</v>
      </c>
    </row>
    <row r="810" spans="1:7" x14ac:dyDescent="0.2">
      <c r="A810" t="s">
        <v>667</v>
      </c>
      <c r="B810">
        <f>280</f>
        <v>280</v>
      </c>
      <c r="C810" t="s">
        <v>626</v>
      </c>
      <c r="D810">
        <v>3.5</v>
      </c>
      <c r="E810">
        <f>3.1579*D810+16.842</f>
        <v>27.894649999999999</v>
      </c>
    </row>
    <row r="811" spans="1:7" x14ac:dyDescent="0.2">
      <c r="A811" t="s">
        <v>668</v>
      </c>
      <c r="B811" s="11">
        <f>B810*B809*E803</f>
        <v>5383129416.0560007</v>
      </c>
      <c r="C811" t="s">
        <v>514</v>
      </c>
    </row>
    <row r="812" spans="1:7" x14ac:dyDescent="0.2">
      <c r="D812" t="s">
        <v>672</v>
      </c>
      <c r="E812" t="s">
        <v>673</v>
      </c>
    </row>
    <row r="813" spans="1:7" x14ac:dyDescent="0.2">
      <c r="A813" t="s">
        <v>674</v>
      </c>
      <c r="D813">
        <v>20</v>
      </c>
      <c r="E813">
        <f>9/24</f>
        <v>0.375</v>
      </c>
    </row>
    <row r="814" spans="1:7" x14ac:dyDescent="0.2">
      <c r="A814" t="s">
        <v>675</v>
      </c>
      <c r="B814">
        <f>E826</f>
        <v>0.28881562499999996</v>
      </c>
      <c r="C814" t="s">
        <v>593</v>
      </c>
      <c r="D814">
        <f>D813*60</f>
        <v>1200</v>
      </c>
      <c r="E814">
        <f>E813*(D814/E810)</f>
        <v>16.132125694353576</v>
      </c>
      <c r="F814" t="s">
        <v>676</v>
      </c>
    </row>
    <row r="815" spans="1:7" x14ac:dyDescent="0.2">
      <c r="A815" t="s">
        <v>667</v>
      </c>
      <c r="B815">
        <f>280</f>
        <v>280</v>
      </c>
      <c r="C815" t="s">
        <v>626</v>
      </c>
    </row>
    <row r="816" spans="1:7" x14ac:dyDescent="0.2">
      <c r="A816" t="s">
        <v>668</v>
      </c>
      <c r="B816" s="11">
        <f>B814*B815*E803</f>
        <v>663120.67499999993</v>
      </c>
      <c r="C816" t="s">
        <v>514</v>
      </c>
      <c r="D816" s="224" t="s">
        <v>677</v>
      </c>
      <c r="E816" s="224"/>
      <c r="F816" s="224"/>
    </row>
    <row r="817" spans="1:6" x14ac:dyDescent="0.2">
      <c r="D817" s="157" t="s">
        <v>678</v>
      </c>
      <c r="E817" s="157">
        <f>1.38</f>
        <v>1.38</v>
      </c>
      <c r="F817" s="157" t="s">
        <v>48</v>
      </c>
    </row>
    <row r="818" spans="1:6" x14ac:dyDescent="0.2">
      <c r="A818" t="s">
        <v>679</v>
      </c>
      <c r="D818" s="157" t="s">
        <v>680</v>
      </c>
      <c r="E818" s="157">
        <f>E814</f>
        <v>16.132125694353576</v>
      </c>
      <c r="F818" s="157" t="s">
        <v>681</v>
      </c>
    </row>
    <row r="819" spans="1:6" x14ac:dyDescent="0.2">
      <c r="A819" t="s">
        <v>682</v>
      </c>
      <c r="B819">
        <v>5.5</v>
      </c>
      <c r="C819" t="s">
        <v>593</v>
      </c>
      <c r="D819" s="157" t="s">
        <v>683</v>
      </c>
      <c r="E819" s="157">
        <v>0.05</v>
      </c>
      <c r="F819" s="157" t="s">
        <v>484</v>
      </c>
    </row>
    <row r="820" spans="1:6" x14ac:dyDescent="0.2">
      <c r="A820" t="s">
        <v>667</v>
      </c>
      <c r="B820">
        <f>B815</f>
        <v>280</v>
      </c>
      <c r="C820" t="s">
        <v>626</v>
      </c>
      <c r="D820" s="157" t="s">
        <v>488</v>
      </c>
      <c r="E820" s="157">
        <v>7</v>
      </c>
      <c r="F820" s="157" t="s">
        <v>484</v>
      </c>
    </row>
    <row r="821" spans="1:6" x14ac:dyDescent="0.2">
      <c r="A821" t="s">
        <v>668</v>
      </c>
      <c r="B821" s="11">
        <f>B819*B820*E803</f>
        <v>12628000</v>
      </c>
      <c r="C821" t="s">
        <v>514</v>
      </c>
      <c r="D821" s="157" t="s">
        <v>684</v>
      </c>
      <c r="E821" s="157">
        <f>E813*1000</f>
        <v>375</v>
      </c>
      <c r="F821" s="157" t="s">
        <v>493</v>
      </c>
    </row>
    <row r="822" spans="1:6" x14ac:dyDescent="0.2">
      <c r="D822" s="157" t="s">
        <v>685</v>
      </c>
      <c r="E822" s="200">
        <f>SQRT(((4*E821)/(E818*E820*E817*PI()))+(E819)^2)</f>
        <v>1.7511100557677299</v>
      </c>
      <c r="F822" s="157" t="s">
        <v>484</v>
      </c>
    </row>
    <row r="823" spans="1:6" x14ac:dyDescent="0.2">
      <c r="A823" t="s">
        <v>686</v>
      </c>
      <c r="D823" s="157" t="s">
        <v>687</v>
      </c>
      <c r="E823" s="200">
        <f>E821*9.82*E822</f>
        <v>6448.4627803646654</v>
      </c>
      <c r="F823" s="157" t="s">
        <v>688</v>
      </c>
    </row>
    <row r="824" spans="1:6" x14ac:dyDescent="0.2">
      <c r="A824" t="s">
        <v>689</v>
      </c>
      <c r="B824">
        <f>$D$751</f>
        <v>0.54725438596491227</v>
      </c>
      <c r="C824" t="s">
        <v>613</v>
      </c>
      <c r="D824" s="157" t="s">
        <v>672</v>
      </c>
      <c r="E824" s="157">
        <f>E818/60</f>
        <v>0.26886876157255962</v>
      </c>
      <c r="F824" s="157" t="s">
        <v>672</v>
      </c>
    </row>
    <row r="825" spans="1:6" x14ac:dyDescent="0.2">
      <c r="A825" t="s">
        <v>690</v>
      </c>
      <c r="B825">
        <f>$B$754</f>
        <v>5476.6</v>
      </c>
      <c r="C825" t="s">
        <v>620</v>
      </c>
      <c r="D825" s="157" t="s">
        <v>691</v>
      </c>
      <c r="E825" s="157">
        <f>(E824*E823)/5252</f>
        <v>0.33011999272722625</v>
      </c>
      <c r="F825" s="157" t="s">
        <v>692</v>
      </c>
    </row>
    <row r="826" spans="1:6" x14ac:dyDescent="0.2">
      <c r="A826" t="s">
        <v>668</v>
      </c>
      <c r="B826" s="11">
        <f>$B$824*$B$825*$E$803</f>
        <v>24576165.635438599</v>
      </c>
      <c r="C826" t="s">
        <v>514</v>
      </c>
      <c r="D826" s="157" t="s">
        <v>488</v>
      </c>
      <c r="E826" s="157">
        <f>0.7335*0.3*3.5*E813</f>
        <v>0.28881562499999996</v>
      </c>
      <c r="F826" s="157" t="s">
        <v>593</v>
      </c>
    </row>
    <row r="828" spans="1:6" x14ac:dyDescent="0.2">
      <c r="A828" t="s">
        <v>693</v>
      </c>
    </row>
    <row r="829" spans="1:6" x14ac:dyDescent="0.2">
      <c r="A829" t="s">
        <v>694</v>
      </c>
      <c r="B829">
        <f>5/24</f>
        <v>0.20833333333333334</v>
      </c>
      <c r="C829" t="s">
        <v>495</v>
      </c>
    </row>
    <row r="830" spans="1:6" x14ac:dyDescent="0.2">
      <c r="A830" t="s">
        <v>695</v>
      </c>
      <c r="B830">
        <f>900*3960</f>
        <v>3564000</v>
      </c>
      <c r="C830" t="s">
        <v>696</v>
      </c>
    </row>
    <row r="831" spans="1:6" x14ac:dyDescent="0.2">
      <c r="A831" t="s">
        <v>668</v>
      </c>
      <c r="B831" s="11">
        <f>B829*B830*E803</f>
        <v>6088500000</v>
      </c>
      <c r="C831" t="s">
        <v>514</v>
      </c>
      <c r="D831" s="12">
        <f>B831*0.9</f>
        <v>5479650000</v>
      </c>
      <c r="F831">
        <f>108+47</f>
        <v>155</v>
      </c>
    </row>
    <row r="833" spans="1:12" x14ac:dyDescent="0.2">
      <c r="B833" t="s">
        <v>697</v>
      </c>
    </row>
    <row r="834" spans="1:12" x14ac:dyDescent="0.2">
      <c r="A834" t="s">
        <v>640</v>
      </c>
      <c r="B834" s="5">
        <f>B776</f>
        <v>111360000</v>
      </c>
      <c r="C834" t="s">
        <v>514</v>
      </c>
    </row>
    <row r="835" spans="1:12" x14ac:dyDescent="0.2">
      <c r="A835" t="s">
        <v>698</v>
      </c>
      <c r="B835" s="5">
        <f>B777</f>
        <v>407928000</v>
      </c>
      <c r="C835" t="s">
        <v>514</v>
      </c>
    </row>
    <row r="836" spans="1:12" x14ac:dyDescent="0.2">
      <c r="A836" t="s">
        <v>699</v>
      </c>
      <c r="B836" s="101">
        <f>3800000*(365/2)</f>
        <v>693500000</v>
      </c>
      <c r="C836" t="s">
        <v>514</v>
      </c>
    </row>
    <row r="838" spans="1:12" x14ac:dyDescent="0.2">
      <c r="A838" t="s">
        <v>24</v>
      </c>
      <c r="B838" s="102">
        <f>$B$826+$B$834+$B$835</f>
        <v>543864165.63543856</v>
      </c>
      <c r="C838" s="102">
        <f>$B$826+$B$834+$B$835+(B831)*0.1</f>
        <v>1152714165.6354384</v>
      </c>
    </row>
    <row r="839" spans="1:12" x14ac:dyDescent="0.2">
      <c r="A839" t="s">
        <v>24</v>
      </c>
      <c r="B839" s="102">
        <f>B838+B811</f>
        <v>5926993581.6914396</v>
      </c>
    </row>
    <row r="841" spans="1:12" x14ac:dyDescent="0.2">
      <c r="A841" t="s">
        <v>646</v>
      </c>
      <c r="B841">
        <f>3800</f>
        <v>3800</v>
      </c>
      <c r="C841" t="s">
        <v>36</v>
      </c>
    </row>
    <row r="842" spans="1:12" x14ac:dyDescent="0.2">
      <c r="A842" t="s">
        <v>700</v>
      </c>
      <c r="B842" s="11">
        <f>B841*365*700</f>
        <v>970900000</v>
      </c>
      <c r="C842" t="s">
        <v>514</v>
      </c>
    </row>
    <row r="843" spans="1:12" x14ac:dyDescent="0.2">
      <c r="A843" t="s">
        <v>700</v>
      </c>
      <c r="B843" s="11">
        <f>B841*365*700</f>
        <v>970900000</v>
      </c>
      <c r="C843" t="s">
        <v>514</v>
      </c>
    </row>
    <row r="845" spans="1:12" x14ac:dyDescent="0.2">
      <c r="A845" s="103" t="s">
        <v>655</v>
      </c>
      <c r="B845" s="103">
        <v>0</v>
      </c>
      <c r="C845" s="103">
        <v>1</v>
      </c>
      <c r="D845" s="103">
        <v>2</v>
      </c>
      <c r="E845" s="103">
        <v>3</v>
      </c>
      <c r="F845" s="103">
        <v>4</v>
      </c>
      <c r="G845" s="103">
        <v>5</v>
      </c>
      <c r="H845" s="103">
        <v>6</v>
      </c>
      <c r="I845" s="103">
        <v>7</v>
      </c>
      <c r="J845" s="103">
        <v>8</v>
      </c>
      <c r="K845" s="103">
        <v>9</v>
      </c>
      <c r="L845" s="103">
        <v>10</v>
      </c>
    </row>
    <row r="846" spans="1:12" x14ac:dyDescent="0.2">
      <c r="A846" s="104" t="s">
        <v>701</v>
      </c>
      <c r="B846" s="105">
        <v>0</v>
      </c>
      <c r="C846" s="106">
        <f>B843</f>
        <v>970900000</v>
      </c>
      <c r="D846" s="106">
        <f t="shared" ref="D846:L846" si="19">C846*1.07</f>
        <v>1038863000.0000001</v>
      </c>
      <c r="E846" s="106">
        <f t="shared" si="19"/>
        <v>1111583410.0000002</v>
      </c>
      <c r="F846" s="106">
        <f t="shared" si="19"/>
        <v>1189394248.7000003</v>
      </c>
      <c r="G846" s="106">
        <f t="shared" si="19"/>
        <v>1272651846.1090004</v>
      </c>
      <c r="H846" s="106">
        <f>G846*1.07</f>
        <v>1361737475.3366306</v>
      </c>
      <c r="I846" s="106">
        <f>H846*1.07</f>
        <v>1457059098.6101949</v>
      </c>
      <c r="J846" s="106">
        <f t="shared" si="19"/>
        <v>1559053235.5129087</v>
      </c>
      <c r="K846" s="106">
        <f t="shared" si="19"/>
        <v>1668186961.9988124</v>
      </c>
      <c r="L846" s="106">
        <f t="shared" si="19"/>
        <v>1784960049.3387294</v>
      </c>
    </row>
    <row r="847" spans="1:12" x14ac:dyDescent="0.2">
      <c r="A847" s="104" t="s">
        <v>702</v>
      </c>
      <c r="B847" s="105"/>
      <c r="C847" s="106">
        <f>+B884</f>
        <v>182592619.0785</v>
      </c>
      <c r="D847" s="106">
        <f>C847*1.07</f>
        <v>195374102.41399503</v>
      </c>
      <c r="E847" s="106">
        <f t="shared" ref="E847:L847" si="20">D847*1.07</f>
        <v>209050289.5829747</v>
      </c>
      <c r="F847" s="106">
        <f t="shared" si="20"/>
        <v>223683809.85378295</v>
      </c>
      <c r="G847" s="106">
        <f t="shared" si="20"/>
        <v>239341676.54354778</v>
      </c>
      <c r="H847" s="106">
        <f>G847*1.07</f>
        <v>256095593.90159613</v>
      </c>
      <c r="I847" s="106">
        <f>H847*1.07</f>
        <v>274022285.4747079</v>
      </c>
      <c r="J847" s="106">
        <f t="shared" si="20"/>
        <v>293203845.45793748</v>
      </c>
      <c r="K847" s="106">
        <f t="shared" si="20"/>
        <v>313728114.63999313</v>
      </c>
      <c r="L847" s="106">
        <f t="shared" si="20"/>
        <v>335689082.66479266</v>
      </c>
    </row>
    <row r="848" spans="1:12" x14ac:dyDescent="0.2">
      <c r="A848" s="107" t="s">
        <v>657</v>
      </c>
      <c r="B848" s="108">
        <v>0</v>
      </c>
      <c r="C848" s="109">
        <f>B839</f>
        <v>5926993581.6914396</v>
      </c>
      <c r="D848" s="109">
        <f t="shared" ref="D848:I848" si="21">C848*1.05</f>
        <v>6223343260.7760115</v>
      </c>
      <c r="E848" s="109">
        <f t="shared" si="21"/>
        <v>6534510423.8148127</v>
      </c>
      <c r="F848" s="109">
        <f t="shared" si="21"/>
        <v>6861235945.0055532</v>
      </c>
      <c r="G848" s="108">
        <f t="shared" si="21"/>
        <v>7204297742.2558308</v>
      </c>
      <c r="H848" s="108">
        <f t="shared" si="21"/>
        <v>7564512629.3686228</v>
      </c>
      <c r="I848" s="109">
        <f t="shared" si="21"/>
        <v>7942738260.8370543</v>
      </c>
      <c r="J848" s="109">
        <f t="shared" ref="J848" si="22">I848*1.05</f>
        <v>8339875173.8789072</v>
      </c>
      <c r="K848" s="109">
        <f>J848*1.05</f>
        <v>8756868932.5728531</v>
      </c>
      <c r="L848" s="109">
        <f>K848*1.05</f>
        <v>9194712379.2014961</v>
      </c>
    </row>
    <row r="849" spans="1:12" x14ac:dyDescent="0.2">
      <c r="A849" s="107" t="s">
        <v>703</v>
      </c>
      <c r="B849" s="108"/>
      <c r="C849" s="109">
        <f>+(-$B$851-155000000)*10/55</f>
        <v>108181818.18181819</v>
      </c>
      <c r="D849" s="109">
        <f>+(-$B$851-155000000)*9/55</f>
        <v>97363636.36363636</v>
      </c>
      <c r="E849" s="109">
        <f>+(-$B$851-155000000)*8/55</f>
        <v>86545454.545454547</v>
      </c>
      <c r="F849" s="109">
        <f>+(-$B$851-155000000)*7/55</f>
        <v>75727272.727272734</v>
      </c>
      <c r="G849" s="109">
        <f>+(-$B$851-155000000)*6/55</f>
        <v>64909090.909090906</v>
      </c>
      <c r="H849" s="109">
        <f>+(-$B$851-155000000)*5/55</f>
        <v>54090909.090909094</v>
      </c>
      <c r="I849" s="109">
        <f>+(-$B$851-155000000)*4/55</f>
        <v>43272727.272727273</v>
      </c>
      <c r="J849" s="109">
        <f>+(-$B$851-155000000)*3/55</f>
        <v>32454545.454545453</v>
      </c>
      <c r="K849" s="109">
        <f>+(-$B$851-155000000)*2/55</f>
        <v>21636363.636363637</v>
      </c>
      <c r="L849" s="109">
        <f>+(-$B$851-155000000)*1/55</f>
        <v>10818181.818181818</v>
      </c>
    </row>
    <row r="850" spans="1:12" x14ac:dyDescent="0.2">
      <c r="A850" s="107" t="s">
        <v>704</v>
      </c>
      <c r="B850" s="108"/>
      <c r="C850" s="109">
        <f>155000000*4/10</f>
        <v>62000000</v>
      </c>
      <c r="D850" s="109">
        <f>155000000*3/10</f>
        <v>46500000</v>
      </c>
      <c r="E850" s="109">
        <f>155000000*2/10</f>
        <v>31000000</v>
      </c>
      <c r="F850" s="109">
        <f>155000000*1/10</f>
        <v>15500000</v>
      </c>
      <c r="G850" s="108"/>
      <c r="H850" s="108"/>
      <c r="I850" s="109"/>
      <c r="J850" s="109"/>
      <c r="K850" s="109"/>
      <c r="L850" s="109"/>
    </row>
    <row r="851" spans="1:12" x14ac:dyDescent="0.2">
      <c r="A851" s="104" t="s">
        <v>705</v>
      </c>
      <c r="B851" s="105">
        <f>-750000000</f>
        <v>-750000000</v>
      </c>
      <c r="C851" s="106"/>
      <c r="D851" s="106">
        <v>0</v>
      </c>
      <c r="E851" s="106">
        <f>0</f>
        <v>0</v>
      </c>
      <c r="F851" s="106">
        <f>155000000*(1+6%)^4</f>
        <v>195683928.80000004</v>
      </c>
      <c r="G851" s="105">
        <v>0</v>
      </c>
      <c r="H851" s="105">
        <v>0</v>
      </c>
      <c r="I851" s="106">
        <v>0</v>
      </c>
      <c r="J851" s="106">
        <f>155000000*(1+6%)^8</f>
        <v>247046451.55228055</v>
      </c>
      <c r="K851" s="106"/>
      <c r="L851" s="106">
        <f>G851</f>
        <v>0</v>
      </c>
    </row>
    <row r="852" spans="1:12" x14ac:dyDescent="0.2">
      <c r="A852" s="107" t="s">
        <v>706</v>
      </c>
      <c r="B852" s="108">
        <v>0</v>
      </c>
      <c r="C852" s="109">
        <f>C846-C848-C849-C850+C847</f>
        <v>-4943682780.7947578</v>
      </c>
      <c r="D852" s="109">
        <f t="shared" ref="D852:L852" si="23">D846-D848-D849-D850+D847</f>
        <v>-5132969794.7256527</v>
      </c>
      <c r="E852" s="109">
        <f t="shared" si="23"/>
        <v>-5331422178.7772932</v>
      </c>
      <c r="F852" s="109">
        <f t="shared" si="23"/>
        <v>-5539385159.1790438</v>
      </c>
      <c r="G852" s="109">
        <f t="shared" si="23"/>
        <v>-5757213310.5123739</v>
      </c>
      <c r="H852" s="109">
        <f>H846-H848-H849-H850+H847</f>
        <v>-6000770469.2213049</v>
      </c>
      <c r="I852" s="109">
        <f t="shared" si="23"/>
        <v>-6254929604.0248785</v>
      </c>
      <c r="J852" s="109">
        <f t="shared" si="23"/>
        <v>-6520072638.362606</v>
      </c>
      <c r="K852" s="109">
        <f t="shared" si="23"/>
        <v>-6796590219.5704117</v>
      </c>
      <c r="L852" s="109">
        <f t="shared" si="23"/>
        <v>-7084881429.0161552</v>
      </c>
    </row>
    <row r="853" spans="1:12" x14ac:dyDescent="0.2">
      <c r="A853" s="104" t="s">
        <v>659</v>
      </c>
      <c r="B853" s="105">
        <v>0</v>
      </c>
      <c r="C853" s="106">
        <f t="shared" ref="C853:L853" si="24">IF(C852*0.35&lt;0,0,C852*0.35)</f>
        <v>0</v>
      </c>
      <c r="D853" s="106">
        <f t="shared" si="24"/>
        <v>0</v>
      </c>
      <c r="E853" s="106">
        <f t="shared" si="24"/>
        <v>0</v>
      </c>
      <c r="F853" s="106">
        <f t="shared" si="24"/>
        <v>0</v>
      </c>
      <c r="G853" s="106">
        <f t="shared" si="24"/>
        <v>0</v>
      </c>
      <c r="H853" s="106">
        <f>IF(H852*0.35&lt;0,0,H852*0.35)</f>
        <v>0</v>
      </c>
      <c r="I853" s="106">
        <f t="shared" si="24"/>
        <v>0</v>
      </c>
      <c r="J853" s="106">
        <f t="shared" si="24"/>
        <v>0</v>
      </c>
      <c r="K853" s="106">
        <f t="shared" si="24"/>
        <v>0</v>
      </c>
      <c r="L853" s="106">
        <f t="shared" si="24"/>
        <v>0</v>
      </c>
    </row>
    <row r="854" spans="1:12" x14ac:dyDescent="0.2">
      <c r="A854" s="107" t="s">
        <v>707</v>
      </c>
      <c r="B854" s="108">
        <f>+B851</f>
        <v>-750000000</v>
      </c>
      <c r="C854" s="109">
        <f>C846-C848-C853+C847</f>
        <v>-4773500962.6129398</v>
      </c>
      <c r="D854" s="109">
        <f t="shared" ref="D854:L854" si="25">D846-D848-D853+D847</f>
        <v>-4989106158.3620167</v>
      </c>
      <c r="E854" s="109">
        <f t="shared" si="25"/>
        <v>-5213876724.2318382</v>
      </c>
      <c r="F854" s="109">
        <f>F846-F848-F853+F847-F851</f>
        <v>-5643841815.251771</v>
      </c>
      <c r="G854" s="109">
        <f t="shared" si="25"/>
        <v>-5692304219.6032829</v>
      </c>
      <c r="H854" s="109">
        <f>H846-H848-H853+H847</f>
        <v>-5946679560.1303959</v>
      </c>
      <c r="I854" s="109">
        <f t="shared" si="25"/>
        <v>-6211656876.7521515</v>
      </c>
      <c r="J854" s="109">
        <f>J846-J848-J853+J847-J851</f>
        <v>-6734664544.4603415</v>
      </c>
      <c r="K854" s="109">
        <f t="shared" si="25"/>
        <v>-6774953855.9340477</v>
      </c>
      <c r="L854" s="109">
        <f t="shared" si="25"/>
        <v>-7074063247.1979733</v>
      </c>
    </row>
    <row r="855" spans="1:12" x14ac:dyDescent="0.2">
      <c r="A855" s="104" t="s">
        <v>708</v>
      </c>
      <c r="B855" s="110">
        <f>+NPV(0.15,C854:L854)+B851</f>
        <v>-28940670445.570923</v>
      </c>
    </row>
    <row r="856" spans="1:12" x14ac:dyDescent="0.2">
      <c r="A856" s="107" t="s">
        <v>709</v>
      </c>
      <c r="B856" s="100" t="e">
        <f>+IRR(B854:L854)</f>
        <v>#NUM!</v>
      </c>
    </row>
    <row r="861" spans="1:12" x14ac:dyDescent="0.2">
      <c r="A861" t="s">
        <v>710</v>
      </c>
      <c r="B861" s="102">
        <f>B838/(B841*365)</f>
        <v>392.11547630529094</v>
      </c>
      <c r="C861" t="s">
        <v>711</v>
      </c>
    </row>
    <row r="862" spans="1:12" x14ac:dyDescent="0.2">
      <c r="B862">
        <f>3800*365</f>
        <v>1387000</v>
      </c>
    </row>
    <row r="863" spans="1:12" x14ac:dyDescent="0.2">
      <c r="B863">
        <f>B862/1000</f>
        <v>1387</v>
      </c>
    </row>
    <row r="864" spans="1:12" x14ac:dyDescent="0.2">
      <c r="A864" t="s">
        <v>712</v>
      </c>
      <c r="B864" s="102">
        <f>B838/B862</f>
        <v>392.11547630529094</v>
      </c>
      <c r="C864" t="s">
        <v>626</v>
      </c>
      <c r="D864" s="12">
        <f>C868+B884</f>
        <v>1153492619.0785</v>
      </c>
    </row>
    <row r="865" spans="1:12" x14ac:dyDescent="0.2">
      <c r="A865" t="s">
        <v>713</v>
      </c>
      <c r="B865" s="102">
        <f>C838/B862</f>
        <v>831.08447414234922</v>
      </c>
      <c r="C865" t="s">
        <v>626</v>
      </c>
    </row>
    <row r="867" spans="1:12" x14ac:dyDescent="0.2">
      <c r="A867" s="103" t="s">
        <v>655</v>
      </c>
      <c r="B867" s="103">
        <v>0</v>
      </c>
      <c r="C867" s="103">
        <v>1</v>
      </c>
      <c r="D867" s="103">
        <v>2</v>
      </c>
      <c r="E867" s="103">
        <v>3</v>
      </c>
      <c r="F867" s="103">
        <v>4</v>
      </c>
      <c r="G867" s="103">
        <v>5</v>
      </c>
      <c r="H867" s="103">
        <v>6</v>
      </c>
      <c r="I867" s="103">
        <v>7</v>
      </c>
      <c r="J867" s="103">
        <v>8</v>
      </c>
      <c r="K867" s="103">
        <v>9</v>
      </c>
      <c r="L867" s="103">
        <v>10</v>
      </c>
    </row>
    <row r="868" spans="1:12" x14ac:dyDescent="0.2">
      <c r="A868" s="104" t="s">
        <v>656</v>
      </c>
      <c r="B868" s="105">
        <v>0</v>
      </c>
      <c r="C868" s="106">
        <f>B842</f>
        <v>970900000</v>
      </c>
      <c r="D868" s="106">
        <f t="shared" ref="D868:L868" si="26">C868*1.07</f>
        <v>1038863000.0000001</v>
      </c>
      <c r="E868" s="106">
        <f t="shared" si="26"/>
        <v>1111583410.0000002</v>
      </c>
      <c r="F868" s="106">
        <f t="shared" si="26"/>
        <v>1189394248.7000003</v>
      </c>
      <c r="G868" s="106">
        <f t="shared" si="26"/>
        <v>1272651846.1090004</v>
      </c>
      <c r="H868" s="106">
        <f>G868*1.07</f>
        <v>1361737475.3366306</v>
      </c>
      <c r="I868" s="106">
        <f>H868*1.07</f>
        <v>1457059098.6101949</v>
      </c>
      <c r="J868" s="106">
        <f t="shared" si="26"/>
        <v>1559053235.5129087</v>
      </c>
      <c r="K868" s="106">
        <f t="shared" si="26"/>
        <v>1668186961.9988124</v>
      </c>
      <c r="L868" s="106">
        <f t="shared" si="26"/>
        <v>1784960049.3387294</v>
      </c>
    </row>
    <row r="869" spans="1:12" x14ac:dyDescent="0.2">
      <c r="A869" s="104" t="s">
        <v>714</v>
      </c>
      <c r="B869" s="105"/>
      <c r="C869" s="106">
        <f>-B874</f>
        <v>750000000</v>
      </c>
      <c r="D869" s="106"/>
      <c r="E869" s="106"/>
      <c r="F869" s="106"/>
      <c r="G869" s="106"/>
      <c r="H869" s="106"/>
      <c r="I869" s="106"/>
      <c r="J869" s="106"/>
      <c r="K869" s="106"/>
      <c r="L869" s="106"/>
    </row>
    <row r="870" spans="1:12" x14ac:dyDescent="0.2">
      <c r="A870" s="104" t="s">
        <v>702</v>
      </c>
      <c r="B870" s="105"/>
      <c r="C870" s="106">
        <f>B884</f>
        <v>182592619.0785</v>
      </c>
      <c r="D870" s="106">
        <f>C870*1.07</f>
        <v>195374102.41399503</v>
      </c>
      <c r="E870" s="106">
        <f t="shared" ref="E870:L870" si="27">D870*1.07</f>
        <v>209050289.5829747</v>
      </c>
      <c r="F870" s="106">
        <f t="shared" si="27"/>
        <v>223683809.85378295</v>
      </c>
      <c r="G870" s="106">
        <f t="shared" si="27"/>
        <v>239341676.54354778</v>
      </c>
      <c r="H870" s="106">
        <f>G870*1.07</f>
        <v>256095593.90159613</v>
      </c>
      <c r="I870" s="106">
        <f>H870*1.07</f>
        <v>274022285.4747079</v>
      </c>
      <c r="J870" s="106">
        <f t="shared" si="27"/>
        <v>293203845.45793748</v>
      </c>
      <c r="K870" s="106">
        <f t="shared" si="27"/>
        <v>313728114.63999313</v>
      </c>
      <c r="L870" s="106">
        <f t="shared" si="27"/>
        <v>335689082.66479266</v>
      </c>
    </row>
    <row r="871" spans="1:12" x14ac:dyDescent="0.2">
      <c r="A871" s="107" t="s">
        <v>657</v>
      </c>
      <c r="B871" s="108">
        <v>0</v>
      </c>
      <c r="C871" s="109">
        <f>C838</f>
        <v>1152714165.6354384</v>
      </c>
      <c r="D871" s="109">
        <f t="shared" ref="D871:I871" si="28">C871*1.05</f>
        <v>1210349873.9172103</v>
      </c>
      <c r="E871" s="109">
        <f t="shared" si="28"/>
        <v>1270867367.613071</v>
      </c>
      <c r="F871" s="109">
        <f t="shared" si="28"/>
        <v>1334410735.9937246</v>
      </c>
      <c r="G871" s="108">
        <f t="shared" si="28"/>
        <v>1401131272.7934108</v>
      </c>
      <c r="H871" s="108">
        <f t="shared" si="28"/>
        <v>1471187836.4330814</v>
      </c>
      <c r="I871" s="109">
        <f t="shared" si="28"/>
        <v>1544747228.2547355</v>
      </c>
      <c r="J871" s="109">
        <f t="shared" ref="J871" si="29">I871*1.05</f>
        <v>1621984589.6674724</v>
      </c>
      <c r="K871" s="109">
        <f>J871*1.05</f>
        <v>1703083819.150846</v>
      </c>
      <c r="L871" s="109">
        <f>K871*1.05</f>
        <v>1788238010.1083884</v>
      </c>
    </row>
    <row r="872" spans="1:12" x14ac:dyDescent="0.2">
      <c r="A872" s="107" t="s">
        <v>703</v>
      </c>
      <c r="B872" s="108"/>
      <c r="C872" s="109">
        <f>+(-$B$851-155000000)*10/55</f>
        <v>108181818.18181819</v>
      </c>
      <c r="D872" s="109">
        <f>+(-$B$851-155000000)*9/55</f>
        <v>97363636.36363636</v>
      </c>
      <c r="E872" s="109">
        <f>+(-$B$851-155000000)*8/55</f>
        <v>86545454.545454547</v>
      </c>
      <c r="F872" s="109">
        <f>+(-$B$851-155000000)*7/55</f>
        <v>75727272.727272734</v>
      </c>
      <c r="G872" s="109">
        <f>+(-$B$851-155000000)*6/55</f>
        <v>64909090.909090906</v>
      </c>
      <c r="H872" s="109">
        <f>+(-$B$851-155000000)*5/55</f>
        <v>54090909.090909094</v>
      </c>
      <c r="I872" s="109">
        <f>+(-$B$851-155000000)*4/55</f>
        <v>43272727.272727273</v>
      </c>
      <c r="J872" s="109">
        <f>+(-$B$851-155000000)*3/55</f>
        <v>32454545.454545453</v>
      </c>
      <c r="K872" s="109">
        <f>+(-$B$851-155000000)*2/55</f>
        <v>21636363.636363637</v>
      </c>
      <c r="L872" s="109">
        <f>+(-$B$851-155000000)*1/55</f>
        <v>10818181.818181818</v>
      </c>
    </row>
    <row r="873" spans="1:12" x14ac:dyDescent="0.2">
      <c r="A873" s="107" t="s">
        <v>704</v>
      </c>
      <c r="B873" s="108"/>
      <c r="C873" s="109">
        <f>155000000*4/10</f>
        <v>62000000</v>
      </c>
      <c r="D873" s="109">
        <f>155000000*3/10</f>
        <v>46500000</v>
      </c>
      <c r="E873" s="109">
        <f>155000000*2/10</f>
        <v>31000000</v>
      </c>
      <c r="F873" s="109">
        <f>155000000*1/10</f>
        <v>15500000</v>
      </c>
      <c r="G873" s="108"/>
      <c r="H873" s="108"/>
      <c r="I873" s="109"/>
      <c r="J873" s="109"/>
      <c r="K873" s="109"/>
      <c r="L873" s="109"/>
    </row>
    <row r="874" spans="1:12" x14ac:dyDescent="0.2">
      <c r="A874" s="104" t="s">
        <v>705</v>
      </c>
      <c r="B874" s="105">
        <f>-750000000</f>
        <v>-750000000</v>
      </c>
      <c r="C874" s="106"/>
      <c r="D874" s="106">
        <v>0</v>
      </c>
      <c r="E874" s="106">
        <f>0</f>
        <v>0</v>
      </c>
      <c r="F874" s="106">
        <f>155000000*(1+6%)^4</f>
        <v>195683928.80000004</v>
      </c>
      <c r="G874" s="105">
        <v>0</v>
      </c>
      <c r="H874" s="105">
        <v>0</v>
      </c>
      <c r="I874" s="106">
        <v>0</v>
      </c>
      <c r="J874" s="106">
        <f>155000000*(1+6%)^8</f>
        <v>247046451.55228055</v>
      </c>
      <c r="K874" s="106"/>
      <c r="L874" s="106">
        <f>G874</f>
        <v>0</v>
      </c>
    </row>
    <row r="875" spans="1:12" x14ac:dyDescent="0.2">
      <c r="A875" s="107" t="s">
        <v>706</v>
      </c>
      <c r="B875" s="108">
        <v>0</v>
      </c>
      <c r="C875" s="109">
        <f t="shared" ref="C875:L875" si="30">C868-C871-C872-C873+C870+C869</f>
        <v>580596635.26124334</v>
      </c>
      <c r="D875" s="109">
        <f t="shared" si="30"/>
        <v>-119976407.86685157</v>
      </c>
      <c r="E875" s="109">
        <f t="shared" si="30"/>
        <v>-67779122.575550586</v>
      </c>
      <c r="F875" s="109">
        <f t="shared" si="30"/>
        <v>-12559950.167214096</v>
      </c>
      <c r="G875" s="109">
        <f t="shared" si="30"/>
        <v>45953158.950046539</v>
      </c>
      <c r="H875" s="109">
        <f>H868-H871-H872-H873+H870+H869</f>
        <v>92554323.71423623</v>
      </c>
      <c r="I875" s="109">
        <f t="shared" si="30"/>
        <v>143061428.55744007</v>
      </c>
      <c r="J875" s="109">
        <f t="shared" si="30"/>
        <v>197817945.84882838</v>
      </c>
      <c r="K875" s="109">
        <f t="shared" si="30"/>
        <v>257194893.85159594</v>
      </c>
      <c r="L875" s="109">
        <f t="shared" si="30"/>
        <v>321592940.0769518</v>
      </c>
    </row>
    <row r="876" spans="1:12" x14ac:dyDescent="0.2">
      <c r="A876" s="104" t="s">
        <v>659</v>
      </c>
      <c r="B876" s="105">
        <v>0</v>
      </c>
      <c r="C876" s="106">
        <f t="shared" ref="C876:L876" si="31">C875*0.35*0</f>
        <v>0</v>
      </c>
      <c r="D876" s="106">
        <f t="shared" si="31"/>
        <v>0</v>
      </c>
      <c r="E876" s="106">
        <f t="shared" si="31"/>
        <v>0</v>
      </c>
      <c r="F876" s="106">
        <f t="shared" si="31"/>
        <v>0</v>
      </c>
      <c r="G876" s="106">
        <f t="shared" si="31"/>
        <v>0</v>
      </c>
      <c r="H876" s="106">
        <f>H875*0.35*0</f>
        <v>0</v>
      </c>
      <c r="I876" s="106">
        <f t="shared" si="31"/>
        <v>0</v>
      </c>
      <c r="J876" s="106">
        <f t="shared" si="31"/>
        <v>0</v>
      </c>
      <c r="K876" s="106">
        <f t="shared" si="31"/>
        <v>0</v>
      </c>
      <c r="L876" s="106">
        <f t="shared" si="31"/>
        <v>0</v>
      </c>
    </row>
    <row r="877" spans="1:12" x14ac:dyDescent="0.2">
      <c r="A877" s="107" t="s">
        <v>707</v>
      </c>
      <c r="B877" s="108">
        <f>+B874</f>
        <v>-750000000</v>
      </c>
      <c r="C877" s="109">
        <f>C868-C871-C876+C870+C869</f>
        <v>750778453.44306159</v>
      </c>
      <c r="D877" s="109">
        <f t="shared" ref="D877:L877" si="32">D868-D871-D876+D870</f>
        <v>23887228.496784806</v>
      </c>
      <c r="E877" s="109">
        <f t="shared" si="32"/>
        <v>49766331.969903976</v>
      </c>
      <c r="F877" s="109">
        <f>F868-F871-F876+F870-F874</f>
        <v>-117016606.23994139</v>
      </c>
      <c r="G877" s="109">
        <f t="shared" si="32"/>
        <v>110862249.85913745</v>
      </c>
      <c r="H877" s="109">
        <f>H868-H871-H876+H870</f>
        <v>146645232.80514532</v>
      </c>
      <c r="I877" s="109">
        <f t="shared" si="32"/>
        <v>186334155.83016735</v>
      </c>
      <c r="J877" s="109">
        <f>J868-J871-J876+J870-J874</f>
        <v>-16773960.248906732</v>
      </c>
      <c r="K877" s="109">
        <f t="shared" si="32"/>
        <v>278831257.48795956</v>
      </c>
      <c r="L877" s="109">
        <f t="shared" si="32"/>
        <v>332411121.89513361</v>
      </c>
    </row>
    <row r="878" spans="1:12" x14ac:dyDescent="0.2">
      <c r="A878" s="104" t="s">
        <v>708</v>
      </c>
      <c r="B878" s="110">
        <f>+NPV(0.15,C877:L877)+B874</f>
        <v>231242129.63678038</v>
      </c>
    </row>
    <row r="879" spans="1:12" x14ac:dyDescent="0.2">
      <c r="A879" s="107" t="s">
        <v>709</v>
      </c>
      <c r="B879" s="100">
        <f>+IRR(B877:L877)</f>
        <v>0.26939174712393221</v>
      </c>
    </row>
    <row r="882" spans="1:3" x14ac:dyDescent="0.2">
      <c r="A882" t="s">
        <v>715</v>
      </c>
      <c r="B882">
        <f>9*365</f>
        <v>3285</v>
      </c>
      <c r="C882" t="s">
        <v>716</v>
      </c>
    </row>
    <row r="883" spans="1:3" x14ac:dyDescent="0.2">
      <c r="A883" t="s">
        <v>717</v>
      </c>
      <c r="B883">
        <v>48549</v>
      </c>
      <c r="C883" t="s">
        <v>696</v>
      </c>
    </row>
    <row r="884" spans="1:3" x14ac:dyDescent="0.2">
      <c r="A884" t="s">
        <v>718</v>
      </c>
      <c r="B884" s="11">
        <f>B882*B883*(1+7%)^2</f>
        <v>182592619.0785</v>
      </c>
      <c r="C884" t="s">
        <v>719</v>
      </c>
    </row>
    <row r="887" spans="1:3" x14ac:dyDescent="0.2">
      <c r="A887" s="237" t="s">
        <v>720</v>
      </c>
      <c r="B887" s="237"/>
      <c r="C887" s="237"/>
    </row>
    <row r="888" spans="1:3" x14ac:dyDescent="0.2">
      <c r="A888" s="237"/>
      <c r="B888" s="237"/>
      <c r="C888" s="237"/>
    </row>
    <row r="889" spans="1:3" x14ac:dyDescent="0.2">
      <c r="A889" s="3" t="s">
        <v>721</v>
      </c>
      <c r="B889" s="115">
        <v>0.50139999999999996</v>
      </c>
      <c r="C889" s="3"/>
    </row>
    <row r="890" spans="1:3" x14ac:dyDescent="0.2">
      <c r="A890" s="3" t="s">
        <v>722</v>
      </c>
      <c r="B890" s="115">
        <v>8.4500000000000006E-2</v>
      </c>
      <c r="C890" s="3"/>
    </row>
    <row r="891" spans="1:3" x14ac:dyDescent="0.2">
      <c r="A891" s="3" t="s">
        <v>723</v>
      </c>
      <c r="B891" s="115">
        <v>0.34139999999999998</v>
      </c>
      <c r="C891" s="3"/>
    </row>
    <row r="892" spans="1:3" x14ac:dyDescent="0.2">
      <c r="A892" s="3"/>
      <c r="B892" s="115"/>
      <c r="C892" s="3"/>
    </row>
    <row r="893" spans="1:3" x14ac:dyDescent="0.2">
      <c r="A893" s="3" t="s">
        <v>724</v>
      </c>
      <c r="B893" s="3">
        <v>1</v>
      </c>
      <c r="C893" s="3" t="s">
        <v>55</v>
      </c>
    </row>
    <row r="894" spans="1:3" x14ac:dyDescent="0.2">
      <c r="A894" s="3" t="s">
        <v>725</v>
      </c>
      <c r="B894" s="3">
        <f>B893*B889</f>
        <v>0.50139999999999996</v>
      </c>
      <c r="C894" s="3" t="s">
        <v>55</v>
      </c>
    </row>
    <row r="895" spans="1:3" x14ac:dyDescent="0.2">
      <c r="A895" s="3" t="s">
        <v>726</v>
      </c>
      <c r="B895" s="3">
        <f>B893*B890</f>
        <v>8.4500000000000006E-2</v>
      </c>
      <c r="C895" s="3" t="s">
        <v>55</v>
      </c>
    </row>
    <row r="896" spans="1:3" x14ac:dyDescent="0.2">
      <c r="A896" s="3" t="s">
        <v>126</v>
      </c>
      <c r="B896" s="3">
        <f>B893*B891</f>
        <v>0.34139999999999998</v>
      </c>
      <c r="C896" s="3" t="s">
        <v>55</v>
      </c>
    </row>
    <row r="897" spans="1:3" x14ac:dyDescent="0.2">
      <c r="A897" s="3"/>
      <c r="B897" s="3"/>
      <c r="C897" s="3"/>
    </row>
    <row r="898" spans="1:3" x14ac:dyDescent="0.2">
      <c r="A898" s="3" t="s">
        <v>725</v>
      </c>
      <c r="B898" s="3">
        <f>B893*1000</f>
        <v>1000</v>
      </c>
      <c r="C898" s="3" t="s">
        <v>28</v>
      </c>
    </row>
    <row r="899" spans="1:3" x14ac:dyDescent="0.2">
      <c r="A899" s="3" t="s">
        <v>726</v>
      </c>
      <c r="B899" s="3">
        <f t="shared" ref="B899:B900" si="33">B894*1000</f>
        <v>501.4</v>
      </c>
      <c r="C899" s="3" t="s">
        <v>28</v>
      </c>
    </row>
    <row r="900" spans="1:3" x14ac:dyDescent="0.2">
      <c r="A900" s="3" t="s">
        <v>126</v>
      </c>
      <c r="B900" s="3">
        <f t="shared" si="33"/>
        <v>84.5</v>
      </c>
      <c r="C900" s="3" t="s">
        <v>28</v>
      </c>
    </row>
    <row r="901" spans="1:3" x14ac:dyDescent="0.2">
      <c r="A901" s="3"/>
      <c r="B901" s="3"/>
      <c r="C901" s="3"/>
    </row>
    <row r="902" spans="1:3" x14ac:dyDescent="0.2">
      <c r="A902" s="3" t="s">
        <v>727</v>
      </c>
      <c r="B902" s="3">
        <f>B898*I60</f>
        <v>45258.933600671589</v>
      </c>
      <c r="C902" s="3" t="s">
        <v>35</v>
      </c>
    </row>
    <row r="903" spans="1:3" x14ac:dyDescent="0.2">
      <c r="A903" s="3" t="s">
        <v>728</v>
      </c>
      <c r="B903" s="3">
        <f>B899*I38</f>
        <v>7094.7272689999991</v>
      </c>
      <c r="C903" s="3" t="s">
        <v>35</v>
      </c>
    </row>
    <row r="904" spans="1:3" x14ac:dyDescent="0.2">
      <c r="A904" s="3"/>
      <c r="B904" s="3"/>
      <c r="C904" s="3"/>
    </row>
    <row r="905" spans="1:3" x14ac:dyDescent="0.2">
      <c r="A905" s="3" t="s">
        <v>729</v>
      </c>
      <c r="B905" s="3">
        <f>(B902)*(1000/3600)</f>
        <v>12571.926000186553</v>
      </c>
      <c r="C905" s="3" t="s">
        <v>730</v>
      </c>
    </row>
    <row r="906" spans="1:3" x14ac:dyDescent="0.2">
      <c r="A906" s="3" t="s">
        <v>731</v>
      </c>
      <c r="B906" s="3">
        <f>(B903*10^6)/(3.6*10^6)</f>
        <v>1970.757574722222</v>
      </c>
      <c r="C906" s="3" t="s">
        <v>730</v>
      </c>
    </row>
    <row r="907" spans="1:3" x14ac:dyDescent="0.2">
      <c r="A907" s="3" t="s">
        <v>732</v>
      </c>
      <c r="B907" s="115">
        <v>0.4</v>
      </c>
      <c r="C907" s="3"/>
    </row>
    <row r="908" spans="1:3" x14ac:dyDescent="0.2">
      <c r="A908" s="3" t="s">
        <v>733</v>
      </c>
      <c r="B908" s="3">
        <f>B905*0.4</f>
        <v>5028.7704000746216</v>
      </c>
      <c r="C908" s="3" t="s">
        <v>730</v>
      </c>
    </row>
    <row r="909" spans="1:3" x14ac:dyDescent="0.2">
      <c r="A909" s="3" t="s">
        <v>734</v>
      </c>
      <c r="B909" s="3">
        <f>B906*0.4</f>
        <v>788.30302988888889</v>
      </c>
      <c r="C909" s="3" t="s">
        <v>730</v>
      </c>
    </row>
    <row r="910" spans="1:3" x14ac:dyDescent="0.2">
      <c r="A910" s="3"/>
      <c r="B910" s="3"/>
      <c r="C910" s="3"/>
    </row>
    <row r="911" spans="1:3" x14ac:dyDescent="0.2">
      <c r="A911" s="3" t="s">
        <v>733</v>
      </c>
      <c r="B911" s="3">
        <f>B908/1000</f>
        <v>5.0287704000746221</v>
      </c>
      <c r="C911" s="3" t="s">
        <v>73</v>
      </c>
    </row>
    <row r="912" spans="1:3" x14ac:dyDescent="0.2">
      <c r="A912" s="3" t="s">
        <v>734</v>
      </c>
      <c r="B912" s="3">
        <f>B909/1000</f>
        <v>0.7883030298888889</v>
      </c>
      <c r="C912" s="3" t="s">
        <v>73</v>
      </c>
    </row>
    <row r="913" spans="1:3" x14ac:dyDescent="0.2">
      <c r="A913" s="3"/>
      <c r="B913" s="3"/>
      <c r="C913" s="3"/>
    </row>
    <row r="914" spans="1:3" x14ac:dyDescent="0.2">
      <c r="A914" s="3" t="s">
        <v>735</v>
      </c>
      <c r="B914" s="116">
        <f>B908/4.11</f>
        <v>1223.5451095072071</v>
      </c>
      <c r="C914" s="3"/>
    </row>
    <row r="915" spans="1:3" x14ac:dyDescent="0.2">
      <c r="A915" s="3" t="s">
        <v>736</v>
      </c>
      <c r="B915" s="116"/>
      <c r="C915" s="3"/>
    </row>
    <row r="916" spans="1:3" x14ac:dyDescent="0.2">
      <c r="A916" s="3"/>
      <c r="B916" s="3"/>
      <c r="C916" s="3"/>
    </row>
    <row r="917" spans="1:3" x14ac:dyDescent="0.2">
      <c r="A917" s="3" t="s">
        <v>737</v>
      </c>
      <c r="B917" s="116">
        <f>(B914+B915)/4</f>
        <v>305.88627737680179</v>
      </c>
      <c r="C917" s="3"/>
    </row>
    <row r="935" spans="6:6" x14ac:dyDescent="0.2">
      <c r="F935">
        <f>7.2+1.5</f>
        <v>8.6999999999999993</v>
      </c>
    </row>
    <row r="945" spans="1:12" x14ac:dyDescent="0.2">
      <c r="A945" t="s">
        <v>738</v>
      </c>
      <c r="B945">
        <f>9</f>
        <v>9</v>
      </c>
      <c r="C945" t="s">
        <v>55</v>
      </c>
      <c r="E945" t="s">
        <v>4</v>
      </c>
      <c r="F945">
        <v>0.80500000000000005</v>
      </c>
      <c r="G945" t="s">
        <v>5</v>
      </c>
    </row>
    <row r="946" spans="1:12" x14ac:dyDescent="0.2">
      <c r="A946" t="s">
        <v>739</v>
      </c>
      <c r="B946">
        <v>5</v>
      </c>
      <c r="C946" t="s">
        <v>55</v>
      </c>
      <c r="E946" t="s">
        <v>7</v>
      </c>
      <c r="F946">
        <f>1-(F945+F947)</f>
        <v>0.16499999999999992</v>
      </c>
      <c r="G946" t="s">
        <v>5</v>
      </c>
    </row>
    <row r="947" spans="1:12" x14ac:dyDescent="0.2">
      <c r="A947" t="s">
        <v>740</v>
      </c>
      <c r="B947" s="1">
        <f>B946/B945</f>
        <v>0.55555555555555558</v>
      </c>
      <c r="C947" t="s">
        <v>741</v>
      </c>
      <c r="E947" t="s">
        <v>9</v>
      </c>
      <c r="F947">
        <v>0.03</v>
      </c>
      <c r="G947" t="s">
        <v>5</v>
      </c>
    </row>
    <row r="949" spans="1:12" x14ac:dyDescent="0.2">
      <c r="B949" t="s">
        <v>742</v>
      </c>
      <c r="C949" t="s">
        <v>743</v>
      </c>
      <c r="D949" t="s">
        <v>744</v>
      </c>
      <c r="E949" t="s">
        <v>745</v>
      </c>
      <c r="F949" t="s">
        <v>746</v>
      </c>
      <c r="G949" t="s">
        <v>747</v>
      </c>
      <c r="H949" t="s">
        <v>748</v>
      </c>
      <c r="I949" t="s">
        <v>749</v>
      </c>
      <c r="J949" t="s">
        <v>750</v>
      </c>
    </row>
    <row r="950" spans="1:12" x14ac:dyDescent="0.2">
      <c r="A950" t="s">
        <v>751</v>
      </c>
      <c r="B950">
        <v>0</v>
      </c>
      <c r="C950">
        <v>5</v>
      </c>
      <c r="D950">
        <v>5</v>
      </c>
      <c r="E950">
        <v>5</v>
      </c>
      <c r="F950">
        <v>0</v>
      </c>
      <c r="G950">
        <v>5</v>
      </c>
      <c r="H950">
        <v>5</v>
      </c>
      <c r="I950">
        <v>0</v>
      </c>
      <c r="J950">
        <v>5</v>
      </c>
    </row>
    <row r="951" spans="1:12" x14ac:dyDescent="0.2">
      <c r="A951" t="s">
        <v>752</v>
      </c>
      <c r="B951">
        <v>9</v>
      </c>
      <c r="C951">
        <v>0</v>
      </c>
      <c r="D951">
        <v>9</v>
      </c>
      <c r="E951">
        <v>0</v>
      </c>
      <c r="F951">
        <v>0</v>
      </c>
      <c r="G951">
        <v>0</v>
      </c>
      <c r="H951">
        <v>0</v>
      </c>
      <c r="I951">
        <v>0</v>
      </c>
      <c r="J951">
        <v>0</v>
      </c>
    </row>
    <row r="952" spans="1:12" x14ac:dyDescent="0.2">
      <c r="A952" t="s">
        <v>753</v>
      </c>
      <c r="B952">
        <v>0</v>
      </c>
      <c r="C952">
        <v>0</v>
      </c>
      <c r="D952">
        <v>0</v>
      </c>
      <c r="E952">
        <f>B951*F946</f>
        <v>1.4849999999999994</v>
      </c>
      <c r="F952">
        <v>0</v>
      </c>
      <c r="G952">
        <f>E952</f>
        <v>1.4849999999999994</v>
      </c>
      <c r="H952">
        <f>G952</f>
        <v>1.4849999999999994</v>
      </c>
      <c r="I952">
        <v>0</v>
      </c>
      <c r="J952">
        <f>H952</f>
        <v>1.4849999999999994</v>
      </c>
    </row>
    <row r="953" spans="1:12" x14ac:dyDescent="0.2">
      <c r="A953" t="s">
        <v>754</v>
      </c>
      <c r="B953">
        <v>0</v>
      </c>
      <c r="C953">
        <v>0</v>
      </c>
      <c r="D953">
        <v>0</v>
      </c>
      <c r="E953">
        <f>B951*F945</f>
        <v>7.2450000000000001</v>
      </c>
      <c r="F953">
        <v>0</v>
      </c>
      <c r="G953">
        <f>E953</f>
        <v>7.2450000000000001</v>
      </c>
      <c r="H953">
        <f>G953</f>
        <v>7.2450000000000001</v>
      </c>
      <c r="I953">
        <f>H953</f>
        <v>7.2450000000000001</v>
      </c>
      <c r="J953">
        <v>0</v>
      </c>
    </row>
    <row r="954" spans="1:12" x14ac:dyDescent="0.2">
      <c r="A954" t="s">
        <v>755</v>
      </c>
      <c r="B954">
        <v>0</v>
      </c>
      <c r="C954">
        <v>0</v>
      </c>
      <c r="D954">
        <v>0</v>
      </c>
      <c r="E954">
        <f>B951*F947</f>
        <v>0.27</v>
      </c>
      <c r="F954">
        <f>+E954</f>
        <v>0.27</v>
      </c>
      <c r="G954">
        <v>0</v>
      </c>
      <c r="H954">
        <v>0</v>
      </c>
      <c r="I954">
        <v>0</v>
      </c>
      <c r="J954">
        <v>0</v>
      </c>
    </row>
    <row r="958" spans="1:12" x14ac:dyDescent="0.2">
      <c r="J958" t="s">
        <v>756</v>
      </c>
    </row>
    <row r="959" spans="1:12" x14ac:dyDescent="0.2">
      <c r="G959" t="s">
        <v>757</v>
      </c>
      <c r="J959" t="s">
        <v>758</v>
      </c>
      <c r="K959">
        <v>4.5</v>
      </c>
      <c r="L959" t="s">
        <v>55</v>
      </c>
    </row>
    <row r="960" spans="1:12" x14ac:dyDescent="0.2">
      <c r="G960">
        <v>79</v>
      </c>
      <c r="H960" t="s">
        <v>759</v>
      </c>
      <c r="J960" t="s">
        <v>760</v>
      </c>
      <c r="K960">
        <v>45</v>
      </c>
      <c r="L960" t="s">
        <v>55</v>
      </c>
    </row>
    <row r="961" spans="7:12" x14ac:dyDescent="0.2">
      <c r="G961">
        <v>21</v>
      </c>
      <c r="H961" t="s">
        <v>761</v>
      </c>
      <c r="J961" t="s">
        <v>760</v>
      </c>
      <c r="K961" s="1">
        <f>K959*(1000/24)</f>
        <v>187.5</v>
      </c>
      <c r="L961" t="s">
        <v>493</v>
      </c>
    </row>
    <row r="962" spans="7:12" x14ac:dyDescent="0.2">
      <c r="J962" t="s">
        <v>762</v>
      </c>
      <c r="K962">
        <v>0.99990000000000001</v>
      </c>
    </row>
    <row r="963" spans="7:12" x14ac:dyDescent="0.2">
      <c r="J963" t="s">
        <v>763</v>
      </c>
      <c r="K963">
        <v>0.3</v>
      </c>
      <c r="L963" t="s">
        <v>764</v>
      </c>
    </row>
    <row r="964" spans="7:12" x14ac:dyDescent="0.2">
      <c r="G964" t="s">
        <v>37</v>
      </c>
      <c r="J964" t="s">
        <v>765</v>
      </c>
      <c r="K964">
        <v>-28</v>
      </c>
      <c r="L964" t="s">
        <v>766</v>
      </c>
    </row>
    <row r="965" spans="7:12" x14ac:dyDescent="0.2">
      <c r="G965" t="s">
        <v>767</v>
      </c>
      <c r="H965">
        <f>I38</f>
        <v>14.149834999999999</v>
      </c>
      <c r="I965" t="s">
        <v>13</v>
      </c>
      <c r="J965" t="s">
        <v>768</v>
      </c>
      <c r="K965">
        <v>1500</v>
      </c>
      <c r="L965" t="s">
        <v>769</v>
      </c>
    </row>
    <row r="966" spans="7:12" x14ac:dyDescent="0.2">
      <c r="G966" t="s">
        <v>770</v>
      </c>
      <c r="H966">
        <f>N989</f>
        <v>1.4849999999999994</v>
      </c>
      <c r="I966" t="s">
        <v>55</v>
      </c>
      <c r="J966" t="s">
        <v>771</v>
      </c>
      <c r="K966">
        <f>0.01*K960</f>
        <v>0.45</v>
      </c>
      <c r="L966" t="s">
        <v>55</v>
      </c>
    </row>
    <row r="967" spans="7:12" x14ac:dyDescent="0.2">
      <c r="G967" t="s">
        <v>770</v>
      </c>
      <c r="H967">
        <f>H966*1000</f>
        <v>1484.9999999999995</v>
      </c>
      <c r="I967" t="s">
        <v>28</v>
      </c>
      <c r="J967" t="s">
        <v>772</v>
      </c>
    </row>
    <row r="968" spans="7:12" x14ac:dyDescent="0.2">
      <c r="G968" t="s">
        <v>773</v>
      </c>
      <c r="H968">
        <v>0.35</v>
      </c>
      <c r="J968" t="s">
        <v>774</v>
      </c>
    </row>
    <row r="969" spans="7:12" x14ac:dyDescent="0.2">
      <c r="G969" t="s">
        <v>775</v>
      </c>
      <c r="H969">
        <f>((H965*H967)*(1000/3600))*H968</f>
        <v>2042.8824281249995</v>
      </c>
      <c r="I969" t="s">
        <v>36</v>
      </c>
      <c r="J969" t="s">
        <v>776</v>
      </c>
      <c r="K969">
        <v>101325</v>
      </c>
      <c r="L969" t="s">
        <v>777</v>
      </c>
    </row>
    <row r="970" spans="7:12" x14ac:dyDescent="0.2">
      <c r="J970" t="s">
        <v>778</v>
      </c>
      <c r="K970">
        <v>8.3140000000000001</v>
      </c>
      <c r="L970" t="s">
        <v>779</v>
      </c>
    </row>
    <row r="971" spans="7:12" x14ac:dyDescent="0.2">
      <c r="J971" t="s">
        <v>780</v>
      </c>
      <c r="K971">
        <v>14.00067</v>
      </c>
      <c r="L971" t="s">
        <v>497</v>
      </c>
    </row>
    <row r="972" spans="7:12" x14ac:dyDescent="0.2">
      <c r="G972" t="s">
        <v>781</v>
      </c>
      <c r="J972" t="s">
        <v>782</v>
      </c>
      <c r="K972" s="118">
        <f>K961/K971</f>
        <v>13.392216229651867</v>
      </c>
      <c r="L972" t="s">
        <v>783</v>
      </c>
    </row>
    <row r="973" spans="7:12" x14ac:dyDescent="0.2">
      <c r="G973" t="s">
        <v>784</v>
      </c>
      <c r="H973">
        <f>$I$60</f>
        <v>45.25893360067159</v>
      </c>
      <c r="I973" t="s">
        <v>13</v>
      </c>
      <c r="J973" t="s">
        <v>782</v>
      </c>
      <c r="K973">
        <f>K972*1000</f>
        <v>13392.216229651867</v>
      </c>
      <c r="L973" t="s">
        <v>785</v>
      </c>
    </row>
    <row r="974" spans="7:12" x14ac:dyDescent="0.2">
      <c r="G974" t="s">
        <v>786</v>
      </c>
      <c r="H974">
        <f>$M$990</f>
        <v>7.2450000000000001</v>
      </c>
      <c r="I974" t="s">
        <v>55</v>
      </c>
      <c r="J974" t="s">
        <v>787</v>
      </c>
      <c r="K974">
        <f>273.15+25</f>
        <v>298.14999999999998</v>
      </c>
      <c r="L974" t="s">
        <v>479</v>
      </c>
    </row>
    <row r="975" spans="7:12" x14ac:dyDescent="0.2">
      <c r="G975" t="s">
        <v>786</v>
      </c>
      <c r="H975">
        <f>$H$974*1000</f>
        <v>7245</v>
      </c>
      <c r="I975" t="s">
        <v>28</v>
      </c>
      <c r="J975" t="s">
        <v>774</v>
      </c>
      <c r="K975" s="73">
        <f>(K973*K970*K974)/K969</f>
        <v>327.62774617706424</v>
      </c>
      <c r="L975" t="s">
        <v>613</v>
      </c>
    </row>
    <row r="976" spans="7:12" ht="15" customHeight="1" x14ac:dyDescent="0.2">
      <c r="G976" t="s">
        <v>773</v>
      </c>
      <c r="H976">
        <v>0.4</v>
      </c>
      <c r="J976" s="230" t="s">
        <v>788</v>
      </c>
      <c r="K976" s="238">
        <f>K975/K965</f>
        <v>0.21841849745137615</v>
      </c>
      <c r="L976" s="238" t="s">
        <v>789</v>
      </c>
    </row>
    <row r="977" spans="1:27" x14ac:dyDescent="0.2">
      <c r="G977" t="s">
        <v>775</v>
      </c>
      <c r="H977">
        <f>(($H$973*$H$975)*(1000/3600))*$H$976</f>
        <v>36433.441548540635</v>
      </c>
      <c r="I977" t="s">
        <v>36</v>
      </c>
      <c r="J977" s="230"/>
      <c r="K977" s="238"/>
      <c r="L977" s="238"/>
    </row>
    <row r="978" spans="1:27" x14ac:dyDescent="0.2">
      <c r="J978" s="230"/>
      <c r="K978" s="238"/>
      <c r="L978" s="238"/>
      <c r="O978" s="117"/>
    </row>
    <row r="979" spans="1:27" x14ac:dyDescent="0.2">
      <c r="G979" t="s">
        <v>790</v>
      </c>
      <c r="H979" s="73">
        <f>(($H$969+$H$977)/$C$43)/4</f>
        <v>2838.1816848198328</v>
      </c>
      <c r="I979" t="s">
        <v>791</v>
      </c>
    </row>
    <row r="980" spans="1:27" x14ac:dyDescent="0.2">
      <c r="O980" s="117"/>
    </row>
    <row r="982" spans="1:27" x14ac:dyDescent="0.2">
      <c r="K982">
        <f>J987+K989</f>
        <v>46.484999999999999</v>
      </c>
    </row>
    <row r="983" spans="1:27" x14ac:dyDescent="0.2">
      <c r="K983">
        <f>K989/K982</f>
        <v>3.194578896418198E-2</v>
      </c>
    </row>
    <row r="984" spans="1:27" x14ac:dyDescent="0.2">
      <c r="A984" s="125"/>
      <c r="B984" s="124">
        <v>1</v>
      </c>
      <c r="C984" s="124">
        <v>2</v>
      </c>
      <c r="D984" s="124">
        <v>3</v>
      </c>
      <c r="E984" s="124">
        <v>4</v>
      </c>
      <c r="F984" s="124">
        <v>5</v>
      </c>
      <c r="G984" s="124">
        <v>6</v>
      </c>
      <c r="H984" s="124">
        <v>7</v>
      </c>
      <c r="I984" s="124">
        <v>8</v>
      </c>
      <c r="J984" s="124">
        <v>9</v>
      </c>
      <c r="K984" s="124">
        <v>10</v>
      </c>
      <c r="L984" s="124">
        <v>11</v>
      </c>
      <c r="M984" s="124">
        <v>12</v>
      </c>
      <c r="N984" s="124">
        <v>13</v>
      </c>
      <c r="O984" s="124">
        <v>14</v>
      </c>
      <c r="P984" s="124">
        <v>15</v>
      </c>
      <c r="Q984" s="124">
        <v>16</v>
      </c>
    </row>
    <row r="985" spans="1:27" x14ac:dyDescent="0.2">
      <c r="A985" s="124" t="s">
        <v>792</v>
      </c>
      <c r="B985" s="3">
        <f>D987+E986</f>
        <v>5.6962025316455698</v>
      </c>
      <c r="C985" s="3">
        <v>0</v>
      </c>
      <c r="D985" s="3">
        <v>0</v>
      </c>
      <c r="E985" s="3">
        <v>0</v>
      </c>
      <c r="F985" s="3">
        <v>0</v>
      </c>
      <c r="G985" s="3">
        <v>0</v>
      </c>
      <c r="H985" s="3">
        <v>0</v>
      </c>
      <c r="I985" s="3">
        <v>0</v>
      </c>
      <c r="J985" s="3">
        <v>0</v>
      </c>
      <c r="K985" s="3">
        <v>0</v>
      </c>
      <c r="L985" s="3">
        <v>0</v>
      </c>
      <c r="M985" s="3">
        <v>0</v>
      </c>
      <c r="N985" s="3">
        <v>0</v>
      </c>
      <c r="O985" s="3">
        <v>0</v>
      </c>
      <c r="P985" s="3">
        <v>0</v>
      </c>
      <c r="Q985" s="3">
        <v>0</v>
      </c>
      <c r="W985" s="126"/>
    </row>
    <row r="986" spans="1:27" x14ac:dyDescent="0.2">
      <c r="A986" s="124" t="s">
        <v>793</v>
      </c>
      <c r="B986" s="3">
        <v>0</v>
      </c>
      <c r="C986" s="3">
        <v>0</v>
      </c>
      <c r="D986" s="3">
        <v>0</v>
      </c>
      <c r="E986" s="66">
        <f>0.21*(K959/0.79)</f>
        <v>1.1962025316455696</v>
      </c>
      <c r="F986" s="3">
        <v>0</v>
      </c>
      <c r="G986" s="3">
        <v>0</v>
      </c>
      <c r="H986" s="3">
        <v>0</v>
      </c>
      <c r="I986" s="3">
        <v>0</v>
      </c>
      <c r="J986" s="3">
        <v>0</v>
      </c>
      <c r="K986" s="3">
        <v>0</v>
      </c>
      <c r="L986" s="3">
        <v>0</v>
      </c>
      <c r="M986" s="3">
        <v>0</v>
      </c>
      <c r="N986" s="3">
        <v>0</v>
      </c>
      <c r="O986" s="3">
        <v>0</v>
      </c>
      <c r="P986" s="3">
        <v>0</v>
      </c>
      <c r="Q986" s="3">
        <v>0</v>
      </c>
    </row>
    <row r="987" spans="1:27" x14ac:dyDescent="0.2">
      <c r="A987" s="124" t="s">
        <v>751</v>
      </c>
      <c r="B987" s="3">
        <v>0</v>
      </c>
      <c r="C987" s="3">
        <v>0</v>
      </c>
      <c r="D987" s="3">
        <f>0.1*K960</f>
        <v>4.5</v>
      </c>
      <c r="E987" s="3">
        <v>0</v>
      </c>
      <c r="F987" s="3">
        <f>D987+P987</f>
        <v>45</v>
      </c>
      <c r="G987" s="3">
        <f>F987</f>
        <v>45</v>
      </c>
      <c r="H987" s="3">
        <v>0</v>
      </c>
      <c r="I987" s="3">
        <f>G987</f>
        <v>45</v>
      </c>
      <c r="J987" s="3">
        <f>I987</f>
        <v>45</v>
      </c>
      <c r="K987" s="3">
        <v>0</v>
      </c>
      <c r="L987" s="3">
        <v>0</v>
      </c>
      <c r="M987" s="3">
        <v>0</v>
      </c>
      <c r="N987" s="3">
        <v>0</v>
      </c>
      <c r="O987" s="122">
        <f>0.1*K960</f>
        <v>4.5</v>
      </c>
      <c r="P987" s="66">
        <f>0.9*K960</f>
        <v>40.5</v>
      </c>
      <c r="Q987" s="3">
        <v>0</v>
      </c>
      <c r="S987" s="117">
        <f>O994+O987</f>
        <v>4.5454545454545459</v>
      </c>
    </row>
    <row r="988" spans="1:27" x14ac:dyDescent="0.2">
      <c r="A988" s="124" t="s">
        <v>794</v>
      </c>
      <c r="B988" s="3">
        <v>0</v>
      </c>
      <c r="C988" s="3">
        <v>9</v>
      </c>
      <c r="D988" s="3">
        <v>0</v>
      </c>
      <c r="E988" s="3">
        <v>0</v>
      </c>
      <c r="F988" s="3">
        <f>C988</f>
        <v>9</v>
      </c>
      <c r="G988" s="3">
        <f>D988</f>
        <v>0</v>
      </c>
      <c r="H988" s="3">
        <f>E988</f>
        <v>0</v>
      </c>
      <c r="I988" s="3">
        <v>0</v>
      </c>
      <c r="J988" s="3">
        <f>G988</f>
        <v>0</v>
      </c>
      <c r="K988" s="3">
        <f>H988</f>
        <v>0</v>
      </c>
      <c r="L988" s="3">
        <f t="shared" ref="L988:Q988" si="34">I988</f>
        <v>0</v>
      </c>
      <c r="M988" s="3">
        <f t="shared" si="34"/>
        <v>0</v>
      </c>
      <c r="N988" s="3">
        <f t="shared" si="34"/>
        <v>0</v>
      </c>
      <c r="O988" s="3">
        <f t="shared" si="34"/>
        <v>0</v>
      </c>
      <c r="P988" s="3">
        <f t="shared" si="34"/>
        <v>0</v>
      </c>
      <c r="Q988" s="3">
        <f t="shared" si="34"/>
        <v>0</v>
      </c>
    </row>
    <row r="989" spans="1:27" x14ac:dyDescent="0.2">
      <c r="A989" s="124" t="s">
        <v>795</v>
      </c>
      <c r="B989" s="3">
        <v>0</v>
      </c>
      <c r="C989" s="3">
        <v>0</v>
      </c>
      <c r="D989" s="3">
        <v>0</v>
      </c>
      <c r="E989" s="3">
        <v>0</v>
      </c>
      <c r="F989" s="3">
        <v>0</v>
      </c>
      <c r="G989" s="3">
        <f>C988*F946</f>
        <v>1.4849999999999994</v>
      </c>
      <c r="H989" s="3">
        <v>0</v>
      </c>
      <c r="I989" s="3">
        <f>G989</f>
        <v>1.4849999999999994</v>
      </c>
      <c r="J989" s="3">
        <v>0</v>
      </c>
      <c r="K989" s="3">
        <f>I989</f>
        <v>1.4849999999999994</v>
      </c>
      <c r="L989" s="3">
        <f>K989</f>
        <v>1.4849999999999994</v>
      </c>
      <c r="M989" s="3">
        <v>0</v>
      </c>
      <c r="N989" s="3">
        <f>L989</f>
        <v>1.4849999999999994</v>
      </c>
      <c r="O989" s="3">
        <v>0</v>
      </c>
      <c r="P989" s="3">
        <v>0</v>
      </c>
      <c r="Q989" s="3">
        <v>0</v>
      </c>
      <c r="S989" t="s">
        <v>796</v>
      </c>
      <c r="T989">
        <f>O994/S987</f>
        <v>0.01</v>
      </c>
      <c r="U989" t="s">
        <v>797</v>
      </c>
    </row>
    <row r="990" spans="1:27" x14ac:dyDescent="0.2">
      <c r="A990" s="124" t="s">
        <v>754</v>
      </c>
      <c r="B990" s="3">
        <v>0</v>
      </c>
      <c r="C990" s="3">
        <v>0</v>
      </c>
      <c r="D990" s="3">
        <v>0</v>
      </c>
      <c r="E990" s="3">
        <v>0</v>
      </c>
      <c r="F990" s="3">
        <v>0</v>
      </c>
      <c r="G990" s="3">
        <f>C988*F945</f>
        <v>7.2450000000000001</v>
      </c>
      <c r="H990" s="3">
        <v>0</v>
      </c>
      <c r="I990" s="3">
        <f>G990</f>
        <v>7.2450000000000001</v>
      </c>
      <c r="J990" s="3">
        <v>0</v>
      </c>
      <c r="K990" s="3">
        <f>I990</f>
        <v>7.2450000000000001</v>
      </c>
      <c r="L990" s="3">
        <f>K990</f>
        <v>7.2450000000000001</v>
      </c>
      <c r="M990" s="3">
        <f>L990</f>
        <v>7.2450000000000001</v>
      </c>
      <c r="N990" s="3">
        <v>0</v>
      </c>
      <c r="O990" s="3">
        <v>0</v>
      </c>
      <c r="P990" s="3">
        <v>0</v>
      </c>
      <c r="Q990" s="3">
        <v>0</v>
      </c>
      <c r="S990" t="s">
        <v>461</v>
      </c>
      <c r="T990">
        <f>O987/S987</f>
        <v>0.98999999999999988</v>
      </c>
      <c r="U990" t="s">
        <v>797</v>
      </c>
    </row>
    <row r="991" spans="1:27" x14ac:dyDescent="0.2">
      <c r="A991" s="124" t="s">
        <v>798</v>
      </c>
      <c r="B991" s="3">
        <v>0</v>
      </c>
      <c r="C991" s="3">
        <v>0</v>
      </c>
      <c r="D991" s="3">
        <v>0</v>
      </c>
      <c r="E991" s="3">
        <v>0</v>
      </c>
      <c r="F991" s="3">
        <v>0</v>
      </c>
      <c r="G991" s="3">
        <f>C988*F947</f>
        <v>0.27</v>
      </c>
      <c r="H991" s="3">
        <f>G991</f>
        <v>0.27</v>
      </c>
      <c r="I991" s="3">
        <v>0</v>
      </c>
      <c r="J991" s="3">
        <v>0</v>
      </c>
      <c r="K991" s="3">
        <v>0</v>
      </c>
      <c r="L991" s="3">
        <v>0</v>
      </c>
      <c r="M991" s="3">
        <v>0</v>
      </c>
      <c r="N991" s="3">
        <v>0</v>
      </c>
      <c r="O991" s="3">
        <v>0</v>
      </c>
      <c r="P991" s="3">
        <v>0</v>
      </c>
      <c r="Q991" s="3">
        <v>0</v>
      </c>
      <c r="W991" s="126"/>
      <c r="AA991" s="100"/>
    </row>
    <row r="992" spans="1:27" x14ac:dyDescent="0.2">
      <c r="A992" s="124" t="s">
        <v>799</v>
      </c>
      <c r="B992" s="3">
        <v>0</v>
      </c>
      <c r="C992" s="3">
        <v>0</v>
      </c>
      <c r="D992" s="3">
        <v>0</v>
      </c>
      <c r="E992" s="3">
        <v>0</v>
      </c>
      <c r="F992" s="3">
        <v>0</v>
      </c>
      <c r="G992" s="3">
        <v>0</v>
      </c>
      <c r="H992" s="3">
        <v>0</v>
      </c>
      <c r="I992" s="3">
        <v>0</v>
      </c>
      <c r="J992" s="3">
        <v>0</v>
      </c>
      <c r="K992" s="3">
        <v>0</v>
      </c>
      <c r="L992" s="3">
        <v>0</v>
      </c>
      <c r="M992" s="3">
        <v>0</v>
      </c>
      <c r="N992" s="3">
        <v>0</v>
      </c>
      <c r="O992" s="3">
        <v>0</v>
      </c>
      <c r="P992" s="3">
        <v>0</v>
      </c>
      <c r="Q992" s="130">
        <f>H977</f>
        <v>36433.441548540635</v>
      </c>
      <c r="AA992" s="1"/>
    </row>
    <row r="993" spans="1:24" x14ac:dyDescent="0.2">
      <c r="A993" s="124" t="s">
        <v>800</v>
      </c>
      <c r="B993" s="3">
        <v>0</v>
      </c>
      <c r="C993" s="3">
        <v>0</v>
      </c>
      <c r="D993" s="3">
        <v>0</v>
      </c>
      <c r="E993" s="3">
        <v>0</v>
      </c>
      <c r="F993" s="3">
        <v>0</v>
      </c>
      <c r="G993" s="3">
        <v>0</v>
      </c>
      <c r="H993" s="3">
        <v>0</v>
      </c>
      <c r="I993" s="3">
        <v>0</v>
      </c>
      <c r="J993" s="3">
        <v>0</v>
      </c>
      <c r="K993" s="3">
        <v>0</v>
      </c>
      <c r="L993" s="3">
        <v>0</v>
      </c>
      <c r="M993" s="3">
        <v>0</v>
      </c>
      <c r="N993" s="3">
        <v>0</v>
      </c>
      <c r="O993" s="3">
        <v>0</v>
      </c>
      <c r="P993" s="3">
        <v>0</v>
      </c>
      <c r="Q993" s="130">
        <f>H969</f>
        <v>2042.8824281249995</v>
      </c>
    </row>
    <row r="994" spans="1:24" x14ac:dyDescent="0.2">
      <c r="A994" s="124" t="s">
        <v>801</v>
      </c>
      <c r="B994" s="3">
        <v>0</v>
      </c>
      <c r="C994" s="3">
        <v>0</v>
      </c>
      <c r="D994" s="3">
        <f>D987*0.01</f>
        <v>4.4999999999999998E-2</v>
      </c>
      <c r="E994" s="3">
        <v>0</v>
      </c>
      <c r="F994" s="3">
        <f>D994</f>
        <v>4.4999999999999998E-2</v>
      </c>
      <c r="G994" s="3">
        <f>F994</f>
        <v>4.4999999999999998E-2</v>
      </c>
      <c r="H994" s="3">
        <v>0</v>
      </c>
      <c r="I994" s="3">
        <f>G994</f>
        <v>4.4999999999999998E-2</v>
      </c>
      <c r="J994" s="3">
        <f>I994</f>
        <v>4.4999999999999998E-2</v>
      </c>
      <c r="K994" s="3">
        <v>0</v>
      </c>
      <c r="L994" s="3">
        <v>0</v>
      </c>
      <c r="M994" s="3">
        <v>0</v>
      </c>
      <c r="N994" s="3">
        <v>0</v>
      </c>
      <c r="O994" s="123">
        <f>(0.01/0.99)*D987</f>
        <v>4.5454545454545456E-2</v>
      </c>
      <c r="P994" s="3">
        <v>0</v>
      </c>
      <c r="Q994" s="3">
        <v>0</v>
      </c>
    </row>
    <row r="996" spans="1:24" x14ac:dyDescent="0.2">
      <c r="A996" s="128" t="s">
        <v>802</v>
      </c>
      <c r="B996" t="s">
        <v>803</v>
      </c>
      <c r="C996" t="s">
        <v>804</v>
      </c>
      <c r="D996" t="s">
        <v>805</v>
      </c>
      <c r="E996" t="s">
        <v>806</v>
      </c>
      <c r="F996" t="s">
        <v>807</v>
      </c>
      <c r="G996" t="s">
        <v>808</v>
      </c>
      <c r="H996" t="s">
        <v>809</v>
      </c>
      <c r="I996" t="s">
        <v>810</v>
      </c>
      <c r="J996" t="s">
        <v>811</v>
      </c>
      <c r="K996" t="s">
        <v>812</v>
      </c>
      <c r="L996" t="s">
        <v>813</v>
      </c>
      <c r="M996" t="s">
        <v>814</v>
      </c>
      <c r="N996" t="s">
        <v>815</v>
      </c>
      <c r="O996" t="s">
        <v>816</v>
      </c>
      <c r="P996" t="s">
        <v>817</v>
      </c>
      <c r="Q996" t="s">
        <v>818</v>
      </c>
      <c r="R996" t="s">
        <v>819</v>
      </c>
      <c r="S996" t="s">
        <v>820</v>
      </c>
      <c r="T996" t="s">
        <v>821</v>
      </c>
    </row>
    <row r="997" spans="1:24" ht="96" x14ac:dyDescent="0.2">
      <c r="A997" s="129" t="s">
        <v>822</v>
      </c>
      <c r="B997" s="48" t="s">
        <v>823</v>
      </c>
      <c r="C997" s="70" t="s">
        <v>824</v>
      </c>
      <c r="D997" s="25" t="s">
        <v>825</v>
      </c>
      <c r="E997" s="51">
        <f>B1015-B1017</f>
        <v>3140.04342</v>
      </c>
      <c r="F997" s="25">
        <f>E997/(20-4)</f>
        <v>196.25271375</v>
      </c>
      <c r="G997" s="150" t="s">
        <v>826</v>
      </c>
      <c r="H997" s="25">
        <v>2.2999999999999998</v>
      </c>
      <c r="I997" s="45" t="s">
        <v>827</v>
      </c>
      <c r="J997" s="45" t="s">
        <v>828</v>
      </c>
      <c r="K997" s="45" t="s">
        <v>829</v>
      </c>
      <c r="L997" s="45" t="s">
        <v>830</v>
      </c>
      <c r="M997" s="48" t="s">
        <v>830</v>
      </c>
      <c r="N997" s="45" t="s">
        <v>831</v>
      </c>
      <c r="O997" s="25">
        <v>1.7000000000000001E-2</v>
      </c>
      <c r="P997" s="25">
        <f>O997*1.1</f>
        <v>1.8700000000000001E-2</v>
      </c>
      <c r="Q997" s="25">
        <f>P997-O997</f>
        <v>1.7000000000000001E-3</v>
      </c>
      <c r="R997" s="50">
        <f>T997*SQRT((0.825/Q997))</f>
        <v>35.733744123821431</v>
      </c>
      <c r="S997" s="25">
        <v>2</v>
      </c>
      <c r="T997" s="50">
        <f>D1008</f>
        <v>1.6220939693593821</v>
      </c>
      <c r="X997" s="67"/>
    </row>
    <row r="999" spans="1:24" x14ac:dyDescent="0.2">
      <c r="A999" t="s">
        <v>832</v>
      </c>
    </row>
    <row r="1000" spans="1:24" x14ac:dyDescent="0.2">
      <c r="A1000" t="s">
        <v>833</v>
      </c>
      <c r="B1000">
        <v>7.2450000000000001</v>
      </c>
      <c r="C1000" t="s">
        <v>55</v>
      </c>
      <c r="D1000">
        <f>B1000*1000/24</f>
        <v>301.875</v>
      </c>
      <c r="E1000" t="s">
        <v>493</v>
      </c>
    </row>
    <row r="1001" spans="1:24" x14ac:dyDescent="0.2">
      <c r="A1001" t="s">
        <v>834</v>
      </c>
      <c r="B1001" s="73">
        <f>SQRT(380*420)/2</f>
        <v>199.74984355438178</v>
      </c>
      <c r="C1001" t="s">
        <v>835</v>
      </c>
    </row>
    <row r="1002" spans="1:24" x14ac:dyDescent="0.2">
      <c r="A1002" t="s">
        <v>834</v>
      </c>
      <c r="B1002" s="118">
        <f>B1001/1000</f>
        <v>0.19974984355438177</v>
      </c>
      <c r="C1002" t="s">
        <v>836</v>
      </c>
    </row>
    <row r="1003" spans="1:24" x14ac:dyDescent="0.2">
      <c r="A1003" t="s">
        <v>837</v>
      </c>
      <c r="B1003" s="1">
        <f>Q992*B1002</f>
        <v>7277.5742494687047</v>
      </c>
      <c r="C1003" t="s">
        <v>838</v>
      </c>
    </row>
    <row r="1004" spans="1:24" x14ac:dyDescent="0.2">
      <c r="A1004" t="s">
        <v>837</v>
      </c>
      <c r="B1004" s="1">
        <f>B1003/24</f>
        <v>303.23226039452936</v>
      </c>
      <c r="C1004" t="s">
        <v>493</v>
      </c>
    </row>
    <row r="1005" spans="1:24" x14ac:dyDescent="0.2">
      <c r="A1005" t="s">
        <v>839</v>
      </c>
      <c r="B1005">
        <v>6.87</v>
      </c>
      <c r="C1005" t="s">
        <v>840</v>
      </c>
      <c r="X1005" s="127"/>
    </row>
    <row r="1006" spans="1:24" x14ac:dyDescent="0.2">
      <c r="A1006" t="s">
        <v>839</v>
      </c>
      <c r="B1006" s="1">
        <f>B1005*(264.2/2.205)</f>
        <v>823.15374149659851</v>
      </c>
      <c r="C1006" t="s">
        <v>841</v>
      </c>
    </row>
    <row r="1007" spans="1:24" x14ac:dyDescent="0.2">
      <c r="A1007" t="s">
        <v>842</v>
      </c>
      <c r="B1007" s="1">
        <f>B1003/B1006</f>
        <v>8.8410874938588577</v>
      </c>
      <c r="C1007" t="s">
        <v>843</v>
      </c>
    </row>
    <row r="1008" spans="1:24" x14ac:dyDescent="0.2">
      <c r="A1008" t="s">
        <v>844</v>
      </c>
      <c r="B1008" s="1">
        <f>B1004/B1006</f>
        <v>0.36837864557745242</v>
      </c>
      <c r="C1008" t="s">
        <v>613</v>
      </c>
      <c r="D1008">
        <f>B1008*(264.2/60)</f>
        <v>1.6220939693593821</v>
      </c>
      <c r="E1008" t="s">
        <v>845</v>
      </c>
    </row>
    <row r="1009" spans="1:21" x14ac:dyDescent="0.2">
      <c r="A1009" s="65" t="s">
        <v>846</v>
      </c>
      <c r="B1009" s="75">
        <f>B1007*1.2</f>
        <v>10.609304992630628</v>
      </c>
      <c r="C1009" s="65" t="s">
        <v>843</v>
      </c>
    </row>
    <row r="1010" spans="1:21" x14ac:dyDescent="0.2">
      <c r="A1010" t="s">
        <v>847</v>
      </c>
      <c r="B1010" s="131" t="s">
        <v>848</v>
      </c>
    </row>
    <row r="1011" spans="1:21" x14ac:dyDescent="0.2">
      <c r="A1011" s="65" t="s">
        <v>849</v>
      </c>
      <c r="B1011" s="65">
        <v>1</v>
      </c>
      <c r="C1011" s="65" t="s">
        <v>850</v>
      </c>
    </row>
    <row r="1012" spans="1:21" x14ac:dyDescent="0.2">
      <c r="A1012" t="s">
        <v>476</v>
      </c>
      <c r="B1012">
        <v>3.78</v>
      </c>
      <c r="C1012" t="s">
        <v>484</v>
      </c>
      <c r="D1012">
        <v>3.5569999999999999</v>
      </c>
      <c r="E1012" t="s">
        <v>484</v>
      </c>
    </row>
    <row r="1013" spans="1:21" x14ac:dyDescent="0.2">
      <c r="A1013" t="s">
        <v>86</v>
      </c>
      <c r="B1013" s="1">
        <f>B1012/4</f>
        <v>0.94499999999999995</v>
      </c>
      <c r="C1013" t="s">
        <v>484</v>
      </c>
      <c r="D1013">
        <f>D1012/4</f>
        <v>0.88924999999999998</v>
      </c>
      <c r="E1013" t="s">
        <v>484</v>
      </c>
    </row>
    <row r="1014" spans="1:21" x14ac:dyDescent="0.2">
      <c r="A1014" s="65" t="s">
        <v>851</v>
      </c>
      <c r="B1014" s="75">
        <f>PI()*(B1012/2)^2*B1013</f>
        <v>10.604868546404253</v>
      </c>
      <c r="C1014" s="65" t="s">
        <v>843</v>
      </c>
      <c r="D1014" s="1">
        <f>PI()*(D1012/2)^2*D1013</f>
        <v>8.8365244935824236</v>
      </c>
      <c r="E1014" t="s">
        <v>843</v>
      </c>
    </row>
    <row r="1015" spans="1:21" x14ac:dyDescent="0.2">
      <c r="A1015" t="s">
        <v>852</v>
      </c>
      <c r="B1015" s="73">
        <f>B1006*9.8*D1013</f>
        <v>7173.4967533333329</v>
      </c>
      <c r="C1015" t="s">
        <v>777</v>
      </c>
    </row>
    <row r="1016" spans="1:21" x14ac:dyDescent="0.2">
      <c r="A1016" t="s">
        <v>853</v>
      </c>
      <c r="B1016">
        <v>0.5</v>
      </c>
      <c r="C1016" t="s">
        <v>484</v>
      </c>
    </row>
    <row r="1017" spans="1:21" x14ac:dyDescent="0.2">
      <c r="A1017" t="s">
        <v>854</v>
      </c>
      <c r="B1017" s="1">
        <f>B1006*9.8*B1016</f>
        <v>4033.4533333333329</v>
      </c>
      <c r="C1017" t="s">
        <v>777</v>
      </c>
    </row>
    <row r="1019" spans="1:21" x14ac:dyDescent="0.2">
      <c r="A1019" s="128" t="s">
        <v>802</v>
      </c>
      <c r="B1019" t="s">
        <v>803</v>
      </c>
      <c r="C1019" t="s">
        <v>855</v>
      </c>
      <c r="D1019" t="s">
        <v>805</v>
      </c>
      <c r="E1019" t="s">
        <v>856</v>
      </c>
      <c r="F1019" t="s">
        <v>857</v>
      </c>
      <c r="G1019" t="s">
        <v>858</v>
      </c>
      <c r="H1019" t="s">
        <v>809</v>
      </c>
      <c r="I1019" t="s">
        <v>810</v>
      </c>
      <c r="J1019" t="s">
        <v>811</v>
      </c>
      <c r="K1019" t="s">
        <v>812</v>
      </c>
      <c r="L1019" t="s">
        <v>859</v>
      </c>
      <c r="M1019" t="s">
        <v>818</v>
      </c>
      <c r="N1019" t="s">
        <v>860</v>
      </c>
      <c r="O1019" t="s">
        <v>861</v>
      </c>
      <c r="P1019" t="s">
        <v>862</v>
      </c>
    </row>
    <row r="1020" spans="1:21" ht="152.25" customHeight="1" x14ac:dyDescent="0.2">
      <c r="A1020" s="158" t="s">
        <v>863</v>
      </c>
      <c r="B1020" s="45" t="s">
        <v>864</v>
      </c>
      <c r="C1020" s="45" t="s">
        <v>865</v>
      </c>
      <c r="D1020" s="45" t="s">
        <v>866</v>
      </c>
      <c r="E1020" s="45">
        <v>25</v>
      </c>
      <c r="F1020" s="45">
        <f>(102.57-100)/(430-25)</f>
        <v>6.3456790123456626E-3</v>
      </c>
      <c r="G1020" s="150" t="s">
        <v>867</v>
      </c>
      <c r="H1020" s="45">
        <v>60</v>
      </c>
      <c r="I1020" s="45" t="s">
        <v>868</v>
      </c>
      <c r="J1020" s="45" t="s">
        <v>828</v>
      </c>
      <c r="K1020" s="45" t="s">
        <v>869</v>
      </c>
      <c r="L1020" s="45" t="s">
        <v>870</v>
      </c>
      <c r="M1020" s="45">
        <v>14.5</v>
      </c>
      <c r="N1020" s="45">
        <f>0.5+0.3</f>
        <v>0.8</v>
      </c>
      <c r="O1020" s="160">
        <f>K1029</f>
        <v>379.46625301144343</v>
      </c>
      <c r="P1020" s="160">
        <f>O1020*SQRT((0.586/M1020))</f>
        <v>76.284791897062647</v>
      </c>
      <c r="Q1020" s="45"/>
      <c r="R1020" s="45"/>
      <c r="S1020" s="45"/>
      <c r="T1020" s="45"/>
      <c r="U1020" s="45"/>
    </row>
    <row r="1021" spans="1:21" x14ac:dyDescent="0.2">
      <c r="F1021" s="159"/>
      <c r="P1021">
        <f>P1020*2</f>
        <v>152.56958379412529</v>
      </c>
    </row>
    <row r="1022" spans="1:21" x14ac:dyDescent="0.2">
      <c r="J1022" t="s">
        <v>871</v>
      </c>
      <c r="K1022">
        <f>H967</f>
        <v>1484.9999999999995</v>
      </c>
      <c r="L1022" t="s">
        <v>28</v>
      </c>
    </row>
    <row r="1023" spans="1:21" x14ac:dyDescent="0.2">
      <c r="A1023" s="3" t="s">
        <v>872</v>
      </c>
      <c r="B1023" s="3">
        <v>16</v>
      </c>
      <c r="C1023" s="3" t="s">
        <v>64</v>
      </c>
      <c r="J1023" t="s">
        <v>871</v>
      </c>
      <c r="K1023">
        <f>K1022/24</f>
        <v>61.874999999999979</v>
      </c>
      <c r="L1023" t="s">
        <v>493</v>
      </c>
    </row>
    <row r="1024" spans="1:21" x14ac:dyDescent="0.2">
      <c r="A1024" s="3" t="s">
        <v>872</v>
      </c>
      <c r="B1024" s="130">
        <f>B1023*((10^6)/3412)</f>
        <v>4689.3317702227432</v>
      </c>
      <c r="C1024" s="3" t="s">
        <v>36</v>
      </c>
      <c r="J1024" t="s">
        <v>871</v>
      </c>
      <c r="K1024">
        <f>K1023*2.205</f>
        <v>136.43437499999996</v>
      </c>
      <c r="L1024" t="s">
        <v>873</v>
      </c>
    </row>
    <row r="1025" spans="1:12" x14ac:dyDescent="0.2">
      <c r="A1025" s="3" t="s">
        <v>874</v>
      </c>
      <c r="B1025" s="3">
        <v>0.58599999999999997</v>
      </c>
      <c r="C1025" s="3" t="s">
        <v>875</v>
      </c>
      <c r="J1025" t="s">
        <v>874</v>
      </c>
      <c r="K1025">
        <v>0.58599999999999997</v>
      </c>
      <c r="L1025" t="s">
        <v>875</v>
      </c>
    </row>
    <row r="1026" spans="1:12" x14ac:dyDescent="0.2">
      <c r="A1026" s="3" t="s">
        <v>876</v>
      </c>
      <c r="B1026" s="3">
        <v>7.6499999999999999E-2</v>
      </c>
      <c r="C1026" s="3" t="s">
        <v>469</v>
      </c>
      <c r="J1026" t="s">
        <v>876</v>
      </c>
      <c r="K1026">
        <v>7.6499999999999999E-2</v>
      </c>
      <c r="L1026" t="s">
        <v>469</v>
      </c>
    </row>
    <row r="1027" spans="1:12" x14ac:dyDescent="0.2">
      <c r="A1027" s="3" t="s">
        <v>877</v>
      </c>
      <c r="B1027" s="3">
        <f>B1025*B1026</f>
        <v>4.4828999999999994E-2</v>
      </c>
      <c r="C1027" s="3" t="s">
        <v>469</v>
      </c>
      <c r="J1027" t="s">
        <v>877</v>
      </c>
      <c r="K1027">
        <f>K1025*K1026</f>
        <v>4.4828999999999994E-2</v>
      </c>
      <c r="L1027" t="s">
        <v>469</v>
      </c>
    </row>
    <row r="1028" spans="1:12" x14ac:dyDescent="0.2">
      <c r="A1028" s="3" t="s">
        <v>878</v>
      </c>
      <c r="B1028" s="198">
        <f>B1027*(0.4536/0.02831)</f>
        <v>0.71827744259978799</v>
      </c>
      <c r="C1028" s="3" t="s">
        <v>48</v>
      </c>
      <c r="J1028" t="s">
        <v>879</v>
      </c>
      <c r="K1028" s="1">
        <f>K1024/K1027</f>
        <v>3043.4400722746432</v>
      </c>
      <c r="L1028" t="s">
        <v>618</v>
      </c>
    </row>
    <row r="1029" spans="1:12" x14ac:dyDescent="0.2">
      <c r="A1029" s="3" t="s">
        <v>880</v>
      </c>
      <c r="B1029" s="3">
        <v>38.15</v>
      </c>
      <c r="C1029" s="3" t="s">
        <v>16</v>
      </c>
      <c r="J1029" t="s">
        <v>879</v>
      </c>
      <c r="K1029" s="1">
        <f>K1028*(7.481/60)</f>
        <v>379.46625301144343</v>
      </c>
      <c r="L1029" t="s">
        <v>881</v>
      </c>
    </row>
    <row r="1030" spans="1:12" x14ac:dyDescent="0.2">
      <c r="A1030" s="3" t="s">
        <v>882</v>
      </c>
      <c r="B1030" s="3">
        <f>B1029/B1028</f>
        <v>53.113181254748845</v>
      </c>
      <c r="C1030" s="3" t="s">
        <v>13</v>
      </c>
    </row>
    <row r="1031" spans="1:12" x14ac:dyDescent="0.2">
      <c r="A1031" s="3" t="s">
        <v>882</v>
      </c>
      <c r="B1031" s="3">
        <f>B1030*1000</f>
        <v>53113.181254748844</v>
      </c>
      <c r="C1031" s="3" t="s">
        <v>79</v>
      </c>
    </row>
    <row r="1032" spans="1:12" x14ac:dyDescent="0.2">
      <c r="A1032" s="3" t="s">
        <v>882</v>
      </c>
      <c r="B1032" s="3">
        <f>B1031/3600</f>
        <v>14.753661459652458</v>
      </c>
      <c r="C1032" s="3" t="s">
        <v>883</v>
      </c>
    </row>
    <row r="1033" spans="1:12" x14ac:dyDescent="0.2">
      <c r="A1033" s="3" t="s">
        <v>884</v>
      </c>
      <c r="B1033" s="6">
        <f>B1024/B1032</f>
        <v>317.84189863966196</v>
      </c>
      <c r="C1033" s="3" t="s">
        <v>28</v>
      </c>
    </row>
    <row r="1034" spans="1:12" x14ac:dyDescent="0.2">
      <c r="A1034" s="3" t="s">
        <v>885</v>
      </c>
      <c r="B1034" s="6">
        <f>B1033/B1028</f>
        <v>442.50575027003606</v>
      </c>
      <c r="C1034" s="3" t="s">
        <v>505</v>
      </c>
    </row>
    <row r="1035" spans="1:12" x14ac:dyDescent="0.2">
      <c r="A1035" s="3" t="s">
        <v>886</v>
      </c>
      <c r="B1035" s="3">
        <v>2543</v>
      </c>
      <c r="C1035" s="3" t="s">
        <v>620</v>
      </c>
    </row>
    <row r="1036" spans="1:12" x14ac:dyDescent="0.2">
      <c r="A1036" s="3" t="s">
        <v>887</v>
      </c>
      <c r="B1036" s="201">
        <f>B1034*B1035</f>
        <v>1125292.1229367016</v>
      </c>
      <c r="C1036" s="3" t="s">
        <v>888</v>
      </c>
    </row>
    <row r="1037" spans="1:12" x14ac:dyDescent="0.2">
      <c r="A1037" s="3" t="s">
        <v>889</v>
      </c>
      <c r="B1037" s="202">
        <f>B1036/24</f>
        <v>46887.171789029235</v>
      </c>
      <c r="C1037" s="3" t="s">
        <v>890</v>
      </c>
    </row>
    <row r="1038" spans="1:12" x14ac:dyDescent="0.2">
      <c r="A1038" s="203" t="s">
        <v>891</v>
      </c>
      <c r="B1038" s="204">
        <f>B1037*8200</f>
        <v>384474808.67003971</v>
      </c>
      <c r="C1038" s="203" t="s">
        <v>514</v>
      </c>
    </row>
    <row r="1040" spans="1:12" x14ac:dyDescent="0.2">
      <c r="A1040" t="s">
        <v>892</v>
      </c>
      <c r="B1040">
        <v>4.5</v>
      </c>
      <c r="C1040" t="s">
        <v>55</v>
      </c>
    </row>
    <row r="1041" spans="1:22" x14ac:dyDescent="0.2">
      <c r="A1041" t="s">
        <v>893</v>
      </c>
      <c r="B1041">
        <v>100000</v>
      </c>
      <c r="C1041" t="s">
        <v>894</v>
      </c>
      <c r="D1041" t="s">
        <v>895</v>
      </c>
    </row>
    <row r="1042" spans="1:22" x14ac:dyDescent="0.2">
      <c r="A1042" t="s">
        <v>896</v>
      </c>
      <c r="B1042">
        <v>1</v>
      </c>
    </row>
    <row r="1043" spans="1:22" x14ac:dyDescent="0.2">
      <c r="A1043" t="s">
        <v>897</v>
      </c>
      <c r="B1043">
        <f>B1041*1.3</f>
        <v>130000</v>
      </c>
      <c r="C1043" t="s">
        <v>898</v>
      </c>
    </row>
    <row r="1044" spans="1:22" x14ac:dyDescent="0.2">
      <c r="A1044" s="59" t="s">
        <v>899</v>
      </c>
      <c r="B1044" s="172">
        <f>B1043*3964</f>
        <v>515320000</v>
      </c>
      <c r="C1044" s="59" t="s">
        <v>600</v>
      </c>
    </row>
    <row r="1046" spans="1:22" x14ac:dyDescent="0.2">
      <c r="A1046" t="s">
        <v>686</v>
      </c>
    </row>
    <row r="1047" spans="1:22" x14ac:dyDescent="0.2">
      <c r="A1047" t="s">
        <v>689</v>
      </c>
      <c r="B1047">
        <f>$D$751</f>
        <v>0.54725438596491227</v>
      </c>
      <c r="C1047" t="s">
        <v>613</v>
      </c>
      <c r="D1047">
        <f>B1047*24</f>
        <v>13.134105263157895</v>
      </c>
    </row>
    <row r="1048" spans="1:22" x14ac:dyDescent="0.2">
      <c r="A1048" t="s">
        <v>690</v>
      </c>
      <c r="B1048">
        <f>$B$754</f>
        <v>5476.6</v>
      </c>
      <c r="C1048" t="s">
        <v>620</v>
      </c>
    </row>
    <row r="1049" spans="1:22" x14ac:dyDescent="0.2">
      <c r="A1049" s="59" t="s">
        <v>668</v>
      </c>
      <c r="B1049" s="173">
        <f>$B$824*$B$825*$E$803</f>
        <v>24576165.635438599</v>
      </c>
      <c r="C1049" s="59" t="s">
        <v>514</v>
      </c>
    </row>
    <row r="1050" spans="1:22" x14ac:dyDescent="0.2">
      <c r="A1050" s="59" t="s">
        <v>900</v>
      </c>
      <c r="B1050" s="172">
        <v>82000000</v>
      </c>
      <c r="C1050" s="59" t="s">
        <v>600</v>
      </c>
    </row>
    <row r="1052" spans="1:22" x14ac:dyDescent="0.2">
      <c r="A1052" t="s">
        <v>901</v>
      </c>
    </row>
    <row r="1053" spans="1:22" x14ac:dyDescent="0.2">
      <c r="A1053" s="59" t="s">
        <v>902</v>
      </c>
      <c r="B1053" s="59">
        <v>16000000</v>
      </c>
      <c r="C1053" s="59" t="s">
        <v>600</v>
      </c>
      <c r="G1053" s="221" t="s">
        <v>903</v>
      </c>
      <c r="H1053" s="221"/>
      <c r="I1053" s="221"/>
      <c r="J1053" s="221"/>
      <c r="K1053" s="221"/>
      <c r="L1053" s="221"/>
      <c r="M1053" s="221"/>
      <c r="N1053" s="221"/>
      <c r="O1053" s="221"/>
      <c r="P1053" s="221"/>
      <c r="Q1053" s="221"/>
      <c r="R1053" s="221"/>
      <c r="S1053" s="221"/>
      <c r="T1053" s="221"/>
      <c r="U1053" s="221"/>
      <c r="V1053" s="221"/>
    </row>
    <row r="1054" spans="1:22" x14ac:dyDescent="0.2">
      <c r="A1054" s="59" t="s">
        <v>668</v>
      </c>
      <c r="B1054" s="174">
        <f>B821</f>
        <v>12628000</v>
      </c>
      <c r="C1054" s="59" t="s">
        <v>514</v>
      </c>
      <c r="G1054" s="124"/>
      <c r="H1054" s="182">
        <v>1</v>
      </c>
      <c r="I1054" s="182">
        <v>2</v>
      </c>
      <c r="J1054" s="182">
        <v>3</v>
      </c>
      <c r="K1054" s="182">
        <v>4</v>
      </c>
      <c r="L1054" s="182">
        <v>5</v>
      </c>
      <c r="M1054" s="182">
        <v>6</v>
      </c>
      <c r="N1054" s="182">
        <v>7</v>
      </c>
      <c r="O1054" s="182">
        <v>8</v>
      </c>
      <c r="P1054" s="182">
        <v>9</v>
      </c>
      <c r="Q1054" s="182">
        <v>10</v>
      </c>
      <c r="R1054" s="182">
        <v>11</v>
      </c>
      <c r="S1054" s="182">
        <v>12</v>
      </c>
      <c r="T1054" s="182">
        <v>13</v>
      </c>
      <c r="U1054" s="182">
        <v>14</v>
      </c>
      <c r="V1054" s="182">
        <v>15</v>
      </c>
    </row>
    <row r="1055" spans="1:22" x14ac:dyDescent="0.2">
      <c r="G1055" s="124" t="s">
        <v>792</v>
      </c>
      <c r="H1055" s="184">
        <f>$B$985</f>
        <v>5.6962025316455698</v>
      </c>
      <c r="I1055" s="184">
        <v>0</v>
      </c>
      <c r="J1055" s="184">
        <v>0</v>
      </c>
      <c r="K1055" s="184">
        <v>0</v>
      </c>
      <c r="L1055" s="184">
        <v>0</v>
      </c>
      <c r="M1055" s="184">
        <v>0</v>
      </c>
      <c r="N1055" s="184">
        <v>0</v>
      </c>
      <c r="O1055" s="184">
        <v>0</v>
      </c>
      <c r="P1055" s="184">
        <v>0</v>
      </c>
      <c r="Q1055" s="184">
        <v>0</v>
      </c>
      <c r="R1055" s="184">
        <v>0</v>
      </c>
      <c r="S1055" s="184">
        <v>0</v>
      </c>
      <c r="T1055" s="184">
        <v>0</v>
      </c>
      <c r="U1055" s="184">
        <v>0</v>
      </c>
      <c r="V1055" s="184">
        <v>0</v>
      </c>
    </row>
    <row r="1056" spans="1:22" x14ac:dyDescent="0.2">
      <c r="A1056" t="s">
        <v>586</v>
      </c>
      <c r="G1056" s="124" t="s">
        <v>793</v>
      </c>
      <c r="H1056" s="184">
        <v>0</v>
      </c>
      <c r="I1056" s="184">
        <v>0</v>
      </c>
      <c r="J1056" s="184">
        <v>0</v>
      </c>
      <c r="K1056" s="184">
        <f>E986</f>
        <v>1.1962025316455696</v>
      </c>
      <c r="L1056" s="184">
        <v>0</v>
      </c>
      <c r="M1056" s="184">
        <v>0</v>
      </c>
      <c r="N1056" s="184">
        <v>0</v>
      </c>
      <c r="O1056" s="184">
        <v>0</v>
      </c>
      <c r="P1056" s="184">
        <v>0</v>
      </c>
      <c r="Q1056" s="184">
        <v>0</v>
      </c>
      <c r="R1056" s="184">
        <v>0</v>
      </c>
      <c r="S1056" s="184">
        <v>0</v>
      </c>
      <c r="T1056" s="184">
        <v>0</v>
      </c>
      <c r="U1056" s="184">
        <v>0</v>
      </c>
      <c r="V1056" s="184">
        <v>0</v>
      </c>
    </row>
    <row r="1057" spans="1:24" x14ac:dyDescent="0.2">
      <c r="A1057" s="59" t="s">
        <v>902</v>
      </c>
      <c r="B1057" s="172">
        <f>7000000</f>
        <v>7000000</v>
      </c>
      <c r="C1057" s="59" t="s">
        <v>514</v>
      </c>
      <c r="G1057" s="124" t="s">
        <v>751</v>
      </c>
      <c r="H1057" s="184">
        <v>0</v>
      </c>
      <c r="I1057" s="184">
        <v>0</v>
      </c>
      <c r="J1057" s="184">
        <f>D987</f>
        <v>4.5</v>
      </c>
      <c r="K1057" s="184">
        <v>0</v>
      </c>
      <c r="L1057" s="184">
        <f>F987</f>
        <v>45</v>
      </c>
      <c r="M1057" s="184">
        <f>L1057</f>
        <v>45</v>
      </c>
      <c r="N1057" s="184">
        <v>0</v>
      </c>
      <c r="O1057" s="184">
        <f>$J$987</f>
        <v>45</v>
      </c>
      <c r="P1057" s="184">
        <f>$J$987</f>
        <v>45</v>
      </c>
      <c r="Q1057" s="184">
        <f>P1057</f>
        <v>45</v>
      </c>
      <c r="R1057" s="184">
        <v>0</v>
      </c>
      <c r="S1057" s="184">
        <v>0</v>
      </c>
      <c r="T1057" s="184">
        <v>0</v>
      </c>
      <c r="U1057" s="184">
        <f>J1057</f>
        <v>4.5</v>
      </c>
      <c r="V1057" s="184">
        <f>L1057</f>
        <v>45</v>
      </c>
      <c r="X1057">
        <f>V1057/(V1057+V1059)</f>
        <v>0.97115664756725262</v>
      </c>
    </row>
    <row r="1058" spans="1:24" x14ac:dyDescent="0.2">
      <c r="A1058" s="59" t="s">
        <v>668</v>
      </c>
      <c r="B1058" s="174">
        <f>B806</f>
        <v>8564080</v>
      </c>
      <c r="C1058" s="59" t="s">
        <v>514</v>
      </c>
      <c r="G1058" s="124" t="s">
        <v>794</v>
      </c>
      <c r="H1058" s="184">
        <v>0</v>
      </c>
      <c r="I1058" s="184">
        <f>C988</f>
        <v>9</v>
      </c>
      <c r="J1058" s="184">
        <v>0</v>
      </c>
      <c r="K1058" s="184">
        <v>0</v>
      </c>
      <c r="L1058" s="184">
        <f>F988</f>
        <v>9</v>
      </c>
      <c r="M1058" s="184">
        <v>0</v>
      </c>
      <c r="N1058" s="184">
        <v>0</v>
      </c>
      <c r="O1058" s="184">
        <v>0</v>
      </c>
      <c r="P1058" s="184">
        <v>0</v>
      </c>
      <c r="Q1058" s="184">
        <v>0</v>
      </c>
      <c r="R1058" s="184">
        <v>0</v>
      </c>
      <c r="S1058" s="184">
        <v>0</v>
      </c>
      <c r="T1058" s="184">
        <v>0</v>
      </c>
      <c r="U1058" s="184">
        <v>0</v>
      </c>
      <c r="V1058" s="184">
        <v>0</v>
      </c>
    </row>
    <row r="1059" spans="1:24" x14ac:dyDescent="0.2">
      <c r="G1059" s="124" t="s">
        <v>795</v>
      </c>
      <c r="H1059" s="184">
        <v>0</v>
      </c>
      <c r="I1059" s="184">
        <v>0</v>
      </c>
      <c r="J1059" s="184">
        <v>0</v>
      </c>
      <c r="K1059" s="184">
        <v>0</v>
      </c>
      <c r="L1059" s="184">
        <v>0</v>
      </c>
      <c r="M1059" s="184">
        <f>G989</f>
        <v>1.4849999999999994</v>
      </c>
      <c r="N1059" s="184">
        <v>0</v>
      </c>
      <c r="O1059" s="184">
        <f>$M$1059</f>
        <v>1.4849999999999994</v>
      </c>
      <c r="P1059" s="184">
        <f>$M$1059</f>
        <v>1.4849999999999994</v>
      </c>
      <c r="Q1059" s="184">
        <f>P1059</f>
        <v>1.4849999999999994</v>
      </c>
      <c r="R1059" s="184">
        <v>0</v>
      </c>
      <c r="S1059" s="184">
        <v>0</v>
      </c>
      <c r="T1059" s="184">
        <v>0</v>
      </c>
      <c r="U1059" s="184">
        <f>0.1*Q1059</f>
        <v>0.14849999999999994</v>
      </c>
      <c r="V1059" s="184">
        <f>Q1059*0.9</f>
        <v>1.3364999999999996</v>
      </c>
    </row>
    <row r="1060" spans="1:24" x14ac:dyDescent="0.2">
      <c r="A1060" t="s">
        <v>588</v>
      </c>
      <c r="G1060" s="124" t="s">
        <v>754</v>
      </c>
      <c r="H1060" s="184">
        <v>0</v>
      </c>
      <c r="I1060" s="184">
        <v>0</v>
      </c>
      <c r="J1060" s="184">
        <v>0</v>
      </c>
      <c r="K1060" s="184">
        <v>0</v>
      </c>
      <c r="L1060" s="184">
        <v>0</v>
      </c>
      <c r="M1060" s="184">
        <f>G990</f>
        <v>7.2450000000000001</v>
      </c>
      <c r="N1060" s="184">
        <v>0</v>
      </c>
      <c r="O1060" s="184">
        <f>$M$1060</f>
        <v>7.2450000000000001</v>
      </c>
      <c r="P1060" s="184">
        <f>$M$1060</f>
        <v>7.2450000000000001</v>
      </c>
      <c r="Q1060" s="184">
        <v>0</v>
      </c>
      <c r="R1060" s="184">
        <f>P1060</f>
        <v>7.2450000000000001</v>
      </c>
      <c r="S1060" s="184">
        <f>R1060</f>
        <v>7.2450000000000001</v>
      </c>
      <c r="T1060" s="184">
        <v>0</v>
      </c>
      <c r="U1060" s="184">
        <v>0</v>
      </c>
      <c r="V1060" s="184">
        <v>0</v>
      </c>
    </row>
    <row r="1061" spans="1:24" x14ac:dyDescent="0.2">
      <c r="A1061" s="59" t="s">
        <v>902</v>
      </c>
      <c r="B1061" s="172">
        <f>40000000</f>
        <v>40000000</v>
      </c>
      <c r="C1061" s="59" t="s">
        <v>600</v>
      </c>
      <c r="G1061" s="124" t="s">
        <v>798</v>
      </c>
      <c r="H1061" s="184">
        <v>0</v>
      </c>
      <c r="I1061" s="184">
        <v>0</v>
      </c>
      <c r="J1061" s="184">
        <v>0</v>
      </c>
      <c r="K1061" s="184">
        <v>0</v>
      </c>
      <c r="L1061" s="184">
        <v>0</v>
      </c>
      <c r="M1061" s="184">
        <f>0.03*I1058</f>
        <v>0.27</v>
      </c>
      <c r="N1061" s="184">
        <f>M1061</f>
        <v>0.27</v>
      </c>
      <c r="O1061" s="184">
        <v>0</v>
      </c>
      <c r="P1061" s="184">
        <v>0</v>
      </c>
      <c r="Q1061" s="184">
        <v>0</v>
      </c>
      <c r="R1061" s="184">
        <v>0</v>
      </c>
      <c r="S1061" s="184">
        <v>0</v>
      </c>
      <c r="T1061" s="184">
        <v>0</v>
      </c>
      <c r="U1061" s="184">
        <v>0</v>
      </c>
      <c r="V1061" s="184">
        <v>0</v>
      </c>
    </row>
    <row r="1062" spans="1:24" x14ac:dyDescent="0.2">
      <c r="G1062" s="124" t="s">
        <v>799</v>
      </c>
      <c r="H1062" s="184">
        <v>0</v>
      </c>
      <c r="I1062" s="184">
        <v>0</v>
      </c>
      <c r="J1062" s="184">
        <v>0</v>
      </c>
      <c r="K1062" s="184">
        <v>0</v>
      </c>
      <c r="L1062" s="184">
        <v>0</v>
      </c>
      <c r="M1062" s="184">
        <v>0</v>
      </c>
      <c r="N1062" s="184">
        <v>0</v>
      </c>
      <c r="O1062" s="184">
        <v>0</v>
      </c>
      <c r="P1062" s="184">
        <v>0</v>
      </c>
      <c r="Q1062" s="184">
        <v>0</v>
      </c>
      <c r="R1062" s="184">
        <v>0</v>
      </c>
      <c r="S1062" s="184">
        <v>0</v>
      </c>
      <c r="T1062" s="184">
        <f>Q992</f>
        <v>36433.441548540635</v>
      </c>
      <c r="U1062" s="184">
        <v>0</v>
      </c>
      <c r="V1062" s="184">
        <v>0</v>
      </c>
    </row>
    <row r="1063" spans="1:24" x14ac:dyDescent="0.2">
      <c r="A1063" t="s">
        <v>904</v>
      </c>
      <c r="G1063" s="124" t="s">
        <v>801</v>
      </c>
      <c r="H1063" s="184">
        <v>0</v>
      </c>
      <c r="I1063" s="184">
        <v>0</v>
      </c>
      <c r="J1063" s="184">
        <f>D994</f>
        <v>4.4999999999999998E-2</v>
      </c>
      <c r="K1063" s="184">
        <v>0</v>
      </c>
      <c r="L1063" s="184">
        <f>F994</f>
        <v>4.4999999999999998E-2</v>
      </c>
      <c r="M1063" s="184">
        <f>G994</f>
        <v>4.4999999999999998E-2</v>
      </c>
      <c r="N1063" s="184">
        <v>0</v>
      </c>
      <c r="O1063" s="184">
        <f>$M$1063</f>
        <v>4.4999999999999998E-2</v>
      </c>
      <c r="P1063" s="184">
        <f>$M$1063</f>
        <v>4.4999999999999998E-2</v>
      </c>
      <c r="Q1063" s="184">
        <f>P1063</f>
        <v>4.4999999999999998E-2</v>
      </c>
      <c r="R1063" s="184">
        <v>0</v>
      </c>
      <c r="S1063" s="184">
        <v>0</v>
      </c>
      <c r="T1063" s="184">
        <v>0</v>
      </c>
      <c r="U1063" s="184">
        <f>Q1063</f>
        <v>4.4999999999999998E-2</v>
      </c>
      <c r="V1063" s="184">
        <v>0</v>
      </c>
    </row>
    <row r="1064" spans="1:24" x14ac:dyDescent="0.2">
      <c r="A1064" t="s">
        <v>905</v>
      </c>
      <c r="B1064" s="73">
        <f>B1009</f>
        <v>10.609304992630628</v>
      </c>
      <c r="C1064" t="s">
        <v>843</v>
      </c>
      <c r="H1064" s="1"/>
      <c r="I1064" s="1"/>
      <c r="J1064" s="1"/>
      <c r="K1064" s="1"/>
      <c r="L1064" s="1"/>
      <c r="M1064" s="1"/>
      <c r="N1064" s="1"/>
      <c r="O1064" s="1"/>
      <c r="P1064" s="1"/>
      <c r="Q1064" s="1"/>
      <c r="R1064" s="1"/>
      <c r="S1064" s="1"/>
      <c r="T1064" s="1"/>
      <c r="U1064" s="1"/>
      <c r="V1064" s="1"/>
    </row>
    <row r="1065" spans="1:24" x14ac:dyDescent="0.2">
      <c r="A1065" t="s">
        <v>906</v>
      </c>
      <c r="B1065" s="127">
        <f>B1066+(B1067*B1064)</f>
        <v>13126.51349484144</v>
      </c>
      <c r="C1065" t="s">
        <v>532</v>
      </c>
      <c r="M1065" s="1">
        <f>SUM(M1055:M1063)</f>
        <v>54.045000000000002</v>
      </c>
      <c r="Q1065" s="1">
        <f>SUM(Q1055:Q1063)</f>
        <v>46.53</v>
      </c>
      <c r="U1065" s="1">
        <f>SUM(U1055:U1063)</f>
        <v>4.6935000000000002</v>
      </c>
      <c r="V1065" s="1">
        <f>SUM(V1055:V1063)</f>
        <v>46.336500000000001</v>
      </c>
    </row>
    <row r="1066" spans="1:24" x14ac:dyDescent="0.2">
      <c r="A1066" t="s">
        <v>528</v>
      </c>
      <c r="B1066">
        <f>5700</f>
        <v>5700</v>
      </c>
      <c r="U1066">
        <f>U1057/U1065</f>
        <v>0.9587727708533077</v>
      </c>
      <c r="V1066">
        <f>V1057/V1065</f>
        <v>0.97115664756725262</v>
      </c>
    </row>
    <row r="1067" spans="1:24" x14ac:dyDescent="0.2">
      <c r="A1067" t="s">
        <v>529</v>
      </c>
      <c r="B1067">
        <v>700</v>
      </c>
    </row>
    <row r="1068" spans="1:24" x14ac:dyDescent="0.2">
      <c r="A1068" t="s">
        <v>530</v>
      </c>
      <c r="B1068">
        <v>0.7</v>
      </c>
    </row>
    <row r="1069" spans="1:24" x14ac:dyDescent="0.2">
      <c r="A1069" t="s">
        <v>907</v>
      </c>
      <c r="B1069" s="113">
        <f>B1065*(798.7/478.6)</f>
        <v>21905.863619577638</v>
      </c>
      <c r="C1069" t="s">
        <v>532</v>
      </c>
    </row>
    <row r="1070" spans="1:24" x14ac:dyDescent="0.2">
      <c r="A1070" s="59" t="s">
        <v>908</v>
      </c>
      <c r="B1070" s="171">
        <f>B1069*3964</f>
        <v>86834843.388005763</v>
      </c>
      <c r="C1070" s="59" t="s">
        <v>600</v>
      </c>
      <c r="P1070" s="1">
        <f>SUM(P1055:P1063)</f>
        <v>53.774999999999999</v>
      </c>
      <c r="Q1070" t="s">
        <v>55</v>
      </c>
    </row>
    <row r="1071" spans="1:24" x14ac:dyDescent="0.2">
      <c r="P1071">
        <f>P1070/24</f>
        <v>2.2406250000000001</v>
      </c>
      <c r="Q1071" t="s">
        <v>495</v>
      </c>
    </row>
    <row r="1072" spans="1:24" x14ac:dyDescent="0.2">
      <c r="A1072" t="s">
        <v>566</v>
      </c>
      <c r="P1072">
        <f>P1071*907</f>
        <v>2032.246875</v>
      </c>
      <c r="Q1072" t="s">
        <v>493</v>
      </c>
    </row>
    <row r="1073" spans="1:18" x14ac:dyDescent="0.2">
      <c r="A1073" t="s">
        <v>567</v>
      </c>
      <c r="B1073">
        <f>5165.19*0.1</f>
        <v>516.51900000000001</v>
      </c>
      <c r="C1073" t="s">
        <v>568</v>
      </c>
      <c r="P1073" t="s">
        <v>909</v>
      </c>
    </row>
    <row r="1074" spans="1:18" x14ac:dyDescent="0.2">
      <c r="A1074" t="s">
        <v>528</v>
      </c>
      <c r="B1074">
        <v>8400</v>
      </c>
      <c r="P1074" t="s">
        <v>910</v>
      </c>
      <c r="Q1074">
        <v>28</v>
      </c>
      <c r="R1074" t="s">
        <v>497</v>
      </c>
    </row>
    <row r="1075" spans="1:18" x14ac:dyDescent="0.2">
      <c r="A1075" t="s">
        <v>529</v>
      </c>
      <c r="B1075">
        <v>3100</v>
      </c>
      <c r="P1075" t="s">
        <v>530</v>
      </c>
      <c r="Q1075">
        <f>P1072/Q1074</f>
        <v>72.580245535714283</v>
      </c>
      <c r="R1075" t="s">
        <v>783</v>
      </c>
    </row>
    <row r="1076" spans="1:18" x14ac:dyDescent="0.2">
      <c r="A1076" t="s">
        <v>530</v>
      </c>
      <c r="B1076">
        <v>0.6</v>
      </c>
      <c r="G1076">
        <f>3.73*24</f>
        <v>89.52</v>
      </c>
      <c r="P1076" t="s">
        <v>911</v>
      </c>
      <c r="Q1076">
        <v>8.319E-2</v>
      </c>
      <c r="R1076" t="s">
        <v>912</v>
      </c>
    </row>
    <row r="1077" spans="1:18" x14ac:dyDescent="0.2">
      <c r="A1077" t="s">
        <v>569</v>
      </c>
      <c r="B1077" s="5">
        <f>$B$711+$B$712*($B$710)^$B$713</f>
        <v>139987.14817227807</v>
      </c>
      <c r="C1077" t="s">
        <v>532</v>
      </c>
      <c r="G1077">
        <f>516.519*24</f>
        <v>12396.456</v>
      </c>
      <c r="P1077" t="s">
        <v>787</v>
      </c>
      <c r="Q1077">
        <f>32+273</f>
        <v>305</v>
      </c>
      <c r="R1077" t="s">
        <v>479</v>
      </c>
    </row>
    <row r="1078" spans="1:18" x14ac:dyDescent="0.2">
      <c r="A1078" t="s">
        <v>536</v>
      </c>
      <c r="B1078">
        <v>478.6</v>
      </c>
      <c r="P1078" t="s">
        <v>776</v>
      </c>
      <c r="Q1078">
        <v>3.05</v>
      </c>
      <c r="R1078" t="s">
        <v>913</v>
      </c>
    </row>
    <row r="1079" spans="1:18" x14ac:dyDescent="0.2">
      <c r="A1079" t="s">
        <v>537</v>
      </c>
      <c r="B1079">
        <v>798.7</v>
      </c>
      <c r="P1079" t="s">
        <v>851</v>
      </c>
      <c r="Q1079">
        <f>(Q1075*Q1076*Q1077)/Q1078</f>
        <v>603.79506261160714</v>
      </c>
      <c r="R1079" t="s">
        <v>914</v>
      </c>
    </row>
    <row r="1080" spans="1:18" x14ac:dyDescent="0.2">
      <c r="A1080" t="s">
        <v>573</v>
      </c>
      <c r="B1080" s="5">
        <f>$B$714*($B$716/$B$715)</f>
        <v>233614.15638361574</v>
      </c>
      <c r="C1080" t="s">
        <v>532</v>
      </c>
    </row>
    <row r="1081" spans="1:18" x14ac:dyDescent="0.2">
      <c r="A1081" s="59" t="s">
        <v>575</v>
      </c>
      <c r="B1081" s="175">
        <f>$B$717*1.1</f>
        <v>256975.57202197734</v>
      </c>
      <c r="C1081" s="59" t="s">
        <v>532</v>
      </c>
    </row>
    <row r="1082" spans="1:18" x14ac:dyDescent="0.2">
      <c r="A1082" s="221" t="s">
        <v>705</v>
      </c>
      <c r="B1082" s="221"/>
      <c r="C1082" s="221"/>
    </row>
    <row r="1083" spans="1:18" x14ac:dyDescent="0.2">
      <c r="A1083" s="157" t="s">
        <v>915</v>
      </c>
      <c r="B1083" s="157" t="s">
        <v>916</v>
      </c>
      <c r="C1083" s="157" t="s">
        <v>917</v>
      </c>
      <c r="E1083" s="157" t="s">
        <v>918</v>
      </c>
      <c r="F1083" s="157"/>
      <c r="G1083" s="157"/>
      <c r="H1083" s="157"/>
    </row>
    <row r="1084" spans="1:18" x14ac:dyDescent="0.2">
      <c r="A1084" s="157" t="s">
        <v>586</v>
      </c>
      <c r="B1084" s="176">
        <f>B1057</f>
        <v>7000000</v>
      </c>
      <c r="C1084" s="157"/>
      <c r="E1084" s="157" t="s">
        <v>919</v>
      </c>
      <c r="F1084" s="157" t="s">
        <v>920</v>
      </c>
      <c r="G1084" s="157" t="s">
        <v>921</v>
      </c>
      <c r="H1084" s="157" t="s">
        <v>922</v>
      </c>
    </row>
    <row r="1085" spans="1:18" x14ac:dyDescent="0.2">
      <c r="A1085" s="157" t="s">
        <v>923</v>
      </c>
      <c r="B1085" s="177">
        <f>250000000</f>
        <v>250000000</v>
      </c>
      <c r="C1085" s="157"/>
      <c r="E1085" s="157" t="s">
        <v>924</v>
      </c>
      <c r="F1085" s="157" t="s">
        <v>925</v>
      </c>
      <c r="G1085" s="157" t="s">
        <v>926</v>
      </c>
      <c r="H1085" s="157" t="s">
        <v>927</v>
      </c>
    </row>
    <row r="1086" spans="1:18" x14ac:dyDescent="0.2">
      <c r="A1086" s="157" t="s">
        <v>928</v>
      </c>
      <c r="B1086" s="177">
        <f>B1053</f>
        <v>16000000</v>
      </c>
      <c r="C1086" s="157"/>
      <c r="E1086" s="157" t="s">
        <v>929</v>
      </c>
      <c r="F1086" s="157" t="s">
        <v>930</v>
      </c>
      <c r="G1086" s="157" t="s">
        <v>931</v>
      </c>
      <c r="H1086" s="157" t="s">
        <v>932</v>
      </c>
    </row>
    <row r="1087" spans="1:18" x14ac:dyDescent="0.2">
      <c r="A1087" s="157" t="s">
        <v>929</v>
      </c>
      <c r="B1087" s="176">
        <f>B1050</f>
        <v>82000000</v>
      </c>
      <c r="C1087" s="157"/>
      <c r="E1087" s="157" t="s">
        <v>928</v>
      </c>
      <c r="F1087" s="157" t="s">
        <v>933</v>
      </c>
      <c r="G1087" s="157" t="s">
        <v>934</v>
      </c>
      <c r="H1087" s="157" t="s">
        <v>935</v>
      </c>
    </row>
    <row r="1088" spans="1:18" x14ac:dyDescent="0.2">
      <c r="A1088" s="157" t="s">
        <v>936</v>
      </c>
      <c r="B1088" s="176">
        <f>B1061</f>
        <v>40000000</v>
      </c>
      <c r="C1088" s="157"/>
      <c r="E1088" s="157" t="s">
        <v>586</v>
      </c>
      <c r="F1088" s="157" t="s">
        <v>937</v>
      </c>
      <c r="G1088" s="157" t="s">
        <v>934</v>
      </c>
      <c r="H1088" s="157" t="s">
        <v>938</v>
      </c>
    </row>
    <row r="1089" spans="1:22" x14ac:dyDescent="0.2">
      <c r="A1089" s="157" t="s">
        <v>939</v>
      </c>
      <c r="B1089" s="178">
        <f>B1070</f>
        <v>86834843.388005763</v>
      </c>
      <c r="C1089" s="157"/>
      <c r="E1089" s="157" t="s">
        <v>940</v>
      </c>
      <c r="F1089" s="157" t="s">
        <v>941</v>
      </c>
      <c r="G1089" s="157" t="s">
        <v>934</v>
      </c>
      <c r="H1089" s="157" t="s">
        <v>942</v>
      </c>
    </row>
    <row r="1090" spans="1:22" x14ac:dyDescent="0.2">
      <c r="A1090" s="157" t="s">
        <v>943</v>
      </c>
      <c r="B1090" s="177">
        <f>155000000/2</f>
        <v>77500000</v>
      </c>
      <c r="C1090" s="157"/>
    </row>
    <row r="1091" spans="1:22" x14ac:dyDescent="0.2">
      <c r="A1091" s="157" t="s">
        <v>944</v>
      </c>
      <c r="B1091" s="176">
        <f>B1044</f>
        <v>515320000</v>
      </c>
      <c r="C1091" s="157"/>
    </row>
    <row r="1092" spans="1:22" x14ac:dyDescent="0.2">
      <c r="A1092" s="157" t="s">
        <v>945</v>
      </c>
      <c r="B1092" s="177">
        <v>230000000</v>
      </c>
      <c r="C1092" s="157"/>
    </row>
    <row r="1093" spans="1:22" x14ac:dyDescent="0.2">
      <c r="A1093" s="157" t="s">
        <v>946</v>
      </c>
      <c r="B1093" s="177">
        <f>11543000</f>
        <v>11543000</v>
      </c>
      <c r="C1093" s="157"/>
      <c r="G1093" s="221" t="s">
        <v>947</v>
      </c>
      <c r="H1093" s="221"/>
      <c r="I1093" s="221"/>
      <c r="J1093" s="221"/>
      <c r="K1093" s="221"/>
      <c r="L1093" s="221"/>
      <c r="M1093" s="221"/>
      <c r="N1093" s="221"/>
      <c r="O1093" s="221"/>
      <c r="P1093" s="221"/>
      <c r="Q1093" s="221"/>
      <c r="R1093" s="221"/>
      <c r="S1093" s="221"/>
      <c r="T1093" s="221"/>
      <c r="U1093" s="221"/>
      <c r="V1093" s="221"/>
    </row>
    <row r="1094" spans="1:22" x14ac:dyDescent="0.2">
      <c r="A1094" s="157"/>
      <c r="B1094" s="177"/>
      <c r="C1094" s="157"/>
      <c r="G1094" s="182"/>
      <c r="H1094" s="182"/>
      <c r="I1094" s="182"/>
      <c r="J1094" s="182"/>
      <c r="K1094" s="182"/>
      <c r="L1094" s="182"/>
      <c r="M1094" s="182"/>
      <c r="N1094" s="182"/>
      <c r="O1094" s="182"/>
      <c r="P1094" s="182"/>
      <c r="Q1094" s="182"/>
      <c r="R1094" s="182"/>
      <c r="S1094" s="182"/>
      <c r="T1094" s="182"/>
      <c r="U1094" s="182"/>
      <c r="V1094" s="182"/>
    </row>
    <row r="1095" spans="1:22" x14ac:dyDescent="0.2">
      <c r="A1095" s="157" t="s">
        <v>940</v>
      </c>
      <c r="B1095" s="177">
        <f>B1081*3964</f>
        <v>1018651167.4951181</v>
      </c>
      <c r="C1095" s="157"/>
      <c r="G1095" s="124"/>
      <c r="H1095" s="182">
        <v>1</v>
      </c>
      <c r="I1095" s="182">
        <v>2</v>
      </c>
      <c r="J1095" s="182">
        <v>3</v>
      </c>
      <c r="K1095" s="182">
        <v>4</v>
      </c>
      <c r="L1095" s="182">
        <v>5</v>
      </c>
      <c r="M1095" s="182">
        <v>6</v>
      </c>
      <c r="N1095" s="182">
        <v>7</v>
      </c>
      <c r="O1095" s="182">
        <v>8</v>
      </c>
      <c r="P1095" s="182">
        <v>9</v>
      </c>
      <c r="Q1095" s="182">
        <v>10</v>
      </c>
      <c r="R1095" s="182">
        <v>11</v>
      </c>
      <c r="S1095" s="182">
        <v>12</v>
      </c>
      <c r="T1095" s="182">
        <v>13</v>
      </c>
      <c r="U1095" s="182">
        <v>14</v>
      </c>
      <c r="V1095" s="182">
        <v>15</v>
      </c>
    </row>
    <row r="1096" spans="1:22" x14ac:dyDescent="0.2">
      <c r="A1096" s="157" t="s">
        <v>24</v>
      </c>
      <c r="B1096" s="176">
        <f>SUM(B1084:B1095)</f>
        <v>2334849010.8831239</v>
      </c>
      <c r="C1096" s="157"/>
      <c r="G1096" s="124" t="s">
        <v>792</v>
      </c>
      <c r="H1096" s="184">
        <f>$B$985</f>
        <v>5.6962025316455698</v>
      </c>
      <c r="I1096" s="184">
        <v>0</v>
      </c>
      <c r="J1096" s="184">
        <v>0</v>
      </c>
      <c r="K1096" s="184">
        <v>0</v>
      </c>
      <c r="L1096" s="184">
        <v>0</v>
      </c>
      <c r="M1096" s="184">
        <v>0</v>
      </c>
      <c r="N1096" s="184">
        <v>0</v>
      </c>
      <c r="O1096" s="184">
        <v>0</v>
      </c>
      <c r="P1096" s="184">
        <v>0</v>
      </c>
      <c r="Q1096" s="184">
        <v>0</v>
      </c>
      <c r="R1096" s="184">
        <v>0</v>
      </c>
      <c r="S1096" s="184">
        <v>0</v>
      </c>
      <c r="T1096" s="184">
        <v>0</v>
      </c>
      <c r="U1096" s="184">
        <v>0</v>
      </c>
      <c r="V1096" s="184">
        <v>0</v>
      </c>
    </row>
    <row r="1097" spans="1:22" x14ac:dyDescent="0.2">
      <c r="G1097" s="124" t="s">
        <v>793</v>
      </c>
      <c r="H1097" s="184">
        <v>0</v>
      </c>
      <c r="I1097" s="184">
        <v>0</v>
      </c>
      <c r="J1097" s="184">
        <v>0</v>
      </c>
      <c r="K1097" s="184">
        <f>0.21*(J1098/0.79)</f>
        <v>2.3924050632911391</v>
      </c>
      <c r="L1097" s="184">
        <v>0</v>
      </c>
      <c r="M1097" s="184">
        <v>0</v>
      </c>
      <c r="N1097" s="184">
        <v>0</v>
      </c>
      <c r="O1097" s="184">
        <v>0</v>
      </c>
      <c r="P1097" s="184">
        <v>0</v>
      </c>
      <c r="Q1097" s="184">
        <v>0</v>
      </c>
      <c r="R1097" s="184">
        <v>0</v>
      </c>
      <c r="S1097" s="184">
        <v>0</v>
      </c>
      <c r="T1097" s="184">
        <v>0</v>
      </c>
      <c r="U1097" s="184">
        <v>0</v>
      </c>
      <c r="V1097" s="184">
        <v>0</v>
      </c>
    </row>
    <row r="1098" spans="1:22" x14ac:dyDescent="0.2">
      <c r="A1098" s="224" t="s">
        <v>657</v>
      </c>
      <c r="B1098" s="224"/>
      <c r="G1098" s="124" t="s">
        <v>751</v>
      </c>
      <c r="H1098" s="184">
        <v>0</v>
      </c>
      <c r="I1098" s="184">
        <v>0</v>
      </c>
      <c r="J1098" s="184">
        <f>U1098</f>
        <v>9</v>
      </c>
      <c r="K1098" s="184">
        <v>0</v>
      </c>
      <c r="L1098" s="184">
        <f>J1098+V1098</f>
        <v>45</v>
      </c>
      <c r="M1098" s="184">
        <f>L1098</f>
        <v>45</v>
      </c>
      <c r="N1098" s="184">
        <v>0</v>
      </c>
      <c r="O1098" s="184">
        <f>M1098</f>
        <v>45</v>
      </c>
      <c r="P1098" s="184">
        <f>O1098</f>
        <v>45</v>
      </c>
      <c r="Q1098" s="184">
        <f>P1098</f>
        <v>45</v>
      </c>
      <c r="R1098" s="184">
        <v>0</v>
      </c>
      <c r="S1098" s="184">
        <v>0</v>
      </c>
      <c r="T1098" s="184">
        <v>0</v>
      </c>
      <c r="U1098" s="184">
        <f>45*0.2</f>
        <v>9</v>
      </c>
      <c r="V1098" s="184">
        <f>0.8*45</f>
        <v>36</v>
      </c>
    </row>
    <row r="1099" spans="1:22" x14ac:dyDescent="0.2">
      <c r="A1099" s="157" t="s">
        <v>948</v>
      </c>
      <c r="B1099" s="157" t="s">
        <v>949</v>
      </c>
      <c r="G1099" s="124" t="s">
        <v>794</v>
      </c>
      <c r="H1099" s="184">
        <v>0</v>
      </c>
      <c r="I1099" s="184">
        <f>9</f>
        <v>9</v>
      </c>
      <c r="J1099" s="184">
        <v>0</v>
      </c>
      <c r="K1099" s="184">
        <v>0</v>
      </c>
      <c r="L1099" s="184">
        <f>F988</f>
        <v>9</v>
      </c>
      <c r="M1099" s="184">
        <v>0</v>
      </c>
      <c r="N1099" s="184">
        <v>0</v>
      </c>
      <c r="O1099" s="184">
        <v>0</v>
      </c>
      <c r="P1099" s="184">
        <v>0</v>
      </c>
      <c r="Q1099" s="184">
        <v>0</v>
      </c>
      <c r="R1099" s="184">
        <v>0</v>
      </c>
      <c r="S1099" s="184">
        <v>0</v>
      </c>
      <c r="T1099" s="184">
        <v>0</v>
      </c>
      <c r="U1099" s="184">
        <v>0</v>
      </c>
      <c r="V1099" s="184">
        <v>0</v>
      </c>
    </row>
    <row r="1100" spans="1:22" x14ac:dyDescent="0.2">
      <c r="A1100" s="157" t="s">
        <v>586</v>
      </c>
      <c r="B1100" s="177">
        <v>8564080</v>
      </c>
      <c r="G1100" s="124" t="s">
        <v>795</v>
      </c>
      <c r="H1100" s="184">
        <v>0</v>
      </c>
      <c r="I1100" s="184">
        <v>0</v>
      </c>
      <c r="J1100" s="184">
        <v>0</v>
      </c>
      <c r="K1100" s="184">
        <v>0</v>
      </c>
      <c r="L1100" s="184">
        <v>0</v>
      </c>
      <c r="M1100" s="184">
        <f>0.165*I1099</f>
        <v>1.4850000000000001</v>
      </c>
      <c r="N1100" s="184">
        <v>0</v>
      </c>
      <c r="O1100" s="184">
        <f>$M$1059</f>
        <v>1.4849999999999994</v>
      </c>
      <c r="P1100" s="184">
        <f>$M$1059</f>
        <v>1.4849999999999994</v>
      </c>
      <c r="Q1100" s="184">
        <f>P1100</f>
        <v>1.4849999999999994</v>
      </c>
      <c r="R1100" s="184">
        <v>0</v>
      </c>
      <c r="S1100" s="184">
        <v>0</v>
      </c>
      <c r="T1100" s="184">
        <v>0</v>
      </c>
      <c r="U1100" s="184">
        <f>0.1*Q1100</f>
        <v>0.14849999999999994</v>
      </c>
      <c r="V1100" s="184">
        <f>Q1100*0.9</f>
        <v>1.3364999999999996</v>
      </c>
    </row>
    <row r="1101" spans="1:22" x14ac:dyDescent="0.2">
      <c r="A1101" s="157" t="s">
        <v>950</v>
      </c>
      <c r="B1101" s="177">
        <v>663121</v>
      </c>
      <c r="G1101" s="124" t="s">
        <v>754</v>
      </c>
      <c r="H1101" s="184">
        <v>0</v>
      </c>
      <c r="I1101" s="184">
        <v>0</v>
      </c>
      <c r="J1101" s="184">
        <v>0</v>
      </c>
      <c r="K1101" s="184">
        <v>0</v>
      </c>
      <c r="L1101" s="184">
        <v>0</v>
      </c>
      <c r="M1101" s="184">
        <f>0.805*I1099</f>
        <v>7.2450000000000001</v>
      </c>
      <c r="N1101" s="184">
        <v>0</v>
      </c>
      <c r="O1101" s="184">
        <f>$M$1060</f>
        <v>7.2450000000000001</v>
      </c>
      <c r="P1101" s="184">
        <f>$M$1060</f>
        <v>7.2450000000000001</v>
      </c>
      <c r="Q1101" s="184">
        <v>0</v>
      </c>
      <c r="R1101" s="184">
        <f>P1101</f>
        <v>7.2450000000000001</v>
      </c>
      <c r="S1101" s="184">
        <f>R1101</f>
        <v>7.2450000000000001</v>
      </c>
      <c r="T1101" s="184">
        <v>0</v>
      </c>
      <c r="U1101" s="184">
        <v>0</v>
      </c>
      <c r="V1101" s="184">
        <v>0</v>
      </c>
    </row>
    <row r="1102" spans="1:22" x14ac:dyDescent="0.2">
      <c r="A1102" s="157" t="s">
        <v>928</v>
      </c>
      <c r="B1102" s="179">
        <f>B1054</f>
        <v>12628000</v>
      </c>
      <c r="G1102" s="124" t="s">
        <v>798</v>
      </c>
      <c r="H1102" s="184">
        <v>0</v>
      </c>
      <c r="I1102" s="184">
        <v>0</v>
      </c>
      <c r="J1102" s="184">
        <v>0</v>
      </c>
      <c r="K1102" s="184">
        <v>0</v>
      </c>
      <c r="L1102" s="184">
        <v>0</v>
      </c>
      <c r="M1102" s="184">
        <f>G991</f>
        <v>0.27</v>
      </c>
      <c r="N1102" s="184">
        <f>M1102</f>
        <v>0.27</v>
      </c>
      <c r="O1102" s="184">
        <v>0</v>
      </c>
      <c r="P1102" s="184">
        <v>0</v>
      </c>
      <c r="Q1102" s="184">
        <v>0</v>
      </c>
      <c r="R1102" s="184">
        <v>0</v>
      </c>
      <c r="S1102" s="184">
        <v>0</v>
      </c>
      <c r="T1102" s="184">
        <v>0</v>
      </c>
      <c r="U1102" s="184">
        <v>0</v>
      </c>
      <c r="V1102" s="184">
        <v>0</v>
      </c>
    </row>
    <row r="1103" spans="1:22" x14ac:dyDescent="0.2">
      <c r="A1103" s="157" t="s">
        <v>951</v>
      </c>
      <c r="B1103" s="179">
        <f>B1049</f>
        <v>24576165.635438599</v>
      </c>
      <c r="G1103" s="124" t="s">
        <v>799</v>
      </c>
      <c r="H1103" s="184">
        <v>0</v>
      </c>
      <c r="I1103" s="184">
        <v>0</v>
      </c>
      <c r="J1103" s="184">
        <v>0</v>
      </c>
      <c r="K1103" s="184">
        <v>0</v>
      </c>
      <c r="L1103" s="184">
        <v>0</v>
      </c>
      <c r="M1103" s="184">
        <v>0</v>
      </c>
      <c r="N1103" s="184">
        <v>0</v>
      </c>
      <c r="O1103" s="184">
        <v>0</v>
      </c>
      <c r="P1103" s="184">
        <v>0</v>
      </c>
      <c r="Q1103" s="184">
        <v>0</v>
      </c>
      <c r="R1103" s="184">
        <v>0</v>
      </c>
      <c r="S1103" s="184">
        <v>0</v>
      </c>
      <c r="T1103" s="184">
        <f>Q992</f>
        <v>36433.441548540635</v>
      </c>
      <c r="U1103" s="184">
        <v>0</v>
      </c>
      <c r="V1103" s="184">
        <v>0</v>
      </c>
    </row>
    <row r="1104" spans="1:22" x14ac:dyDescent="0.2">
      <c r="A1104" s="157" t="s">
        <v>952</v>
      </c>
      <c r="B1104" s="178">
        <f>B1038</f>
        <v>384474808.67003971</v>
      </c>
      <c r="G1104" s="124" t="s">
        <v>801</v>
      </c>
      <c r="H1104" s="184">
        <v>0</v>
      </c>
      <c r="I1104" s="184">
        <v>0</v>
      </c>
      <c r="J1104" s="184">
        <f>0.01*J1098</f>
        <v>0.09</v>
      </c>
      <c r="K1104" s="184">
        <v>0</v>
      </c>
      <c r="L1104" s="184">
        <f>J1104</f>
        <v>0.09</v>
      </c>
      <c r="M1104" s="184">
        <f>L1104</f>
        <v>0.09</v>
      </c>
      <c r="N1104" s="184">
        <v>0</v>
      </c>
      <c r="O1104" s="184">
        <f>M1104</f>
        <v>0.09</v>
      </c>
      <c r="P1104" s="184">
        <f>O1104</f>
        <v>0.09</v>
      </c>
      <c r="Q1104" s="184">
        <f>P1104</f>
        <v>0.09</v>
      </c>
      <c r="R1104" s="184">
        <v>0</v>
      </c>
      <c r="S1104" s="184">
        <v>0</v>
      </c>
      <c r="T1104" s="184">
        <v>0</v>
      </c>
      <c r="U1104" s="184">
        <f>Q1104</f>
        <v>0.09</v>
      </c>
      <c r="V1104" s="184">
        <v>0</v>
      </c>
    </row>
    <row r="1105" spans="1:22" x14ac:dyDescent="0.2">
      <c r="A1105" s="157" t="s">
        <v>953</v>
      </c>
      <c r="B1105" s="177">
        <f>$B$759*$B$760*2000</f>
        <v>723126600</v>
      </c>
    </row>
    <row r="1106" spans="1:22" x14ac:dyDescent="0.2">
      <c r="A1106" s="157" t="s">
        <v>640</v>
      </c>
      <c r="B1106" s="177">
        <f>B834</f>
        <v>111360000</v>
      </c>
      <c r="D1106">
        <f>B1115/24</f>
        <v>1518.0600645225265</v>
      </c>
      <c r="U1106" s="1">
        <f>SUM(U1096:U1104)</f>
        <v>9.2385000000000002</v>
      </c>
      <c r="V1106" s="1">
        <f>V1098+V1100</f>
        <v>37.336500000000001</v>
      </c>
    </row>
    <row r="1107" spans="1:22" x14ac:dyDescent="0.2">
      <c r="A1107" s="157" t="s">
        <v>954</v>
      </c>
      <c r="B1107" s="177">
        <f>B835</f>
        <v>407928000</v>
      </c>
      <c r="U1107">
        <f>U1098/U1106</f>
        <v>0.97418412079883099</v>
      </c>
      <c r="V1107">
        <f>V1098/V1106</f>
        <v>0.96420392913101116</v>
      </c>
    </row>
    <row r="1108" spans="1:22" x14ac:dyDescent="0.2">
      <c r="A1108" s="157" t="s">
        <v>24</v>
      </c>
      <c r="B1108" s="176">
        <f>SUM(B1100:B1107)</f>
        <v>1673320775.3054783</v>
      </c>
    </row>
    <row r="1109" spans="1:22" x14ac:dyDescent="0.2">
      <c r="G1109" s="221" t="s">
        <v>955</v>
      </c>
      <c r="H1109" s="221"/>
      <c r="I1109" s="221"/>
      <c r="J1109" s="221"/>
      <c r="K1109" s="221"/>
      <c r="L1109" s="221"/>
      <c r="M1109" s="221"/>
      <c r="N1109" s="221"/>
      <c r="O1109" s="221"/>
      <c r="P1109" s="221"/>
      <c r="Q1109" s="221"/>
      <c r="R1109" s="221"/>
      <c r="S1109" s="221"/>
      <c r="T1109" s="221"/>
      <c r="U1109" s="221"/>
      <c r="V1109" s="221"/>
    </row>
    <row r="1110" spans="1:22" x14ac:dyDescent="0.2">
      <c r="A1110" s="224" t="s">
        <v>781</v>
      </c>
      <c r="B1110" s="224"/>
      <c r="C1110" s="224"/>
      <c r="G1110" s="124"/>
      <c r="H1110" s="182">
        <v>1</v>
      </c>
      <c r="I1110" s="182">
        <v>2</v>
      </c>
      <c r="J1110" s="182">
        <v>3</v>
      </c>
      <c r="K1110" s="182">
        <v>4</v>
      </c>
      <c r="L1110" s="182">
        <v>5</v>
      </c>
      <c r="M1110" s="182">
        <v>6</v>
      </c>
      <c r="N1110" s="182">
        <v>7</v>
      </c>
      <c r="O1110" s="182">
        <v>8</v>
      </c>
      <c r="P1110" s="182">
        <v>9</v>
      </c>
      <c r="Q1110" s="182">
        <v>10</v>
      </c>
      <c r="R1110" s="182">
        <v>11</v>
      </c>
      <c r="S1110" s="182">
        <v>12</v>
      </c>
      <c r="T1110" s="182">
        <v>13</v>
      </c>
      <c r="U1110" s="182">
        <v>14</v>
      </c>
      <c r="V1110" s="182">
        <v>15</v>
      </c>
    </row>
    <row r="1111" spans="1:22" x14ac:dyDescent="0.2">
      <c r="A1111" s="157" t="s">
        <v>784</v>
      </c>
      <c r="B1111" s="157">
        <f>$I$60</f>
        <v>45.25893360067159</v>
      </c>
      <c r="C1111" s="157" t="s">
        <v>13</v>
      </c>
      <c r="G1111" s="124" t="s">
        <v>792</v>
      </c>
      <c r="H1111" s="184">
        <f>$B$985</f>
        <v>5.6962025316455698</v>
      </c>
      <c r="I1111" s="184">
        <v>0</v>
      </c>
      <c r="J1111" s="184">
        <v>0</v>
      </c>
      <c r="K1111" s="184">
        <v>0</v>
      </c>
      <c r="L1111" s="184">
        <v>0</v>
      </c>
      <c r="M1111" s="184">
        <v>0</v>
      </c>
      <c r="N1111" s="184">
        <v>0</v>
      </c>
      <c r="O1111" s="184">
        <v>0</v>
      </c>
      <c r="P1111" s="184">
        <v>0</v>
      </c>
      <c r="Q1111" s="184">
        <v>0</v>
      </c>
      <c r="R1111" s="184">
        <v>0</v>
      </c>
      <c r="S1111" s="184">
        <v>0</v>
      </c>
      <c r="T1111" s="184">
        <v>0</v>
      </c>
      <c r="U1111" s="184">
        <v>0</v>
      </c>
      <c r="V1111" s="184">
        <v>0</v>
      </c>
    </row>
    <row r="1112" spans="1:22" x14ac:dyDescent="0.2">
      <c r="A1112" s="157" t="s">
        <v>786</v>
      </c>
      <c r="B1112" s="157">
        <f>$M$990</f>
        <v>7.2450000000000001</v>
      </c>
      <c r="C1112" s="157" t="s">
        <v>55</v>
      </c>
      <c r="G1112" s="124" t="s">
        <v>793</v>
      </c>
      <c r="H1112" s="184">
        <v>0</v>
      </c>
      <c r="I1112" s="184">
        <v>0</v>
      </c>
      <c r="J1112" s="184">
        <v>0</v>
      </c>
      <c r="K1112" s="184">
        <f>0.21*(J1113/0.79)</f>
        <v>3.5886075949367084</v>
      </c>
      <c r="L1112" s="184">
        <v>0</v>
      </c>
      <c r="M1112" s="184">
        <v>0</v>
      </c>
      <c r="N1112" s="184">
        <v>0</v>
      </c>
      <c r="O1112" s="184">
        <v>0</v>
      </c>
      <c r="P1112" s="184">
        <v>0</v>
      </c>
      <c r="Q1112" s="184">
        <v>0</v>
      </c>
      <c r="R1112" s="184">
        <v>0</v>
      </c>
      <c r="S1112" s="184">
        <v>0</v>
      </c>
      <c r="T1112" s="184">
        <v>0</v>
      </c>
      <c r="U1112" s="184">
        <v>0</v>
      </c>
      <c r="V1112" s="184">
        <v>0</v>
      </c>
    </row>
    <row r="1113" spans="1:22" x14ac:dyDescent="0.2">
      <c r="A1113" s="157" t="s">
        <v>786</v>
      </c>
      <c r="B1113" s="157">
        <f>$H$974*1000</f>
        <v>7245</v>
      </c>
      <c r="C1113" s="157" t="s">
        <v>28</v>
      </c>
      <c r="G1113" s="124" t="s">
        <v>751</v>
      </c>
      <c r="H1113" s="184">
        <v>0</v>
      </c>
      <c r="I1113" s="184">
        <v>0</v>
      </c>
      <c r="J1113" s="184">
        <f>U1113</f>
        <v>13.5</v>
      </c>
      <c r="K1113" s="184">
        <v>0</v>
      </c>
      <c r="L1113" s="184">
        <f>J1113+V1113</f>
        <v>45</v>
      </c>
      <c r="M1113" s="184">
        <f>L1113</f>
        <v>45</v>
      </c>
      <c r="N1113" s="184">
        <v>0</v>
      </c>
      <c r="O1113" s="184">
        <f>M1113</f>
        <v>45</v>
      </c>
      <c r="P1113" s="184">
        <f>O1113</f>
        <v>45</v>
      </c>
      <c r="Q1113" s="184">
        <f>P1113</f>
        <v>45</v>
      </c>
      <c r="R1113" s="184">
        <v>0</v>
      </c>
      <c r="S1113" s="184">
        <v>0</v>
      </c>
      <c r="T1113" s="184">
        <v>0</v>
      </c>
      <c r="U1113" s="184">
        <f>45*0.3</f>
        <v>13.5</v>
      </c>
      <c r="V1113" s="184">
        <f>0.7*45</f>
        <v>31.499999999999996</v>
      </c>
    </row>
    <row r="1114" spans="1:22" x14ac:dyDescent="0.2">
      <c r="A1114" s="157" t="s">
        <v>773</v>
      </c>
      <c r="B1114" s="157">
        <v>0.4</v>
      </c>
      <c r="C1114" s="157" t="s">
        <v>956</v>
      </c>
      <c r="G1114" s="124" t="s">
        <v>794</v>
      </c>
      <c r="H1114" s="184">
        <v>0</v>
      </c>
      <c r="I1114" s="184">
        <f>9</f>
        <v>9</v>
      </c>
      <c r="J1114" s="184">
        <v>0</v>
      </c>
      <c r="K1114" s="184">
        <v>0</v>
      </c>
      <c r="L1114" s="184">
        <f>F1003</f>
        <v>0</v>
      </c>
      <c r="M1114" s="184">
        <v>0</v>
      </c>
      <c r="N1114" s="184">
        <v>0</v>
      </c>
      <c r="O1114" s="184">
        <v>0</v>
      </c>
      <c r="P1114" s="184">
        <v>0</v>
      </c>
      <c r="Q1114" s="184">
        <v>0</v>
      </c>
      <c r="R1114" s="184">
        <v>0</v>
      </c>
      <c r="S1114" s="184">
        <v>0</v>
      </c>
      <c r="T1114" s="184">
        <v>0</v>
      </c>
      <c r="U1114" s="184">
        <v>0</v>
      </c>
      <c r="V1114" s="184">
        <v>0</v>
      </c>
    </row>
    <row r="1115" spans="1:22" x14ac:dyDescent="0.2">
      <c r="A1115" s="157" t="s">
        <v>775</v>
      </c>
      <c r="B1115" s="180">
        <f>(($H$973*$H$975)*(1000/3600))*$H$976</f>
        <v>36433.441548540635</v>
      </c>
      <c r="C1115" s="157" t="s">
        <v>36</v>
      </c>
      <c r="G1115" s="124" t="s">
        <v>795</v>
      </c>
      <c r="H1115" s="184">
        <v>0</v>
      </c>
      <c r="I1115" s="184">
        <v>0</v>
      </c>
      <c r="J1115" s="184">
        <v>0</v>
      </c>
      <c r="K1115" s="184">
        <v>0</v>
      </c>
      <c r="L1115" s="184">
        <v>0</v>
      </c>
      <c r="M1115" s="184">
        <f>0.165*I1114</f>
        <v>1.4850000000000001</v>
      </c>
      <c r="N1115" s="184">
        <v>0</v>
      </c>
      <c r="O1115" s="184">
        <f>$M$1059</f>
        <v>1.4849999999999994</v>
      </c>
      <c r="P1115" s="184">
        <f>$M$1059</f>
        <v>1.4849999999999994</v>
      </c>
      <c r="Q1115" s="184">
        <f>P1115</f>
        <v>1.4849999999999994</v>
      </c>
      <c r="R1115" s="184">
        <v>0</v>
      </c>
      <c r="S1115" s="184">
        <v>0</v>
      </c>
      <c r="T1115" s="184">
        <v>0</v>
      </c>
      <c r="U1115" s="184">
        <f>0.1*Q1115</f>
        <v>0.14849999999999994</v>
      </c>
      <c r="V1115" s="184">
        <f>Q1115*0.9</f>
        <v>1.3364999999999996</v>
      </c>
    </row>
    <row r="1116" spans="1:22" x14ac:dyDescent="0.2">
      <c r="A1116" s="157" t="s">
        <v>790</v>
      </c>
      <c r="B1116" s="180">
        <f>(($H$969+$H$977)/$C$43)/4</f>
        <v>2838.1816848198328</v>
      </c>
      <c r="C1116" s="157" t="s">
        <v>791</v>
      </c>
      <c r="G1116" s="124" t="s">
        <v>754</v>
      </c>
      <c r="H1116" s="184">
        <v>0</v>
      </c>
      <c r="I1116" s="184">
        <v>0</v>
      </c>
      <c r="J1116" s="184">
        <v>0</v>
      </c>
      <c r="K1116" s="184">
        <v>0</v>
      </c>
      <c r="L1116" s="184">
        <v>0</v>
      </c>
      <c r="M1116" s="184">
        <f>0.805*I1114</f>
        <v>7.2450000000000001</v>
      </c>
      <c r="N1116" s="184">
        <v>0</v>
      </c>
      <c r="O1116" s="184">
        <f>$M$1060</f>
        <v>7.2450000000000001</v>
      </c>
      <c r="P1116" s="184">
        <f>$M$1060</f>
        <v>7.2450000000000001</v>
      </c>
      <c r="Q1116" s="184">
        <v>0</v>
      </c>
      <c r="R1116" s="184">
        <f>P1116</f>
        <v>7.2450000000000001</v>
      </c>
      <c r="S1116" s="184">
        <f>R1116</f>
        <v>7.2450000000000001</v>
      </c>
      <c r="T1116" s="184">
        <v>0</v>
      </c>
      <c r="U1116" s="184">
        <v>0</v>
      </c>
      <c r="V1116" s="184">
        <v>0</v>
      </c>
    </row>
    <row r="1117" spans="1:22" x14ac:dyDescent="0.2">
      <c r="A1117" s="157" t="s">
        <v>957</v>
      </c>
      <c r="B1117" s="157">
        <v>300</v>
      </c>
      <c r="C1117" s="157" t="s">
        <v>626</v>
      </c>
      <c r="G1117" s="124" t="s">
        <v>798</v>
      </c>
      <c r="H1117" s="184">
        <v>0</v>
      </c>
      <c r="I1117" s="184">
        <v>0</v>
      </c>
      <c r="J1117" s="184">
        <v>0</v>
      </c>
      <c r="K1117" s="184">
        <v>0</v>
      </c>
      <c r="L1117" s="184">
        <v>0</v>
      </c>
      <c r="M1117" s="184">
        <f>G1006</f>
        <v>0</v>
      </c>
      <c r="N1117" s="184">
        <f>M1117</f>
        <v>0</v>
      </c>
      <c r="O1117" s="184">
        <v>0</v>
      </c>
      <c r="P1117" s="184">
        <v>0</v>
      </c>
      <c r="Q1117" s="184">
        <v>0</v>
      </c>
      <c r="R1117" s="184">
        <v>0</v>
      </c>
      <c r="S1117" s="184">
        <v>0</v>
      </c>
      <c r="T1117" s="184">
        <v>0</v>
      </c>
      <c r="U1117" s="184">
        <v>0</v>
      </c>
      <c r="V1117" s="184">
        <v>0</v>
      </c>
    </row>
    <row r="1118" spans="1:22" x14ac:dyDescent="0.2">
      <c r="A1118" s="157" t="s">
        <v>958</v>
      </c>
      <c r="B1118" s="177">
        <f>B1115*B1117</f>
        <v>10930032.464562191</v>
      </c>
      <c r="C1118" s="157" t="s">
        <v>888</v>
      </c>
      <c r="G1118" s="124" t="s">
        <v>799</v>
      </c>
      <c r="H1118" s="184">
        <v>0</v>
      </c>
      <c r="I1118" s="184">
        <v>0</v>
      </c>
      <c r="J1118" s="184">
        <v>0</v>
      </c>
      <c r="K1118" s="184">
        <v>0</v>
      </c>
      <c r="L1118" s="184">
        <v>0</v>
      </c>
      <c r="M1118" s="184">
        <v>0</v>
      </c>
      <c r="N1118" s="184">
        <v>0</v>
      </c>
      <c r="O1118" s="184">
        <v>0</v>
      </c>
      <c r="P1118" s="184">
        <v>0</v>
      </c>
      <c r="Q1118" s="184">
        <v>0</v>
      </c>
      <c r="R1118" s="184">
        <v>0</v>
      </c>
      <c r="S1118" s="184">
        <v>0</v>
      </c>
      <c r="T1118" s="184">
        <f>T1103</f>
        <v>36433.441548540635</v>
      </c>
      <c r="U1118" s="184">
        <v>0</v>
      </c>
      <c r="V1118" s="184">
        <v>0</v>
      </c>
    </row>
    <row r="1119" spans="1:22" x14ac:dyDescent="0.2">
      <c r="A1119" s="157" t="s">
        <v>958</v>
      </c>
      <c r="B1119" s="178">
        <f>B1118*365</f>
        <v>3989461849.5651994</v>
      </c>
      <c r="C1119" s="157" t="s">
        <v>514</v>
      </c>
      <c r="G1119" s="124" t="s">
        <v>801</v>
      </c>
      <c r="H1119" s="184">
        <v>0</v>
      </c>
      <c r="I1119" s="184">
        <v>0</v>
      </c>
      <c r="J1119" s="184">
        <f>0.01*J1113</f>
        <v>0.13500000000000001</v>
      </c>
      <c r="K1119" s="184">
        <v>0</v>
      </c>
      <c r="L1119" s="184">
        <f>J1119</f>
        <v>0.13500000000000001</v>
      </c>
      <c r="M1119" s="184">
        <f>L1119</f>
        <v>0.13500000000000001</v>
      </c>
      <c r="N1119" s="184">
        <v>0</v>
      </c>
      <c r="O1119" s="184">
        <f>M1119</f>
        <v>0.13500000000000001</v>
      </c>
      <c r="P1119" s="184">
        <f>O1119</f>
        <v>0.13500000000000001</v>
      </c>
      <c r="Q1119" s="184">
        <f>P1119</f>
        <v>0.13500000000000001</v>
      </c>
      <c r="R1119" s="184">
        <v>0</v>
      </c>
      <c r="S1119" s="184">
        <v>0</v>
      </c>
      <c r="T1119" s="184">
        <v>0</v>
      </c>
      <c r="U1119" s="184">
        <f>Q1119</f>
        <v>0.13500000000000001</v>
      </c>
      <c r="V1119" s="184">
        <v>0</v>
      </c>
    </row>
    <row r="1120" spans="1:22" x14ac:dyDescent="0.2">
      <c r="D1120" s="113">
        <f>B1108+B1096</f>
        <v>4008169786.1886024</v>
      </c>
    </row>
    <row r="1121" spans="1:21" x14ac:dyDescent="0.2">
      <c r="U1121" s="1">
        <f>SUM(U1111:U1119)</f>
        <v>13.7835</v>
      </c>
    </row>
    <row r="1122" spans="1:21" x14ac:dyDescent="0.2">
      <c r="A1122" s="25" t="s">
        <v>710</v>
      </c>
      <c r="B1122" s="113">
        <f>B1108/(B1115*365)</f>
        <v>125.83056349977495</v>
      </c>
      <c r="U1122">
        <f>U1113/U1121</f>
        <v>0.97943192948090108</v>
      </c>
    </row>
    <row r="1123" spans="1:21" x14ac:dyDescent="0.2">
      <c r="A1123" s="65" t="s">
        <v>959</v>
      </c>
      <c r="B1123" s="181">
        <f>B1119-D1120</f>
        <v>-18707936.623403072</v>
      </c>
    </row>
    <row r="1126" spans="1:21" ht="16" thickBot="1" x14ac:dyDescent="0.25">
      <c r="A1126" s="27" t="s">
        <v>960</v>
      </c>
      <c r="B1126" s="27"/>
      <c r="C1126" s="27"/>
      <c r="D1126" s="27"/>
      <c r="E1126" s="27"/>
      <c r="F1126" s="27"/>
      <c r="G1126" s="27"/>
      <c r="H1126" s="27"/>
      <c r="I1126" s="27"/>
      <c r="J1126" s="27"/>
      <c r="K1126" s="27"/>
      <c r="L1126" s="27"/>
      <c r="M1126" s="27"/>
    </row>
    <row r="1127" spans="1:21" ht="16" thickBot="1" x14ac:dyDescent="0.25">
      <c r="A1127" s="27" t="s">
        <v>961</v>
      </c>
      <c r="B1127" s="27" t="s">
        <v>962</v>
      </c>
      <c r="C1127" s="33" t="s">
        <v>963</v>
      </c>
      <c r="D1127" s="33" t="s">
        <v>964</v>
      </c>
      <c r="E1127" s="33" t="s">
        <v>965</v>
      </c>
      <c r="F1127" s="33" t="s">
        <v>966</v>
      </c>
      <c r="G1127" s="33" t="s">
        <v>967</v>
      </c>
      <c r="H1127" s="33" t="s">
        <v>968</v>
      </c>
      <c r="I1127" s="33" t="s">
        <v>969</v>
      </c>
      <c r="J1127" s="33" t="s">
        <v>970</v>
      </c>
      <c r="K1127" s="33" t="s">
        <v>971</v>
      </c>
      <c r="L1127" s="33" t="s">
        <v>972</v>
      </c>
      <c r="M1127" s="27" t="s">
        <v>973</v>
      </c>
    </row>
    <row r="1128" spans="1:21" ht="16" x14ac:dyDescent="0.2">
      <c r="A1128" s="44" t="s">
        <v>974</v>
      </c>
      <c r="B1128" s="9" t="s">
        <v>975</v>
      </c>
      <c r="C1128" s="56">
        <f>9000/24</f>
        <v>375</v>
      </c>
      <c r="D1128" s="52" t="s">
        <v>976</v>
      </c>
      <c r="E1128" s="52"/>
      <c r="F1128" s="52"/>
      <c r="G1128" s="52"/>
      <c r="H1128" s="52"/>
      <c r="I1128" s="52"/>
      <c r="J1128" s="52"/>
      <c r="K1128" s="52"/>
      <c r="L1128" s="52"/>
      <c r="M1128" s="52"/>
    </row>
    <row r="1129" spans="1:21" ht="16" x14ac:dyDescent="0.2">
      <c r="A1129" s="44" t="s">
        <v>977</v>
      </c>
      <c r="B1129" s="9" t="s">
        <v>978</v>
      </c>
      <c r="C1129" s="52">
        <f>16460/24</f>
        <v>685.83333333333337</v>
      </c>
      <c r="D1129" s="56">
        <v>1</v>
      </c>
      <c r="E1129" s="52">
        <f>442.51/24</f>
        <v>18.437916666666666</v>
      </c>
      <c r="F1129" s="52">
        <f>E1129/3600</f>
        <v>5.1216435185185184E-3</v>
      </c>
      <c r="G1129" s="52">
        <v>10.747999999999999</v>
      </c>
      <c r="H1129" s="52">
        <v>10.8</v>
      </c>
      <c r="I1129" s="52">
        <v>1.83</v>
      </c>
      <c r="J1129" s="56">
        <f>I1129+H1129</f>
        <v>12.63</v>
      </c>
      <c r="K1129" s="56">
        <v>10</v>
      </c>
      <c r="L1129" s="52"/>
      <c r="M1129" s="53" t="s">
        <v>979</v>
      </c>
    </row>
    <row r="1130" spans="1:21" x14ac:dyDescent="0.2">
      <c r="A1130" s="9" t="s">
        <v>980</v>
      </c>
      <c r="B1130" s="9" t="s">
        <v>975</v>
      </c>
      <c r="C1130" s="50">
        <f>270/24</f>
        <v>11.25</v>
      </c>
      <c r="D1130" s="52" t="s">
        <v>976</v>
      </c>
      <c r="E1130" s="52"/>
      <c r="F1130" s="52"/>
      <c r="G1130" s="52"/>
      <c r="H1130" s="52"/>
      <c r="I1130" s="52"/>
      <c r="J1130" s="52"/>
      <c r="K1130" s="52"/>
      <c r="L1130" s="52"/>
      <c r="M1130" s="52"/>
    </row>
    <row r="1131" spans="1:21" x14ac:dyDescent="0.2">
      <c r="A1131" s="9" t="s">
        <v>981</v>
      </c>
      <c r="B1131" s="9" t="s">
        <v>978</v>
      </c>
      <c r="C1131" s="56">
        <f>317/24</f>
        <v>13.208333333333334</v>
      </c>
      <c r="D1131" s="52">
        <v>6.41</v>
      </c>
      <c r="E1131" s="52">
        <f>C1131/D1131</f>
        <v>2.0605824232969319</v>
      </c>
      <c r="F1131" s="52">
        <f>E1131/3600</f>
        <v>5.7238400647136999E-4</v>
      </c>
      <c r="G1131" s="52">
        <v>1.051175</v>
      </c>
      <c r="H1131" s="52">
        <v>1.1000000000000001</v>
      </c>
      <c r="I1131" s="52">
        <v>0.216</v>
      </c>
      <c r="J1131" s="50">
        <f>I1131+H1131</f>
        <v>1.3160000000000001</v>
      </c>
      <c r="K1131" s="25">
        <v>3</v>
      </c>
      <c r="L1131" s="56">
        <v>40</v>
      </c>
      <c r="M1131" s="53" t="s">
        <v>979</v>
      </c>
    </row>
    <row r="1132" spans="1:21" ht="16" x14ac:dyDescent="0.2">
      <c r="A1132" s="45" t="s">
        <v>982</v>
      </c>
      <c r="B1132" s="9" t="s">
        <v>983</v>
      </c>
      <c r="C1132" s="56">
        <f>7245/24</f>
        <v>301.875</v>
      </c>
      <c r="D1132" s="56">
        <v>962</v>
      </c>
      <c r="E1132" s="52">
        <f>C1132/D1132</f>
        <v>0.31379937629937632</v>
      </c>
      <c r="F1132" s="52">
        <f>E1132/3600</f>
        <v>8.7166493416493426E-5</v>
      </c>
      <c r="G1132" s="52">
        <v>0.38385749999999996</v>
      </c>
      <c r="H1132" s="52">
        <v>0.434</v>
      </c>
      <c r="I1132" s="52">
        <v>0.308</v>
      </c>
      <c r="J1132" s="50">
        <f>I1132+H1132</f>
        <v>0.74199999999999999</v>
      </c>
      <c r="K1132" s="47">
        <v>0.75</v>
      </c>
      <c r="L1132" s="56"/>
      <c r="M1132" s="53" t="s">
        <v>979</v>
      </c>
    </row>
    <row r="1133" spans="1:21" x14ac:dyDescent="0.2">
      <c r="A1133" s="9" t="s">
        <v>984</v>
      </c>
      <c r="B1133" s="9" t="s">
        <v>983</v>
      </c>
      <c r="C1133" s="56">
        <f>C1132</f>
        <v>301.875</v>
      </c>
      <c r="D1133" s="56">
        <v>962</v>
      </c>
      <c r="E1133" s="52">
        <f>C1133/D1133</f>
        <v>0.31379937629937632</v>
      </c>
      <c r="F1133" s="52">
        <f>E1133/3600</f>
        <v>8.7166493416493426E-5</v>
      </c>
      <c r="G1133" s="52">
        <v>0.38385749999999996</v>
      </c>
      <c r="H1133" s="52">
        <v>0.434</v>
      </c>
      <c r="I1133" s="52">
        <v>0.308</v>
      </c>
      <c r="J1133" s="50">
        <f>I1133+H1133</f>
        <v>0.74199999999999999</v>
      </c>
      <c r="K1133" s="47">
        <v>0.75</v>
      </c>
      <c r="L1133" s="56"/>
      <c r="M1133" s="53" t="s">
        <v>979</v>
      </c>
    </row>
    <row r="1134" spans="1:21" x14ac:dyDescent="0.2">
      <c r="A1134" s="9" t="s">
        <v>985</v>
      </c>
      <c r="B1134" s="9" t="s">
        <v>978</v>
      </c>
      <c r="C1134" s="56">
        <f>46000/24</f>
        <v>1916.6666666666667</v>
      </c>
      <c r="D1134" s="52">
        <v>1.127</v>
      </c>
      <c r="E1134" s="52">
        <f>C1134/D1134</f>
        <v>1700.6802721088436</v>
      </c>
      <c r="F1134" s="52">
        <f>E1134/3600</f>
        <v>0.47241118669690102</v>
      </c>
      <c r="G1134" s="52">
        <v>3.8385750000000001</v>
      </c>
      <c r="H1134" s="52">
        <v>3.8260000000000001</v>
      </c>
      <c r="I1134" s="52">
        <v>0.33700000000000002</v>
      </c>
      <c r="J1134" s="50">
        <f>I1134+H1134</f>
        <v>4.1630000000000003</v>
      </c>
      <c r="K1134" s="47">
        <v>4</v>
      </c>
      <c r="L1134" s="56">
        <v>80</v>
      </c>
      <c r="M1134" s="53" t="s">
        <v>979</v>
      </c>
    </row>
    <row r="1135" spans="1:21" ht="16" thickBot="1" x14ac:dyDescent="0.25">
      <c r="A1135" s="29" t="s">
        <v>986</v>
      </c>
      <c r="B1135" s="29" t="s">
        <v>978</v>
      </c>
      <c r="C1135" s="54">
        <v>63.009</v>
      </c>
      <c r="D1135" s="54">
        <v>1.127</v>
      </c>
      <c r="E1135" s="54">
        <f>C1135/D1135</f>
        <v>55.908606921029282</v>
      </c>
      <c r="F1135" s="54">
        <f>E1135/3600</f>
        <v>1.5530168589174801E-2</v>
      </c>
      <c r="G1135" s="54">
        <v>1.7716499999999997</v>
      </c>
      <c r="H1135" s="54">
        <v>1.7709999999999999</v>
      </c>
      <c r="I1135" s="54">
        <v>0.55200000000000005</v>
      </c>
      <c r="J1135" s="183">
        <f>I1135+H1135</f>
        <v>2.323</v>
      </c>
      <c r="K1135" s="57">
        <v>2.5</v>
      </c>
      <c r="L1135" s="54"/>
      <c r="M1135" s="55" t="s">
        <v>979</v>
      </c>
    </row>
    <row r="1138" spans="1:12" x14ac:dyDescent="0.2">
      <c r="A1138" s="225" t="s">
        <v>987</v>
      </c>
      <c r="B1138" s="225"/>
      <c r="C1138" s="225"/>
      <c r="D1138" s="225"/>
      <c r="E1138" s="225"/>
      <c r="F1138" s="225"/>
      <c r="G1138" s="225"/>
      <c r="H1138" s="225"/>
      <c r="I1138" s="225"/>
      <c r="J1138" s="225"/>
      <c r="K1138" s="225"/>
      <c r="L1138" s="225"/>
    </row>
    <row r="1139" spans="1:12" x14ac:dyDescent="0.2">
      <c r="A1139" s="186" t="s">
        <v>655</v>
      </c>
      <c r="B1139" s="186">
        <v>0</v>
      </c>
      <c r="C1139" s="186">
        <v>1</v>
      </c>
      <c r="D1139" s="186">
        <v>2</v>
      </c>
      <c r="E1139" s="186">
        <v>3</v>
      </c>
      <c r="F1139" s="186">
        <v>4</v>
      </c>
      <c r="G1139" s="186">
        <v>5</v>
      </c>
      <c r="H1139" s="186">
        <v>6</v>
      </c>
      <c r="I1139" s="186">
        <v>7</v>
      </c>
      <c r="J1139" s="186">
        <v>8</v>
      </c>
      <c r="K1139" s="186">
        <v>9</v>
      </c>
      <c r="L1139" s="186">
        <v>10</v>
      </c>
    </row>
    <row r="1140" spans="1:12" x14ac:dyDescent="0.2">
      <c r="A1140" s="185" t="s">
        <v>656</v>
      </c>
      <c r="B1140" s="187">
        <v>0</v>
      </c>
      <c r="C1140" s="188">
        <f>B1119</f>
        <v>3989461849.5651994</v>
      </c>
      <c r="D1140" s="188">
        <f t="shared" ref="D1140:L1140" si="35">C1140*1.07</f>
        <v>4268724179.0347638</v>
      </c>
      <c r="E1140" s="188">
        <f t="shared" si="35"/>
        <v>4567534871.5671978</v>
      </c>
      <c r="F1140" s="188">
        <f t="shared" si="35"/>
        <v>4887262312.5769024</v>
      </c>
      <c r="G1140" s="188">
        <f t="shared" si="35"/>
        <v>5229370674.4572859</v>
      </c>
      <c r="H1140" s="188">
        <f t="shared" si="35"/>
        <v>5595426621.6692963</v>
      </c>
      <c r="I1140" s="188">
        <f t="shared" si="35"/>
        <v>5987106485.1861477</v>
      </c>
      <c r="J1140" s="188">
        <f t="shared" si="35"/>
        <v>6406203939.1491785</v>
      </c>
      <c r="K1140" s="188">
        <f t="shared" si="35"/>
        <v>6854638214.8896217</v>
      </c>
      <c r="L1140" s="188">
        <f t="shared" si="35"/>
        <v>7334462889.9318953</v>
      </c>
    </row>
    <row r="1141" spans="1:12" x14ac:dyDescent="0.2">
      <c r="A1141" s="185" t="s">
        <v>714</v>
      </c>
      <c r="B1141" s="187">
        <v>0</v>
      </c>
      <c r="C1141" s="188">
        <f>B1146*-0.4</f>
        <v>933939604.35324955</v>
      </c>
      <c r="D1141" s="187">
        <v>0</v>
      </c>
      <c r="E1141" s="187">
        <v>0</v>
      </c>
      <c r="F1141" s="187">
        <v>0</v>
      </c>
      <c r="G1141" s="187">
        <v>0</v>
      </c>
      <c r="H1141" s="187">
        <v>0</v>
      </c>
      <c r="I1141" s="187">
        <v>0</v>
      </c>
      <c r="J1141" s="187">
        <v>0</v>
      </c>
      <c r="K1141" s="187">
        <v>0</v>
      </c>
      <c r="L1141" s="187">
        <v>0</v>
      </c>
    </row>
    <row r="1142" spans="1:12" x14ac:dyDescent="0.2">
      <c r="A1142" s="185" t="s">
        <v>702</v>
      </c>
      <c r="B1142" s="187">
        <v>0</v>
      </c>
      <c r="C1142" s="189">
        <f>B884</f>
        <v>182592619.0785</v>
      </c>
      <c r="D1142" s="189">
        <f t="shared" ref="D1142:L1142" si="36">C1142*1.07</f>
        <v>195374102.41399503</v>
      </c>
      <c r="E1142" s="189">
        <f t="shared" si="36"/>
        <v>209050289.5829747</v>
      </c>
      <c r="F1142" s="189">
        <f t="shared" si="36"/>
        <v>223683809.85378295</v>
      </c>
      <c r="G1142" s="189">
        <f t="shared" si="36"/>
        <v>239341676.54354778</v>
      </c>
      <c r="H1142" s="189">
        <f t="shared" si="36"/>
        <v>256095593.90159613</v>
      </c>
      <c r="I1142" s="189">
        <f t="shared" si="36"/>
        <v>274022285.4747079</v>
      </c>
      <c r="J1142" s="189">
        <f t="shared" si="36"/>
        <v>293203845.45793748</v>
      </c>
      <c r="K1142" s="189">
        <f t="shared" si="36"/>
        <v>313728114.63999313</v>
      </c>
      <c r="L1142" s="189">
        <f t="shared" si="36"/>
        <v>335689082.66479266</v>
      </c>
    </row>
    <row r="1143" spans="1:12" x14ac:dyDescent="0.2">
      <c r="A1143" s="190" t="s">
        <v>657</v>
      </c>
      <c r="B1143" s="187">
        <v>0</v>
      </c>
      <c r="C1143" s="191">
        <f>B1108</f>
        <v>1673320775.3054783</v>
      </c>
      <c r="D1143" s="188">
        <f t="shared" ref="D1143:L1143" si="37">C1143*1.05</f>
        <v>1756986814.0707524</v>
      </c>
      <c r="E1143" s="188">
        <f t="shared" si="37"/>
        <v>1844836154.7742901</v>
      </c>
      <c r="F1143" s="188">
        <f t="shared" si="37"/>
        <v>1937077962.5130048</v>
      </c>
      <c r="G1143" s="188">
        <f t="shared" si="37"/>
        <v>2033931860.6386552</v>
      </c>
      <c r="H1143" s="188">
        <f t="shared" si="37"/>
        <v>2135628453.670588</v>
      </c>
      <c r="I1143" s="188">
        <f t="shared" si="37"/>
        <v>2242409876.3541174</v>
      </c>
      <c r="J1143" s="188">
        <f t="shared" si="37"/>
        <v>2354530370.1718235</v>
      </c>
      <c r="K1143" s="188">
        <f t="shared" si="37"/>
        <v>2472256888.6804147</v>
      </c>
      <c r="L1143" s="188">
        <f t="shared" si="37"/>
        <v>2595869733.1144357</v>
      </c>
    </row>
    <row r="1144" spans="1:12" x14ac:dyDescent="0.2">
      <c r="A1144" s="190" t="s">
        <v>703</v>
      </c>
      <c r="B1144" s="187">
        <v>0</v>
      </c>
      <c r="C1144" s="188">
        <f t="shared" ref="C1144:L1144" si="38">$C$1141/10</f>
        <v>93393960.435324952</v>
      </c>
      <c r="D1144" s="188">
        <f t="shared" si="38"/>
        <v>93393960.435324952</v>
      </c>
      <c r="E1144" s="188">
        <f t="shared" si="38"/>
        <v>93393960.435324952</v>
      </c>
      <c r="F1144" s="188">
        <f t="shared" si="38"/>
        <v>93393960.435324952</v>
      </c>
      <c r="G1144" s="188">
        <f t="shared" si="38"/>
        <v>93393960.435324952</v>
      </c>
      <c r="H1144" s="188">
        <f t="shared" si="38"/>
        <v>93393960.435324952</v>
      </c>
      <c r="I1144" s="188">
        <f t="shared" si="38"/>
        <v>93393960.435324952</v>
      </c>
      <c r="J1144" s="188">
        <f t="shared" si="38"/>
        <v>93393960.435324952</v>
      </c>
      <c r="K1144" s="188">
        <f t="shared" si="38"/>
        <v>93393960.435324952</v>
      </c>
      <c r="L1144" s="188">
        <f t="shared" si="38"/>
        <v>93393960.435324952</v>
      </c>
    </row>
    <row r="1145" spans="1:12" x14ac:dyDescent="0.2">
      <c r="A1145" s="190" t="s">
        <v>704</v>
      </c>
      <c r="B1145" s="187">
        <v>0</v>
      </c>
      <c r="C1145" s="188">
        <f>$B$1090/4</f>
        <v>19375000</v>
      </c>
      <c r="D1145" s="188">
        <f>$B$1090/4</f>
        <v>19375000</v>
      </c>
      <c r="E1145" s="188">
        <f>$B$1090/4</f>
        <v>19375000</v>
      </c>
      <c r="F1145" s="188">
        <f>$B$1090/4</f>
        <v>19375000</v>
      </c>
      <c r="G1145" s="188">
        <f>$F$1146/4</f>
        <v>19375000</v>
      </c>
      <c r="H1145" s="188">
        <f>$F$1146/4</f>
        <v>19375000</v>
      </c>
      <c r="I1145" s="188">
        <f>$F$1146/4</f>
        <v>19375000</v>
      </c>
      <c r="J1145" s="188">
        <f>$F$1146/4</f>
        <v>19375000</v>
      </c>
      <c r="K1145" s="188">
        <f>$J$1146/2</f>
        <v>38750000</v>
      </c>
      <c r="L1145" s="188">
        <f>$J$1146/2</f>
        <v>38750000</v>
      </c>
    </row>
    <row r="1146" spans="1:12" x14ac:dyDescent="0.2">
      <c r="A1146" s="185" t="s">
        <v>705</v>
      </c>
      <c r="B1146" s="191">
        <f>-B1096</f>
        <v>-2334849010.8831239</v>
      </c>
      <c r="C1146" s="187">
        <v>0</v>
      </c>
      <c r="D1146" s="187">
        <v>0</v>
      </c>
      <c r="E1146" s="187">
        <v>0</v>
      </c>
      <c r="F1146" s="191">
        <f>B1090</f>
        <v>77500000</v>
      </c>
      <c r="G1146" s="191"/>
      <c r="H1146" s="187">
        <v>0</v>
      </c>
      <c r="I1146" s="187">
        <v>0</v>
      </c>
      <c r="J1146" s="191">
        <f>F1146</f>
        <v>77500000</v>
      </c>
      <c r="K1146" s="187">
        <v>0</v>
      </c>
      <c r="L1146" s="187">
        <v>0</v>
      </c>
    </row>
    <row r="1147" spans="1:12" x14ac:dyDescent="0.2">
      <c r="A1147" s="190" t="s">
        <v>706</v>
      </c>
      <c r="B1147" s="187">
        <v>0</v>
      </c>
      <c r="C1147" s="188">
        <f t="shared" ref="C1147:L1147" si="39">C1140+C1141+C1142-C1143-C1144-C1145-C1146</f>
        <v>3319904337.256146</v>
      </c>
      <c r="D1147" s="188">
        <f t="shared" si="39"/>
        <v>2594342506.9426818</v>
      </c>
      <c r="E1147" s="188">
        <f t="shared" si="39"/>
        <v>2818980045.940557</v>
      </c>
      <c r="F1147" s="188">
        <f t="shared" si="39"/>
        <v>2983599199.4823551</v>
      </c>
      <c r="G1147" s="188">
        <f t="shared" si="39"/>
        <v>3322011529.9268532</v>
      </c>
      <c r="H1147" s="188">
        <f t="shared" si="39"/>
        <v>3603124801.4649792</v>
      </c>
      <c r="I1147" s="188">
        <f t="shared" si="39"/>
        <v>3905949933.8714128</v>
      </c>
      <c r="J1147" s="188">
        <f t="shared" si="39"/>
        <v>4154608453.9999671</v>
      </c>
      <c r="K1147" s="188">
        <f t="shared" si="39"/>
        <v>4563965480.4138746</v>
      </c>
      <c r="L1147" s="188">
        <f t="shared" si="39"/>
        <v>4942138279.0469275</v>
      </c>
    </row>
    <row r="1148" spans="1:12" x14ac:dyDescent="0.2">
      <c r="A1148" s="185" t="s">
        <v>659</v>
      </c>
      <c r="B1148" s="187">
        <v>0</v>
      </c>
      <c r="C1148" s="188">
        <f t="shared" ref="C1148:L1148" si="40">C1147*0.35</f>
        <v>1161966518.0396509</v>
      </c>
      <c r="D1148" s="188">
        <f t="shared" si="40"/>
        <v>908019877.42993855</v>
      </c>
      <c r="E1148" s="188">
        <f t="shared" si="40"/>
        <v>986643016.0791949</v>
      </c>
      <c r="F1148" s="188">
        <f t="shared" si="40"/>
        <v>1044259719.8188242</v>
      </c>
      <c r="G1148" s="188">
        <f t="shared" si="40"/>
        <v>1162704035.4743986</v>
      </c>
      <c r="H1148" s="188">
        <f t="shared" si="40"/>
        <v>1261093680.5127425</v>
      </c>
      <c r="I1148" s="188">
        <f t="shared" si="40"/>
        <v>1367082476.8549943</v>
      </c>
      <c r="J1148" s="188">
        <f t="shared" si="40"/>
        <v>1454112958.8999884</v>
      </c>
      <c r="K1148" s="188">
        <f t="shared" si="40"/>
        <v>1597387918.144856</v>
      </c>
      <c r="L1148" s="188">
        <f t="shared" si="40"/>
        <v>1729748397.6664245</v>
      </c>
    </row>
    <row r="1149" spans="1:12" x14ac:dyDescent="0.2">
      <c r="A1149" s="190" t="s">
        <v>707</v>
      </c>
      <c r="B1149" s="191">
        <f>B1146</f>
        <v>-2334849010.8831239</v>
      </c>
      <c r="C1149" s="188">
        <f t="shared" ref="C1149:L1149" si="41">C1147-C1148</f>
        <v>2157937819.216495</v>
      </c>
      <c r="D1149" s="188">
        <f t="shared" si="41"/>
        <v>1686322629.5127432</v>
      </c>
      <c r="E1149" s="188">
        <f t="shared" si="41"/>
        <v>1832337029.861362</v>
      </c>
      <c r="F1149" s="188">
        <f t="shared" si="41"/>
        <v>1939339479.6635308</v>
      </c>
      <c r="G1149" s="188">
        <f t="shared" si="41"/>
        <v>2159307494.4524546</v>
      </c>
      <c r="H1149" s="188">
        <f t="shared" si="41"/>
        <v>2342031120.9522367</v>
      </c>
      <c r="I1149" s="188">
        <f t="shared" si="41"/>
        <v>2538867457.0164185</v>
      </c>
      <c r="J1149" s="188">
        <f t="shared" si="41"/>
        <v>2700495495.0999784</v>
      </c>
      <c r="K1149" s="188">
        <f t="shared" si="41"/>
        <v>2966577562.2690187</v>
      </c>
      <c r="L1149" s="188">
        <f t="shared" si="41"/>
        <v>3212389881.3805027</v>
      </c>
    </row>
    <row r="1150" spans="1:12" x14ac:dyDescent="0.2">
      <c r="A1150" s="185" t="s">
        <v>708</v>
      </c>
      <c r="B1150" s="192">
        <f>+NPV(0.15,C1149:L1149)+B1146</f>
        <v>8691009178.5110855</v>
      </c>
      <c r="C1150" s="187"/>
      <c r="D1150" s="187"/>
      <c r="E1150" s="187"/>
      <c r="F1150" s="187"/>
      <c r="G1150" s="187"/>
      <c r="H1150" s="187"/>
      <c r="I1150" s="187"/>
      <c r="J1150" s="187"/>
      <c r="K1150" s="187"/>
      <c r="L1150" s="187"/>
    </row>
    <row r="1151" spans="1:12" x14ac:dyDescent="0.2">
      <c r="A1151" s="190" t="s">
        <v>709</v>
      </c>
      <c r="B1151" s="193">
        <f>+IRR(B1149:L1149)</f>
        <v>0.85356415076538128</v>
      </c>
      <c r="C1151" s="187"/>
      <c r="D1151" s="187"/>
      <c r="E1151" s="187"/>
      <c r="F1151" s="187"/>
      <c r="G1151" s="187"/>
      <c r="H1151" s="187"/>
      <c r="I1151" s="187"/>
      <c r="J1151" s="187"/>
      <c r="K1151" s="187"/>
      <c r="L1151" s="187"/>
    </row>
    <row r="1152" spans="1:12" x14ac:dyDescent="0.2">
      <c r="A1152" s="185" t="s">
        <v>988</v>
      </c>
      <c r="B1152" s="115">
        <f>(C1149-(-B1146-C1141))/(-B1146-C1141)</f>
        <v>0.5403835602487812</v>
      </c>
    </row>
    <row r="1180" spans="1:7" x14ac:dyDescent="0.2">
      <c r="A1180" t="s">
        <v>989</v>
      </c>
    </row>
    <row r="1182" spans="1:7" x14ac:dyDescent="0.2">
      <c r="A1182" s="157" t="s">
        <v>990</v>
      </c>
      <c r="B1182" s="157" t="s">
        <v>991</v>
      </c>
      <c r="C1182" s="157" t="s">
        <v>992</v>
      </c>
      <c r="D1182" s="157" t="s">
        <v>993</v>
      </c>
      <c r="E1182" s="157" t="s">
        <v>994</v>
      </c>
      <c r="F1182" s="157" t="s">
        <v>995</v>
      </c>
      <c r="G1182" s="157" t="s">
        <v>996</v>
      </c>
    </row>
    <row r="1183" spans="1:7" x14ac:dyDescent="0.2">
      <c r="A1183" s="157" t="s">
        <v>997</v>
      </c>
      <c r="B1183" s="157" t="s">
        <v>998</v>
      </c>
      <c r="C1183" s="157"/>
      <c r="D1183" s="157"/>
      <c r="E1183" s="157"/>
      <c r="F1183" s="157"/>
      <c r="G1183" s="157"/>
    </row>
    <row r="1184" spans="1:7" x14ac:dyDescent="0.2">
      <c r="A1184" s="157" t="s">
        <v>999</v>
      </c>
      <c r="B1184" s="157" t="s">
        <v>998</v>
      </c>
      <c r="C1184" s="157"/>
      <c r="D1184" s="157"/>
      <c r="E1184" s="157"/>
      <c r="F1184" s="157"/>
      <c r="G1184" s="157"/>
    </row>
    <row r="1185" spans="1:7" x14ac:dyDescent="0.2">
      <c r="A1185" s="157" t="s">
        <v>928</v>
      </c>
      <c r="B1185" s="157" t="s">
        <v>998</v>
      </c>
      <c r="C1185" s="157"/>
      <c r="D1185" s="157"/>
      <c r="E1185" s="157"/>
      <c r="F1185" s="157"/>
      <c r="G1185" s="157"/>
    </row>
    <row r="1186" spans="1:7" x14ac:dyDescent="0.2">
      <c r="A1186" s="157" t="s">
        <v>929</v>
      </c>
      <c r="B1186" s="157" t="s">
        <v>998</v>
      </c>
      <c r="C1186" s="157"/>
      <c r="D1186" s="157"/>
      <c r="E1186" s="157"/>
      <c r="F1186" s="157"/>
      <c r="G1186" s="157"/>
    </row>
    <row r="1187" spans="1:7" x14ac:dyDescent="0.2">
      <c r="A1187" s="157" t="s">
        <v>936</v>
      </c>
      <c r="B1187" s="157" t="s">
        <v>998</v>
      </c>
      <c r="C1187" s="157"/>
      <c r="D1187" s="157"/>
      <c r="E1187" s="157"/>
      <c r="F1187" s="157"/>
      <c r="G1187" s="157"/>
    </row>
    <row r="1188" spans="1:7" x14ac:dyDescent="0.2">
      <c r="A1188" s="157" t="s">
        <v>939</v>
      </c>
      <c r="B1188" s="157" t="s">
        <v>998</v>
      </c>
      <c r="C1188" s="157"/>
      <c r="D1188" s="157"/>
      <c r="E1188" s="157"/>
      <c r="F1188" s="157"/>
      <c r="G1188" s="157"/>
    </row>
    <row r="1189" spans="1:7" x14ac:dyDescent="0.2">
      <c r="A1189" s="157" t="s">
        <v>943</v>
      </c>
      <c r="B1189" s="157" t="s">
        <v>998</v>
      </c>
      <c r="C1189" s="157"/>
      <c r="D1189" s="157"/>
      <c r="E1189" s="157"/>
      <c r="F1189" s="157"/>
      <c r="G1189" s="157"/>
    </row>
    <row r="1190" spans="1:7" x14ac:dyDescent="0.2">
      <c r="A1190" s="157" t="s">
        <v>944</v>
      </c>
      <c r="B1190" s="157" t="s">
        <v>998</v>
      </c>
      <c r="C1190" s="157"/>
      <c r="D1190" s="157"/>
      <c r="E1190" s="157"/>
      <c r="F1190" s="157"/>
      <c r="G1190" s="157"/>
    </row>
    <row r="1191" spans="1:7" x14ac:dyDescent="0.2">
      <c r="A1191" s="157" t="s">
        <v>945</v>
      </c>
      <c r="B1191" s="157" t="s">
        <v>998</v>
      </c>
      <c r="C1191" s="157"/>
      <c r="D1191" s="157"/>
      <c r="E1191" s="157"/>
      <c r="F1191" s="157"/>
      <c r="G1191" s="157"/>
    </row>
    <row r="1192" spans="1:7" x14ac:dyDescent="0.2">
      <c r="A1192" s="157" t="s">
        <v>946</v>
      </c>
      <c r="B1192" s="157" t="s">
        <v>998</v>
      </c>
      <c r="C1192" s="157"/>
      <c r="D1192" s="157"/>
      <c r="E1192" s="157"/>
      <c r="F1192" s="157"/>
      <c r="G1192" s="157"/>
    </row>
    <row r="1193" spans="1:7" x14ac:dyDescent="0.2">
      <c r="A1193" s="157" t="s">
        <v>940</v>
      </c>
      <c r="B1193" s="157" t="s">
        <v>998</v>
      </c>
      <c r="C1193" s="157"/>
      <c r="D1193" s="157"/>
      <c r="E1193" s="157"/>
      <c r="F1193" s="157"/>
      <c r="G1193" s="157"/>
    </row>
    <row r="1199" spans="1:7" x14ac:dyDescent="0.2">
      <c r="F1199" s="236" t="s">
        <v>1000</v>
      </c>
      <c r="G1199" s="236"/>
    </row>
    <row r="1200" spans="1:7" x14ac:dyDescent="0.2">
      <c r="F1200" s="3" t="s">
        <v>1001</v>
      </c>
      <c r="G1200" s="3">
        <f>D753/1000</f>
        <v>13.134105263157894</v>
      </c>
    </row>
    <row r="1201" spans="6:7" x14ac:dyDescent="0.2">
      <c r="F1201" s="3" t="s">
        <v>1002</v>
      </c>
      <c r="G1201" s="3">
        <f>(G1200)*(1000/(24*60*60))</f>
        <v>0.1520151072124756</v>
      </c>
    </row>
    <row r="1202" spans="6:7" x14ac:dyDescent="0.2">
      <c r="F1202" s="3" t="s">
        <v>1003</v>
      </c>
      <c r="G1202" s="3">
        <f>G1201*1.4</f>
        <v>0.21282115009746583</v>
      </c>
    </row>
    <row r="1203" spans="6:7" x14ac:dyDescent="0.2">
      <c r="F1203" s="3" t="s">
        <v>1004</v>
      </c>
      <c r="G1203" s="3">
        <f>G1202</f>
        <v>0.21282115009746583</v>
      </c>
    </row>
    <row r="1204" spans="6:7" x14ac:dyDescent="0.2">
      <c r="F1204" s="3" t="s">
        <v>528</v>
      </c>
      <c r="G1204" s="3">
        <v>3300</v>
      </c>
    </row>
    <row r="1205" spans="6:7" x14ac:dyDescent="0.2">
      <c r="F1205" s="3" t="s">
        <v>529</v>
      </c>
      <c r="G1205" s="3">
        <v>48</v>
      </c>
    </row>
    <row r="1206" spans="6:7" x14ac:dyDescent="0.2">
      <c r="F1206" s="3" t="s">
        <v>530</v>
      </c>
      <c r="G1206" s="3">
        <v>1.2</v>
      </c>
    </row>
    <row r="1207" spans="6:7" x14ac:dyDescent="0.2">
      <c r="F1207" s="3" t="s">
        <v>1005</v>
      </c>
      <c r="G1207" s="3">
        <f>G1204+((G1205)*(G1203)^G1206)</f>
        <v>3307.4965075090818</v>
      </c>
    </row>
    <row r="1208" spans="6:7" x14ac:dyDescent="0.2">
      <c r="F1208" s="3" t="s">
        <v>536</v>
      </c>
      <c r="G1208" s="3">
        <v>478.6</v>
      </c>
    </row>
    <row r="1209" spans="6:7" x14ac:dyDescent="0.2">
      <c r="F1209" s="3" t="s">
        <v>1006</v>
      </c>
      <c r="G1209" s="3">
        <v>798.7</v>
      </c>
    </row>
    <row r="1210" spans="6:7" x14ac:dyDescent="0.2">
      <c r="F1210" s="3" t="s">
        <v>1007</v>
      </c>
      <c r="G1210" s="199">
        <f>G1207*(G1209/G1208)</f>
        <v>5519.6353124686657</v>
      </c>
    </row>
    <row r="1211" spans="6:7" x14ac:dyDescent="0.2">
      <c r="F1211" s="3" t="s">
        <v>1008</v>
      </c>
      <c r="G1211" s="199">
        <f>3859*G1210</f>
        <v>21300272.670816582</v>
      </c>
    </row>
    <row r="1218" spans="1:8" x14ac:dyDescent="0.2">
      <c r="B1218" s="157" t="s">
        <v>990</v>
      </c>
      <c r="C1218" s="157" t="s">
        <v>991</v>
      </c>
      <c r="D1218" s="157" t="s">
        <v>992</v>
      </c>
    </row>
    <row r="1219" spans="1:8" x14ac:dyDescent="0.2">
      <c r="B1219" s="157" t="s">
        <v>924</v>
      </c>
      <c r="C1219" s="157" t="s">
        <v>998</v>
      </c>
      <c r="D1219" s="157" t="s">
        <v>1009</v>
      </c>
    </row>
    <row r="1220" spans="1:8" x14ac:dyDescent="0.2">
      <c r="B1220" s="157" t="s">
        <v>999</v>
      </c>
      <c r="C1220" s="157" t="s">
        <v>998</v>
      </c>
      <c r="D1220" s="157" t="s">
        <v>1010</v>
      </c>
    </row>
    <row r="1221" spans="1:8" x14ac:dyDescent="0.2">
      <c r="B1221" s="157" t="s">
        <v>928</v>
      </c>
      <c r="C1221" s="157" t="s">
        <v>998</v>
      </c>
      <c r="D1221" s="157" t="s">
        <v>1011</v>
      </c>
    </row>
    <row r="1222" spans="1:8" x14ac:dyDescent="0.2">
      <c r="B1222" s="157" t="s">
        <v>929</v>
      </c>
      <c r="C1222" s="157" t="s">
        <v>998</v>
      </c>
      <c r="D1222" s="157" t="s">
        <v>1012</v>
      </c>
    </row>
    <row r="1223" spans="1:8" x14ac:dyDescent="0.2">
      <c r="A1223" s="65">
        <v>1</v>
      </c>
      <c r="B1223" s="157" t="s">
        <v>1013</v>
      </c>
      <c r="C1223" s="157" t="s">
        <v>998</v>
      </c>
      <c r="D1223" s="157" t="s">
        <v>1014</v>
      </c>
    </row>
    <row r="1224" spans="1:8" x14ac:dyDescent="0.2">
      <c r="A1224" s="65">
        <v>2</v>
      </c>
      <c r="B1224" s="157" t="s">
        <v>588</v>
      </c>
      <c r="C1224" s="157" t="s">
        <v>998</v>
      </c>
      <c r="D1224" s="157" t="s">
        <v>1015</v>
      </c>
    </row>
    <row r="1225" spans="1:8" x14ac:dyDescent="0.2">
      <c r="A1225" s="65">
        <v>3</v>
      </c>
      <c r="B1225" s="157" t="s">
        <v>587</v>
      </c>
      <c r="C1225" s="157" t="s">
        <v>998</v>
      </c>
      <c r="D1225" s="157" t="s">
        <v>1016</v>
      </c>
    </row>
    <row r="1226" spans="1:8" x14ac:dyDescent="0.2">
      <c r="A1226" s="65">
        <v>4</v>
      </c>
      <c r="B1226" s="157" t="s">
        <v>1017</v>
      </c>
      <c r="C1226" s="157" t="s">
        <v>998</v>
      </c>
      <c r="D1226" s="157" t="s">
        <v>1018</v>
      </c>
      <c r="H1226" s="126" t="s">
        <v>1019</v>
      </c>
    </row>
    <row r="1227" spans="1:8" x14ac:dyDescent="0.2">
      <c r="A1227" s="65">
        <v>5</v>
      </c>
      <c r="B1227" s="157" t="s">
        <v>1020</v>
      </c>
      <c r="C1227" s="157" t="s">
        <v>998</v>
      </c>
      <c r="D1227" s="157" t="s">
        <v>1021</v>
      </c>
    </row>
    <row r="1228" spans="1:8" x14ac:dyDescent="0.2">
      <c r="A1228" s="65">
        <v>6</v>
      </c>
      <c r="B1228" s="157" t="s">
        <v>1022</v>
      </c>
      <c r="C1228" s="157" t="s">
        <v>998</v>
      </c>
      <c r="D1228" s="157" t="s">
        <v>1023</v>
      </c>
    </row>
    <row r="1231" spans="1:8" x14ac:dyDescent="0.2">
      <c r="F1231" s="226" t="s">
        <v>1024</v>
      </c>
      <c r="G1231" s="227"/>
      <c r="H1231" s="228"/>
    </row>
    <row r="1232" spans="1:8" x14ac:dyDescent="0.2">
      <c r="F1232" s="3" t="s">
        <v>1025</v>
      </c>
      <c r="G1232" s="3">
        <v>28.01</v>
      </c>
      <c r="H1232" s="3"/>
    </row>
    <row r="1233" spans="6:8" x14ac:dyDescent="0.2">
      <c r="F1233" s="3" t="s">
        <v>1026</v>
      </c>
      <c r="G1233" s="3">
        <v>493</v>
      </c>
      <c r="H1233" s="3" t="s">
        <v>1027</v>
      </c>
    </row>
    <row r="1234" spans="6:8" x14ac:dyDescent="0.2">
      <c r="F1234" s="3" t="s">
        <v>1028</v>
      </c>
      <c r="G1234" s="3">
        <v>228</v>
      </c>
      <c r="H1234" s="3" t="s">
        <v>1029</v>
      </c>
    </row>
    <row r="1235" spans="6:8" x14ac:dyDescent="0.2">
      <c r="F1235" s="3" t="s">
        <v>1030</v>
      </c>
      <c r="G1235" s="3">
        <v>1.4</v>
      </c>
      <c r="H1235" s="3"/>
    </row>
    <row r="1236" spans="6:8" x14ac:dyDescent="0.2">
      <c r="F1236" s="3" t="s">
        <v>1031</v>
      </c>
      <c r="G1236" s="3">
        <v>1.0129999999999999</v>
      </c>
      <c r="H1236" s="3" t="s">
        <v>286</v>
      </c>
    </row>
    <row r="1237" spans="6:8" x14ac:dyDescent="0.2">
      <c r="F1237" s="3" t="s">
        <v>1032</v>
      </c>
      <c r="G1237" s="3">
        <v>3.05</v>
      </c>
      <c r="H1237" s="3" t="s">
        <v>286</v>
      </c>
    </row>
    <row r="1238" spans="6:8" x14ac:dyDescent="0.2">
      <c r="F1238" s="3" t="s">
        <v>1033</v>
      </c>
      <c r="G1238" s="3">
        <f>32+273</f>
        <v>305</v>
      </c>
      <c r="H1238" s="3" t="s">
        <v>479</v>
      </c>
    </row>
    <row r="1239" spans="6:8" x14ac:dyDescent="0.2">
      <c r="F1239" s="3" t="s">
        <v>1034</v>
      </c>
      <c r="G1239" s="3">
        <f>Q1079</f>
        <v>603.79506261160714</v>
      </c>
      <c r="H1239" s="3" t="s">
        <v>1035</v>
      </c>
    </row>
    <row r="1240" spans="6:8" x14ac:dyDescent="0.2">
      <c r="F1240" s="3" t="s">
        <v>1036</v>
      </c>
      <c r="G1240" s="3">
        <v>1</v>
      </c>
      <c r="H1240" s="3"/>
    </row>
    <row r="1241" spans="6:8" x14ac:dyDescent="0.2">
      <c r="F1241" s="3" t="s">
        <v>1037</v>
      </c>
      <c r="G1241" s="3">
        <v>8.319E-2</v>
      </c>
      <c r="H1241" s="3" t="s">
        <v>1038</v>
      </c>
    </row>
    <row r="1242" spans="6:8" x14ac:dyDescent="0.2">
      <c r="F1242" s="3" t="s">
        <v>1039</v>
      </c>
      <c r="G1242" s="116">
        <f>G1237/G1236</f>
        <v>3.0108588351431393</v>
      </c>
      <c r="H1242" s="3" t="s">
        <v>1040</v>
      </c>
    </row>
    <row r="1243" spans="6:8" x14ac:dyDescent="0.2">
      <c r="F1243" s="3" t="s">
        <v>1041</v>
      </c>
      <c r="G1243" s="3">
        <f>G1238*(G1242)^((G1235-1)/(G1235))</f>
        <v>417.89629746898834</v>
      </c>
      <c r="H1243" s="3" t="s">
        <v>479</v>
      </c>
    </row>
    <row r="1244" spans="6:8" x14ac:dyDescent="0.2">
      <c r="F1244" s="3" t="s">
        <v>1042</v>
      </c>
      <c r="G1244" s="198">
        <f>93-G1242-8*(((G1242)^(1/G1235))-1)</f>
        <v>80.409431552104337</v>
      </c>
      <c r="H1244" s="3" t="s">
        <v>797</v>
      </c>
    </row>
    <row r="1245" spans="6:8" x14ac:dyDescent="0.2">
      <c r="F1245" s="3" t="s">
        <v>1043</v>
      </c>
      <c r="G1245" s="6">
        <f>G1239/0.8*91.85</f>
        <v>69323.220626095135</v>
      </c>
      <c r="H1245" s="3" t="s">
        <v>1044</v>
      </c>
    </row>
    <row r="1246" spans="6:8" x14ac:dyDescent="0.2">
      <c r="F1246" s="3" t="s">
        <v>1045</v>
      </c>
      <c r="G1246" s="116">
        <v>942</v>
      </c>
      <c r="H1246" s="3" t="s">
        <v>1046</v>
      </c>
    </row>
    <row r="1247" spans="6:8" x14ac:dyDescent="0.2">
      <c r="F1247" s="3" t="s">
        <v>1047</v>
      </c>
      <c r="G1247" s="130">
        <v>25.5</v>
      </c>
      <c r="H1247" s="3" t="s">
        <v>843</v>
      </c>
    </row>
    <row r="1248" spans="6:8" x14ac:dyDescent="0.2">
      <c r="F1248" s="3" t="s">
        <v>1048</v>
      </c>
      <c r="G1248" s="3">
        <f>100*(212/(G1247/100))</f>
        <v>83137.254901960783</v>
      </c>
      <c r="H1248" s="3" t="s">
        <v>672</v>
      </c>
    </row>
    <row r="1249" spans="1:8" x14ac:dyDescent="0.2">
      <c r="F1249" s="3" t="s">
        <v>1049</v>
      </c>
      <c r="G1249" s="130">
        <f>0.00528*((G1235/(G1235-1))*G1236*G1245*(G1242^((G1235-1)/G1235)-1))</f>
        <v>480.36350277660517</v>
      </c>
      <c r="H1249" s="3" t="s">
        <v>593</v>
      </c>
    </row>
    <row r="1252" spans="1:8" x14ac:dyDescent="0.2">
      <c r="A1252" s="221" t="s">
        <v>705</v>
      </c>
      <c r="B1252" s="221"/>
      <c r="C1252" s="221"/>
    </row>
    <row r="1253" spans="1:8" x14ac:dyDescent="0.2">
      <c r="A1253" s="157" t="s">
        <v>915</v>
      </c>
      <c r="B1253" s="157" t="s">
        <v>916</v>
      </c>
      <c r="C1253" s="157" t="s">
        <v>917</v>
      </c>
    </row>
    <row r="1254" spans="1:8" x14ac:dyDescent="0.2">
      <c r="A1254" s="157" t="s">
        <v>923</v>
      </c>
      <c r="B1254" s="176">
        <f>B1085</f>
        <v>250000000</v>
      </c>
      <c r="C1254" s="157" t="s">
        <v>1050</v>
      </c>
    </row>
    <row r="1255" spans="1:8" x14ac:dyDescent="0.2">
      <c r="A1255" s="157" t="s">
        <v>999</v>
      </c>
      <c r="B1255" s="177">
        <f>B1084</f>
        <v>7000000</v>
      </c>
      <c r="C1255" s="157" t="s">
        <v>1050</v>
      </c>
    </row>
    <row r="1256" spans="1:8" x14ac:dyDescent="0.2">
      <c r="A1256" s="157" t="s">
        <v>928</v>
      </c>
      <c r="B1256" s="177">
        <f>B1086</f>
        <v>16000000</v>
      </c>
      <c r="C1256" s="157" t="s">
        <v>1050</v>
      </c>
    </row>
    <row r="1257" spans="1:8" x14ac:dyDescent="0.2">
      <c r="A1257" s="157" t="s">
        <v>929</v>
      </c>
      <c r="B1257" s="176">
        <f>B1087</f>
        <v>82000000</v>
      </c>
      <c r="C1257" s="157" t="s">
        <v>1050</v>
      </c>
    </row>
    <row r="1258" spans="1:8" x14ac:dyDescent="0.2">
      <c r="A1258" s="157" t="s">
        <v>1013</v>
      </c>
      <c r="B1258" s="176">
        <f>G1211</f>
        <v>21300272.670816582</v>
      </c>
      <c r="C1258" s="157" t="s">
        <v>1051</v>
      </c>
    </row>
    <row r="1259" spans="1:8" x14ac:dyDescent="0.2">
      <c r="A1259" s="157" t="s">
        <v>588</v>
      </c>
      <c r="B1259" s="178">
        <f>B1088</f>
        <v>40000000</v>
      </c>
      <c r="C1259" s="157" t="s">
        <v>1051</v>
      </c>
    </row>
    <row r="1260" spans="1:8" x14ac:dyDescent="0.2">
      <c r="A1260" s="157" t="s">
        <v>1052</v>
      </c>
      <c r="B1260" s="177">
        <f>B1095</f>
        <v>1018651167.4951181</v>
      </c>
      <c r="C1260" s="157" t="s">
        <v>1053</v>
      </c>
    </row>
    <row r="1261" spans="1:8" x14ac:dyDescent="0.2">
      <c r="A1261" s="157" t="s">
        <v>1054</v>
      </c>
      <c r="B1261" s="177">
        <f>355000000</f>
        <v>355000000</v>
      </c>
      <c r="C1261" s="157" t="s">
        <v>1050</v>
      </c>
      <c r="E1261" s="126" t="s">
        <v>1055</v>
      </c>
    </row>
    <row r="1262" spans="1:8" x14ac:dyDescent="0.2">
      <c r="A1262" s="157" t="s">
        <v>944</v>
      </c>
      <c r="B1262" s="176">
        <v>613672438.93805301</v>
      </c>
      <c r="C1262" s="157" t="s">
        <v>1050</v>
      </c>
    </row>
    <row r="1263" spans="1:8" x14ac:dyDescent="0.2">
      <c r="A1263" s="157" t="s">
        <v>945</v>
      </c>
      <c r="B1263" s="177">
        <v>230000000</v>
      </c>
      <c r="C1263" s="157" t="s">
        <v>1056</v>
      </c>
    </row>
    <row r="1264" spans="1:8" x14ac:dyDescent="0.2">
      <c r="A1264" s="157" t="s">
        <v>1057</v>
      </c>
      <c r="B1264" s="177">
        <f>F1339</f>
        <v>469557000</v>
      </c>
      <c r="C1264" s="157" t="s">
        <v>1058</v>
      </c>
    </row>
    <row r="1265" spans="1:7" x14ac:dyDescent="0.2">
      <c r="A1265" s="157" t="s">
        <v>1059</v>
      </c>
      <c r="B1265" s="177">
        <f>11543000</f>
        <v>11543000</v>
      </c>
      <c r="C1265" s="157" t="s">
        <v>1050</v>
      </c>
      <c r="D1265" t="s">
        <v>1648</v>
      </c>
    </row>
    <row r="1266" spans="1:7" x14ac:dyDescent="0.2">
      <c r="A1266" s="157" t="s">
        <v>1635</v>
      </c>
      <c r="B1266" s="177">
        <f>D1268*0.3</f>
        <v>934417163.73119628</v>
      </c>
      <c r="C1266" s="157"/>
      <c r="D1266" s="102">
        <f>SUM(B1254:B1265)</f>
        <v>3114723879.1039877</v>
      </c>
    </row>
    <row r="1267" spans="1:7" x14ac:dyDescent="0.2">
      <c r="A1267" s="157" t="s">
        <v>1636</v>
      </c>
      <c r="B1267" s="177">
        <f>D1268*0.05</f>
        <v>155736193.95519939</v>
      </c>
      <c r="C1267" s="157"/>
      <c r="D1267" t="s">
        <v>1637</v>
      </c>
    </row>
    <row r="1268" spans="1:7" x14ac:dyDescent="0.2">
      <c r="A1268" s="157" t="s">
        <v>24</v>
      </c>
      <c r="B1268" s="176">
        <f>SUM(B1254:B1267)</f>
        <v>4204877236.7903833</v>
      </c>
      <c r="C1268" s="157"/>
      <c r="D1268" s="59">
        <v>3114723879.1039877</v>
      </c>
    </row>
    <row r="1269" spans="1:7" x14ac:dyDescent="0.2">
      <c r="B1269">
        <f>B1260/B1268</f>
        <v>0.24225467478157883</v>
      </c>
    </row>
    <row r="1271" spans="1:7" x14ac:dyDescent="0.2">
      <c r="A1271" s="224" t="s">
        <v>657</v>
      </c>
      <c r="B1271" s="224"/>
      <c r="E1271" s="221" t="s">
        <v>1060</v>
      </c>
      <c r="F1271" s="221"/>
      <c r="G1271" s="221"/>
    </row>
    <row r="1272" spans="1:7" x14ac:dyDescent="0.2">
      <c r="A1272" s="157" t="s">
        <v>948</v>
      </c>
      <c r="B1272" s="157" t="s">
        <v>949</v>
      </c>
      <c r="E1272" s="3" t="s">
        <v>1061</v>
      </c>
      <c r="F1272" s="3">
        <v>20</v>
      </c>
      <c r="G1272" s="3" t="s">
        <v>508</v>
      </c>
    </row>
    <row r="1273" spans="1:7" x14ac:dyDescent="0.2">
      <c r="A1273" s="157" t="s">
        <v>586</v>
      </c>
      <c r="B1273" s="177">
        <v>8564080</v>
      </c>
      <c r="E1273" s="3" t="s">
        <v>1062</v>
      </c>
      <c r="F1273" s="3">
        <v>60</v>
      </c>
      <c r="G1273" s="3" t="s">
        <v>1063</v>
      </c>
    </row>
    <row r="1274" spans="1:7" x14ac:dyDescent="0.2">
      <c r="A1274" s="157" t="s">
        <v>950</v>
      </c>
      <c r="B1274" s="177">
        <v>663121</v>
      </c>
      <c r="E1274" s="3" t="s">
        <v>1064</v>
      </c>
      <c r="F1274" s="3">
        <f>(4.5/24)*8200</f>
        <v>1537.5</v>
      </c>
      <c r="G1274" s="3" t="s">
        <v>716</v>
      </c>
    </row>
    <row r="1275" spans="1:7" x14ac:dyDescent="0.2">
      <c r="A1275" s="157" t="s">
        <v>928</v>
      </c>
      <c r="B1275" s="179">
        <f>B1102</f>
        <v>12628000</v>
      </c>
      <c r="E1275" s="3" t="s">
        <v>1065</v>
      </c>
      <c r="F1275" s="3">
        <v>800</v>
      </c>
      <c r="G1275" s="3" t="s">
        <v>626</v>
      </c>
    </row>
    <row r="1276" spans="1:7" x14ac:dyDescent="0.2">
      <c r="A1276" s="157" t="s">
        <v>951</v>
      </c>
      <c r="B1276" s="179">
        <f>B1103</f>
        <v>24576165.635438599</v>
      </c>
      <c r="E1276" s="3" t="s">
        <v>1066</v>
      </c>
      <c r="F1276" s="199">
        <f>F1273*F1275*F1274</f>
        <v>73800000</v>
      </c>
      <c r="G1276" s="3" t="s">
        <v>514</v>
      </c>
    </row>
    <row r="1277" spans="1:7" x14ac:dyDescent="0.2">
      <c r="A1277" s="157" t="s">
        <v>1067</v>
      </c>
      <c r="B1277" s="178">
        <f>B1104</f>
        <v>384474808.67003971</v>
      </c>
      <c r="E1277" s="3" t="s">
        <v>1068</v>
      </c>
      <c r="F1277" s="199">
        <f>F1272*F1274</f>
        <v>30750</v>
      </c>
      <c r="G1277" s="3" t="s">
        <v>512</v>
      </c>
    </row>
    <row r="1278" spans="1:7" x14ac:dyDescent="0.2">
      <c r="A1278" s="157" t="s">
        <v>953</v>
      </c>
      <c r="B1278" s="177">
        <f>$B$759*$B$760*2000</f>
        <v>723126600</v>
      </c>
      <c r="E1278" s="3" t="s">
        <v>1069</v>
      </c>
      <c r="F1278" s="205">
        <f>F1277*3866</f>
        <v>118879500</v>
      </c>
      <c r="G1278" s="3" t="s">
        <v>514</v>
      </c>
    </row>
    <row r="1279" spans="1:7" x14ac:dyDescent="0.2">
      <c r="A1279" s="157" t="s">
        <v>1070</v>
      </c>
      <c r="B1279" s="177">
        <v>96339750</v>
      </c>
      <c r="E1279" s="3" t="s">
        <v>1071</v>
      </c>
      <c r="F1279" s="205">
        <f>(F1276+F1278)/2</f>
        <v>96339750</v>
      </c>
      <c r="G1279" s="3" t="s">
        <v>514</v>
      </c>
    </row>
    <row r="1280" spans="1:7" x14ac:dyDescent="0.2">
      <c r="A1280" s="157" t="s">
        <v>640</v>
      </c>
      <c r="B1280" s="177">
        <f>B1106</f>
        <v>111360000</v>
      </c>
      <c r="E1280" s="3" t="s">
        <v>1072</v>
      </c>
      <c r="F1280" s="3">
        <v>9</v>
      </c>
      <c r="G1280" s="3" t="s">
        <v>1073</v>
      </c>
    </row>
    <row r="1281" spans="1:7" x14ac:dyDescent="0.2">
      <c r="A1281" s="157" t="s">
        <v>1639</v>
      </c>
      <c r="B1281" s="177">
        <f>0.01*D1266</f>
        <v>31147238.791039877</v>
      </c>
      <c r="E1281" s="3"/>
      <c r="F1281" s="3"/>
      <c r="G1281" s="3"/>
    </row>
    <row r="1282" spans="1:7" x14ac:dyDescent="0.2">
      <c r="A1282" s="157" t="s">
        <v>954</v>
      </c>
      <c r="B1282" s="177">
        <f>B1107</f>
        <v>407928000</v>
      </c>
      <c r="E1282" s="3" t="s">
        <v>1074</v>
      </c>
      <c r="F1282" s="3">
        <f>F1272*F1280</f>
        <v>180</v>
      </c>
      <c r="G1282" s="3" t="s">
        <v>532</v>
      </c>
    </row>
    <row r="1283" spans="1:7" x14ac:dyDescent="0.2">
      <c r="A1283" s="157" t="s">
        <v>24</v>
      </c>
      <c r="B1283" s="176">
        <f>SUM(B1273:B1282)</f>
        <v>1800807764.0965183</v>
      </c>
      <c r="E1283" s="3" t="s">
        <v>1075</v>
      </c>
      <c r="F1283" s="199">
        <f>F1282*3866</f>
        <v>695880</v>
      </c>
      <c r="G1283" s="3" t="s">
        <v>600</v>
      </c>
    </row>
    <row r="1284" spans="1:7" x14ac:dyDescent="0.2">
      <c r="E1284" s="3" t="s">
        <v>1076</v>
      </c>
      <c r="F1284" s="3">
        <f>F1273*F1280</f>
        <v>540</v>
      </c>
      <c r="G1284" s="3" t="s">
        <v>1077</v>
      </c>
    </row>
    <row r="1285" spans="1:7" x14ac:dyDescent="0.2">
      <c r="E1285" s="3" t="s">
        <v>1078</v>
      </c>
      <c r="F1285" s="199">
        <f>F1284*F1275</f>
        <v>432000</v>
      </c>
      <c r="G1285" s="3" t="s">
        <v>600</v>
      </c>
    </row>
    <row r="1286" spans="1:7" x14ac:dyDescent="0.2">
      <c r="A1286" s="224" t="s">
        <v>781</v>
      </c>
      <c r="B1286" s="224"/>
      <c r="C1286" s="224"/>
      <c r="E1286" s="3" t="s">
        <v>1079</v>
      </c>
      <c r="F1286" s="199">
        <f>F1283+F1285</f>
        <v>1127880</v>
      </c>
      <c r="G1286" s="3" t="s">
        <v>600</v>
      </c>
    </row>
    <row r="1287" spans="1:7" x14ac:dyDescent="0.2">
      <c r="A1287" s="157" t="s">
        <v>784</v>
      </c>
      <c r="B1287" s="157">
        <f>$I$60</f>
        <v>45.25893360067159</v>
      </c>
      <c r="C1287" s="157" t="s">
        <v>13</v>
      </c>
    </row>
    <row r="1288" spans="1:7" x14ac:dyDescent="0.2">
      <c r="A1288" s="157" t="s">
        <v>786</v>
      </c>
      <c r="B1288" s="157">
        <f>$M$990</f>
        <v>7.2450000000000001</v>
      </c>
      <c r="C1288" s="157" t="s">
        <v>55</v>
      </c>
    </row>
    <row r="1289" spans="1:7" x14ac:dyDescent="0.2">
      <c r="A1289" s="157" t="s">
        <v>786</v>
      </c>
      <c r="B1289" s="157">
        <f>$H$974*1000</f>
        <v>7245</v>
      </c>
      <c r="C1289" s="157" t="s">
        <v>28</v>
      </c>
      <c r="E1289">
        <v>58</v>
      </c>
      <c r="F1289">
        <v>7.4</v>
      </c>
      <c r="G1289" t="s">
        <v>55</v>
      </c>
    </row>
    <row r="1290" spans="1:7" x14ac:dyDescent="0.2">
      <c r="A1290" s="157" t="s">
        <v>773</v>
      </c>
      <c r="B1290" s="157">
        <v>0.4</v>
      </c>
      <c r="C1290" s="157" t="s">
        <v>956</v>
      </c>
      <c r="E1290">
        <f>B1291/1000000</f>
        <v>3.6433441548540633E-2</v>
      </c>
      <c r="F1290">
        <v>350</v>
      </c>
      <c r="G1290" t="s">
        <v>36</v>
      </c>
    </row>
    <row r="1291" spans="1:7" x14ac:dyDescent="0.2">
      <c r="A1291" s="157" t="s">
        <v>775</v>
      </c>
      <c r="B1291" s="180">
        <f>(($H$973*$H$975)*(1000/3600))*$H$976</f>
        <v>36433.441548540635</v>
      </c>
      <c r="C1291" s="157" t="s">
        <v>36</v>
      </c>
      <c r="E1291">
        <f>E1290/E1289</f>
        <v>6.281627853196661E-4</v>
      </c>
      <c r="F1291">
        <f>F1290/F1289</f>
        <v>47.297297297297298</v>
      </c>
    </row>
    <row r="1292" spans="1:7" x14ac:dyDescent="0.2">
      <c r="A1292" s="157" t="s">
        <v>790</v>
      </c>
      <c r="B1292" s="180">
        <f>(($H$969+$H$977)/$C$43)/4</f>
        <v>2838.1816848198328</v>
      </c>
      <c r="C1292" s="157" t="s">
        <v>791</v>
      </c>
      <c r="E1292">
        <f>E1291*100</f>
        <v>6.2816278531966613E-2</v>
      </c>
    </row>
    <row r="1293" spans="1:7" x14ac:dyDescent="0.2">
      <c r="A1293" s="157" t="s">
        <v>957</v>
      </c>
      <c r="B1293" s="157">
        <v>300</v>
      </c>
      <c r="C1293" s="157" t="s">
        <v>626</v>
      </c>
      <c r="E1293">
        <v>40000</v>
      </c>
      <c r="F1293" t="s">
        <v>1080</v>
      </c>
    </row>
    <row r="1294" spans="1:7" x14ac:dyDescent="0.2">
      <c r="A1294" s="157" t="s">
        <v>958</v>
      </c>
      <c r="B1294" s="177">
        <f>B1291*B1293</f>
        <v>10930032.464562191</v>
      </c>
      <c r="C1294" s="157" t="s">
        <v>888</v>
      </c>
      <c r="E1294">
        <f>E1293/24</f>
        <v>1666.6666666666667</v>
      </c>
      <c r="F1294" t="s">
        <v>1081</v>
      </c>
    </row>
    <row r="1295" spans="1:7" x14ac:dyDescent="0.2">
      <c r="A1295" s="157" t="s">
        <v>958</v>
      </c>
      <c r="B1295" s="178">
        <f>B1294*350</f>
        <v>3825511362.5967669</v>
      </c>
      <c r="C1295" s="157" t="s">
        <v>514</v>
      </c>
      <c r="E1295">
        <f>E1294*1.13/1000</f>
        <v>1.8833333333333333</v>
      </c>
      <c r="F1295" t="s">
        <v>495</v>
      </c>
    </row>
    <row r="1296" spans="1:7" x14ac:dyDescent="0.2">
      <c r="E1296">
        <f>E1295*24</f>
        <v>45.2</v>
      </c>
      <c r="F1296" t="s">
        <v>55</v>
      </c>
    </row>
    <row r="1297" spans="1:12" x14ac:dyDescent="0.2">
      <c r="A1297" s="157" t="s">
        <v>710</v>
      </c>
      <c r="B1297" s="202">
        <f>B1283/(B1291*260)</f>
        <v>190.10511809145748</v>
      </c>
      <c r="C1297" s="157" t="s">
        <v>626</v>
      </c>
    </row>
    <row r="1301" spans="1:12" x14ac:dyDescent="0.2">
      <c r="C1301" s="71">
        <v>0.33329999999999999</v>
      </c>
    </row>
    <row r="1302" spans="1:12" x14ac:dyDescent="0.2">
      <c r="A1302" s="225" t="s">
        <v>987</v>
      </c>
      <c r="B1302" s="225"/>
      <c r="C1302" s="225"/>
      <c r="D1302" s="225"/>
      <c r="E1302" s="225"/>
      <c r="F1302" s="225"/>
      <c r="G1302" s="225"/>
      <c r="H1302" s="225"/>
      <c r="I1302" s="225"/>
      <c r="J1302" s="225"/>
      <c r="K1302" s="225"/>
      <c r="L1302" s="225"/>
    </row>
    <row r="1303" spans="1:12" x14ac:dyDescent="0.2">
      <c r="A1303" s="186" t="s">
        <v>655</v>
      </c>
      <c r="B1303" s="186">
        <v>0</v>
      </c>
      <c r="C1303" s="186">
        <v>1</v>
      </c>
      <c r="D1303" s="186">
        <v>2</v>
      </c>
      <c r="E1303" s="186">
        <v>3</v>
      </c>
      <c r="F1303" s="186">
        <v>4</v>
      </c>
      <c r="G1303" s="186">
        <v>5</v>
      </c>
      <c r="H1303" s="186">
        <v>6</v>
      </c>
      <c r="I1303" s="186">
        <v>7</v>
      </c>
      <c r="J1303" s="186">
        <v>8</v>
      </c>
      <c r="K1303" s="186">
        <v>9</v>
      </c>
      <c r="L1303" s="186">
        <v>10</v>
      </c>
    </row>
    <row r="1304" spans="1:12" x14ac:dyDescent="0.2">
      <c r="A1304" s="185" t="s">
        <v>656</v>
      </c>
      <c r="B1304" s="187">
        <v>0</v>
      </c>
      <c r="C1304" s="188">
        <f>B1295</f>
        <v>3825511362.5967669</v>
      </c>
      <c r="D1304" s="188">
        <f t="shared" ref="D1304" si="42">C1304*1.07</f>
        <v>4093297157.9785409</v>
      </c>
      <c r="E1304" s="188">
        <f t="shared" ref="E1304" si="43">D1304*1.07</f>
        <v>4379827959.0370388</v>
      </c>
      <c r="F1304" s="188">
        <f t="shared" ref="F1304" si="44">E1304*1.07</f>
        <v>4686415916.169632</v>
      </c>
      <c r="G1304" s="188">
        <f t="shared" ref="G1304" si="45">F1304*1.07</f>
        <v>5014465030.301506</v>
      </c>
      <c r="H1304" s="188">
        <f t="shared" ref="H1304" si="46">G1304*1.07</f>
        <v>5365477582.4226122</v>
      </c>
      <c r="I1304" s="188">
        <f t="shared" ref="I1304" si="47">H1304*1.07</f>
        <v>5741061013.1921949</v>
      </c>
      <c r="J1304" s="188">
        <f t="shared" ref="J1304" si="48">I1304*1.07</f>
        <v>6142935284.1156492</v>
      </c>
      <c r="K1304" s="188">
        <f t="shared" ref="K1304" si="49">J1304*1.07</f>
        <v>6572940754.0037451</v>
      </c>
      <c r="L1304" s="188">
        <f t="shared" ref="L1304" si="50">K1304*1.07</f>
        <v>7033046606.784008</v>
      </c>
    </row>
    <row r="1305" spans="1:12" x14ac:dyDescent="0.2">
      <c r="A1305" s="185" t="s">
        <v>714</v>
      </c>
      <c r="B1305" s="187">
        <v>0</v>
      </c>
      <c r="C1305" s="188"/>
      <c r="D1305" s="187">
        <v>0</v>
      </c>
      <c r="E1305" s="187">
        <v>0</v>
      </c>
      <c r="F1305" s="187">
        <v>0</v>
      </c>
      <c r="G1305" s="187">
        <v>0</v>
      </c>
      <c r="H1305" s="187">
        <v>0</v>
      </c>
      <c r="I1305" s="187">
        <v>0</v>
      </c>
      <c r="J1305" s="187">
        <v>0</v>
      </c>
      <c r="K1305" s="187">
        <v>0</v>
      </c>
      <c r="L1305" s="187">
        <v>0</v>
      </c>
    </row>
    <row r="1306" spans="1:12" x14ac:dyDescent="0.2">
      <c r="A1306" s="185" t="s">
        <v>702</v>
      </c>
      <c r="B1306" s="187">
        <v>0</v>
      </c>
      <c r="C1306" s="189">
        <f>B884</f>
        <v>182592619.0785</v>
      </c>
      <c r="D1306" s="189">
        <f t="shared" ref="D1306" si="51">C1306*1.07</f>
        <v>195374102.41399503</v>
      </c>
      <c r="E1306" s="189">
        <f t="shared" ref="E1306" si="52">D1306*1.07</f>
        <v>209050289.5829747</v>
      </c>
      <c r="F1306" s="189">
        <f t="shared" ref="F1306" si="53">E1306*1.07</f>
        <v>223683809.85378295</v>
      </c>
      <c r="G1306" s="189">
        <f t="shared" ref="G1306" si="54">F1306*1.07</f>
        <v>239341676.54354778</v>
      </c>
      <c r="H1306" s="189">
        <f t="shared" ref="H1306" si="55">G1306*1.07</f>
        <v>256095593.90159613</v>
      </c>
      <c r="I1306" s="189">
        <f t="shared" ref="I1306" si="56">H1306*1.07</f>
        <v>274022285.4747079</v>
      </c>
      <c r="J1306" s="189">
        <f t="shared" ref="J1306" si="57">I1306*1.07</f>
        <v>293203845.45793748</v>
      </c>
      <c r="K1306" s="189">
        <f t="shared" ref="K1306" si="58">J1306*1.07</f>
        <v>313728114.63999313</v>
      </c>
      <c r="L1306" s="189">
        <f t="shared" ref="L1306" si="59">K1306*1.07</f>
        <v>335689082.66479266</v>
      </c>
    </row>
    <row r="1307" spans="1:12" x14ac:dyDescent="0.2">
      <c r="A1307" s="190" t="s">
        <v>657</v>
      </c>
      <c r="B1307" s="187">
        <v>0</v>
      </c>
      <c r="C1307" s="191">
        <f>B1283</f>
        <v>1800807764.0965183</v>
      </c>
      <c r="D1307" s="188">
        <f t="shared" ref="D1307" si="60">C1307*1.05</f>
        <v>1890848152.3013442</v>
      </c>
      <c r="E1307" s="188">
        <f t="shared" ref="E1307" si="61">D1307*1.05</f>
        <v>1985390559.9164114</v>
      </c>
      <c r="F1307" s="188">
        <f t="shared" ref="F1307" si="62">E1307*1.05</f>
        <v>2084660087.9122322</v>
      </c>
      <c r="G1307" s="188">
        <f t="shared" ref="G1307" si="63">F1307*1.05</f>
        <v>2188893092.3078437</v>
      </c>
      <c r="H1307" s="188">
        <f t="shared" ref="H1307" si="64">G1307*1.05</f>
        <v>2298337746.9232359</v>
      </c>
      <c r="I1307" s="188">
        <f t="shared" ref="I1307" si="65">H1307*1.05</f>
        <v>2413254634.2693977</v>
      </c>
      <c r="J1307" s="188">
        <f t="shared" ref="J1307" si="66">I1307*1.05</f>
        <v>2533917365.9828677</v>
      </c>
      <c r="K1307" s="188">
        <f t="shared" ref="K1307" si="67">J1307*1.05</f>
        <v>2660613234.282011</v>
      </c>
      <c r="L1307" s="188">
        <f t="shared" ref="L1307" si="68">K1307*1.05</f>
        <v>2793643895.9961119</v>
      </c>
    </row>
    <row r="1308" spans="1:12" x14ac:dyDescent="0.2">
      <c r="A1308" s="190" t="s">
        <v>1638</v>
      </c>
      <c r="B1308" s="187"/>
      <c r="C1308" s="191">
        <f>C1304+C1306-C1307</f>
        <v>2207296217.5787487</v>
      </c>
      <c r="D1308" s="191">
        <f t="shared" ref="D1308:L1308" si="69">D1304+D1306-D1307</f>
        <v>2397823108.0911922</v>
      </c>
      <c r="E1308" s="191">
        <f t="shared" si="69"/>
        <v>2603487688.7036018</v>
      </c>
      <c r="F1308" s="191">
        <f t="shared" si="69"/>
        <v>2825439638.1111822</v>
      </c>
      <c r="G1308" s="191">
        <f t="shared" si="69"/>
        <v>3064913614.53721</v>
      </c>
      <c r="H1308" s="191">
        <f t="shared" si="69"/>
        <v>3323235429.4009724</v>
      </c>
      <c r="I1308" s="191">
        <f t="shared" si="69"/>
        <v>3601828664.3975048</v>
      </c>
      <c r="J1308" s="191">
        <f t="shared" si="69"/>
        <v>3902221763.5907187</v>
      </c>
      <c r="K1308" s="191">
        <f t="shared" si="69"/>
        <v>4226055634.3617268</v>
      </c>
      <c r="L1308" s="191">
        <f t="shared" si="69"/>
        <v>4575091793.4526892</v>
      </c>
    </row>
    <row r="1309" spans="1:12" x14ac:dyDescent="0.2">
      <c r="A1309" s="190" t="s">
        <v>703</v>
      </c>
      <c r="B1309" s="187">
        <v>0</v>
      </c>
      <c r="C1309" s="188">
        <f>$C$1301*$D$1268</f>
        <v>1038137468.905359</v>
      </c>
      <c r="D1309" s="188">
        <f t="shared" ref="D1309:E1309" si="70">$C$1301*$D$1268</f>
        <v>1038137468.905359</v>
      </c>
      <c r="E1309" s="188">
        <f t="shared" si="70"/>
        <v>1038137468.905359</v>
      </c>
      <c r="F1309" s="188">
        <v>0</v>
      </c>
      <c r="G1309" s="188">
        <v>0</v>
      </c>
      <c r="H1309" s="188">
        <v>0</v>
      </c>
      <c r="I1309" s="188">
        <v>0</v>
      </c>
      <c r="J1309" s="188">
        <v>0</v>
      </c>
      <c r="K1309" s="188">
        <v>0</v>
      </c>
      <c r="L1309" s="188">
        <v>0</v>
      </c>
    </row>
    <row r="1310" spans="1:12" x14ac:dyDescent="0.2">
      <c r="A1310" s="190" t="s">
        <v>704</v>
      </c>
      <c r="B1310" s="187">
        <v>0</v>
      </c>
      <c r="C1310" s="188">
        <v>0</v>
      </c>
      <c r="D1310" s="188">
        <v>0</v>
      </c>
      <c r="E1310" s="188">
        <v>0</v>
      </c>
      <c r="F1310" s="188">
        <v>0</v>
      </c>
      <c r="G1310" s="188">
        <f>0.3333*$F$1311</f>
        <v>118321500</v>
      </c>
      <c r="H1310" s="188">
        <f t="shared" ref="H1310:I1310" si="71">0.3333*$F$1311</f>
        <v>118321500</v>
      </c>
      <c r="I1310" s="188">
        <f t="shared" si="71"/>
        <v>118321500</v>
      </c>
      <c r="J1310" s="188"/>
      <c r="K1310" s="188">
        <f>$J$1311*0.3333</f>
        <v>118321500</v>
      </c>
      <c r="L1310" s="188">
        <f>$J$1311*0.3333</f>
        <v>118321500</v>
      </c>
    </row>
    <row r="1311" spans="1:12" x14ac:dyDescent="0.2">
      <c r="A1311" s="185" t="s">
        <v>705</v>
      </c>
      <c r="B1311" s="191">
        <f>-B1268</f>
        <v>-4204877236.7903833</v>
      </c>
      <c r="C1311" s="187">
        <v>0</v>
      </c>
      <c r="D1311" s="187">
        <v>0</v>
      </c>
      <c r="E1311" s="187">
        <v>0</v>
      </c>
      <c r="F1311" s="191">
        <f>B1261</f>
        <v>355000000</v>
      </c>
      <c r="G1311" s="191"/>
      <c r="H1311" s="187">
        <v>0</v>
      </c>
      <c r="I1311" s="187">
        <v>0</v>
      </c>
      <c r="J1311" s="191">
        <f>F1311</f>
        <v>355000000</v>
      </c>
      <c r="K1311" s="187">
        <v>0</v>
      </c>
      <c r="L1311" s="187">
        <v>0</v>
      </c>
    </row>
    <row r="1312" spans="1:12" x14ac:dyDescent="0.2">
      <c r="A1312" s="190" t="s">
        <v>706</v>
      </c>
      <c r="B1312" s="187">
        <v>0</v>
      </c>
      <c r="C1312" s="188">
        <f>C1308-C1309-C1310</f>
        <v>1169158748.6733897</v>
      </c>
      <c r="D1312" s="188">
        <f t="shared" ref="D1312:L1312" si="72">D1308-D1309-D1310</f>
        <v>1359685639.1858332</v>
      </c>
      <c r="E1312" s="188">
        <f t="shared" si="72"/>
        <v>1565350219.7982428</v>
      </c>
      <c r="F1312" s="188">
        <f t="shared" si="72"/>
        <v>2825439638.1111822</v>
      </c>
      <c r="G1312" s="188">
        <f t="shared" si="72"/>
        <v>2946592114.53721</v>
      </c>
      <c r="H1312" s="188">
        <f t="shared" si="72"/>
        <v>3204913929.4009724</v>
      </c>
      <c r="I1312" s="188">
        <f t="shared" si="72"/>
        <v>3483507164.3975048</v>
      </c>
      <c r="J1312" s="188">
        <f t="shared" si="72"/>
        <v>3902221763.5907187</v>
      </c>
      <c r="K1312" s="188">
        <f t="shared" si="72"/>
        <v>4107734134.3617268</v>
      </c>
      <c r="L1312" s="188">
        <f t="shared" si="72"/>
        <v>4456770293.4526892</v>
      </c>
    </row>
    <row r="1313" spans="1:12" x14ac:dyDescent="0.2">
      <c r="A1313" s="185" t="s">
        <v>659</v>
      </c>
      <c r="B1313" s="187">
        <v>0</v>
      </c>
      <c r="C1313" s="188">
        <f>C1312*0.175</f>
        <v>204602781.01784319</v>
      </c>
      <c r="D1313" s="188">
        <f t="shared" ref="D1313:L1313" si="73">D1312*0.175</f>
        <v>237944986.85752079</v>
      </c>
      <c r="E1313" s="188">
        <f t="shared" si="73"/>
        <v>273936288.46469247</v>
      </c>
      <c r="F1313" s="188">
        <f t="shared" si="73"/>
        <v>494451936.66945684</v>
      </c>
      <c r="G1313" s="188">
        <f t="shared" si="73"/>
        <v>515653620.04401171</v>
      </c>
      <c r="H1313" s="188">
        <f t="shared" si="73"/>
        <v>560859937.64517009</v>
      </c>
      <c r="I1313" s="188">
        <f t="shared" si="73"/>
        <v>609613753.76956332</v>
      </c>
      <c r="J1313" s="188">
        <f t="shared" si="73"/>
        <v>682888808.62837577</v>
      </c>
      <c r="K1313" s="188">
        <f t="shared" si="73"/>
        <v>718853473.51330209</v>
      </c>
      <c r="L1313" s="188">
        <f t="shared" si="73"/>
        <v>779934801.35422051</v>
      </c>
    </row>
    <row r="1314" spans="1:12" x14ac:dyDescent="0.2">
      <c r="A1314" s="190" t="s">
        <v>707</v>
      </c>
      <c r="B1314" s="191">
        <f>B1311</f>
        <v>-4204877236.7903833</v>
      </c>
      <c r="C1314" s="188">
        <f>C1308-C1313</f>
        <v>2002693436.5609055</v>
      </c>
      <c r="D1314" s="188">
        <f t="shared" ref="D1314:K1314" si="74">D1308-D1313</f>
        <v>2159878121.2336717</v>
      </c>
      <c r="E1314" s="188">
        <f t="shared" si="74"/>
        <v>2329551400.2389092</v>
      </c>
      <c r="F1314" s="188">
        <f t="shared" si="74"/>
        <v>2330987701.4417253</v>
      </c>
      <c r="G1314" s="188">
        <f t="shared" si="74"/>
        <v>2549259994.4931984</v>
      </c>
      <c r="H1314" s="188">
        <f t="shared" si="74"/>
        <v>2762375491.7558022</v>
      </c>
      <c r="I1314" s="188">
        <f t="shared" si="74"/>
        <v>2992214910.6279416</v>
      </c>
      <c r="J1314" s="188">
        <f t="shared" si="74"/>
        <v>3219332954.9623432</v>
      </c>
      <c r="K1314" s="188">
        <f t="shared" si="74"/>
        <v>3507202160.8484249</v>
      </c>
      <c r="L1314" s="188">
        <f>L1308-L1313</f>
        <v>3795156992.0984688</v>
      </c>
    </row>
    <row r="1315" spans="1:12" x14ac:dyDescent="0.2">
      <c r="A1315" s="185" t="s">
        <v>708</v>
      </c>
      <c r="B1315" s="192">
        <f>+NPV(0.15,C1314:L1314)+B1311</f>
        <v>8608285622.1947289</v>
      </c>
      <c r="C1315" s="187"/>
      <c r="D1315" s="187"/>
      <c r="E1315" s="187"/>
      <c r="F1315" s="187"/>
      <c r="G1315" s="187"/>
      <c r="H1315" s="187"/>
      <c r="I1315" s="187"/>
      <c r="J1315" s="187"/>
      <c r="K1315" s="187"/>
      <c r="L1315" s="187"/>
    </row>
    <row r="1316" spans="1:12" x14ac:dyDescent="0.2">
      <c r="A1316" s="190" t="s">
        <v>709</v>
      </c>
      <c r="B1316" s="193">
        <f>+IRR(B1314:L1314)</f>
        <v>0.53143485281198277</v>
      </c>
      <c r="C1316" s="187"/>
      <c r="D1316" s="187"/>
      <c r="E1316" s="187"/>
      <c r="F1316" s="187"/>
      <c r="G1316" s="187"/>
      <c r="H1316" s="187"/>
      <c r="I1316" s="187"/>
      <c r="J1316" s="187"/>
      <c r="K1316" s="187"/>
      <c r="L1316" s="187"/>
    </row>
    <row r="1317" spans="1:12" x14ac:dyDescent="0.2">
      <c r="A1317" s="185" t="s">
        <v>988</v>
      </c>
      <c r="B1317" s="115">
        <f>(J1325-J1319)/J1319</f>
        <v>2.3544465738523281</v>
      </c>
    </row>
    <row r="1318" spans="1:12" x14ac:dyDescent="0.2">
      <c r="J1318" t="s">
        <v>1640</v>
      </c>
    </row>
    <row r="1319" spans="1:12" x14ac:dyDescent="0.2">
      <c r="I1319" t="s">
        <v>1641</v>
      </c>
      <c r="J1319" s="113">
        <f>D1268+F1311*(1+7%)^4+J1311*(1+7%)^8</f>
        <v>4190012556.4943194</v>
      </c>
    </row>
    <row r="1320" spans="1:12" x14ac:dyDescent="0.2">
      <c r="I1320" t="s">
        <v>1642</v>
      </c>
      <c r="J1320" s="102">
        <f>SUM(C1307:L1307)</f>
        <v>22650366533.987972</v>
      </c>
    </row>
    <row r="1321" spans="1:12" x14ac:dyDescent="0.2">
      <c r="I1321" t="s">
        <v>1643</v>
      </c>
      <c r="J1321" s="113">
        <f>J1320*(1+7%)^10</f>
        <v>44556699270.44059</v>
      </c>
    </row>
    <row r="1322" spans="1:12" x14ac:dyDescent="0.2">
      <c r="I1322" t="s">
        <v>1644</v>
      </c>
      <c r="J1322">
        <f>(B1291*350)*10</f>
        <v>127517045.41989222</v>
      </c>
      <c r="K1322" t="s">
        <v>1645</v>
      </c>
    </row>
    <row r="1323" spans="1:12" x14ac:dyDescent="0.2">
      <c r="I1323" s="59" t="s">
        <v>710</v>
      </c>
      <c r="J1323" s="171">
        <f>(J1319+J1321)/J1322</f>
        <v>382.27604526453831</v>
      </c>
    </row>
    <row r="1324" spans="1:12" x14ac:dyDescent="0.2">
      <c r="I1324" t="s">
        <v>1646</v>
      </c>
      <c r="J1324" s="113">
        <f>SUM(C1314:L1314)</f>
        <v>27648653164.261395</v>
      </c>
    </row>
    <row r="1325" spans="1:12" x14ac:dyDescent="0.2">
      <c r="I1325" t="s">
        <v>1647</v>
      </c>
      <c r="J1325" s="113">
        <f>J1324/(1+7%)^10</f>
        <v>14055173264.530605</v>
      </c>
    </row>
    <row r="1326" spans="1:12" x14ac:dyDescent="0.2">
      <c r="E1326" t="s">
        <v>1082</v>
      </c>
      <c r="F1326">
        <f>17757/30</f>
        <v>591.9</v>
      </c>
      <c r="G1326" t="s">
        <v>55</v>
      </c>
    </row>
    <row r="1327" spans="1:12" x14ac:dyDescent="0.2">
      <c r="E1327" t="s">
        <v>1083</v>
      </c>
      <c r="F1327">
        <f>F1326*0.15</f>
        <v>88.784999999999997</v>
      </c>
      <c r="G1327" t="s">
        <v>55</v>
      </c>
    </row>
    <row r="1328" spans="1:12" x14ac:dyDescent="0.2">
      <c r="E1328" t="s">
        <v>1084</v>
      </c>
      <c r="F1328" s="1">
        <f>9*(100/F1327)</f>
        <v>10.13684744044602</v>
      </c>
      <c r="G1328" t="s">
        <v>797</v>
      </c>
    </row>
    <row r="1332" spans="5:8" x14ac:dyDescent="0.2">
      <c r="E1332">
        <f>45/7.4</f>
        <v>6.0810810810810807</v>
      </c>
    </row>
    <row r="1333" spans="5:8" x14ac:dyDescent="0.2">
      <c r="E1333">
        <f>4.5*(100/7.4)</f>
        <v>60.810810810810807</v>
      </c>
    </row>
    <row r="1334" spans="5:8" x14ac:dyDescent="0.2">
      <c r="E1334" s="222" t="s">
        <v>1085</v>
      </c>
      <c r="F1334" s="222"/>
      <c r="G1334" s="222"/>
    </row>
    <row r="1335" spans="5:8" x14ac:dyDescent="0.2">
      <c r="E1335" t="s">
        <v>1086</v>
      </c>
      <c r="F1335">
        <v>2.5499999999999998</v>
      </c>
      <c r="G1335" t="s">
        <v>1087</v>
      </c>
      <c r="H1335">
        <v>4.5</v>
      </c>
    </row>
    <row r="1336" spans="5:8" x14ac:dyDescent="0.2">
      <c r="E1336" t="s">
        <v>1088</v>
      </c>
      <c r="F1336">
        <f>F1335*1000</f>
        <v>2550</v>
      </c>
      <c r="G1336" t="s">
        <v>1089</v>
      </c>
      <c r="H1336">
        <v>9</v>
      </c>
    </row>
    <row r="1337" spans="5:8" x14ac:dyDescent="0.2">
      <c r="E1337" t="s">
        <v>1090</v>
      </c>
      <c r="F1337">
        <v>45</v>
      </c>
      <c r="G1337" t="s">
        <v>1091</v>
      </c>
      <c r="H1337">
        <v>20</v>
      </c>
    </row>
    <row r="1338" spans="5:8" x14ac:dyDescent="0.2">
      <c r="E1338" t="s">
        <v>1092</v>
      </c>
      <c r="F1338">
        <f>F1337*F1336</f>
        <v>114750</v>
      </c>
      <c r="G1338" t="s">
        <v>1093</v>
      </c>
      <c r="H1338">
        <v>45</v>
      </c>
    </row>
    <row r="1339" spans="5:8" x14ac:dyDescent="0.2">
      <c r="E1339" t="s">
        <v>1094</v>
      </c>
      <c r="F1339" s="11">
        <f>F1338*4092</f>
        <v>469557000</v>
      </c>
      <c r="G1339" t="s">
        <v>600</v>
      </c>
    </row>
    <row r="1340" spans="5:8" x14ac:dyDescent="0.2">
      <c r="H1340" s="12">
        <f>F1339/1000000</f>
        <v>469.55700000000002</v>
      </c>
    </row>
    <row r="1341" spans="5:8" x14ac:dyDescent="0.2">
      <c r="E1341" s="222" t="s">
        <v>1095</v>
      </c>
      <c r="F1341" s="222"/>
      <c r="G1341" s="222"/>
      <c r="H1341" s="12">
        <f>F1345/1000000</f>
        <v>427.8186</v>
      </c>
    </row>
    <row r="1342" spans="5:8" x14ac:dyDescent="0.2">
      <c r="E1342" t="s">
        <v>1086</v>
      </c>
      <c r="F1342">
        <f>F1336</f>
        <v>2550</v>
      </c>
      <c r="G1342" t="s">
        <v>1089</v>
      </c>
      <c r="H1342" s="12">
        <f>F1352/1000000</f>
        <v>313.03800000000001</v>
      </c>
    </row>
    <row r="1343" spans="5:8" x14ac:dyDescent="0.2">
      <c r="E1343" t="s">
        <v>1096</v>
      </c>
      <c r="F1343">
        <f>50-9</f>
        <v>41</v>
      </c>
      <c r="G1343" t="s">
        <v>1091</v>
      </c>
      <c r="H1343" s="12">
        <f>F1358/1000000</f>
        <v>375.6456</v>
      </c>
    </row>
    <row r="1344" spans="5:8" x14ac:dyDescent="0.2">
      <c r="E1344" t="s">
        <v>1092</v>
      </c>
      <c r="F1344">
        <f>F1342*F1343</f>
        <v>104550</v>
      </c>
      <c r="G1344" t="s">
        <v>1097</v>
      </c>
    </row>
    <row r="1345" spans="1:7" x14ac:dyDescent="0.2">
      <c r="E1345" t="s">
        <v>1094</v>
      </c>
      <c r="F1345" s="11">
        <f>F1344*4092</f>
        <v>427818600</v>
      </c>
      <c r="G1345" t="s">
        <v>600</v>
      </c>
    </row>
    <row r="1347" spans="1:7" x14ac:dyDescent="0.2">
      <c r="A1347" s="221" t="s">
        <v>1098</v>
      </c>
      <c r="B1347" s="221"/>
    </row>
    <row r="1348" spans="1:7" x14ac:dyDescent="0.2">
      <c r="A1348" s="157" t="s">
        <v>915</v>
      </c>
      <c r="B1348" s="157" t="s">
        <v>917</v>
      </c>
      <c r="E1348" s="222" t="s">
        <v>1099</v>
      </c>
      <c r="F1348" s="222"/>
      <c r="G1348" s="222"/>
    </row>
    <row r="1349" spans="1:7" x14ac:dyDescent="0.2">
      <c r="A1349" s="157" t="s">
        <v>923</v>
      </c>
      <c r="B1349" s="157" t="s">
        <v>1100</v>
      </c>
      <c r="E1349" t="s">
        <v>1086</v>
      </c>
      <c r="F1349">
        <f>F1342</f>
        <v>2550</v>
      </c>
      <c r="G1349" t="str">
        <f>G1342</f>
        <v>eur/ton</v>
      </c>
    </row>
    <row r="1350" spans="1:7" x14ac:dyDescent="0.2">
      <c r="A1350" s="157" t="s">
        <v>999</v>
      </c>
      <c r="B1350" s="157" t="s">
        <v>1101</v>
      </c>
      <c r="E1350" t="s">
        <v>1096</v>
      </c>
      <c r="F1350">
        <f>50-20</f>
        <v>30</v>
      </c>
      <c r="G1350" t="s">
        <v>1091</v>
      </c>
    </row>
    <row r="1351" spans="1:7" x14ac:dyDescent="0.2">
      <c r="A1351" s="157" t="s">
        <v>928</v>
      </c>
      <c r="B1351" s="157" t="s">
        <v>1102</v>
      </c>
      <c r="E1351" t="s">
        <v>1092</v>
      </c>
      <c r="F1351">
        <f>F1349*F1350</f>
        <v>76500</v>
      </c>
      <c r="G1351" t="s">
        <v>1097</v>
      </c>
    </row>
    <row r="1352" spans="1:7" x14ac:dyDescent="0.2">
      <c r="A1352" s="157" t="s">
        <v>929</v>
      </c>
      <c r="B1352" s="157" t="s">
        <v>1103</v>
      </c>
      <c r="E1352" t="s">
        <v>1094</v>
      </c>
      <c r="F1352" s="11">
        <f>F1351*4092</f>
        <v>313038000</v>
      </c>
      <c r="G1352" t="s">
        <v>600</v>
      </c>
    </row>
    <row r="1353" spans="1:7" x14ac:dyDescent="0.2">
      <c r="A1353" s="157" t="s">
        <v>1054</v>
      </c>
      <c r="B1353" s="157" t="s">
        <v>1055</v>
      </c>
    </row>
    <row r="1354" spans="1:7" x14ac:dyDescent="0.2">
      <c r="A1354" s="157" t="s">
        <v>944</v>
      </c>
      <c r="B1354" s="157" t="s">
        <v>1104</v>
      </c>
      <c r="E1354" s="222" t="s">
        <v>1105</v>
      </c>
      <c r="F1354" s="222"/>
      <c r="G1354" s="222"/>
    </row>
    <row r="1355" spans="1:7" x14ac:dyDescent="0.2">
      <c r="A1355" s="157" t="s">
        <v>1059</v>
      </c>
      <c r="B1355" s="206" t="s">
        <v>1106</v>
      </c>
      <c r="E1355" t="s">
        <v>1086</v>
      </c>
      <c r="F1355">
        <f>F1349</f>
        <v>2550</v>
      </c>
      <c r="G1355" t="str">
        <f>G1349</f>
        <v>eur/ton</v>
      </c>
    </row>
    <row r="1356" spans="1:7" x14ac:dyDescent="0.2">
      <c r="E1356" t="s">
        <v>1096</v>
      </c>
      <c r="F1356">
        <f>9*4</f>
        <v>36</v>
      </c>
      <c r="G1356" t="str">
        <f>G1350</f>
        <v>ton</v>
      </c>
    </row>
    <row r="1357" spans="1:7" x14ac:dyDescent="0.2">
      <c r="E1357" t="s">
        <v>1092</v>
      </c>
      <c r="F1357">
        <f>F1355*F1356</f>
        <v>91800</v>
      </c>
      <c r="G1357" t="str">
        <f>G1351</f>
        <v xml:space="preserve">EUR </v>
      </c>
    </row>
    <row r="1358" spans="1:7" x14ac:dyDescent="0.2">
      <c r="E1358" t="s">
        <v>1094</v>
      </c>
      <c r="F1358" s="11">
        <f>F1357*4092</f>
        <v>375645600</v>
      </c>
      <c r="G1358" t="str">
        <f>G1352</f>
        <v>COP</v>
      </c>
    </row>
    <row r="1361" spans="1:13" x14ac:dyDescent="0.2">
      <c r="E1361" s="222" t="s">
        <v>1107</v>
      </c>
      <c r="F1361" s="222"/>
      <c r="G1361" s="222"/>
    </row>
    <row r="1362" spans="1:13" x14ac:dyDescent="0.2">
      <c r="E1362" t="s">
        <v>1108</v>
      </c>
      <c r="F1362">
        <f>E1296</f>
        <v>45.2</v>
      </c>
      <c r="G1362" t="s">
        <v>55</v>
      </c>
    </row>
    <row r="1363" spans="1:13" x14ac:dyDescent="0.2">
      <c r="A1363" s="157" t="s">
        <v>915</v>
      </c>
      <c r="B1363" s="157" t="s">
        <v>917</v>
      </c>
      <c r="E1363" t="s">
        <v>572</v>
      </c>
      <c r="F1363" s="11">
        <v>6163998720</v>
      </c>
      <c r="G1363" t="s">
        <v>600</v>
      </c>
    </row>
    <row r="1364" spans="1:13" x14ac:dyDescent="0.2">
      <c r="A1364" s="157" t="s">
        <v>1013</v>
      </c>
      <c r="B1364" s="157" t="s">
        <v>1051</v>
      </c>
    </row>
    <row r="1365" spans="1:13" x14ac:dyDescent="0.2">
      <c r="A1365" s="157" t="s">
        <v>588</v>
      </c>
      <c r="B1365" s="157" t="s">
        <v>1109</v>
      </c>
      <c r="E1365" s="221" t="s">
        <v>1110</v>
      </c>
      <c r="F1365" s="221"/>
      <c r="G1365" s="221"/>
      <c r="I1365" s="217" t="s">
        <v>1111</v>
      </c>
      <c r="J1365" s="217" t="s">
        <v>1112</v>
      </c>
      <c r="K1365" s="217" t="s">
        <v>1113</v>
      </c>
      <c r="L1365" s="217" t="s">
        <v>1649</v>
      </c>
      <c r="M1365" s="217" t="s">
        <v>1114</v>
      </c>
    </row>
    <row r="1366" spans="1:13" x14ac:dyDescent="0.2">
      <c r="A1366" s="157" t="s">
        <v>587</v>
      </c>
      <c r="B1366" s="157" t="s">
        <v>1051</v>
      </c>
      <c r="E1366" s="3" t="s">
        <v>1115</v>
      </c>
      <c r="F1366" s="3">
        <v>4.5</v>
      </c>
      <c r="G1366" s="3" t="s">
        <v>55</v>
      </c>
      <c r="I1366" s="217" t="s">
        <v>1116</v>
      </c>
      <c r="J1366" s="217">
        <v>4.5</v>
      </c>
      <c r="K1366" s="218">
        <f>F1367</f>
        <v>613672438.93805301</v>
      </c>
      <c r="L1366" s="218">
        <v>3114723879.1039877</v>
      </c>
      <c r="M1366" s="218">
        <v>1800807764.0965183</v>
      </c>
    </row>
    <row r="1367" spans="1:13" ht="14" customHeight="1" x14ac:dyDescent="0.2">
      <c r="A1367" s="157" t="s">
        <v>945</v>
      </c>
      <c r="B1367" s="157" t="s">
        <v>1056</v>
      </c>
      <c r="E1367" s="3" t="s">
        <v>1117</v>
      </c>
      <c r="F1367" s="207">
        <f>F1366*(F1363/F1362)</f>
        <v>613672438.93805301</v>
      </c>
      <c r="G1367" s="3" t="s">
        <v>600</v>
      </c>
      <c r="I1367" s="217" t="s">
        <v>1118</v>
      </c>
      <c r="J1367" s="217">
        <v>9</v>
      </c>
      <c r="K1367" s="219">
        <f>F1375</f>
        <v>1227344877.876106</v>
      </c>
      <c r="L1367" s="218">
        <v>3728396318.0420408</v>
      </c>
      <c r="M1367" s="218">
        <v>1903284238.4858987</v>
      </c>
    </row>
    <row r="1368" spans="1:13" x14ac:dyDescent="0.2">
      <c r="E1368" s="3" t="s">
        <v>1119</v>
      </c>
      <c r="F1368" s="3">
        <f>F1273*F1366</f>
        <v>270</v>
      </c>
      <c r="G1368" s="3" t="s">
        <v>36</v>
      </c>
      <c r="I1368" s="217" t="s">
        <v>1120</v>
      </c>
      <c r="J1368" s="217">
        <v>13.5</v>
      </c>
      <c r="K1368" s="220">
        <f>F1383</f>
        <v>1841017316.8141589</v>
      </c>
      <c r="L1368" s="218">
        <v>4342068756.980094</v>
      </c>
      <c r="M1368" s="218">
        <v>2227160712.8752794</v>
      </c>
    </row>
    <row r="1369" spans="1:13" x14ac:dyDescent="0.2">
      <c r="E1369" s="3" t="s">
        <v>1121</v>
      </c>
      <c r="F1369" s="199">
        <f>F1366*$F$1272*3866</f>
        <v>347940</v>
      </c>
      <c r="G1369" s="3" t="s">
        <v>888</v>
      </c>
    </row>
    <row r="1370" spans="1:13" x14ac:dyDescent="0.2">
      <c r="E1370" s="3" t="s">
        <v>1122</v>
      </c>
      <c r="F1370" s="199">
        <f>F1368*800</f>
        <v>216000</v>
      </c>
      <c r="G1370" s="3" t="s">
        <v>888</v>
      </c>
      <c r="I1370" s="182" t="s">
        <v>1111</v>
      </c>
      <c r="J1370" s="182" t="s">
        <v>988</v>
      </c>
      <c r="K1370" s="182" t="s">
        <v>1123</v>
      </c>
      <c r="L1370" s="182" t="s">
        <v>709</v>
      </c>
      <c r="M1370" s="182" t="s">
        <v>1124</v>
      </c>
    </row>
    <row r="1371" spans="1:13" x14ac:dyDescent="0.2">
      <c r="E1371" s="3" t="s">
        <v>1125</v>
      </c>
      <c r="F1371" s="199">
        <f>AVERAGE(F1369:F1370)</f>
        <v>281970</v>
      </c>
      <c r="G1371" s="3" t="s">
        <v>888</v>
      </c>
      <c r="I1371" s="182" t="s">
        <v>1116</v>
      </c>
      <c r="J1371" s="211">
        <v>2.35</v>
      </c>
      <c r="K1371" s="212">
        <v>8608285622.1900005</v>
      </c>
      <c r="L1371" s="211">
        <v>0.53</v>
      </c>
      <c r="M1371" s="208">
        <v>382.28</v>
      </c>
    </row>
    <row r="1372" spans="1:13" x14ac:dyDescent="0.2">
      <c r="E1372" s="3" t="s">
        <v>1126</v>
      </c>
      <c r="F1372" s="199">
        <f>((F1371)/24)*8200</f>
        <v>96339750</v>
      </c>
      <c r="G1372" s="3" t="s">
        <v>514</v>
      </c>
      <c r="I1372" s="182" t="s">
        <v>1118</v>
      </c>
      <c r="J1372" s="211">
        <v>2.23</v>
      </c>
      <c r="K1372" s="212">
        <v>7489584746.1923361</v>
      </c>
      <c r="L1372" s="211">
        <v>0.45</v>
      </c>
      <c r="M1372" s="208">
        <v>402.16</v>
      </c>
    </row>
    <row r="1373" spans="1:13" x14ac:dyDescent="0.2">
      <c r="E1373" s="221" t="s">
        <v>1127</v>
      </c>
      <c r="F1373" s="221"/>
      <c r="G1373" s="221"/>
      <c r="I1373" s="182" t="s">
        <v>1120</v>
      </c>
      <c r="J1373" s="211">
        <v>1.82</v>
      </c>
      <c r="K1373" s="212">
        <v>4697956626.9893942</v>
      </c>
      <c r="L1373" s="211">
        <v>0.34</v>
      </c>
      <c r="M1373" s="208">
        <v>465</v>
      </c>
    </row>
    <row r="1374" spans="1:13" x14ac:dyDescent="0.2">
      <c r="E1374" s="3" t="s">
        <v>1115</v>
      </c>
      <c r="F1374" s="3">
        <v>9</v>
      </c>
      <c r="G1374" s="3" t="s">
        <v>55</v>
      </c>
    </row>
    <row r="1375" spans="1:13" x14ac:dyDescent="0.2">
      <c r="E1375" s="3" t="s">
        <v>1117</v>
      </c>
      <c r="F1375" s="202">
        <f>F1374*(F1363/F1362)</f>
        <v>1227344877.876106</v>
      </c>
      <c r="G1375" s="3" t="s">
        <v>600</v>
      </c>
    </row>
    <row r="1376" spans="1:13" x14ac:dyDescent="0.2">
      <c r="E1376" s="3" t="s">
        <v>1119</v>
      </c>
      <c r="F1376" s="3">
        <f>F1374*F1273</f>
        <v>540</v>
      </c>
      <c r="G1376" s="3" t="s">
        <v>36</v>
      </c>
    </row>
    <row r="1377" spans="5:10" x14ac:dyDescent="0.2">
      <c r="E1377" s="3" t="s">
        <v>1121</v>
      </c>
      <c r="F1377" s="3">
        <f>F1374*$F$1272*3866</f>
        <v>695880</v>
      </c>
      <c r="G1377" s="3" t="s">
        <v>888</v>
      </c>
    </row>
    <row r="1378" spans="5:10" x14ac:dyDescent="0.2">
      <c r="E1378" s="3" t="s">
        <v>1122</v>
      </c>
      <c r="F1378" s="3">
        <f>F1376*800</f>
        <v>432000</v>
      </c>
      <c r="G1378" s="3" t="s">
        <v>888</v>
      </c>
    </row>
    <row r="1379" spans="5:10" x14ac:dyDescent="0.2">
      <c r="E1379" s="3" t="s">
        <v>1125</v>
      </c>
      <c r="F1379" s="3">
        <f>AVERAGE(F1377:F1378)</f>
        <v>563940</v>
      </c>
      <c r="G1379" s="3" t="s">
        <v>888</v>
      </c>
    </row>
    <row r="1380" spans="5:10" x14ac:dyDescent="0.2">
      <c r="E1380" s="3" t="s">
        <v>1126</v>
      </c>
      <c r="F1380" s="199">
        <f>((F1379)/24)*8200</f>
        <v>192679500</v>
      </c>
      <c r="G1380" s="3" t="s">
        <v>514</v>
      </c>
    </row>
    <row r="1381" spans="5:10" x14ac:dyDescent="0.2">
      <c r="E1381" s="221" t="s">
        <v>1128</v>
      </c>
      <c r="F1381" s="221"/>
      <c r="G1381" s="221"/>
    </row>
    <row r="1382" spans="5:10" x14ac:dyDescent="0.2">
      <c r="E1382" s="3" t="s">
        <v>1129</v>
      </c>
      <c r="F1382" s="3">
        <v>13.5</v>
      </c>
      <c r="G1382" s="3" t="s">
        <v>55</v>
      </c>
    </row>
    <row r="1383" spans="5:10" x14ac:dyDescent="0.2">
      <c r="E1383" s="3" t="s">
        <v>1117</v>
      </c>
      <c r="F1383" s="205">
        <f>F1382*(F1363/F1362)</f>
        <v>1841017316.8141589</v>
      </c>
      <c r="G1383" s="3" t="s">
        <v>600</v>
      </c>
    </row>
    <row r="1384" spans="5:10" ht="23" x14ac:dyDescent="0.25">
      <c r="E1384" s="3" t="s">
        <v>1119</v>
      </c>
      <c r="F1384" s="3">
        <f>F1382*F1282</f>
        <v>2430</v>
      </c>
      <c r="G1384" s="3" t="s">
        <v>36</v>
      </c>
      <c r="J1384" s="216">
        <v>8608285622.1900005</v>
      </c>
    </row>
    <row r="1385" spans="5:10" x14ac:dyDescent="0.2">
      <c r="E1385" s="3" t="s">
        <v>1121</v>
      </c>
      <c r="F1385" s="199">
        <f>F1382*$F$1272*3866</f>
        <v>1043820</v>
      </c>
      <c r="G1385" s="3" t="s">
        <v>888</v>
      </c>
    </row>
    <row r="1386" spans="5:10" x14ac:dyDescent="0.2">
      <c r="E1386" s="3" t="s">
        <v>1122</v>
      </c>
      <c r="F1386" s="199">
        <f>F1384*800</f>
        <v>1944000</v>
      </c>
      <c r="G1386" s="3" t="s">
        <v>888</v>
      </c>
    </row>
    <row r="1387" spans="5:10" x14ac:dyDescent="0.2">
      <c r="E1387" s="3" t="s">
        <v>1125</v>
      </c>
      <c r="F1387" s="199">
        <f>AVERAGE(F1385:F1386)</f>
        <v>1493910</v>
      </c>
      <c r="G1387" s="3" t="s">
        <v>888</v>
      </c>
    </row>
    <row r="1388" spans="5:10" x14ac:dyDescent="0.2">
      <c r="E1388" s="3" t="s">
        <v>1126</v>
      </c>
      <c r="F1388" s="199">
        <f>((F1387)/24)*8200</f>
        <v>510419250</v>
      </c>
      <c r="G1388" s="3" t="s">
        <v>514</v>
      </c>
    </row>
    <row r="1390" spans="5:10" x14ac:dyDescent="0.2">
      <c r="E1390" s="182" t="s">
        <v>1130</v>
      </c>
      <c r="F1390" s="182" t="s">
        <v>1131</v>
      </c>
      <c r="G1390" t="s">
        <v>1126</v>
      </c>
    </row>
    <row r="1391" spans="5:10" x14ac:dyDescent="0.2">
      <c r="E1391" s="182">
        <v>4.5</v>
      </c>
      <c r="F1391" s="208">
        <f>F1367</f>
        <v>613672438.93805301</v>
      </c>
      <c r="G1391" s="12">
        <f>F1372</f>
        <v>96339750</v>
      </c>
    </row>
    <row r="1392" spans="5:10" x14ac:dyDescent="0.2">
      <c r="E1392" s="182">
        <v>9</v>
      </c>
      <c r="F1392" s="209">
        <f>F1375</f>
        <v>1227344877.876106</v>
      </c>
      <c r="G1392" s="12">
        <f>F1380</f>
        <v>192679500</v>
      </c>
    </row>
    <row r="1393" spans="5:7" x14ac:dyDescent="0.2">
      <c r="E1393" s="182">
        <v>13.5</v>
      </c>
      <c r="F1393" s="210">
        <f>F1383</f>
        <v>1841017316.8141589</v>
      </c>
      <c r="G1393" s="12">
        <f>F1388</f>
        <v>510419250</v>
      </c>
    </row>
    <row r="1411" spans="1:5" x14ac:dyDescent="0.2">
      <c r="A1411" s="222" t="s">
        <v>1132</v>
      </c>
      <c r="B1411" s="222"/>
      <c r="C1411" s="222"/>
    </row>
    <row r="1412" spans="1:5" x14ac:dyDescent="0.2">
      <c r="A1412" t="s">
        <v>1133</v>
      </c>
      <c r="B1412" t="s">
        <v>1134</v>
      </c>
      <c r="C1412" t="s">
        <v>1135</v>
      </c>
    </row>
    <row r="1413" spans="1:5" x14ac:dyDescent="0.2">
      <c r="A1413" t="s">
        <v>1136</v>
      </c>
      <c r="B1413" t="s">
        <v>1137</v>
      </c>
      <c r="C1413" t="s">
        <v>1138</v>
      </c>
    </row>
    <row r="1414" spans="1:5" x14ac:dyDescent="0.2">
      <c r="A1414" t="s">
        <v>20</v>
      </c>
      <c r="B1414" t="s">
        <v>1137</v>
      </c>
      <c r="C1414" t="s">
        <v>1139</v>
      </c>
    </row>
    <row r="1415" spans="1:5" x14ac:dyDescent="0.2">
      <c r="A1415" t="s">
        <v>23</v>
      </c>
      <c r="B1415" t="s">
        <v>1140</v>
      </c>
      <c r="C1415" t="s">
        <v>1139</v>
      </c>
    </row>
    <row r="1416" spans="1:5" x14ac:dyDescent="0.2">
      <c r="A1416" t="s">
        <v>19</v>
      </c>
      <c r="B1416" t="s">
        <v>1141</v>
      </c>
      <c r="C1416" s="213" t="s">
        <v>1142</v>
      </c>
    </row>
    <row r="1417" spans="1:5" x14ac:dyDescent="0.2">
      <c r="A1417" t="s">
        <v>22</v>
      </c>
      <c r="B1417" t="s">
        <v>1141</v>
      </c>
      <c r="C1417" t="s">
        <v>1143</v>
      </c>
    </row>
    <row r="1420" spans="1:5" x14ac:dyDescent="0.2">
      <c r="A1420">
        <v>2838</v>
      </c>
      <c r="B1420" t="s">
        <v>1144</v>
      </c>
      <c r="C1420" t="s">
        <v>1145</v>
      </c>
      <c r="D1420">
        <v>200000</v>
      </c>
    </row>
    <row r="1421" spans="1:5" x14ac:dyDescent="0.2">
      <c r="A1421">
        <f>3500/4</f>
        <v>875</v>
      </c>
      <c r="B1421" t="s">
        <v>1146</v>
      </c>
      <c r="C1421" t="s">
        <v>1147</v>
      </c>
      <c r="D1421">
        <f>D1420/4</f>
        <v>50000</v>
      </c>
    </row>
    <row r="1422" spans="1:5" x14ac:dyDescent="0.2">
      <c r="A1422">
        <f>A1421/A1420</f>
        <v>0.30831571529245949</v>
      </c>
      <c r="B1422" t="s">
        <v>1148</v>
      </c>
      <c r="C1422" t="s">
        <v>1149</v>
      </c>
      <c r="D1422">
        <f>A1424</f>
        <v>1963</v>
      </c>
    </row>
    <row r="1423" spans="1:5" x14ac:dyDescent="0.2">
      <c r="A1423">
        <f>1-A1422</f>
        <v>0.69168428470754051</v>
      </c>
      <c r="B1423" t="s">
        <v>1150</v>
      </c>
      <c r="C1423" t="s">
        <v>1151</v>
      </c>
      <c r="D1423">
        <f>D1422/D1421</f>
        <v>3.9260000000000003E-2</v>
      </c>
      <c r="E1423" s="100"/>
    </row>
    <row r="1424" spans="1:5" x14ac:dyDescent="0.2">
      <c r="A1424">
        <f>A1420*A1423</f>
        <v>1963</v>
      </c>
      <c r="B1424" t="s">
        <v>1149</v>
      </c>
      <c r="C1424" t="s">
        <v>1152</v>
      </c>
      <c r="D1424">
        <f>D1423*100</f>
        <v>3.9260000000000002</v>
      </c>
    </row>
    <row r="1431" spans="1:6" x14ac:dyDescent="0.2">
      <c r="A1431" t="s">
        <v>1153</v>
      </c>
      <c r="B1431">
        <v>6.08</v>
      </c>
      <c r="C1431" t="s">
        <v>1154</v>
      </c>
      <c r="D1431" t="s">
        <v>1155</v>
      </c>
      <c r="E1431" s="73">
        <f>16000000/24</f>
        <v>666666.66666666663</v>
      </c>
      <c r="F1431" t="s">
        <v>1156</v>
      </c>
    </row>
    <row r="1432" spans="1:6" x14ac:dyDescent="0.2">
      <c r="A1432" t="s">
        <v>1153</v>
      </c>
      <c r="B1432">
        <f>B1431*(3907/(1000*0.9478))</f>
        <v>25.062840261658579</v>
      </c>
      <c r="C1432" t="s">
        <v>1157</v>
      </c>
      <c r="D1432" t="s">
        <v>1158</v>
      </c>
      <c r="E1432">
        <f>E1431*8200</f>
        <v>5466666666.666666</v>
      </c>
      <c r="F1432" t="s">
        <v>1159</v>
      </c>
    </row>
    <row r="1433" spans="1:6" x14ac:dyDescent="0.2">
      <c r="A1433" t="s">
        <v>1160</v>
      </c>
      <c r="B1433" s="127">
        <f>B1432*E1432</f>
        <v>137010193430.40021</v>
      </c>
      <c r="C1433" t="s">
        <v>514</v>
      </c>
      <c r="D1433" t="s">
        <v>1161</v>
      </c>
      <c r="E1433">
        <v>16000000</v>
      </c>
      <c r="F1433" t="s">
        <v>1162</v>
      </c>
    </row>
    <row r="1434" spans="1:6" x14ac:dyDescent="0.2">
      <c r="A1434" t="s">
        <v>1163</v>
      </c>
      <c r="B1434">
        <v>7.0000000000000007E-2</v>
      </c>
      <c r="C1434" t="s">
        <v>1164</v>
      </c>
      <c r="E1434" s="127">
        <f>B1432*E1433</f>
        <v>401005444.18653727</v>
      </c>
    </row>
    <row r="1435" spans="1:6" x14ac:dyDescent="0.2">
      <c r="A1435" t="s">
        <v>1163</v>
      </c>
      <c r="B1435">
        <f>B1434*(3907/(1000*0.0038))</f>
        <v>71.971052631578956</v>
      </c>
      <c r="C1435" t="s">
        <v>620</v>
      </c>
    </row>
    <row r="1437" spans="1:6" x14ac:dyDescent="0.2">
      <c r="A1437" t="s">
        <v>1165</v>
      </c>
      <c r="B1437">
        <v>0.06</v>
      </c>
      <c r="C1437" t="s">
        <v>1166</v>
      </c>
    </row>
    <row r="1438" spans="1:6" x14ac:dyDescent="0.2">
      <c r="A1438" t="s">
        <v>1165</v>
      </c>
      <c r="B1438">
        <f>B1437*3907</f>
        <v>234.42</v>
      </c>
      <c r="C1438" t="s">
        <v>626</v>
      </c>
    </row>
  </sheetData>
  <mergeCells count="52">
    <mergeCell ref="A1411:C1411"/>
    <mergeCell ref="A732:D732"/>
    <mergeCell ref="A743:C743"/>
    <mergeCell ref="F1199:G1199"/>
    <mergeCell ref="D816:F816"/>
    <mergeCell ref="A803:C803"/>
    <mergeCell ref="G1053:V1053"/>
    <mergeCell ref="A1138:L1138"/>
    <mergeCell ref="A1098:B1098"/>
    <mergeCell ref="A1110:C1110"/>
    <mergeCell ref="A887:C888"/>
    <mergeCell ref="J976:J978"/>
    <mergeCell ref="K976:K978"/>
    <mergeCell ref="L976:L978"/>
    <mergeCell ref="G1093:V1093"/>
    <mergeCell ref="G1109:V1109"/>
    <mergeCell ref="E33:E34"/>
    <mergeCell ref="E36:E37"/>
    <mergeCell ref="E39:E40"/>
    <mergeCell ref="A120:E120"/>
    <mergeCell ref="A119:E119"/>
    <mergeCell ref="A172:E172"/>
    <mergeCell ref="A189:E189"/>
    <mergeCell ref="A208:E208"/>
    <mergeCell ref="A209:E209"/>
    <mergeCell ref="A244:E244"/>
    <mergeCell ref="A278:E278"/>
    <mergeCell ref="A297:E297"/>
    <mergeCell ref="A298:E298"/>
    <mergeCell ref="A333:E333"/>
    <mergeCell ref="A367:E367"/>
    <mergeCell ref="E1334:G1334"/>
    <mergeCell ref="E1354:G1354"/>
    <mergeCell ref="E1361:G1361"/>
    <mergeCell ref="A1347:B1347"/>
    <mergeCell ref="A386:E386"/>
    <mergeCell ref="A467:E467"/>
    <mergeCell ref="A529:E529"/>
    <mergeCell ref="A1271:B1271"/>
    <mergeCell ref="E1271:G1271"/>
    <mergeCell ref="A1286:C1286"/>
    <mergeCell ref="A1302:L1302"/>
    <mergeCell ref="A1082:C1082"/>
    <mergeCell ref="A1252:C1252"/>
    <mergeCell ref="F1231:H1231"/>
    <mergeCell ref="A769:B769"/>
    <mergeCell ref="C571:C573"/>
    <mergeCell ref="E1365:G1365"/>
    <mergeCell ref="E1373:G1373"/>
    <mergeCell ref="E1381:G1381"/>
    <mergeCell ref="E1341:G1341"/>
    <mergeCell ref="E1348:G1348"/>
  </mergeCells>
  <phoneticPr fontId="20" type="noConversion"/>
  <hyperlinks>
    <hyperlink ref="G997" r:id="rId1" xr:uid="{2668445C-8BF1-42BC-8D1E-393515AA8254}"/>
    <hyperlink ref="G1020" r:id="rId2" xr:uid="{DA5D4216-98C1-481F-983B-8B65C32A6F69}"/>
    <hyperlink ref="E33" r:id="rId3" xr:uid="{797F23A7-4D2A-404E-BD0A-3238D1E90AFA}"/>
    <hyperlink ref="H1226" r:id="rId4" display="https://www.genpowerusa.com/diesel-generators/1500-kw-cummins-generator-1875-kva-three-phase-broadcrown-bcc1500s-60t2f/?utm_source=google&amp;utm_medium=cpc&amp;utm_campaign=DSA-Generators-Non-USA&amp;utm_term=&amp;gad_source=1&amp;gclid=Cj0KCQjwqpSwBhClARIsADlZ_TniqE2qHwLUX4xomrwgXar7fT-uNWDgR7lljIq7MB0o42sdyfd0a-kaAuaDEALw_wcB" xr:uid="{5F8C7672-982D-4845-BC2B-37AB16AAF838}"/>
    <hyperlink ref="E1261" r:id="rId5" xr:uid="{5B469380-89A0-2D4B-B0B0-2EB568946C66}"/>
    <hyperlink ref="B1355" r:id="rId6" display="https://www.alibaba.com/product-detail/Kunkeandao-Differential-Pressure-Transmitter-With-Display_1600984128317.html?spm=a2700.7735675.0.0.36521FUb1FUbYL&amp;s=p ;; " xr:uid="{E090D491-4BC7-5E46-A501-0205F41EC624}"/>
  </hyperlinks>
  <pageMargins left="0.7" right="0.7" top="0.75" bottom="0.75" header="0.3" footer="0.3"/>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76868-5BA1-3F4C-9B2B-4AE9932027EF}">
  <dimension ref="A1:G65"/>
  <sheetViews>
    <sheetView zoomScale="70" zoomScaleNormal="70" workbookViewId="0">
      <selection activeCell="C23" sqref="C23"/>
    </sheetView>
  </sheetViews>
  <sheetFormatPr baseColWidth="10" defaultColWidth="11.5" defaultRowHeight="15" x14ac:dyDescent="0.2"/>
  <cols>
    <col min="1" max="1" width="26.6640625" customWidth="1"/>
    <col min="2" max="2" width="20.1640625" customWidth="1"/>
    <col min="3" max="3" width="21.5" customWidth="1"/>
    <col min="5" max="5" width="18" customWidth="1"/>
    <col min="6" max="6" width="41.5" bestFit="1" customWidth="1"/>
    <col min="7" max="7" width="36.6640625" bestFit="1" customWidth="1"/>
  </cols>
  <sheetData>
    <row r="1" spans="1:7" ht="16" thickBot="1" x14ac:dyDescent="0.25"/>
    <row r="2" spans="1:7" x14ac:dyDescent="0.2">
      <c r="F2" s="251" t="s">
        <v>1315</v>
      </c>
      <c r="G2" s="252"/>
    </row>
    <row r="3" spans="1:7" x14ac:dyDescent="0.2">
      <c r="A3" t="s">
        <v>1316</v>
      </c>
      <c r="B3">
        <v>6018.27</v>
      </c>
      <c r="C3" t="s">
        <v>1317</v>
      </c>
      <c r="F3" s="17" t="s">
        <v>1318</v>
      </c>
      <c r="G3" s="13" t="s">
        <v>1319</v>
      </c>
    </row>
    <row r="4" spans="1:7" x14ac:dyDescent="0.2">
      <c r="A4" t="s">
        <v>1213</v>
      </c>
      <c r="B4">
        <v>450</v>
      </c>
      <c r="C4" t="s">
        <v>626</v>
      </c>
      <c r="F4" s="18" t="s">
        <v>1320</v>
      </c>
      <c r="G4" s="13">
        <v>10</v>
      </c>
    </row>
    <row r="5" spans="1:7" x14ac:dyDescent="0.2">
      <c r="A5" t="s">
        <v>1215</v>
      </c>
      <c r="B5">
        <v>893.4</v>
      </c>
      <c r="C5" t="s">
        <v>1317</v>
      </c>
      <c r="F5" s="17" t="s">
        <v>1321</v>
      </c>
      <c r="G5" s="13" t="s">
        <v>1322</v>
      </c>
    </row>
    <row r="6" spans="1:7" x14ac:dyDescent="0.2">
      <c r="A6" s="10" t="s">
        <v>1216</v>
      </c>
      <c r="B6">
        <v>1761.1306</v>
      </c>
      <c r="C6" t="s">
        <v>593</v>
      </c>
      <c r="F6" s="18" t="s">
        <v>1323</v>
      </c>
      <c r="G6" s="13" t="s">
        <v>1324</v>
      </c>
    </row>
    <row r="7" spans="1:7" x14ac:dyDescent="0.2">
      <c r="A7" t="s">
        <v>1217</v>
      </c>
      <c r="B7">
        <v>1000</v>
      </c>
      <c r="C7" t="s">
        <v>493</v>
      </c>
      <c r="F7" s="17" t="s">
        <v>1325</v>
      </c>
      <c r="G7" s="13">
        <v>25</v>
      </c>
    </row>
    <row r="8" spans="1:7" x14ac:dyDescent="0.2">
      <c r="A8" t="s">
        <v>1218</v>
      </c>
      <c r="B8">
        <v>8300</v>
      </c>
      <c r="C8" t="s">
        <v>665</v>
      </c>
      <c r="F8" s="18" t="s">
        <v>1326</v>
      </c>
      <c r="G8" s="15">
        <v>3</v>
      </c>
    </row>
    <row r="9" spans="1:7" x14ac:dyDescent="0.2">
      <c r="A9" t="s">
        <v>1219</v>
      </c>
      <c r="B9">
        <f>522</f>
        <v>522</v>
      </c>
      <c r="C9" t="s">
        <v>493</v>
      </c>
      <c r="F9" s="17" t="s">
        <v>1327</v>
      </c>
      <c r="G9" s="15" t="s">
        <v>1328</v>
      </c>
    </row>
    <row r="10" spans="1:7" ht="16" thickBot="1" x14ac:dyDescent="0.25">
      <c r="A10" t="s">
        <v>1220</v>
      </c>
      <c r="B10">
        <f>B5*B7</f>
        <v>893400</v>
      </c>
      <c r="C10" t="s">
        <v>890</v>
      </c>
      <c r="F10" s="19" t="s">
        <v>1329</v>
      </c>
      <c r="G10" s="16">
        <v>14</v>
      </c>
    </row>
    <row r="11" spans="1:7" x14ac:dyDescent="0.2">
      <c r="A11" t="s">
        <v>1222</v>
      </c>
      <c r="B11">
        <f>B6*B4</f>
        <v>792508.77</v>
      </c>
      <c r="C11" t="s">
        <v>890</v>
      </c>
    </row>
    <row r="12" spans="1:7" ht="16" thickBot="1" x14ac:dyDescent="0.25">
      <c r="A12" t="s">
        <v>1223</v>
      </c>
      <c r="B12">
        <f>B3*B9</f>
        <v>3141536.9400000004</v>
      </c>
      <c r="C12" t="s">
        <v>890</v>
      </c>
      <c r="D12">
        <f>(B11+B12)*B8</f>
        <v>32652579393.000004</v>
      </c>
    </row>
    <row r="13" spans="1:7" x14ac:dyDescent="0.2">
      <c r="A13" t="s">
        <v>1224</v>
      </c>
      <c r="B13" s="11">
        <f>(B12+B11-B10)*B8</f>
        <v>25237359393.000004</v>
      </c>
      <c r="C13" t="s">
        <v>514</v>
      </c>
      <c r="F13" s="255" t="s">
        <v>1330</v>
      </c>
      <c r="G13" s="256"/>
    </row>
    <row r="14" spans="1:7" x14ac:dyDescent="0.2">
      <c r="F14" s="20" t="s">
        <v>1331</v>
      </c>
      <c r="G14" s="15">
        <v>50</v>
      </c>
    </row>
    <row r="15" spans="1:7" x14ac:dyDescent="0.2">
      <c r="A15" t="s">
        <v>1235</v>
      </c>
      <c r="B15">
        <f>50000*4300</f>
        <v>215000000</v>
      </c>
      <c r="C15" t="s">
        <v>600</v>
      </c>
      <c r="F15" s="21" t="s">
        <v>1332</v>
      </c>
      <c r="G15" s="15" t="s">
        <v>1333</v>
      </c>
    </row>
    <row r="16" spans="1:7" x14ac:dyDescent="0.2">
      <c r="A16" t="s">
        <v>1237</v>
      </c>
      <c r="B16" s="38">
        <f>B15/3</f>
        <v>71666666.666666672</v>
      </c>
      <c r="C16" t="s">
        <v>514</v>
      </c>
      <c r="F16" s="21"/>
      <c r="G16" s="15"/>
    </row>
    <row r="17" spans="1:7" x14ac:dyDescent="0.2">
      <c r="A17" t="s">
        <v>1238</v>
      </c>
      <c r="B17" s="41">
        <f>1170014340.16+1897414925.12</f>
        <v>3067429265.2799997</v>
      </c>
      <c r="C17" t="s">
        <v>514</v>
      </c>
      <c r="F17" s="20" t="s">
        <v>1334</v>
      </c>
      <c r="G17" s="15" t="s">
        <v>1335</v>
      </c>
    </row>
    <row r="18" spans="1:7" ht="17" x14ac:dyDescent="0.25">
      <c r="A18" s="39" t="s">
        <v>1336</v>
      </c>
      <c r="B18" s="42" t="s">
        <v>1241</v>
      </c>
      <c r="C18" s="39" t="s">
        <v>600</v>
      </c>
      <c r="F18" s="21" t="s">
        <v>1337</v>
      </c>
      <c r="G18" s="15" t="s">
        <v>1338</v>
      </c>
    </row>
    <row r="19" spans="1:7" ht="18" thickBot="1" x14ac:dyDescent="0.3">
      <c r="A19" s="40" t="s">
        <v>1339</v>
      </c>
      <c r="B19" s="43">
        <v>659333.32999999996</v>
      </c>
      <c r="C19" s="40" t="s">
        <v>514</v>
      </c>
      <c r="F19" s="22" t="s">
        <v>1340</v>
      </c>
      <c r="G19" s="16" t="s">
        <v>1341</v>
      </c>
    </row>
    <row r="20" spans="1:7" x14ac:dyDescent="0.2">
      <c r="A20" t="s">
        <v>1245</v>
      </c>
      <c r="B20" s="12">
        <f>B13-B16-B17-B19</f>
        <v>22097604127.723335</v>
      </c>
      <c r="C20" t="s">
        <v>514</v>
      </c>
    </row>
    <row r="21" spans="1:7" ht="16" thickBot="1" x14ac:dyDescent="0.25"/>
    <row r="22" spans="1:7" x14ac:dyDescent="0.2">
      <c r="A22" t="s">
        <v>1342</v>
      </c>
      <c r="F22" s="255" t="s">
        <v>1343</v>
      </c>
      <c r="G22" s="256"/>
    </row>
    <row r="23" spans="1:7" x14ac:dyDescent="0.2">
      <c r="F23" s="20" t="s">
        <v>1344</v>
      </c>
      <c r="G23" s="15">
        <v>100</v>
      </c>
    </row>
    <row r="24" spans="1:7" x14ac:dyDescent="0.2">
      <c r="F24" s="21" t="s">
        <v>1337</v>
      </c>
      <c r="G24" s="15" t="s">
        <v>1338</v>
      </c>
    </row>
    <row r="25" spans="1:7" ht="16" thickBot="1" x14ac:dyDescent="0.25">
      <c r="F25" s="22" t="s">
        <v>1340</v>
      </c>
      <c r="G25" s="16" t="s">
        <v>1345</v>
      </c>
    </row>
    <row r="27" spans="1:7" ht="16" thickBot="1" x14ac:dyDescent="0.25"/>
    <row r="28" spans="1:7" x14ac:dyDescent="0.2">
      <c r="F28" s="255" t="s">
        <v>1346</v>
      </c>
      <c r="G28" s="256"/>
    </row>
    <row r="29" spans="1:7" x14ac:dyDescent="0.2">
      <c r="F29" s="20" t="s">
        <v>1337</v>
      </c>
      <c r="G29" s="15" t="s">
        <v>1338</v>
      </c>
    </row>
    <row r="30" spans="1:7" x14ac:dyDescent="0.2">
      <c r="F30" s="21" t="s">
        <v>1347</v>
      </c>
      <c r="G30" s="15" t="s">
        <v>1348</v>
      </c>
    </row>
    <row r="31" spans="1:7" ht="16" thickBot="1" x14ac:dyDescent="0.25">
      <c r="F31" s="22" t="s">
        <v>1349</v>
      </c>
      <c r="G31" s="16" t="s">
        <v>1350</v>
      </c>
    </row>
    <row r="33" spans="6:7" ht="16" thickBot="1" x14ac:dyDescent="0.25"/>
    <row r="34" spans="6:7" x14ac:dyDescent="0.2">
      <c r="F34" s="253" t="s">
        <v>1351</v>
      </c>
      <c r="G34" s="254"/>
    </row>
    <row r="35" spans="6:7" x14ac:dyDescent="0.2">
      <c r="F35" s="17" t="s">
        <v>1352</v>
      </c>
      <c r="G35" s="13">
        <v>5</v>
      </c>
    </row>
    <row r="36" spans="6:7" x14ac:dyDescent="0.2">
      <c r="F36" s="18" t="s">
        <v>1337</v>
      </c>
      <c r="G36" s="13" t="s">
        <v>1338</v>
      </c>
    </row>
    <row r="37" spans="6:7" x14ac:dyDescent="0.2">
      <c r="F37" s="17" t="s">
        <v>1349</v>
      </c>
      <c r="G37" s="13" t="s">
        <v>1335</v>
      </c>
    </row>
    <row r="38" spans="6:7" ht="16" thickBot="1" x14ac:dyDescent="0.25">
      <c r="F38" s="19" t="s">
        <v>1353</v>
      </c>
      <c r="G38" s="14" t="s">
        <v>1354</v>
      </c>
    </row>
    <row r="40" spans="6:7" ht="16" thickBot="1" x14ac:dyDescent="0.25"/>
    <row r="41" spans="6:7" x14ac:dyDescent="0.2">
      <c r="F41" s="253" t="s">
        <v>1355</v>
      </c>
      <c r="G41" s="254"/>
    </row>
    <row r="42" spans="6:7" x14ac:dyDescent="0.2">
      <c r="F42" s="17" t="s">
        <v>1337</v>
      </c>
      <c r="G42" s="13" t="s">
        <v>1338</v>
      </c>
    </row>
    <row r="43" spans="6:7" x14ac:dyDescent="0.2">
      <c r="F43" s="18" t="s">
        <v>1340</v>
      </c>
      <c r="G43" s="13" t="s">
        <v>1356</v>
      </c>
    </row>
    <row r="44" spans="6:7" x14ac:dyDescent="0.2">
      <c r="F44" s="17" t="s">
        <v>1349</v>
      </c>
      <c r="G44" s="13" t="s">
        <v>1335</v>
      </c>
    </row>
    <row r="45" spans="6:7" ht="16" thickBot="1" x14ac:dyDescent="0.25">
      <c r="F45" s="19" t="s">
        <v>1357</v>
      </c>
      <c r="G45" s="14" t="s">
        <v>1358</v>
      </c>
    </row>
    <row r="59" spans="2:6" ht="16" thickBot="1" x14ac:dyDescent="0.25"/>
    <row r="60" spans="2:6" x14ac:dyDescent="0.2">
      <c r="B60" s="251" t="s">
        <v>1359</v>
      </c>
      <c r="C60" s="252"/>
      <c r="E60" s="251" t="s">
        <v>1360</v>
      </c>
      <c r="F60" s="252"/>
    </row>
    <row r="61" spans="2:6" x14ac:dyDescent="0.2">
      <c r="B61" s="17" t="s">
        <v>1361</v>
      </c>
      <c r="C61" s="23" t="s">
        <v>1362</v>
      </c>
      <c r="E61" s="17" t="s">
        <v>1361</v>
      </c>
      <c r="F61" s="23" t="s">
        <v>1362</v>
      </c>
    </row>
    <row r="62" spans="2:6" x14ac:dyDescent="0.2">
      <c r="B62" s="18" t="s">
        <v>1363</v>
      </c>
      <c r="C62" s="13" t="s">
        <v>1364</v>
      </c>
      <c r="E62" s="18" t="s">
        <v>1363</v>
      </c>
      <c r="F62" s="13" t="s">
        <v>1364</v>
      </c>
    </row>
    <row r="63" spans="2:6" x14ac:dyDescent="0.2">
      <c r="B63" s="17" t="s">
        <v>1365</v>
      </c>
      <c r="C63" s="13" t="s">
        <v>1366</v>
      </c>
      <c r="E63" s="17" t="s">
        <v>1365</v>
      </c>
      <c r="F63" s="13" t="s">
        <v>1366</v>
      </c>
    </row>
    <row r="64" spans="2:6" x14ac:dyDescent="0.2">
      <c r="B64" s="18" t="s">
        <v>1367</v>
      </c>
      <c r="C64" s="13" t="s">
        <v>1368</v>
      </c>
      <c r="E64" s="18" t="s">
        <v>1367</v>
      </c>
      <c r="F64" s="13" t="s">
        <v>1368</v>
      </c>
    </row>
    <row r="65" spans="2:6" ht="16" thickBot="1" x14ac:dyDescent="0.25">
      <c r="B65" s="24" t="s">
        <v>1369</v>
      </c>
      <c r="C65" s="14" t="s">
        <v>1364</v>
      </c>
      <c r="E65" s="24" t="s">
        <v>1369</v>
      </c>
      <c r="F65" s="14" t="s">
        <v>1370</v>
      </c>
    </row>
  </sheetData>
  <mergeCells count="8">
    <mergeCell ref="B60:C60"/>
    <mergeCell ref="E60:F60"/>
    <mergeCell ref="F34:G34"/>
    <mergeCell ref="F41:G41"/>
    <mergeCell ref="F2:G2"/>
    <mergeCell ref="F13:G13"/>
    <mergeCell ref="F22:G22"/>
    <mergeCell ref="F28:G2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7AF1F-F8ED-45D5-AE0F-80B89169E3BE}">
  <dimension ref="B2:AA57"/>
  <sheetViews>
    <sheetView showGridLines="0" zoomScale="118" zoomScaleNormal="85" workbookViewId="0">
      <selection activeCell="L19" sqref="L19"/>
    </sheetView>
  </sheetViews>
  <sheetFormatPr baseColWidth="10" defaultColWidth="11.5" defaultRowHeight="15" x14ac:dyDescent="0.2"/>
  <cols>
    <col min="3" max="3" width="30.6640625" customWidth="1"/>
    <col min="5" max="5" width="10.33203125" customWidth="1"/>
    <col min="9" max="9" width="16.33203125" customWidth="1"/>
    <col min="19" max="19" width="36.6640625" customWidth="1"/>
    <col min="20" max="20" width="23.1640625" customWidth="1"/>
    <col min="21" max="21" width="11.33203125" customWidth="1"/>
    <col min="22" max="22" width="15" customWidth="1"/>
    <col min="24" max="24" width="14.5" bestFit="1" customWidth="1"/>
    <col min="25" max="25" width="15.5" bestFit="1" customWidth="1"/>
    <col min="26" max="26" width="14.33203125" bestFit="1" customWidth="1"/>
  </cols>
  <sheetData>
    <row r="2" spans="2:26" x14ac:dyDescent="0.2">
      <c r="B2" s="39"/>
      <c r="C2" s="39"/>
    </row>
    <row r="3" spans="2:26" x14ac:dyDescent="0.2">
      <c r="B3" s="39"/>
      <c r="C3" s="69"/>
    </row>
    <row r="4" spans="2:26" ht="16" thickBot="1" x14ac:dyDescent="0.25">
      <c r="B4" s="39"/>
      <c r="C4" s="69" t="s">
        <v>1371</v>
      </c>
      <c r="D4">
        <f>D5/D6</f>
        <v>116.66666666666667</v>
      </c>
      <c r="E4" t="s">
        <v>1372</v>
      </c>
      <c r="F4">
        <v>117</v>
      </c>
      <c r="G4" t="s">
        <v>843</v>
      </c>
      <c r="S4" s="26"/>
      <c r="T4" s="26"/>
      <c r="U4" s="26"/>
      <c r="V4" s="26"/>
    </row>
    <row r="5" spans="2:26" ht="16" thickBot="1" x14ac:dyDescent="0.25">
      <c r="B5" s="39"/>
      <c r="C5" s="69" t="s">
        <v>1373</v>
      </c>
      <c r="D5">
        <v>42000</v>
      </c>
      <c r="E5" t="s">
        <v>1374</v>
      </c>
      <c r="H5">
        <v>244.07300000000001</v>
      </c>
      <c r="I5" t="s">
        <v>1375</v>
      </c>
      <c r="J5">
        <f>H5*8300</f>
        <v>2025805.9000000001</v>
      </c>
      <c r="K5" t="s">
        <v>1376</v>
      </c>
      <c r="S5" s="242" t="s">
        <v>1377</v>
      </c>
      <c r="T5" s="242"/>
      <c r="U5" s="242"/>
      <c r="V5" s="242"/>
    </row>
    <row r="6" spans="2:26" ht="32" x14ac:dyDescent="0.2">
      <c r="B6" s="39"/>
      <c r="C6" s="69" t="s">
        <v>1378</v>
      </c>
      <c r="D6">
        <v>360</v>
      </c>
      <c r="E6" t="s">
        <v>48</v>
      </c>
      <c r="H6">
        <f>H5/D6</f>
        <v>0.67798055555555559</v>
      </c>
      <c r="I6" t="s">
        <v>613</v>
      </c>
      <c r="J6">
        <f>J5/1000</f>
        <v>2025.8059000000001</v>
      </c>
      <c r="K6" t="s">
        <v>716</v>
      </c>
      <c r="S6" s="32" t="s">
        <v>1379</v>
      </c>
      <c r="T6" s="45" t="s">
        <v>1380</v>
      </c>
      <c r="U6" s="32" t="s">
        <v>1381</v>
      </c>
      <c r="V6" s="25">
        <v>1</v>
      </c>
    </row>
    <row r="7" spans="2:26" ht="16" x14ac:dyDescent="0.2">
      <c r="B7" s="39"/>
      <c r="C7" s="69"/>
      <c r="H7">
        <v>992.6074886532524</v>
      </c>
      <c r="I7" t="s">
        <v>613</v>
      </c>
      <c r="S7" s="260" t="s">
        <v>132</v>
      </c>
      <c r="T7" s="45" t="s">
        <v>1382</v>
      </c>
      <c r="U7" s="260" t="s">
        <v>1383</v>
      </c>
      <c r="V7" s="238" t="s">
        <v>1384</v>
      </c>
    </row>
    <row r="8" spans="2:26" x14ac:dyDescent="0.2">
      <c r="B8" s="39"/>
      <c r="C8" s="69"/>
      <c r="H8">
        <f>H7+H6</f>
        <v>993.28546920880797</v>
      </c>
      <c r="S8" s="260"/>
      <c r="T8" s="25" t="s">
        <v>1385</v>
      </c>
      <c r="U8" s="260"/>
      <c r="V8" s="238"/>
    </row>
    <row r="9" spans="2:26" x14ac:dyDescent="0.2">
      <c r="B9" s="39"/>
      <c r="C9" s="69" t="s">
        <v>1386</v>
      </c>
      <c r="D9">
        <v>42</v>
      </c>
      <c r="E9" t="s">
        <v>1208</v>
      </c>
      <c r="H9" s="25">
        <v>9000</v>
      </c>
      <c r="I9" s="25" t="s">
        <v>716</v>
      </c>
      <c r="J9">
        <v>2025.8059000000001</v>
      </c>
      <c r="K9" s="25" t="s">
        <v>716</v>
      </c>
      <c r="L9">
        <f>J9/H9</f>
        <v>0.22508954444444446</v>
      </c>
      <c r="S9" s="261"/>
      <c r="T9" s="46" t="s">
        <v>1387</v>
      </c>
      <c r="U9" s="261"/>
      <c r="V9" s="262"/>
      <c r="Y9" t="s">
        <v>1388</v>
      </c>
      <c r="Z9" t="s">
        <v>1108</v>
      </c>
    </row>
    <row r="10" spans="2:26" x14ac:dyDescent="0.2">
      <c r="B10" s="39"/>
      <c r="C10" s="69" t="s">
        <v>1389</v>
      </c>
      <c r="H10" s="25">
        <v>1.5</v>
      </c>
      <c r="I10" s="25" t="s">
        <v>1208</v>
      </c>
      <c r="J10">
        <v>2</v>
      </c>
      <c r="K10" t="s">
        <v>1208</v>
      </c>
      <c r="L10">
        <f>J10/H10</f>
        <v>1.3333333333333333</v>
      </c>
      <c r="S10" s="257" t="s">
        <v>1390</v>
      </c>
      <c r="T10" s="257"/>
      <c r="U10" s="257"/>
      <c r="V10" s="257"/>
      <c r="X10" t="s">
        <v>1256</v>
      </c>
      <c r="Y10">
        <v>210000</v>
      </c>
      <c r="Z10">
        <v>425</v>
      </c>
    </row>
    <row r="11" spans="2:26" x14ac:dyDescent="0.2">
      <c r="B11" s="39"/>
      <c r="C11" s="69" t="s">
        <v>1391</v>
      </c>
      <c r="H11" s="162"/>
      <c r="I11" s="25" t="s">
        <v>1392</v>
      </c>
      <c r="J11">
        <v>11</v>
      </c>
      <c r="L11">
        <f>J11/20</f>
        <v>0.55000000000000004</v>
      </c>
      <c r="S11" s="32" t="s">
        <v>1318</v>
      </c>
      <c r="T11" s="238" t="s">
        <v>1319</v>
      </c>
      <c r="U11" s="238"/>
      <c r="V11" s="238"/>
    </row>
    <row r="12" spans="2:26" x14ac:dyDescent="0.2">
      <c r="B12" s="39"/>
      <c r="C12" s="69" t="s">
        <v>1393</v>
      </c>
      <c r="H12" s="25">
        <v>22</v>
      </c>
      <c r="I12" s="25" t="s">
        <v>914</v>
      </c>
      <c r="S12" s="32" t="s">
        <v>1394</v>
      </c>
      <c r="T12" s="238" t="s">
        <v>1395</v>
      </c>
      <c r="U12" s="238"/>
      <c r="V12" s="238"/>
      <c r="Y12" t="s">
        <v>1396</v>
      </c>
      <c r="Z12" t="s">
        <v>1108</v>
      </c>
    </row>
    <row r="13" spans="2:26" ht="32" customHeight="1" x14ac:dyDescent="0.2">
      <c r="B13" s="39"/>
      <c r="C13" s="69" t="s">
        <v>1397</v>
      </c>
      <c r="H13" t="s">
        <v>1398</v>
      </c>
      <c r="I13">
        <f>H5*L18*2/3</f>
        <v>1108.5021762070523</v>
      </c>
      <c r="J13" t="s">
        <v>1399</v>
      </c>
      <c r="S13" s="32" t="s">
        <v>1400</v>
      </c>
      <c r="T13" s="258" t="s">
        <v>1401</v>
      </c>
      <c r="U13" s="258"/>
      <c r="V13" s="258"/>
      <c r="X13" t="s">
        <v>1256</v>
      </c>
      <c r="Y13">
        <f>Y10*803.6/708.8</f>
        <v>238086.90744920995</v>
      </c>
      <c r="Z13">
        <v>425</v>
      </c>
    </row>
    <row r="14" spans="2:26" x14ac:dyDescent="0.2">
      <c r="B14" s="39"/>
      <c r="C14" s="69" t="s">
        <v>476</v>
      </c>
      <c r="D14" s="1">
        <f>(F4/PI())^(1/3)</f>
        <v>3.3394785865241876</v>
      </c>
      <c r="E14" t="s">
        <v>484</v>
      </c>
      <c r="I14">
        <f>D32*I13/716.2</f>
        <v>0.61910202524828384</v>
      </c>
      <c r="J14" t="s">
        <v>692</v>
      </c>
      <c r="K14">
        <v>22</v>
      </c>
      <c r="L14">
        <f>K14*L9</f>
        <v>4.9519699777777779</v>
      </c>
      <c r="S14" s="32" t="s">
        <v>1402</v>
      </c>
      <c r="T14" s="238">
        <v>1000</v>
      </c>
      <c r="U14" s="238"/>
      <c r="V14" s="238"/>
    </row>
    <row r="15" spans="2:26" x14ac:dyDescent="0.2">
      <c r="B15" s="39"/>
      <c r="C15" s="69" t="s">
        <v>488</v>
      </c>
      <c r="D15" s="1">
        <f>D14*4</f>
        <v>13.35791434609675</v>
      </c>
      <c r="E15" t="s">
        <v>484</v>
      </c>
      <c r="L15">
        <f>L14*L10</f>
        <v>6.6026266370370372</v>
      </c>
      <c r="S15" s="32" t="s">
        <v>1403</v>
      </c>
      <c r="T15" s="238">
        <v>1000</v>
      </c>
      <c r="U15" s="238"/>
      <c r="V15" s="238"/>
      <c r="X15" s="59"/>
      <c r="Y15" s="59" t="s">
        <v>1396</v>
      </c>
      <c r="Z15" s="59" t="s">
        <v>1108</v>
      </c>
    </row>
    <row r="16" spans="2:26" x14ac:dyDescent="0.2">
      <c r="B16" s="39"/>
      <c r="C16" s="69" t="s">
        <v>1404</v>
      </c>
      <c r="D16" s="1">
        <f>D14/2</f>
        <v>1.6697392932620938</v>
      </c>
      <c r="E16" t="s">
        <v>484</v>
      </c>
      <c r="L16">
        <f>L15*L11</f>
        <v>3.6314446503703706</v>
      </c>
      <c r="S16" s="32" t="s">
        <v>1405</v>
      </c>
      <c r="T16" s="238">
        <v>15</v>
      </c>
      <c r="U16" s="238"/>
      <c r="V16" s="238"/>
      <c r="X16" s="59" t="s">
        <v>1256</v>
      </c>
      <c r="Y16" s="59">
        <f>Y13*1000/Z16</f>
        <v>560204.48811578809</v>
      </c>
      <c r="Z16" s="59">
        <v>425</v>
      </c>
    </row>
    <row r="17" spans="2:26" ht="32" x14ac:dyDescent="0.2">
      <c r="B17" s="39"/>
      <c r="C17" s="39" t="s">
        <v>1406</v>
      </c>
      <c r="D17" s="1">
        <f>3.1416*D14</f>
        <v>10.491305927424388</v>
      </c>
      <c r="E17" t="s">
        <v>484</v>
      </c>
      <c r="I17">
        <f>H6/0.11</f>
        <v>6.1634595959595959</v>
      </c>
      <c r="L17">
        <v>7</v>
      </c>
      <c r="M17" t="s">
        <v>914</v>
      </c>
      <c r="S17" s="32" t="s">
        <v>1407</v>
      </c>
      <c r="T17" s="238">
        <v>650</v>
      </c>
      <c r="U17" s="238"/>
      <c r="V17" s="238"/>
      <c r="X17" s="111" t="s">
        <v>1259</v>
      </c>
      <c r="Y17" s="92">
        <f>X33*T34</f>
        <v>12149.279999999999</v>
      </c>
      <c r="Z17" s="92" t="s">
        <v>1221</v>
      </c>
    </row>
    <row r="18" spans="2:26" x14ac:dyDescent="0.2">
      <c r="B18" s="39"/>
      <c r="C18" s="39"/>
      <c r="L18" s="118">
        <f>(H8/PI())^(1/3)</f>
        <v>6.8125243853706818</v>
      </c>
      <c r="M18" t="s">
        <v>476</v>
      </c>
      <c r="S18" s="32" t="s">
        <v>1408</v>
      </c>
      <c r="T18" s="238">
        <v>75.5</v>
      </c>
      <c r="U18" s="238"/>
      <c r="V18" s="238"/>
    </row>
    <row r="19" spans="2:26" x14ac:dyDescent="0.2">
      <c r="B19" s="39"/>
      <c r="C19" s="69" t="s">
        <v>1409</v>
      </c>
      <c r="D19">
        <f>D15*D17</f>
        <v>140.14196595723212</v>
      </c>
      <c r="E19" t="s">
        <v>1202</v>
      </c>
      <c r="G19" t="s">
        <v>1202</v>
      </c>
      <c r="L19" s="118">
        <f>L18*4</f>
        <v>27.250097541482727</v>
      </c>
      <c r="M19" t="s">
        <v>488</v>
      </c>
      <c r="S19" s="32" t="s">
        <v>1410</v>
      </c>
      <c r="T19" s="238">
        <v>42</v>
      </c>
      <c r="U19" s="238"/>
      <c r="V19" s="238"/>
    </row>
    <row r="20" spans="2:26" x14ac:dyDescent="0.2">
      <c r="B20" s="39"/>
      <c r="C20" s="69"/>
      <c r="S20" s="257" t="s">
        <v>1411</v>
      </c>
      <c r="T20" s="257"/>
      <c r="U20" s="257"/>
      <c r="V20" s="257"/>
    </row>
    <row r="21" spans="2:26" ht="17" x14ac:dyDescent="0.2">
      <c r="B21" s="39"/>
      <c r="C21" s="69" t="s">
        <v>1412</v>
      </c>
      <c r="S21" s="32" t="s">
        <v>1413</v>
      </c>
      <c r="T21" s="238">
        <v>117</v>
      </c>
      <c r="U21" s="238"/>
      <c r="V21" s="238"/>
    </row>
    <row r="22" spans="2:26" x14ac:dyDescent="0.2">
      <c r="B22" s="39"/>
      <c r="C22" s="69"/>
      <c r="S22" s="32" t="s">
        <v>1414</v>
      </c>
      <c r="T22" s="238">
        <v>3.34</v>
      </c>
      <c r="U22" s="238"/>
      <c r="V22" s="238"/>
    </row>
    <row r="23" spans="2:26" x14ac:dyDescent="0.2">
      <c r="B23" s="39"/>
      <c r="C23" s="69" t="s">
        <v>1415</v>
      </c>
      <c r="D23">
        <f>1.2625*D16</f>
        <v>2.1080458577433934</v>
      </c>
      <c r="E23" t="s">
        <v>484</v>
      </c>
      <c r="S23" s="32" t="s">
        <v>1416</v>
      </c>
      <c r="T23" s="238">
        <v>1.67</v>
      </c>
      <c r="U23" s="238"/>
      <c r="V23" s="238"/>
    </row>
    <row r="24" spans="2:26" x14ac:dyDescent="0.2">
      <c r="B24" s="39"/>
      <c r="C24" s="69" t="s">
        <v>1417</v>
      </c>
      <c r="D24">
        <f>1.4125*D16</f>
        <v>2.3585067517327079</v>
      </c>
      <c r="E24" t="s">
        <v>484</v>
      </c>
      <c r="S24" s="32" t="s">
        <v>1418</v>
      </c>
      <c r="T24" s="238">
        <v>10.49</v>
      </c>
      <c r="U24" s="238"/>
      <c r="V24" s="238"/>
    </row>
    <row r="25" spans="2:26" x14ac:dyDescent="0.2">
      <c r="B25" s="39"/>
      <c r="C25" s="69" t="s">
        <v>1419</v>
      </c>
      <c r="D25">
        <f>D24-D23</f>
        <v>0.25046089398931448</v>
      </c>
      <c r="E25" t="s">
        <v>484</v>
      </c>
      <c r="S25" s="32" t="s">
        <v>1420</v>
      </c>
      <c r="T25" s="238">
        <v>13.36</v>
      </c>
      <c r="U25" s="238"/>
      <c r="V25" s="238"/>
    </row>
    <row r="26" spans="2:26" ht="17" x14ac:dyDescent="0.2">
      <c r="S26" s="32" t="s">
        <v>1421</v>
      </c>
      <c r="T26" s="238">
        <v>140.13999999999999</v>
      </c>
      <c r="U26" s="238"/>
      <c r="V26" s="238"/>
    </row>
    <row r="27" spans="2:26" x14ac:dyDescent="0.2">
      <c r="C27" t="s">
        <v>1422</v>
      </c>
      <c r="S27" s="32" t="s">
        <v>1423</v>
      </c>
      <c r="T27" s="238">
        <v>0.44</v>
      </c>
      <c r="U27" s="238"/>
      <c r="V27" s="238"/>
    </row>
    <row r="28" spans="2:26" x14ac:dyDescent="0.2">
      <c r="C28" t="s">
        <v>1424</v>
      </c>
      <c r="D28">
        <f>1.5125*D16</f>
        <v>2.5254806810589168</v>
      </c>
      <c r="E28" t="s">
        <v>484</v>
      </c>
      <c r="S28" s="32" t="s">
        <v>1425</v>
      </c>
      <c r="T28" s="238">
        <v>0.25</v>
      </c>
      <c r="U28" s="238"/>
      <c r="V28" s="238"/>
    </row>
    <row r="29" spans="2:26" x14ac:dyDescent="0.2">
      <c r="C29" t="s">
        <v>1426</v>
      </c>
      <c r="D29">
        <f>D28-D24</f>
        <v>0.16697392932620891</v>
      </c>
      <c r="E29" t="s">
        <v>484</v>
      </c>
      <c r="S29" s="32" t="s">
        <v>1427</v>
      </c>
      <c r="T29" s="238">
        <v>0.17</v>
      </c>
      <c r="U29" s="238"/>
      <c r="V29" s="238"/>
    </row>
    <row r="30" spans="2:26" x14ac:dyDescent="0.2">
      <c r="C30" t="s">
        <v>1428</v>
      </c>
      <c r="D30">
        <f>D23-D16</f>
        <v>0.43830656448129957</v>
      </c>
      <c r="E30" t="s">
        <v>484</v>
      </c>
      <c r="S30" s="32" t="s">
        <v>1429</v>
      </c>
      <c r="T30" s="238">
        <v>0.4</v>
      </c>
      <c r="U30" s="238"/>
      <c r="V30" s="238"/>
    </row>
    <row r="31" spans="2:26" x14ac:dyDescent="0.2">
      <c r="S31" s="32" t="s">
        <v>1430</v>
      </c>
      <c r="T31" s="238">
        <v>3.5000000000000003E-2</v>
      </c>
      <c r="U31" s="238"/>
      <c r="V31" s="238"/>
    </row>
    <row r="32" spans="2:26" x14ac:dyDescent="0.2">
      <c r="C32" t="s">
        <v>1431</v>
      </c>
      <c r="D32">
        <v>0.4</v>
      </c>
      <c r="E32" t="s">
        <v>672</v>
      </c>
      <c r="F32" t="s">
        <v>1432</v>
      </c>
      <c r="O32">
        <f>1000*32.6</f>
        <v>32600</v>
      </c>
      <c r="S32" s="257" t="s">
        <v>1433</v>
      </c>
      <c r="T32" s="257"/>
      <c r="U32" s="257"/>
      <c r="V32" s="257"/>
    </row>
    <row r="33" spans="3:27" ht="17" x14ac:dyDescent="0.2">
      <c r="C33" t="s">
        <v>1434</v>
      </c>
      <c r="D33">
        <f>D32*D16*3.1416/60</f>
        <v>3.4971019758081291E-2</v>
      </c>
      <c r="E33" t="s">
        <v>1435</v>
      </c>
      <c r="O33">
        <f>T35/O32</f>
        <v>1336.0196319018405</v>
      </c>
      <c r="S33" s="32" t="s">
        <v>1436</v>
      </c>
      <c r="T33" s="238">
        <v>26.11</v>
      </c>
      <c r="U33" s="238"/>
      <c r="V33" s="238"/>
      <c r="X33">
        <v>624</v>
      </c>
      <c r="Y33" t="s">
        <v>1437</v>
      </c>
    </row>
    <row r="34" spans="3:27" ht="17" x14ac:dyDescent="0.2">
      <c r="O34">
        <f>O33/4</f>
        <v>334.00490797546013</v>
      </c>
      <c r="S34" s="32" t="s">
        <v>1438</v>
      </c>
      <c r="T34" s="238">
        <v>19.47</v>
      </c>
      <c r="U34" s="238"/>
      <c r="V34" s="238"/>
    </row>
    <row r="35" spans="3:27" ht="15" customHeight="1" x14ac:dyDescent="0.2">
      <c r="C35" s="70" t="s">
        <v>1439</v>
      </c>
      <c r="D35">
        <f>D36*D32/716.2</f>
        <v>26.111533209348575</v>
      </c>
      <c r="E35" t="s">
        <v>692</v>
      </c>
      <c r="F35">
        <f>I14*745.7</f>
        <v>461.66438022764527</v>
      </c>
      <c r="G35" t="s">
        <v>606</v>
      </c>
      <c r="H35">
        <f>F35/1000</f>
        <v>0.46166438022764528</v>
      </c>
      <c r="S35" s="32" t="s">
        <v>1440</v>
      </c>
      <c r="T35" s="238">
        <f>1814.76*24000</f>
        <v>43554240</v>
      </c>
      <c r="U35" s="238"/>
      <c r="V35" s="238"/>
      <c r="X35">
        <f>T35*0.6/1000</f>
        <v>26132.544000000002</v>
      </c>
      <c r="Y35" t="s">
        <v>1441</v>
      </c>
      <c r="Z35">
        <f>X35*1000/24</f>
        <v>1088856</v>
      </c>
    </row>
    <row r="36" spans="3:27" x14ac:dyDescent="0.2">
      <c r="C36" t="s">
        <v>1442</v>
      </c>
      <c r="D36">
        <f>2/3*D16*D5</f>
        <v>46752.700211338626</v>
      </c>
      <c r="E36" t="s">
        <v>1399</v>
      </c>
      <c r="S36" s="259" t="s">
        <v>1443</v>
      </c>
      <c r="T36" s="259"/>
      <c r="U36" s="259"/>
      <c r="V36" s="259"/>
      <c r="X36">
        <f>X35/32.6*3600</f>
        <v>2885802.4049079753</v>
      </c>
      <c r="Y36" s="92">
        <f>X36/24</f>
        <v>120241.76687116564</v>
      </c>
      <c r="Z36" s="92" t="s">
        <v>1444</v>
      </c>
    </row>
    <row r="37" spans="3:27" x14ac:dyDescent="0.2">
      <c r="Y37">
        <f>Y36/1000</f>
        <v>120.24176687116564</v>
      </c>
      <c r="Z37" t="s">
        <v>495</v>
      </c>
    </row>
    <row r="39" spans="3:27" x14ac:dyDescent="0.2">
      <c r="W39">
        <f>(T35/24)*0.6</f>
        <v>1088856</v>
      </c>
      <c r="X39" t="s">
        <v>75</v>
      </c>
      <c r="Y39">
        <v>223349</v>
      </c>
      <c r="Z39" t="s">
        <v>1445</v>
      </c>
      <c r="AA39" t="s">
        <v>1446</v>
      </c>
    </row>
    <row r="41" spans="3:27" x14ac:dyDescent="0.2">
      <c r="G41">
        <f>0.03*50</f>
        <v>1.5</v>
      </c>
      <c r="W41">
        <v>14161</v>
      </c>
      <c r="X41" t="s">
        <v>1447</v>
      </c>
      <c r="Y41" s="92">
        <f>Y37*Y39</f>
        <v>26855878.388907973</v>
      </c>
      <c r="Z41" s="92" t="s">
        <v>1221</v>
      </c>
    </row>
    <row r="42" spans="3:27" x14ac:dyDescent="0.2">
      <c r="W42">
        <f>W41*1.05506</f>
        <v>14940.704660000001</v>
      </c>
      <c r="X42" t="s">
        <v>1448</v>
      </c>
    </row>
    <row r="43" spans="3:27" x14ac:dyDescent="0.2">
      <c r="W43">
        <f>W42/0.453592</f>
        <v>32938.642348189569</v>
      </c>
      <c r="X43" t="s">
        <v>79</v>
      </c>
    </row>
    <row r="44" spans="3:27" x14ac:dyDescent="0.2">
      <c r="W44">
        <f>W43/3600</f>
        <v>9.1496228744971031</v>
      </c>
      <c r="X44" t="s">
        <v>1449</v>
      </c>
      <c r="Z44" t="s">
        <v>1396</v>
      </c>
      <c r="AA44" t="s">
        <v>1108</v>
      </c>
    </row>
    <row r="45" spans="3:27" ht="32" x14ac:dyDescent="0.2">
      <c r="W45">
        <f>W39/W44</f>
        <v>119005.56065922526</v>
      </c>
      <c r="X45" t="s">
        <v>1450</v>
      </c>
      <c r="Y45" s="70" t="s">
        <v>1451</v>
      </c>
      <c r="Z45">
        <v>13387.70616817156</v>
      </c>
      <c r="AA45">
        <v>425</v>
      </c>
    </row>
    <row r="47" spans="3:27" x14ac:dyDescent="0.2">
      <c r="Y47" s="92"/>
      <c r="Z47" s="92" t="s">
        <v>1396</v>
      </c>
      <c r="AA47" s="92" t="s">
        <v>1108</v>
      </c>
    </row>
    <row r="48" spans="3:27" ht="32" x14ac:dyDescent="0.2">
      <c r="Y48" s="111" t="s">
        <v>1451</v>
      </c>
      <c r="Z48" s="92">
        <f>Z45*33.4/AA45</f>
        <v>1052.1162023927768</v>
      </c>
      <c r="AA48" s="92">
        <v>33.4</v>
      </c>
    </row>
    <row r="53" spans="19:22" ht="16" thickBot="1" x14ac:dyDescent="0.25">
      <c r="S53" s="26"/>
      <c r="T53" s="26"/>
      <c r="U53" s="26"/>
      <c r="V53" s="26"/>
    </row>
    <row r="57" spans="19:22" x14ac:dyDescent="0.2">
      <c r="T57">
        <f>T35/48</f>
        <v>907380</v>
      </c>
    </row>
  </sheetData>
  <mergeCells count="31">
    <mergeCell ref="T33:V33"/>
    <mergeCell ref="T34:V34"/>
    <mergeCell ref="T35:V35"/>
    <mergeCell ref="S36:V36"/>
    <mergeCell ref="S7:S9"/>
    <mergeCell ref="U7:U9"/>
    <mergeCell ref="V7:V9"/>
    <mergeCell ref="T24:V24"/>
    <mergeCell ref="T23:V23"/>
    <mergeCell ref="T22:V22"/>
    <mergeCell ref="T21:V21"/>
    <mergeCell ref="T19:V19"/>
    <mergeCell ref="T18:V18"/>
    <mergeCell ref="T17:V17"/>
    <mergeCell ref="S32:V32"/>
    <mergeCell ref="T31:V31"/>
    <mergeCell ref="T30:V30"/>
    <mergeCell ref="T29:V29"/>
    <mergeCell ref="T28:V28"/>
    <mergeCell ref="T27:V27"/>
    <mergeCell ref="T26:V26"/>
    <mergeCell ref="T25:V25"/>
    <mergeCell ref="S10:V10"/>
    <mergeCell ref="S20:V20"/>
    <mergeCell ref="S5:V5"/>
    <mergeCell ref="T11:V11"/>
    <mergeCell ref="T12:V12"/>
    <mergeCell ref="T13:V13"/>
    <mergeCell ref="T14:V14"/>
    <mergeCell ref="T15:V15"/>
    <mergeCell ref="T16:V16"/>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00876-9303-4B98-8E33-1266E1E7C3E0}">
  <dimension ref="B2:J31"/>
  <sheetViews>
    <sheetView zoomScale="79" zoomScaleNormal="55" workbookViewId="0">
      <selection activeCell="I17" sqref="I17"/>
    </sheetView>
  </sheetViews>
  <sheetFormatPr baseColWidth="10" defaultColWidth="9.1640625" defaultRowHeight="15" x14ac:dyDescent="0.2"/>
  <cols>
    <col min="2" max="2" width="11.5" customWidth="1"/>
    <col min="3" max="3" width="9.33203125" bestFit="1" customWidth="1"/>
    <col min="4" max="4" width="12.6640625" customWidth="1"/>
    <col min="5" max="5" width="17.6640625" bestFit="1" customWidth="1"/>
    <col min="6" max="6" width="14" bestFit="1" customWidth="1"/>
    <col min="7" max="7" width="9" bestFit="1" customWidth="1"/>
  </cols>
  <sheetData>
    <row r="2" spans="2:10" x14ac:dyDescent="0.2">
      <c r="B2" s="222" t="s">
        <v>1452</v>
      </c>
      <c r="C2" s="222"/>
      <c r="D2" s="222"/>
    </row>
    <row r="3" spans="2:10" x14ac:dyDescent="0.2">
      <c r="B3" s="238" t="s">
        <v>1453</v>
      </c>
      <c r="C3" s="238"/>
      <c r="D3" s="238"/>
      <c r="E3" t="s">
        <v>1454</v>
      </c>
      <c r="F3" t="s">
        <v>520</v>
      </c>
    </row>
    <row r="4" spans="2:10" x14ac:dyDescent="0.2">
      <c r="B4" s="258" t="s">
        <v>1455</v>
      </c>
      <c r="C4" s="258"/>
      <c r="D4" s="258"/>
      <c r="E4" s="258" t="s">
        <v>1456</v>
      </c>
      <c r="F4" s="258" t="s">
        <v>1457</v>
      </c>
    </row>
    <row r="5" spans="2:10" x14ac:dyDescent="0.2">
      <c r="B5" s="258"/>
      <c r="C5" s="258"/>
      <c r="D5" s="258"/>
      <c r="E5" s="258"/>
      <c r="F5" s="258"/>
    </row>
    <row r="6" spans="2:10" x14ac:dyDescent="0.2">
      <c r="B6" s="258"/>
      <c r="C6" s="258"/>
      <c r="D6" s="258"/>
      <c r="E6" s="258"/>
      <c r="F6" s="258"/>
    </row>
    <row r="7" spans="2:10" x14ac:dyDescent="0.2">
      <c r="B7" t="s">
        <v>1458</v>
      </c>
      <c r="C7">
        <v>244.07300000000001</v>
      </c>
      <c r="D7" t="s">
        <v>493</v>
      </c>
      <c r="E7">
        <f>C7*9.8</f>
        <v>2391.9154000000003</v>
      </c>
      <c r="F7" t="s">
        <v>1459</v>
      </c>
      <c r="G7" s="161">
        <f>E7/1000</f>
        <v>2.3919154000000002</v>
      </c>
      <c r="H7" s="92" t="s">
        <v>1460</v>
      </c>
    </row>
    <row r="8" spans="2:10" x14ac:dyDescent="0.2">
      <c r="B8" t="s">
        <v>1461</v>
      </c>
      <c r="C8">
        <v>360</v>
      </c>
      <c r="D8" t="s">
        <v>48</v>
      </c>
      <c r="F8" t="s">
        <v>1388</v>
      </c>
      <c r="G8" t="s">
        <v>1108</v>
      </c>
    </row>
    <row r="9" spans="2:10" x14ac:dyDescent="0.2">
      <c r="B9" t="s">
        <v>1462</v>
      </c>
      <c r="C9" s="1">
        <f>C7/C8</f>
        <v>0.67798055555555559</v>
      </c>
      <c r="D9" t="s">
        <v>613</v>
      </c>
      <c r="E9" t="s">
        <v>1463</v>
      </c>
      <c r="F9">
        <v>11808.37</v>
      </c>
      <c r="G9">
        <v>425</v>
      </c>
    </row>
    <row r="10" spans="2:10" x14ac:dyDescent="0.2">
      <c r="B10" t="s">
        <v>1462</v>
      </c>
      <c r="C10" s="1">
        <f>C9*35.315</f>
        <v>23.942883319444444</v>
      </c>
      <c r="D10" t="s">
        <v>618</v>
      </c>
    </row>
    <row r="11" spans="2:10" x14ac:dyDescent="0.2">
      <c r="B11" s="222" t="s">
        <v>1464</v>
      </c>
      <c r="C11" s="222"/>
      <c r="D11" s="222"/>
      <c r="F11" t="s">
        <v>1396</v>
      </c>
      <c r="G11" t="s">
        <v>1108</v>
      </c>
    </row>
    <row r="12" spans="2:10" x14ac:dyDescent="0.2">
      <c r="B12" t="s">
        <v>1465</v>
      </c>
      <c r="C12">
        <v>16</v>
      </c>
      <c r="D12" t="s">
        <v>1466</v>
      </c>
      <c r="E12" t="s">
        <v>1463</v>
      </c>
      <c r="F12">
        <f>F9*803.6/708.8</f>
        <v>13387.70616817156</v>
      </c>
      <c r="G12">
        <v>425</v>
      </c>
    </row>
    <row r="13" spans="2:10" x14ac:dyDescent="0.2">
      <c r="B13" t="s">
        <v>1467</v>
      </c>
      <c r="C13">
        <v>1</v>
      </c>
      <c r="D13" t="s">
        <v>1468</v>
      </c>
      <c r="J13" s="118">
        <f>G7+G19</f>
        <v>3.20852</v>
      </c>
    </row>
    <row r="14" spans="2:10" x14ac:dyDescent="0.2">
      <c r="B14" s="230" t="s">
        <v>1469</v>
      </c>
      <c r="C14" s="238" t="s">
        <v>1470</v>
      </c>
      <c r="D14" s="263" t="s">
        <v>797</v>
      </c>
      <c r="E14" s="59"/>
      <c r="F14" s="59" t="s">
        <v>1396</v>
      </c>
      <c r="G14" s="59" t="s">
        <v>1108</v>
      </c>
      <c r="J14">
        <f>J13*8300</f>
        <v>26630.716</v>
      </c>
    </row>
    <row r="15" spans="2:10" x14ac:dyDescent="0.2">
      <c r="B15" s="230"/>
      <c r="C15" s="238"/>
      <c r="D15" s="263"/>
      <c r="E15" s="59" t="s">
        <v>1463</v>
      </c>
      <c r="F15" s="59">
        <f>F12*C7/G12</f>
        <v>7688.4179001979701</v>
      </c>
      <c r="G15" s="59">
        <f>C7</f>
        <v>244.07300000000001</v>
      </c>
    </row>
    <row r="16" spans="2:10" x14ac:dyDescent="0.2">
      <c r="B16" t="s">
        <v>1471</v>
      </c>
      <c r="C16">
        <v>15</v>
      </c>
      <c r="D16" t="s">
        <v>483</v>
      </c>
    </row>
    <row r="18" spans="2:9" x14ac:dyDescent="0.2">
      <c r="B18" t="s">
        <v>1472</v>
      </c>
    </row>
    <row r="19" spans="2:9" x14ac:dyDescent="0.2">
      <c r="B19" t="s">
        <v>1473</v>
      </c>
      <c r="C19">
        <v>83.326999999999998</v>
      </c>
      <c r="D19" t="s">
        <v>493</v>
      </c>
      <c r="E19">
        <f>C19*9.8</f>
        <v>816.6046</v>
      </c>
      <c r="F19" t="s">
        <v>1459</v>
      </c>
      <c r="G19" s="161">
        <f>E19/1000</f>
        <v>0.81660460000000001</v>
      </c>
      <c r="H19" s="92" t="s">
        <v>1460</v>
      </c>
    </row>
    <row r="20" spans="2:9" x14ac:dyDescent="0.2">
      <c r="B20" t="s">
        <v>1461</v>
      </c>
      <c r="C20">
        <v>360</v>
      </c>
      <c r="D20" t="s">
        <v>48</v>
      </c>
      <c r="F20" t="s">
        <v>1388</v>
      </c>
      <c r="G20" t="s">
        <v>1108</v>
      </c>
    </row>
    <row r="21" spans="2:9" x14ac:dyDescent="0.2">
      <c r="B21" t="s">
        <v>1474</v>
      </c>
      <c r="C21">
        <f>C19/C20</f>
        <v>0.23146388888888889</v>
      </c>
      <c r="D21" t="s">
        <v>613</v>
      </c>
      <c r="E21" t="s">
        <v>1475</v>
      </c>
      <c r="F21">
        <v>15020.47</v>
      </c>
      <c r="G21">
        <v>175.52</v>
      </c>
    </row>
    <row r="22" spans="2:9" x14ac:dyDescent="0.2">
      <c r="B22" t="s">
        <v>1474</v>
      </c>
      <c r="C22">
        <f>C21*35.315</f>
        <v>8.1741472361111107</v>
      </c>
      <c r="D22" t="s">
        <v>618</v>
      </c>
    </row>
    <row r="23" spans="2:9" x14ac:dyDescent="0.2">
      <c r="B23" s="222" t="s">
        <v>1464</v>
      </c>
      <c r="C23" s="222"/>
      <c r="D23" s="222"/>
      <c r="F23" t="s">
        <v>1396</v>
      </c>
      <c r="G23" t="s">
        <v>1108</v>
      </c>
    </row>
    <row r="24" spans="2:9" x14ac:dyDescent="0.2">
      <c r="B24" t="s">
        <v>1465</v>
      </c>
      <c r="C24">
        <v>12</v>
      </c>
      <c r="D24" t="s">
        <v>1466</v>
      </c>
      <c r="E24" t="s">
        <v>1463</v>
      </c>
      <c r="F24">
        <f>F21*803.6/708.8</f>
        <v>17029.415479683972</v>
      </c>
      <c r="G24">
        <v>175.52</v>
      </c>
    </row>
    <row r="25" spans="2:9" x14ac:dyDescent="0.2">
      <c r="B25" t="s">
        <v>1467</v>
      </c>
      <c r="C25">
        <v>1</v>
      </c>
      <c r="D25" t="s">
        <v>1468</v>
      </c>
    </row>
    <row r="26" spans="2:9" x14ac:dyDescent="0.2">
      <c r="B26" s="230" t="s">
        <v>1469</v>
      </c>
      <c r="C26" s="238" t="s">
        <v>1476</v>
      </c>
      <c r="D26" s="263" t="s">
        <v>797</v>
      </c>
      <c r="E26" s="59"/>
      <c r="F26" s="59" t="s">
        <v>1388</v>
      </c>
      <c r="G26" s="59" t="s">
        <v>1108</v>
      </c>
    </row>
    <row r="27" spans="2:9" x14ac:dyDescent="0.2">
      <c r="B27" s="230"/>
      <c r="C27" s="238"/>
      <c r="D27" s="263"/>
      <c r="E27" s="59" t="s">
        <v>1463</v>
      </c>
      <c r="F27" s="59">
        <f>F24*G27/G24</f>
        <v>8084.6063336122725</v>
      </c>
      <c r="G27" s="59">
        <f>C19</f>
        <v>83.326999999999998</v>
      </c>
    </row>
    <row r="28" spans="2:9" x14ac:dyDescent="0.2">
      <c r="B28" t="s">
        <v>1471</v>
      </c>
      <c r="C28">
        <v>15</v>
      </c>
      <c r="D28" t="s">
        <v>483</v>
      </c>
    </row>
    <row r="29" spans="2:9" x14ac:dyDescent="0.2">
      <c r="B29" s="230" t="s">
        <v>1477</v>
      </c>
      <c r="C29" s="238">
        <v>8</v>
      </c>
      <c r="D29" s="238" t="s">
        <v>618</v>
      </c>
      <c r="I29">
        <v>502.77</v>
      </c>
    </row>
    <row r="30" spans="2:9" x14ac:dyDescent="0.2">
      <c r="B30" s="230"/>
      <c r="C30" s="238"/>
      <c r="D30" s="238"/>
      <c r="I30">
        <v>1363.3689999999999</v>
      </c>
    </row>
    <row r="31" spans="2:9" x14ac:dyDescent="0.2">
      <c r="B31" s="230"/>
      <c r="C31" s="238"/>
      <c r="D31" s="238"/>
    </row>
  </sheetData>
  <mergeCells count="16">
    <mergeCell ref="B26:B27"/>
    <mergeCell ref="C26:C27"/>
    <mergeCell ref="B29:B31"/>
    <mergeCell ref="C29:C31"/>
    <mergeCell ref="D29:D31"/>
    <mergeCell ref="D26:D27"/>
    <mergeCell ref="B14:B15"/>
    <mergeCell ref="B11:D11"/>
    <mergeCell ref="C14:C15"/>
    <mergeCell ref="B23:D23"/>
    <mergeCell ref="D14:D15"/>
    <mergeCell ref="B3:D3"/>
    <mergeCell ref="B2:D2"/>
    <mergeCell ref="B4:D6"/>
    <mergeCell ref="E4:E6"/>
    <mergeCell ref="F4:F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0DDF9-8A75-482A-90BF-748E1C44EB12}">
  <dimension ref="A1"/>
  <sheetViews>
    <sheetView workbookViewId="0"/>
  </sheetViews>
  <sheetFormatPr baseColWidth="10" defaultColWidth="8.83203125" defaultRowHeight="15"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2C366-FE6E-451F-944B-411B758D7F1C}">
  <dimension ref="B2:H27"/>
  <sheetViews>
    <sheetView zoomScale="121" workbookViewId="0">
      <selection activeCell="B27" sqref="B27"/>
    </sheetView>
  </sheetViews>
  <sheetFormatPr baseColWidth="10" defaultColWidth="9.1640625" defaultRowHeight="15" x14ac:dyDescent="0.2"/>
  <cols>
    <col min="2" max="2" width="10.6640625" customWidth="1"/>
    <col min="3" max="4" width="10.5" customWidth="1"/>
  </cols>
  <sheetData>
    <row r="2" spans="2:8" x14ac:dyDescent="0.2">
      <c r="B2" s="222" t="s">
        <v>1478</v>
      </c>
      <c r="C2" s="222"/>
      <c r="D2" s="222"/>
      <c r="E2" s="222"/>
      <c r="F2" s="222"/>
      <c r="G2" s="222"/>
    </row>
    <row r="3" spans="2:8" x14ac:dyDescent="0.2">
      <c r="B3" t="s">
        <v>1479</v>
      </c>
      <c r="C3">
        <v>83.326999999999998</v>
      </c>
      <c r="D3" t="s">
        <v>493</v>
      </c>
      <c r="E3" s="60" t="s">
        <v>1480</v>
      </c>
      <c r="F3" s="60">
        <f>(C3*C4*(C5-C6))/(F4*(F6-F5))</f>
        <v>169.03515150063859</v>
      </c>
      <c r="G3" s="60" t="s">
        <v>493</v>
      </c>
    </row>
    <row r="4" spans="2:8" x14ac:dyDescent="0.2">
      <c r="B4" t="s">
        <v>1481</v>
      </c>
      <c r="C4">
        <v>1.31</v>
      </c>
      <c r="D4" t="s">
        <v>1482</v>
      </c>
      <c r="E4" t="s">
        <v>1483</v>
      </c>
      <c r="F4">
        <v>4.1760000000000002</v>
      </c>
      <c r="G4" t="s">
        <v>1482</v>
      </c>
    </row>
    <row r="5" spans="2:8" x14ac:dyDescent="0.2">
      <c r="B5" t="s">
        <v>1484</v>
      </c>
      <c r="C5">
        <v>500</v>
      </c>
      <c r="D5" t="s">
        <v>1485</v>
      </c>
      <c r="E5" t="s">
        <v>1486</v>
      </c>
      <c r="F5">
        <v>15</v>
      </c>
      <c r="G5" t="s">
        <v>1485</v>
      </c>
      <c r="H5" t="s">
        <v>1487</v>
      </c>
    </row>
    <row r="6" spans="2:8" x14ac:dyDescent="0.2">
      <c r="B6" t="s">
        <v>1488</v>
      </c>
      <c r="C6">
        <v>15</v>
      </c>
      <c r="D6" t="s">
        <v>1485</v>
      </c>
      <c r="E6" t="s">
        <v>1489</v>
      </c>
      <c r="F6">
        <v>90</v>
      </c>
      <c r="G6" t="s">
        <v>1485</v>
      </c>
    </row>
    <row r="8" spans="2:8" x14ac:dyDescent="0.2">
      <c r="B8" s="222" t="s">
        <v>1490</v>
      </c>
      <c r="C8" s="222"/>
      <c r="D8" s="222"/>
    </row>
    <row r="9" spans="2:8" x14ac:dyDescent="0.2">
      <c r="B9" t="s">
        <v>1483</v>
      </c>
      <c r="C9">
        <v>4.1760000000000002</v>
      </c>
      <c r="D9" t="s">
        <v>1482</v>
      </c>
    </row>
    <row r="10" spans="2:8" x14ac:dyDescent="0.2">
      <c r="B10" t="s">
        <v>1491</v>
      </c>
      <c r="C10">
        <v>1200116.9340650002</v>
      </c>
      <c r="D10" t="s">
        <v>1492</v>
      </c>
    </row>
    <row r="11" spans="2:8" x14ac:dyDescent="0.2">
      <c r="B11" t="s">
        <v>1486</v>
      </c>
      <c r="C11">
        <v>15</v>
      </c>
      <c r="D11" t="s">
        <v>1485</v>
      </c>
    </row>
    <row r="12" spans="2:8" x14ac:dyDescent="0.2">
      <c r="B12" t="s">
        <v>1489</v>
      </c>
      <c r="C12">
        <v>90</v>
      </c>
      <c r="D12" t="s">
        <v>1485</v>
      </c>
    </row>
    <row r="13" spans="2:8" x14ac:dyDescent="0.2">
      <c r="B13" s="60" t="s">
        <v>1480</v>
      </c>
      <c r="C13" s="60">
        <f>C10/(C9*(C12-C11))</f>
        <v>3831.7909772190301</v>
      </c>
      <c r="D13" s="60" t="s">
        <v>493</v>
      </c>
    </row>
    <row r="15" spans="2:8" x14ac:dyDescent="0.2">
      <c r="B15" s="222" t="s">
        <v>1493</v>
      </c>
      <c r="C15" s="222"/>
      <c r="D15">
        <f>C13+F3</f>
        <v>4000.8261287196688</v>
      </c>
      <c r="E15" t="s">
        <v>493</v>
      </c>
      <c r="F15">
        <f>C13</f>
        <v>3831.7909772190301</v>
      </c>
    </row>
    <row r="16" spans="2:8" x14ac:dyDescent="0.2">
      <c r="B16" s="222" t="s">
        <v>1493</v>
      </c>
      <c r="C16" s="222"/>
      <c r="D16">
        <f>D15/1000</f>
        <v>4.0008261287196687</v>
      </c>
      <c r="E16" t="s">
        <v>613</v>
      </c>
      <c r="F16">
        <f>F15/1000</f>
        <v>3.8317909772190299</v>
      </c>
    </row>
    <row r="18" spans="2:4" x14ac:dyDescent="0.2">
      <c r="B18" t="s">
        <v>1494</v>
      </c>
      <c r="C18">
        <v>5476.6</v>
      </c>
      <c r="D18" t="s">
        <v>621</v>
      </c>
    </row>
    <row r="20" spans="2:4" x14ac:dyDescent="0.2">
      <c r="B20" t="s">
        <v>1495</v>
      </c>
      <c r="C20">
        <f>C18*D16</f>
        <v>21910.92437654614</v>
      </c>
      <c r="D20" t="s">
        <v>1496</v>
      </c>
    </row>
    <row r="21" spans="2:4" x14ac:dyDescent="0.2">
      <c r="C21" s="60">
        <f>C20*8300</f>
        <v>181860672.32533297</v>
      </c>
      <c r="D21" s="60" t="s">
        <v>1252</v>
      </c>
    </row>
    <row r="23" spans="2:4" x14ac:dyDescent="0.2">
      <c r="D23">
        <v>9</v>
      </c>
    </row>
    <row r="25" spans="2:4" x14ac:dyDescent="0.2">
      <c r="B25">
        <v>0.24</v>
      </c>
      <c r="C25" t="s">
        <v>1497</v>
      </c>
    </row>
    <row r="26" spans="2:4" x14ac:dyDescent="0.2">
      <c r="B26">
        <f>B25*4.184</f>
        <v>1.0041599999999999</v>
      </c>
      <c r="C26" t="s">
        <v>1498</v>
      </c>
    </row>
    <row r="27" spans="2:4" x14ac:dyDescent="0.2">
      <c r="B27">
        <f>B26*580.811*(142.03-79.58)</f>
        <v>36422.537001312005</v>
      </c>
    </row>
  </sheetData>
  <mergeCells count="4">
    <mergeCell ref="B2:G2"/>
    <mergeCell ref="B8:D8"/>
    <mergeCell ref="B15:C15"/>
    <mergeCell ref="B16:C1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C5702-C473-48E1-910B-A94838D23AD9}">
  <dimension ref="B2:J68"/>
  <sheetViews>
    <sheetView topLeftCell="B53" zoomScaleNormal="100" workbookViewId="0">
      <selection activeCell="K80" sqref="K80"/>
    </sheetView>
  </sheetViews>
  <sheetFormatPr baseColWidth="10" defaultColWidth="9.1640625" defaultRowHeight="15" x14ac:dyDescent="0.2"/>
  <cols>
    <col min="2" max="2" width="22.1640625" customWidth="1"/>
    <col min="3" max="3" width="13.6640625" customWidth="1"/>
    <col min="4" max="4" width="12.5" customWidth="1"/>
    <col min="5" max="5" width="18.5" customWidth="1"/>
  </cols>
  <sheetData>
    <row r="2" spans="2:10" x14ac:dyDescent="0.2">
      <c r="B2" s="222" t="s">
        <v>1499</v>
      </c>
      <c r="C2" s="222"/>
      <c r="D2" s="222"/>
      <c r="E2" s="222"/>
      <c r="F2" s="222"/>
      <c r="G2" s="222"/>
      <c r="H2" s="222"/>
      <c r="I2" s="222"/>
      <c r="J2" s="222"/>
    </row>
    <row r="3" spans="2:10" x14ac:dyDescent="0.2">
      <c r="B3" s="222" t="s">
        <v>1500</v>
      </c>
      <c r="C3" s="222"/>
      <c r="D3" s="222"/>
      <c r="E3" s="222"/>
      <c r="F3" s="222"/>
      <c r="G3" s="222"/>
      <c r="H3" s="222"/>
      <c r="I3" s="222"/>
      <c r="J3" s="222"/>
    </row>
    <row r="4" spans="2:10" x14ac:dyDescent="0.2">
      <c r="B4" s="222" t="s">
        <v>1501</v>
      </c>
      <c r="C4" s="222"/>
      <c r="D4" s="222"/>
      <c r="E4" s="222"/>
      <c r="F4" s="222"/>
      <c r="G4" s="222"/>
      <c r="H4" s="222"/>
      <c r="I4" s="222"/>
      <c r="J4" s="222"/>
    </row>
    <row r="5" spans="2:10" x14ac:dyDescent="0.2">
      <c r="B5" s="222" t="s">
        <v>1502</v>
      </c>
      <c r="C5" s="222"/>
      <c r="D5" s="222"/>
      <c r="E5" s="222"/>
      <c r="F5" s="222"/>
      <c r="G5" s="222"/>
      <c r="H5" s="222"/>
      <c r="I5" s="222"/>
      <c r="J5" s="222"/>
    </row>
    <row r="6" spans="2:10" x14ac:dyDescent="0.2">
      <c r="B6" s="222" t="s">
        <v>1503</v>
      </c>
      <c r="C6" s="222"/>
      <c r="D6" s="222"/>
      <c r="E6" s="222"/>
      <c r="F6" s="222"/>
      <c r="G6" s="222"/>
      <c r="H6" s="222"/>
      <c r="I6" s="222"/>
      <c r="J6" s="222"/>
    </row>
    <row r="7" spans="2:10" x14ac:dyDescent="0.2">
      <c r="B7" s="222" t="s">
        <v>1504</v>
      </c>
      <c r="C7" s="222"/>
      <c r="D7" s="222"/>
      <c r="E7" s="222"/>
      <c r="F7" s="222"/>
      <c r="G7" s="222"/>
      <c r="H7" s="222"/>
      <c r="I7" s="222"/>
      <c r="J7" s="222"/>
    </row>
    <row r="8" spans="2:10" x14ac:dyDescent="0.2">
      <c r="B8" s="222" t="s">
        <v>1505</v>
      </c>
      <c r="C8" s="222"/>
      <c r="D8" s="222"/>
      <c r="E8" s="222"/>
      <c r="F8" s="222"/>
      <c r="G8" s="222"/>
      <c r="H8" s="222"/>
      <c r="I8" s="222"/>
      <c r="J8" s="222"/>
    </row>
    <row r="10" spans="2:10" x14ac:dyDescent="0.2">
      <c r="B10" t="s">
        <v>1506</v>
      </c>
      <c r="C10" t="s">
        <v>1507</v>
      </c>
    </row>
    <row r="11" spans="2:10" x14ac:dyDescent="0.2">
      <c r="B11" t="s">
        <v>1508</v>
      </c>
      <c r="C11">
        <v>1253.5</v>
      </c>
      <c r="D11" t="s">
        <v>79</v>
      </c>
      <c r="E11" t="s">
        <v>1509</v>
      </c>
      <c r="F11">
        <v>500</v>
      </c>
      <c r="G11" t="s">
        <v>1485</v>
      </c>
    </row>
    <row r="12" spans="2:10" x14ac:dyDescent="0.2">
      <c r="B12" t="s">
        <v>1510</v>
      </c>
      <c r="C12">
        <v>1.554</v>
      </c>
      <c r="D12" t="s">
        <v>1511</v>
      </c>
      <c r="E12" t="s">
        <v>1512</v>
      </c>
      <c r="F12">
        <v>15.5</v>
      </c>
      <c r="G12" t="s">
        <v>1485</v>
      </c>
    </row>
    <row r="13" spans="2:10" x14ac:dyDescent="0.2">
      <c r="E13" t="s">
        <v>1512</v>
      </c>
      <c r="F13">
        <v>90</v>
      </c>
      <c r="G13" t="s">
        <v>1485</v>
      </c>
    </row>
    <row r="14" spans="2:10" x14ac:dyDescent="0.2">
      <c r="B14" t="s">
        <v>1513</v>
      </c>
      <c r="C14" s="59">
        <f>C15*C11</f>
        <v>153400.823</v>
      </c>
      <c r="D14" t="s">
        <v>1492</v>
      </c>
      <c r="E14" t="s">
        <v>1509</v>
      </c>
      <c r="F14">
        <v>15</v>
      </c>
      <c r="G14" t="s">
        <v>1485</v>
      </c>
    </row>
    <row r="15" spans="2:10" x14ac:dyDescent="0.2">
      <c r="B15" t="s">
        <v>1514</v>
      </c>
      <c r="C15">
        <v>122.378</v>
      </c>
      <c r="D15" t="s">
        <v>493</v>
      </c>
    </row>
    <row r="16" spans="2:10" x14ac:dyDescent="0.2">
      <c r="E16" t="s">
        <v>1515</v>
      </c>
      <c r="F16">
        <f>((F11-F13)-(F12-F14))/(LN(((F11-F13)/(F12-F14))))</f>
        <v>61.0346437175087</v>
      </c>
    </row>
    <row r="17" spans="2:6" x14ac:dyDescent="0.2">
      <c r="B17" t="s">
        <v>1516</v>
      </c>
      <c r="C17" s="59">
        <f>C15*C18*(F11-F12)</f>
        <v>112358.60719499999</v>
      </c>
      <c r="D17" t="s">
        <v>1492</v>
      </c>
    </row>
    <row r="18" spans="2:6" x14ac:dyDescent="0.2">
      <c r="B18" t="s">
        <v>1517</v>
      </c>
      <c r="C18">
        <v>1.895</v>
      </c>
      <c r="D18" t="s">
        <v>1511</v>
      </c>
    </row>
    <row r="19" spans="2:6" x14ac:dyDescent="0.2">
      <c r="B19" t="s">
        <v>1518</v>
      </c>
      <c r="C19" s="59">
        <f>C20*C12*(F11-F12)</f>
        <v>934357.50387000002</v>
      </c>
      <c r="D19" t="s">
        <v>1492</v>
      </c>
    </row>
    <row r="20" spans="2:6" x14ac:dyDescent="0.2">
      <c r="B20" t="s">
        <v>1519</v>
      </c>
      <c r="C20">
        <f>20.624+1220.366</f>
        <v>1240.99</v>
      </c>
      <c r="D20" t="s">
        <v>493</v>
      </c>
    </row>
    <row r="22" spans="2:6" x14ac:dyDescent="0.2">
      <c r="B22" t="s">
        <v>1491</v>
      </c>
      <c r="C22" s="60">
        <f>C17+C19+C14</f>
        <v>1200116.9340650002</v>
      </c>
      <c r="D22" t="s">
        <v>1492</v>
      </c>
    </row>
    <row r="24" spans="2:6" x14ac:dyDescent="0.2">
      <c r="B24" t="s">
        <v>1520</v>
      </c>
      <c r="C24" t="s">
        <v>1521</v>
      </c>
    </row>
    <row r="26" spans="2:6" x14ac:dyDescent="0.2">
      <c r="B26" t="s">
        <v>776</v>
      </c>
      <c r="C26">
        <f>(F13-F14)/(F11-F14)</f>
        <v>0.15463917525773196</v>
      </c>
    </row>
    <row r="27" spans="2:6" x14ac:dyDescent="0.2">
      <c r="B27" t="s">
        <v>911</v>
      </c>
      <c r="C27">
        <f>(F11-F12)/(F13-F14)</f>
        <v>6.46</v>
      </c>
    </row>
    <row r="28" spans="2:6" x14ac:dyDescent="0.2">
      <c r="B28" t="s">
        <v>1522</v>
      </c>
      <c r="C28">
        <v>0.77</v>
      </c>
      <c r="D28" t="s">
        <v>1523</v>
      </c>
    </row>
    <row r="30" spans="2:6" x14ac:dyDescent="0.2">
      <c r="B30" t="s">
        <v>1524</v>
      </c>
    </row>
    <row r="31" spans="2:6" x14ac:dyDescent="0.2">
      <c r="B31" t="s">
        <v>1525</v>
      </c>
      <c r="C31">
        <v>150</v>
      </c>
      <c r="D31" t="s">
        <v>1526</v>
      </c>
      <c r="E31" s="230" t="s">
        <v>1527</v>
      </c>
      <c r="F31" s="230"/>
    </row>
    <row r="32" spans="2:6" x14ac:dyDescent="0.2">
      <c r="B32" t="s">
        <v>1525</v>
      </c>
      <c r="C32">
        <v>143</v>
      </c>
      <c r="D32" t="s">
        <v>1528</v>
      </c>
      <c r="E32" s="230"/>
      <c r="F32" s="230"/>
    </row>
    <row r="33" spans="2:4" x14ac:dyDescent="0.2">
      <c r="B33" s="60" t="s">
        <v>467</v>
      </c>
      <c r="C33" s="60">
        <f>C22/(C32*F16*C28)</f>
        <v>178.57488841583071</v>
      </c>
      <c r="D33" s="60" t="s">
        <v>1202</v>
      </c>
    </row>
    <row r="34" spans="2:4" x14ac:dyDescent="0.2">
      <c r="C34">
        <f>C33*1550</f>
        <v>276791.07704453758</v>
      </c>
    </row>
    <row r="35" spans="2:4" x14ac:dyDescent="0.2">
      <c r="B35" t="s">
        <v>1529</v>
      </c>
    </row>
    <row r="36" spans="2:4" x14ac:dyDescent="0.2">
      <c r="B36" t="s">
        <v>1530</v>
      </c>
      <c r="C36">
        <v>1</v>
      </c>
      <c r="D36" t="s">
        <v>1466</v>
      </c>
    </row>
    <row r="37" spans="2:4" x14ac:dyDescent="0.2">
      <c r="B37" t="s">
        <v>488</v>
      </c>
      <c r="C37">
        <v>16</v>
      </c>
      <c r="D37" t="s">
        <v>483</v>
      </c>
    </row>
    <row r="38" spans="2:4" x14ac:dyDescent="0.2">
      <c r="B38" t="s">
        <v>1531</v>
      </c>
      <c r="C38" t="s">
        <v>1532</v>
      </c>
    </row>
    <row r="39" spans="2:4" x14ac:dyDescent="0.2">
      <c r="B39" t="s">
        <v>1533</v>
      </c>
      <c r="C39">
        <f>((4*0.866*C36*C34)/((3.1416)^2*0.787402*C37*12))^0.5</f>
        <v>25.349256452317736</v>
      </c>
      <c r="D39" t="s">
        <v>1466</v>
      </c>
    </row>
    <row r="40" spans="2:4" x14ac:dyDescent="0.2">
      <c r="B40" t="s">
        <v>1534</v>
      </c>
      <c r="C40">
        <f>((3.1416/4)*C39^2)/(C36*0.866)</f>
        <v>582.7784111190432</v>
      </c>
      <c r="D40" t="s">
        <v>1535</v>
      </c>
    </row>
    <row r="41" spans="2:4" x14ac:dyDescent="0.2">
      <c r="B41" t="s">
        <v>1536</v>
      </c>
      <c r="C41">
        <v>20000</v>
      </c>
      <c r="D41" t="s">
        <v>532</v>
      </c>
    </row>
    <row r="42" spans="2:4" x14ac:dyDescent="0.2">
      <c r="B42" t="s">
        <v>1537</v>
      </c>
    </row>
    <row r="43" spans="2:4" x14ac:dyDescent="0.2">
      <c r="B43" t="s">
        <v>1538</v>
      </c>
      <c r="C43">
        <v>1</v>
      </c>
    </row>
    <row r="44" spans="2:4" x14ac:dyDescent="0.2">
      <c r="B44" t="s">
        <v>1539</v>
      </c>
      <c r="C44">
        <v>1.7</v>
      </c>
    </row>
    <row r="45" spans="2:4" x14ac:dyDescent="0.2">
      <c r="B45" t="s">
        <v>1540</v>
      </c>
      <c r="C45">
        <f>C41*(C44/C43)</f>
        <v>34000</v>
      </c>
      <c r="D45" t="s">
        <v>532</v>
      </c>
    </row>
    <row r="46" spans="2:4" x14ac:dyDescent="0.2">
      <c r="B46" t="s">
        <v>1541</v>
      </c>
      <c r="C46">
        <v>607.5</v>
      </c>
    </row>
    <row r="47" spans="2:4" x14ac:dyDescent="0.2">
      <c r="B47" t="s">
        <v>1542</v>
      </c>
      <c r="C47">
        <v>816</v>
      </c>
    </row>
    <row r="48" spans="2:4" x14ac:dyDescent="0.2">
      <c r="B48" t="s">
        <v>1543</v>
      </c>
      <c r="C48">
        <f>C45*C47/C46</f>
        <v>45669.135802469136</v>
      </c>
      <c r="D48" t="s">
        <v>532</v>
      </c>
    </row>
    <row r="49" spans="2:5" x14ac:dyDescent="0.2">
      <c r="B49" t="s">
        <v>1006</v>
      </c>
      <c r="C49">
        <v>859</v>
      </c>
    </row>
    <row r="50" spans="2:5" x14ac:dyDescent="0.2">
      <c r="B50" s="60" t="s">
        <v>1544</v>
      </c>
      <c r="C50" s="60">
        <f>C48*C49/C47</f>
        <v>48075.720164609047</v>
      </c>
      <c r="D50" s="60" t="s">
        <v>532</v>
      </c>
      <c r="E50" s="60" t="s">
        <v>1290</v>
      </c>
    </row>
    <row r="51" spans="2:5" x14ac:dyDescent="0.2">
      <c r="B51" s="60" t="s">
        <v>1544</v>
      </c>
      <c r="C51" s="60">
        <f>C50*3</f>
        <v>144227.16049382713</v>
      </c>
      <c r="D51" s="60" t="s">
        <v>532</v>
      </c>
      <c r="E51" s="60" t="s">
        <v>979</v>
      </c>
    </row>
    <row r="52" spans="2:5" x14ac:dyDescent="0.2">
      <c r="C52">
        <f>C51*4300</f>
        <v>620176790.12345672</v>
      </c>
    </row>
    <row r="68" spans="2:2" x14ac:dyDescent="0.2">
      <c r="B68" t="s">
        <v>1545</v>
      </c>
    </row>
  </sheetData>
  <mergeCells count="8">
    <mergeCell ref="B8:J8"/>
    <mergeCell ref="E31:F32"/>
    <mergeCell ref="B2:J2"/>
    <mergeCell ref="B3:J3"/>
    <mergeCell ref="B4:J4"/>
    <mergeCell ref="B5:J5"/>
    <mergeCell ref="B6:J6"/>
    <mergeCell ref="B7:J7"/>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71BA0-F1A3-47A8-94CF-321A6C6166B5}">
  <dimension ref="A3:L11"/>
  <sheetViews>
    <sheetView workbookViewId="0">
      <selection activeCell="B12" sqref="B12"/>
    </sheetView>
  </sheetViews>
  <sheetFormatPr baseColWidth="10" defaultColWidth="9.1640625" defaultRowHeight="15" x14ac:dyDescent="0.2"/>
  <sheetData>
    <row r="3" spans="1:12" x14ac:dyDescent="0.2">
      <c r="D3" t="s">
        <v>1546</v>
      </c>
      <c r="E3" t="s">
        <v>1547</v>
      </c>
      <c r="G3" s="214" t="s">
        <v>911</v>
      </c>
      <c r="I3" t="s">
        <v>1546</v>
      </c>
      <c r="J3" t="s">
        <v>1547</v>
      </c>
      <c r="L3" s="215" t="s">
        <v>776</v>
      </c>
    </row>
    <row r="4" spans="1:12" x14ac:dyDescent="0.2">
      <c r="A4" s="59" t="s">
        <v>1548</v>
      </c>
      <c r="B4" s="59">
        <v>56.25</v>
      </c>
      <c r="D4">
        <f>B4-B5</f>
        <v>20.25</v>
      </c>
      <c r="E4">
        <f>B7-B6</f>
        <v>20</v>
      </c>
      <c r="G4" s="214">
        <f>D4/E4</f>
        <v>1.0125</v>
      </c>
      <c r="I4">
        <f>B7-B6</f>
        <v>20</v>
      </c>
      <c r="J4">
        <f>B4-B6</f>
        <v>36.25</v>
      </c>
      <c r="L4" s="215">
        <f>I4/J4</f>
        <v>0.55172413793103448</v>
      </c>
    </row>
    <row r="5" spans="1:12" x14ac:dyDescent="0.2">
      <c r="A5" t="s">
        <v>1549</v>
      </c>
      <c r="B5">
        <v>36</v>
      </c>
    </row>
    <row r="6" spans="1:12" x14ac:dyDescent="0.2">
      <c r="A6" s="59" t="s">
        <v>1550</v>
      </c>
      <c r="B6" s="59">
        <v>20</v>
      </c>
    </row>
    <row r="7" spans="1:12" x14ac:dyDescent="0.2">
      <c r="A7" t="s">
        <v>1551</v>
      </c>
      <c r="B7">
        <v>40</v>
      </c>
    </row>
    <row r="10" spans="1:12" x14ac:dyDescent="0.2">
      <c r="B10">
        <f>B4-B5</f>
        <v>20.25</v>
      </c>
    </row>
    <row r="11" spans="1:12" x14ac:dyDescent="0.2">
      <c r="B11">
        <f>B7-B6</f>
        <v>20</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E5710-9A9D-459C-B3C0-249F1C06372B}">
  <dimension ref="C3:O60"/>
  <sheetViews>
    <sheetView topLeftCell="C35" zoomScale="80" zoomScaleNormal="130" workbookViewId="0">
      <selection activeCell="L50" sqref="L50"/>
    </sheetView>
  </sheetViews>
  <sheetFormatPr baseColWidth="10" defaultColWidth="11.5" defaultRowHeight="15" x14ac:dyDescent="0.2"/>
  <cols>
    <col min="3" max="3" width="26" bestFit="1" customWidth="1"/>
    <col min="4" max="4" width="13.5" bestFit="1" customWidth="1"/>
    <col min="8" max="8" width="27" bestFit="1" customWidth="1"/>
    <col min="13" max="13" width="17.5" bestFit="1" customWidth="1"/>
  </cols>
  <sheetData>
    <row r="3" spans="3:5" ht="16" thickBot="1" x14ac:dyDescent="0.25"/>
    <row r="4" spans="3:5" x14ac:dyDescent="0.2">
      <c r="C4" s="266" t="s">
        <v>1552</v>
      </c>
      <c r="E4" s="136" t="s">
        <v>1376</v>
      </c>
    </row>
    <row r="5" spans="3:5" x14ac:dyDescent="0.2">
      <c r="C5" s="267"/>
      <c r="D5" s="118">
        <v>122.37831325301204</v>
      </c>
      <c r="E5" s="137" t="s">
        <v>493</v>
      </c>
    </row>
    <row r="6" spans="3:5" ht="16" thickBot="1" x14ac:dyDescent="0.25">
      <c r="C6" s="268"/>
      <c r="D6" s="118">
        <v>1015.7399999999999</v>
      </c>
      <c r="E6" s="138" t="s">
        <v>716</v>
      </c>
    </row>
    <row r="7" spans="3:5" x14ac:dyDescent="0.2">
      <c r="C7" s="266" t="s">
        <v>1553</v>
      </c>
      <c r="D7" s="118">
        <v>244.07322148586368</v>
      </c>
      <c r="E7" s="136" t="s">
        <v>493</v>
      </c>
    </row>
    <row r="8" spans="3:5" ht="16" thickBot="1" x14ac:dyDescent="0.25">
      <c r="C8" s="268"/>
      <c r="D8" s="118">
        <v>2025.8077383326686</v>
      </c>
      <c r="E8" s="138" t="s">
        <v>716</v>
      </c>
    </row>
    <row r="9" spans="3:5" x14ac:dyDescent="0.2">
      <c r="C9" s="266" t="s">
        <v>1554</v>
      </c>
      <c r="D9" s="118">
        <v>20.62418721555548</v>
      </c>
      <c r="E9" s="136" t="s">
        <v>493</v>
      </c>
    </row>
    <row r="10" spans="3:5" ht="16" thickBot="1" x14ac:dyDescent="0.25">
      <c r="C10" s="268"/>
      <c r="D10" s="118">
        <v>171.18075388911049</v>
      </c>
      <c r="E10" s="138" t="s">
        <v>716</v>
      </c>
    </row>
    <row r="11" spans="3:5" ht="19" thickBot="1" x14ac:dyDescent="0.25">
      <c r="C11" s="132" t="s">
        <v>1555</v>
      </c>
      <c r="D11" s="118">
        <v>835731.11768974585</v>
      </c>
    </row>
    <row r="12" spans="3:5" x14ac:dyDescent="0.2">
      <c r="C12" s="269" t="s">
        <v>1556</v>
      </c>
      <c r="D12" s="118">
        <v>1220.3661074293184</v>
      </c>
      <c r="E12" s="136" t="s">
        <v>493</v>
      </c>
    </row>
    <row r="13" spans="3:5" ht="16" thickBot="1" x14ac:dyDescent="0.25">
      <c r="C13" s="270"/>
      <c r="D13" s="118">
        <v>10129.038691663345</v>
      </c>
      <c r="E13" s="138" t="s">
        <v>716</v>
      </c>
    </row>
    <row r="14" spans="3:5" ht="16" thickBot="1" x14ac:dyDescent="0.25">
      <c r="C14" s="133" t="s">
        <v>1557</v>
      </c>
      <c r="D14" s="118">
        <v>83.326597815273857</v>
      </c>
      <c r="E14" s="139" t="s">
        <v>493</v>
      </c>
    </row>
    <row r="15" spans="3:5" ht="16" thickBot="1" x14ac:dyDescent="0.25">
      <c r="C15" s="134"/>
      <c r="D15" s="118"/>
    </row>
    <row r="16" spans="3:5" ht="16" thickBot="1" x14ac:dyDescent="0.25">
      <c r="C16" s="133" t="s">
        <v>1558</v>
      </c>
      <c r="D16" s="118">
        <v>23.214753269159605</v>
      </c>
    </row>
    <row r="17" spans="3:8" ht="16" thickBot="1" x14ac:dyDescent="0.25">
      <c r="C17" s="133" t="s">
        <v>1559</v>
      </c>
      <c r="D17" s="118">
        <v>92.859013076638419</v>
      </c>
    </row>
    <row r="18" spans="3:8" ht="16" thickBot="1" x14ac:dyDescent="0.25">
      <c r="C18" s="133" t="s">
        <v>1560</v>
      </c>
      <c r="D18" s="118">
        <v>442.185776555421</v>
      </c>
    </row>
    <row r="19" spans="3:8" ht="16" thickBot="1" x14ac:dyDescent="0.25">
      <c r="C19" s="133" t="s">
        <v>1561</v>
      </c>
      <c r="D19" s="118">
        <v>530.62293186650516</v>
      </c>
    </row>
    <row r="20" spans="3:8" ht="16" thickBot="1" x14ac:dyDescent="0.25">
      <c r="D20" s="118"/>
    </row>
    <row r="21" spans="3:8" ht="16" thickBot="1" x14ac:dyDescent="0.25">
      <c r="C21" s="133" t="s">
        <v>1562</v>
      </c>
      <c r="D21" s="118">
        <v>124.09902946448739</v>
      </c>
    </row>
    <row r="22" spans="3:8" ht="16" thickBot="1" x14ac:dyDescent="0.25">
      <c r="C22" s="133" t="s">
        <v>1563</v>
      </c>
      <c r="D22" s="118">
        <v>1116.8912651803864</v>
      </c>
    </row>
    <row r="23" spans="3:8" ht="19" thickBot="1" x14ac:dyDescent="0.25">
      <c r="C23" s="133" t="s">
        <v>1564</v>
      </c>
      <c r="D23" s="118">
        <v>1.1800570360900777</v>
      </c>
    </row>
    <row r="24" spans="3:8" ht="20" thickBot="1" x14ac:dyDescent="0.25">
      <c r="C24" s="135" t="s">
        <v>1565</v>
      </c>
      <c r="D24" s="118">
        <v>122.03661074293186</v>
      </c>
    </row>
    <row r="25" spans="3:8" ht="35" thickBot="1" x14ac:dyDescent="0.25">
      <c r="C25" s="135" t="s">
        <v>1566</v>
      </c>
      <c r="D25" s="118">
        <v>0.1506624823986813</v>
      </c>
    </row>
    <row r="26" spans="3:8" ht="16" thickBot="1" x14ac:dyDescent="0.25">
      <c r="D26" s="118"/>
    </row>
    <row r="27" spans="3:8" ht="35" thickBot="1" x14ac:dyDescent="0.25">
      <c r="C27" s="135" t="s">
        <v>1567</v>
      </c>
      <c r="D27" s="118">
        <v>58.16</v>
      </c>
    </row>
    <row r="28" spans="3:8" ht="19" thickBot="1" x14ac:dyDescent="0.25">
      <c r="C28" s="133" t="s">
        <v>1568</v>
      </c>
      <c r="D28" s="118">
        <v>1.2505999999999999</v>
      </c>
    </row>
    <row r="29" spans="3:8" ht="16" thickBot="1" x14ac:dyDescent="0.25">
      <c r="C29" s="133" t="s">
        <v>1569</v>
      </c>
      <c r="D29" s="118">
        <v>1.6778275278338457</v>
      </c>
      <c r="E29" s="117">
        <f>D29/2</f>
        <v>0.83891376391692285</v>
      </c>
      <c r="H29" t="s">
        <v>1264</v>
      </c>
    </row>
    <row r="30" spans="3:8" ht="31" thickBot="1" x14ac:dyDescent="0.25">
      <c r="C30" s="135" t="s">
        <v>1570</v>
      </c>
      <c r="D30" s="118">
        <v>2000</v>
      </c>
    </row>
    <row r="31" spans="3:8" ht="16" thickBot="1" x14ac:dyDescent="0.25">
      <c r="C31" s="133" t="s">
        <v>1571</v>
      </c>
      <c r="D31" s="118">
        <v>3355.6550556676916</v>
      </c>
    </row>
    <row r="32" spans="3:8" ht="36" thickBot="1" x14ac:dyDescent="0.25">
      <c r="C32" s="135" t="s">
        <v>1572</v>
      </c>
      <c r="D32" s="118">
        <v>4.96</v>
      </c>
    </row>
    <row r="33" spans="3:15" ht="16" thickBot="1" x14ac:dyDescent="0.25">
      <c r="C33" s="133" t="s">
        <v>1573</v>
      </c>
      <c r="D33" s="118">
        <v>484.00894713332963</v>
      </c>
    </row>
    <row r="34" spans="3:15" ht="31" thickBot="1" x14ac:dyDescent="0.25">
      <c r="C34" s="135" t="s">
        <v>1574</v>
      </c>
      <c r="D34" s="118">
        <v>382.36706823533041</v>
      </c>
    </row>
    <row r="35" spans="3:15" ht="16" thickBot="1" x14ac:dyDescent="0.25">
      <c r="C35" s="135" t="s">
        <v>1575</v>
      </c>
      <c r="D35" s="118">
        <v>284.78461921651393</v>
      </c>
    </row>
    <row r="36" spans="3:15" ht="16" thickBot="1" x14ac:dyDescent="0.25">
      <c r="C36" s="133" t="s">
        <v>1576</v>
      </c>
      <c r="D36" s="118">
        <v>101.64187889799922</v>
      </c>
    </row>
    <row r="37" spans="3:15" ht="16" thickBot="1" x14ac:dyDescent="0.25">
      <c r="C37" s="135" t="s">
        <v>1577</v>
      </c>
      <c r="D37" s="118">
        <v>386.42649811451315</v>
      </c>
    </row>
    <row r="39" spans="3:15" x14ac:dyDescent="0.2">
      <c r="C39" t="s">
        <v>1493</v>
      </c>
      <c r="D39" s="118">
        <v>4000.8261287196688</v>
      </c>
      <c r="E39" t="s">
        <v>493</v>
      </c>
    </row>
    <row r="40" spans="3:15" x14ac:dyDescent="0.2">
      <c r="C40" s="59" t="s">
        <v>1493</v>
      </c>
      <c r="D40" s="140">
        <v>4.0008261287196687</v>
      </c>
      <c r="E40" s="59" t="s">
        <v>613</v>
      </c>
    </row>
    <row r="42" spans="3:15" x14ac:dyDescent="0.2">
      <c r="C42" t="s">
        <v>1578</v>
      </c>
      <c r="G42">
        <v>264.17200000000003</v>
      </c>
      <c r="H42" t="s">
        <v>1579</v>
      </c>
    </row>
    <row r="43" spans="3:15" ht="16" thickBot="1" x14ac:dyDescent="0.25">
      <c r="J43">
        <f>J44*G42</f>
        <v>128304.8466357889</v>
      </c>
    </row>
    <row r="44" spans="3:15" ht="18" x14ac:dyDescent="0.25">
      <c r="C44" s="141" t="s">
        <v>1580</v>
      </c>
      <c r="D44" s="142">
        <f>D40*1.2</f>
        <v>4.8009913544636023</v>
      </c>
      <c r="E44" s="143" t="s">
        <v>1581</v>
      </c>
      <c r="F44">
        <f>D44*G42</f>
        <v>1268.2874880913589</v>
      </c>
      <c r="I44" s="165" t="s">
        <v>1582</v>
      </c>
      <c r="J44" s="166">
        <f>(D29+D33)</f>
        <v>485.6867746611635</v>
      </c>
      <c r="K44" s="152" t="s">
        <v>914</v>
      </c>
      <c r="L44" s="271" t="s">
        <v>1583</v>
      </c>
      <c r="M44">
        <v>60000</v>
      </c>
      <c r="N44" t="s">
        <v>1297</v>
      </c>
      <c r="O44" t="s">
        <v>1290</v>
      </c>
    </row>
    <row r="45" spans="3:15" x14ac:dyDescent="0.2">
      <c r="C45" s="264" t="s">
        <v>1584</v>
      </c>
      <c r="D45" s="222"/>
      <c r="E45" s="265"/>
      <c r="F45">
        <v>5000</v>
      </c>
      <c r="G45" t="s">
        <v>1297</v>
      </c>
      <c r="H45" t="s">
        <v>1290</v>
      </c>
      <c r="I45" s="264" t="s">
        <v>1584</v>
      </c>
      <c r="J45" s="222"/>
      <c r="K45" s="265"/>
      <c r="L45" s="272"/>
      <c r="M45">
        <f>M44*2</f>
        <v>120000</v>
      </c>
      <c r="N45" t="s">
        <v>1297</v>
      </c>
      <c r="O45" t="s">
        <v>1290</v>
      </c>
    </row>
    <row r="46" spans="3:15" x14ac:dyDescent="0.2">
      <c r="C46" s="144" t="s">
        <v>1585</v>
      </c>
      <c r="D46" s="222" t="s">
        <v>1586</v>
      </c>
      <c r="E46" s="265"/>
      <c r="F46">
        <v>12000</v>
      </c>
      <c r="G46" t="s">
        <v>1297</v>
      </c>
      <c r="H46" t="s">
        <v>979</v>
      </c>
      <c r="I46" s="144" t="s">
        <v>1585</v>
      </c>
      <c r="J46" s="222" t="s">
        <v>1586</v>
      </c>
      <c r="K46" s="265"/>
      <c r="L46" s="272"/>
    </row>
    <row r="47" spans="3:15" x14ac:dyDescent="0.2">
      <c r="C47" s="144" t="s">
        <v>1465</v>
      </c>
      <c r="D47" s="52">
        <f>(D44/PI())^(1/3)</f>
        <v>1.1518440512983039</v>
      </c>
      <c r="E47" s="145" t="s">
        <v>484</v>
      </c>
      <c r="F47" t="s">
        <v>1587</v>
      </c>
      <c r="H47" t="s">
        <v>1588</v>
      </c>
      <c r="I47" s="144" t="s">
        <v>1465</v>
      </c>
      <c r="J47" s="52">
        <f>(J44/PI())^(1/3)</f>
        <v>5.3670478633123642</v>
      </c>
      <c r="K47" s="145" t="s">
        <v>484</v>
      </c>
      <c r="L47" s="272"/>
      <c r="M47">
        <f>M44/(F45/F46)</f>
        <v>144000</v>
      </c>
      <c r="N47" t="s">
        <v>1297</v>
      </c>
      <c r="O47" t="s">
        <v>979</v>
      </c>
    </row>
    <row r="48" spans="3:15" ht="16" thickBot="1" x14ac:dyDescent="0.25">
      <c r="C48" s="146" t="s">
        <v>1471</v>
      </c>
      <c r="D48" s="147">
        <f>4*D47</f>
        <v>4.6073762051932157</v>
      </c>
      <c r="E48" s="148" t="s">
        <v>484</v>
      </c>
      <c r="I48" s="146" t="s">
        <v>1471</v>
      </c>
      <c r="J48" s="147">
        <f>4*J47</f>
        <v>21.468191453249457</v>
      </c>
      <c r="K48" s="148" t="s">
        <v>484</v>
      </c>
      <c r="L48" s="273"/>
      <c r="M48">
        <f>M47*2</f>
        <v>288000</v>
      </c>
      <c r="N48" t="s">
        <v>1297</v>
      </c>
      <c r="O48" t="s">
        <v>979</v>
      </c>
    </row>
    <row r="49" spans="3:13" ht="16" thickBot="1" x14ac:dyDescent="0.25">
      <c r="C49" s="168" t="s">
        <v>1589</v>
      </c>
      <c r="D49" s="170">
        <f>(101.325*D47/(94500*0.5-0.6*101.325))+0</f>
        <v>2.4732478222042656E-3</v>
      </c>
      <c r="E49" s="169" t="s">
        <v>484</v>
      </c>
      <c r="F49">
        <f>D49*39.3701</f>
        <v>9.7372014084964167E-2</v>
      </c>
      <c r="I49" s="168" t="s">
        <v>1589</v>
      </c>
      <c r="J49" s="170">
        <f>(101.325*J47/(94500*0.5-0.6*101.325))+0</f>
        <v>1.1524163730881361E-2</v>
      </c>
      <c r="K49" s="169" t="s">
        <v>484</v>
      </c>
      <c r="L49">
        <f>J49*39.3701</f>
        <v>0.45370747850117227</v>
      </c>
    </row>
    <row r="50" spans="3:13" ht="18" x14ac:dyDescent="0.25">
      <c r="C50" s="59" t="s">
        <v>1590</v>
      </c>
      <c r="D50" s="140">
        <f>D5/D51</f>
        <v>0.14882441110666672</v>
      </c>
      <c r="E50" s="59" t="s">
        <v>1591</v>
      </c>
      <c r="F50">
        <f>D50*24</f>
        <v>3.5717858665600013</v>
      </c>
      <c r="G50" t="s">
        <v>1592</v>
      </c>
    </row>
    <row r="51" spans="3:13" ht="18" x14ac:dyDescent="0.25">
      <c r="C51" t="s">
        <v>1593</v>
      </c>
      <c r="D51">
        <v>822.3</v>
      </c>
      <c r="E51" t="s">
        <v>1594</v>
      </c>
      <c r="M51" s="127">
        <f>M47*4100</f>
        <v>590400000</v>
      </c>
    </row>
    <row r="52" spans="3:13" ht="16" thickBot="1" x14ac:dyDescent="0.25"/>
    <row r="53" spans="3:13" ht="18" x14ac:dyDescent="0.25">
      <c r="C53" s="141" t="s">
        <v>1595</v>
      </c>
      <c r="D53" s="149">
        <f>D50*1.2</f>
        <v>0.17858929332800005</v>
      </c>
      <c r="E53" s="143" t="s">
        <v>1581</v>
      </c>
      <c r="F53">
        <f>D53*G42</f>
        <v>47.178290797044433</v>
      </c>
    </row>
    <row r="54" spans="3:13" x14ac:dyDescent="0.2">
      <c r="C54" s="264" t="s">
        <v>1584</v>
      </c>
      <c r="D54" s="222"/>
      <c r="E54" s="265"/>
      <c r="F54">
        <f>2000*1.4</f>
        <v>2800</v>
      </c>
      <c r="G54" t="s">
        <v>1297</v>
      </c>
      <c r="H54" t="s">
        <v>1290</v>
      </c>
    </row>
    <row r="55" spans="3:13" x14ac:dyDescent="0.2">
      <c r="C55" s="144" t="s">
        <v>1585</v>
      </c>
      <c r="D55" s="222" t="s">
        <v>1586</v>
      </c>
      <c r="E55" s="265"/>
      <c r="F55">
        <f>F54/(F45/F46)*1.8</f>
        <v>12096</v>
      </c>
      <c r="G55" t="s">
        <v>1297</v>
      </c>
      <c r="H55" t="s">
        <v>979</v>
      </c>
    </row>
    <row r="56" spans="3:13" x14ac:dyDescent="0.2">
      <c r="C56" s="144" t="s">
        <v>1465</v>
      </c>
      <c r="D56" s="52">
        <f>(D53/PI())^(1/3)</f>
        <v>0.38450487345965856</v>
      </c>
      <c r="E56" s="145" t="s">
        <v>484</v>
      </c>
      <c r="F56" t="s">
        <v>1587</v>
      </c>
      <c r="H56" t="s">
        <v>1588</v>
      </c>
    </row>
    <row r="57" spans="3:13" ht="16" thickBot="1" x14ac:dyDescent="0.25">
      <c r="C57" s="146" t="s">
        <v>1471</v>
      </c>
      <c r="D57" s="147">
        <f>4*D56</f>
        <v>1.5380194938386342</v>
      </c>
      <c r="E57" s="148" t="s">
        <v>484</v>
      </c>
    </row>
    <row r="58" spans="3:13" x14ac:dyDescent="0.2">
      <c r="D58">
        <f>D57*0.8</f>
        <v>1.2304155950709075</v>
      </c>
    </row>
    <row r="59" spans="3:13" x14ac:dyDescent="0.2">
      <c r="D59">
        <f>D58*3.28084</f>
        <v>4.0367967009324364</v>
      </c>
      <c r="E59" t="s">
        <v>483</v>
      </c>
    </row>
    <row r="60" spans="3:13" x14ac:dyDescent="0.2">
      <c r="D60" s="118">
        <f>(101.325*D56/(94500*0.5-0.6*101.325))+0.015</f>
        <v>1.5825611626712081E-2</v>
      </c>
      <c r="F60">
        <f>D60*39.3701</f>
        <v>0.62305591230481727</v>
      </c>
    </row>
  </sheetData>
  <mergeCells count="11">
    <mergeCell ref="L44:L48"/>
    <mergeCell ref="C45:E45"/>
    <mergeCell ref="D46:E46"/>
    <mergeCell ref="C54:E54"/>
    <mergeCell ref="D55:E55"/>
    <mergeCell ref="I45:K45"/>
    <mergeCell ref="J46:K46"/>
    <mergeCell ref="C4:C6"/>
    <mergeCell ref="C7:C8"/>
    <mergeCell ref="C9:C10"/>
    <mergeCell ref="C12:C13"/>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230F2-6638-4C3C-BF27-76D546725C05}">
  <dimension ref="B2:J68"/>
  <sheetViews>
    <sheetView topLeftCell="A21" zoomScale="89" zoomScaleNormal="145" workbookViewId="0">
      <selection activeCell="C40" sqref="C40"/>
    </sheetView>
  </sheetViews>
  <sheetFormatPr baseColWidth="10" defaultColWidth="9.1640625" defaultRowHeight="15" x14ac:dyDescent="0.2"/>
  <cols>
    <col min="2" max="2" width="22.1640625" customWidth="1"/>
    <col min="3" max="3" width="13.6640625" customWidth="1"/>
    <col min="4" max="4" width="12.5" customWidth="1"/>
    <col min="5" max="5" width="18.5" customWidth="1"/>
  </cols>
  <sheetData>
    <row r="2" spans="2:10" x14ac:dyDescent="0.2">
      <c r="B2" s="222" t="s">
        <v>1499</v>
      </c>
      <c r="C2" s="222"/>
      <c r="D2" s="222"/>
      <c r="E2" s="222"/>
      <c r="F2" s="222"/>
      <c r="G2" s="222"/>
      <c r="H2" s="222"/>
      <c r="I2" s="222"/>
      <c r="J2" s="222"/>
    </row>
    <row r="3" spans="2:10" x14ac:dyDescent="0.2">
      <c r="B3" s="222" t="s">
        <v>1500</v>
      </c>
      <c r="C3" s="222"/>
      <c r="D3" s="222"/>
      <c r="E3" s="222"/>
      <c r="F3" s="222"/>
      <c r="G3" s="222"/>
      <c r="H3" s="222"/>
      <c r="I3" s="222"/>
      <c r="J3" s="222"/>
    </row>
    <row r="4" spans="2:10" x14ac:dyDescent="0.2">
      <c r="B4" s="222" t="s">
        <v>1501</v>
      </c>
      <c r="C4" s="222"/>
      <c r="D4" s="222"/>
      <c r="E4" s="222"/>
      <c r="F4" s="222"/>
      <c r="G4" s="222"/>
      <c r="H4" s="222"/>
      <c r="I4" s="222"/>
      <c r="J4" s="222"/>
    </row>
    <row r="5" spans="2:10" x14ac:dyDescent="0.2">
      <c r="B5" s="222" t="s">
        <v>1502</v>
      </c>
      <c r="C5" s="222"/>
      <c r="D5" s="222"/>
      <c r="E5" s="222"/>
      <c r="F5" s="222"/>
      <c r="G5" s="222"/>
      <c r="H5" s="222"/>
      <c r="I5" s="222"/>
      <c r="J5" s="222"/>
    </row>
    <row r="6" spans="2:10" x14ac:dyDescent="0.2">
      <c r="B6" s="222" t="s">
        <v>1503</v>
      </c>
      <c r="C6" s="222"/>
      <c r="D6" s="222"/>
      <c r="E6" s="222"/>
      <c r="F6" s="222"/>
      <c r="G6" s="222"/>
      <c r="H6" s="222"/>
      <c r="I6" s="222"/>
      <c r="J6" s="222"/>
    </row>
    <row r="7" spans="2:10" x14ac:dyDescent="0.2">
      <c r="B7" s="222" t="s">
        <v>1504</v>
      </c>
      <c r="C7" s="222"/>
      <c r="D7" s="222"/>
      <c r="E7" s="222"/>
      <c r="F7" s="222"/>
      <c r="G7" s="222"/>
      <c r="H7" s="222"/>
      <c r="I7" s="222"/>
      <c r="J7" s="222"/>
    </row>
    <row r="8" spans="2:10" x14ac:dyDescent="0.2">
      <c r="B8" s="222" t="s">
        <v>1505</v>
      </c>
      <c r="C8" s="222"/>
      <c r="D8" s="222"/>
      <c r="E8" s="222"/>
      <c r="F8" s="222"/>
      <c r="G8" s="222"/>
      <c r="H8" s="222"/>
      <c r="I8" s="222"/>
      <c r="J8" s="222"/>
    </row>
    <row r="10" spans="2:10" x14ac:dyDescent="0.2">
      <c r="B10" t="s">
        <v>1506</v>
      </c>
      <c r="C10" t="s">
        <v>1507</v>
      </c>
    </row>
    <row r="11" spans="2:10" x14ac:dyDescent="0.2">
      <c r="B11" t="s">
        <v>1508</v>
      </c>
      <c r="C11">
        <v>1253.5</v>
      </c>
      <c r="D11" t="s">
        <v>79</v>
      </c>
      <c r="E11" t="s">
        <v>1509</v>
      </c>
      <c r="F11">
        <v>142.03</v>
      </c>
      <c r="G11" t="s">
        <v>1485</v>
      </c>
    </row>
    <row r="12" spans="2:10" x14ac:dyDescent="0.2">
      <c r="B12" t="s">
        <v>1510</v>
      </c>
      <c r="C12">
        <v>1.0041599999999999</v>
      </c>
      <c r="D12" t="s">
        <v>1511</v>
      </c>
      <c r="E12" t="s">
        <v>1512</v>
      </c>
      <c r="F12">
        <v>79.58</v>
      </c>
      <c r="G12" t="s">
        <v>1485</v>
      </c>
    </row>
    <row r="13" spans="2:10" x14ac:dyDescent="0.2">
      <c r="E13" t="s">
        <v>1512</v>
      </c>
      <c r="F13">
        <v>90</v>
      </c>
      <c r="G13" t="s">
        <v>1485</v>
      </c>
    </row>
    <row r="14" spans="2:10" x14ac:dyDescent="0.2">
      <c r="B14" t="s">
        <v>1513</v>
      </c>
      <c r="C14" s="59">
        <f>C15*C11</f>
        <v>153400.823</v>
      </c>
      <c r="D14" t="s">
        <v>1492</v>
      </c>
      <c r="E14" t="s">
        <v>1509</v>
      </c>
      <c r="F14">
        <v>15</v>
      </c>
      <c r="G14" t="s">
        <v>1485</v>
      </c>
    </row>
    <row r="15" spans="2:10" x14ac:dyDescent="0.2">
      <c r="B15" t="s">
        <v>1514</v>
      </c>
      <c r="C15">
        <v>122.378</v>
      </c>
      <c r="D15" t="s">
        <v>493</v>
      </c>
    </row>
    <row r="16" spans="2:10" x14ac:dyDescent="0.2">
      <c r="E16" t="s">
        <v>1515</v>
      </c>
      <c r="F16">
        <f>((F11-F13)-(F12-F14))/(LN(((F11-F13)/(F12-F14))))</f>
        <v>58.079187516957383</v>
      </c>
    </row>
    <row r="17" spans="2:6" x14ac:dyDescent="0.2">
      <c r="B17" t="s">
        <v>1516</v>
      </c>
      <c r="C17" s="59">
        <f>C15*C18*(F11-F12)</f>
        <v>14482.549059499999</v>
      </c>
      <c r="D17" t="s">
        <v>1492</v>
      </c>
    </row>
    <row r="18" spans="2:6" x14ac:dyDescent="0.2">
      <c r="B18" t="s">
        <v>1517</v>
      </c>
      <c r="C18">
        <v>1.895</v>
      </c>
      <c r="D18" t="s">
        <v>1511</v>
      </c>
    </row>
    <row r="19" spans="2:6" x14ac:dyDescent="0.2">
      <c r="B19" t="s">
        <v>1518</v>
      </c>
      <c r="C19" s="59">
        <f>C20*C12*(F11-F12)</f>
        <v>77822.224774079994</v>
      </c>
      <c r="D19" t="s">
        <v>1492</v>
      </c>
    </row>
    <row r="20" spans="2:6" x14ac:dyDescent="0.2">
      <c r="B20" t="s">
        <v>1519</v>
      </c>
      <c r="C20">
        <f>20.624+1220.366</f>
        <v>1240.99</v>
      </c>
      <c r="D20" t="s">
        <v>493</v>
      </c>
    </row>
    <row r="22" spans="2:6" x14ac:dyDescent="0.2">
      <c r="B22" t="s">
        <v>1491</v>
      </c>
      <c r="C22" s="60">
        <v>36422.537001312005</v>
      </c>
      <c r="D22" t="s">
        <v>1492</v>
      </c>
    </row>
    <row r="24" spans="2:6" x14ac:dyDescent="0.2">
      <c r="B24" t="s">
        <v>1520</v>
      </c>
      <c r="C24" t="s">
        <v>1521</v>
      </c>
    </row>
    <row r="26" spans="2:6" x14ac:dyDescent="0.2">
      <c r="B26" t="s">
        <v>776</v>
      </c>
      <c r="C26">
        <f>(F13-F14)/(F11-F14)</f>
        <v>0.59041171376840118</v>
      </c>
    </row>
    <row r="27" spans="2:6" x14ac:dyDescent="0.2">
      <c r="B27" t="s">
        <v>911</v>
      </c>
      <c r="C27">
        <f>(F11-F12)/(F13-F14)</f>
        <v>0.83266666666666667</v>
      </c>
      <c r="F27">
        <v>1.0550600000000001</v>
      </c>
    </row>
    <row r="28" spans="2:6" x14ac:dyDescent="0.2">
      <c r="B28" t="s">
        <v>1522</v>
      </c>
      <c r="C28">
        <v>0.77</v>
      </c>
      <c r="D28" t="s">
        <v>1523</v>
      </c>
      <c r="F28">
        <v>9.2899999999999996E-2</v>
      </c>
    </row>
    <row r="30" spans="2:6" x14ac:dyDescent="0.2">
      <c r="B30" t="s">
        <v>1524</v>
      </c>
      <c r="E30">
        <v>4.7670000000000003</v>
      </c>
      <c r="F30">
        <v>102.136</v>
      </c>
    </row>
    <row r="31" spans="2:6" x14ac:dyDescent="0.2">
      <c r="B31" t="s">
        <v>1525</v>
      </c>
      <c r="C31">
        <v>5</v>
      </c>
      <c r="D31" t="s">
        <v>1526</v>
      </c>
      <c r="E31" s="230"/>
      <c r="F31" s="230"/>
    </row>
    <row r="32" spans="2:6" x14ac:dyDescent="0.2">
      <c r="B32" t="s">
        <v>1525</v>
      </c>
      <c r="C32">
        <v>4.7670000000000003</v>
      </c>
      <c r="D32" t="s">
        <v>1528</v>
      </c>
      <c r="E32" s="230"/>
      <c r="F32" s="230"/>
    </row>
    <row r="33" spans="2:6" x14ac:dyDescent="0.2">
      <c r="B33" s="60" t="s">
        <v>467</v>
      </c>
      <c r="C33" s="60">
        <f>C22/(C32*F16*C28)</f>
        <v>170.84952817856956</v>
      </c>
      <c r="D33" s="60" t="s">
        <v>1202</v>
      </c>
      <c r="E33">
        <f>C31*F27/0.929</f>
        <v>5.6784714747039828</v>
      </c>
      <c r="F33">
        <f>E33/255.928</f>
        <v>2.2187769508236626E-2</v>
      </c>
    </row>
    <row r="34" spans="2:6" x14ac:dyDescent="0.2">
      <c r="C34">
        <f>C33*1550</f>
        <v>264816.76867678284</v>
      </c>
    </row>
    <row r="35" spans="2:6" x14ac:dyDescent="0.2">
      <c r="B35" t="s">
        <v>1529</v>
      </c>
    </row>
    <row r="36" spans="2:6" x14ac:dyDescent="0.2">
      <c r="B36" t="s">
        <v>1530</v>
      </c>
      <c r="C36">
        <v>1</v>
      </c>
      <c r="D36" t="s">
        <v>1466</v>
      </c>
    </row>
    <row r="37" spans="2:6" x14ac:dyDescent="0.2">
      <c r="B37" t="s">
        <v>488</v>
      </c>
      <c r="C37">
        <v>16</v>
      </c>
      <c r="D37" t="s">
        <v>483</v>
      </c>
    </row>
    <row r="38" spans="2:6" x14ac:dyDescent="0.2">
      <c r="B38" t="s">
        <v>1531</v>
      </c>
      <c r="C38" t="s">
        <v>1532</v>
      </c>
    </row>
    <row r="39" spans="2:6" x14ac:dyDescent="0.2">
      <c r="B39" t="s">
        <v>1533</v>
      </c>
      <c r="C39">
        <f>((4*0.866*C36*C34)/((3.1416)^2*0.787402*C37*12))^0.5</f>
        <v>24.794875003217989</v>
      </c>
      <c r="D39" t="s">
        <v>1466</v>
      </c>
    </row>
    <row r="40" spans="2:6" x14ac:dyDescent="0.2">
      <c r="B40" t="s">
        <v>1534</v>
      </c>
      <c r="C40">
        <f>((3.1416/4)*C39^2)/(C36*0.866)</f>
        <v>557.56672987800857</v>
      </c>
      <c r="D40" t="s">
        <v>1535</v>
      </c>
    </row>
    <row r="41" spans="2:6" x14ac:dyDescent="0.2">
      <c r="B41" t="s">
        <v>1536</v>
      </c>
      <c r="C41">
        <v>16000</v>
      </c>
      <c r="D41" t="s">
        <v>532</v>
      </c>
    </row>
    <row r="42" spans="2:6" x14ac:dyDescent="0.2">
      <c r="B42" t="s">
        <v>1537</v>
      </c>
    </row>
    <row r="43" spans="2:6" x14ac:dyDescent="0.2">
      <c r="B43" t="s">
        <v>1538</v>
      </c>
      <c r="C43">
        <v>1</v>
      </c>
    </row>
    <row r="44" spans="2:6" x14ac:dyDescent="0.2">
      <c r="B44" t="s">
        <v>1539</v>
      </c>
      <c r="C44">
        <v>1.7</v>
      </c>
    </row>
    <row r="45" spans="2:6" x14ac:dyDescent="0.2">
      <c r="B45" t="s">
        <v>1540</v>
      </c>
      <c r="C45">
        <f>C41*(C44/C43)</f>
        <v>27200</v>
      </c>
      <c r="D45" t="s">
        <v>532</v>
      </c>
    </row>
    <row r="46" spans="2:6" x14ac:dyDescent="0.2">
      <c r="B46" t="s">
        <v>1541</v>
      </c>
      <c r="C46">
        <v>607.5</v>
      </c>
    </row>
    <row r="47" spans="2:6" x14ac:dyDescent="0.2">
      <c r="B47" t="s">
        <v>1542</v>
      </c>
      <c r="C47">
        <v>816</v>
      </c>
    </row>
    <row r="48" spans="2:6" x14ac:dyDescent="0.2">
      <c r="B48" t="s">
        <v>1543</v>
      </c>
      <c r="C48">
        <f>C45*C47/C46</f>
        <v>36535.308641975309</v>
      </c>
      <c r="D48" t="s">
        <v>532</v>
      </c>
    </row>
    <row r="49" spans="2:5" x14ac:dyDescent="0.2">
      <c r="B49" t="s">
        <v>1006</v>
      </c>
      <c r="C49">
        <v>859</v>
      </c>
    </row>
    <row r="50" spans="2:5" x14ac:dyDescent="0.2">
      <c r="B50" s="60" t="s">
        <v>1544</v>
      </c>
      <c r="C50" s="60">
        <f>C48*C49/C47</f>
        <v>38460.576131687245</v>
      </c>
      <c r="D50" s="60" t="s">
        <v>532</v>
      </c>
      <c r="E50" s="60" t="s">
        <v>1290</v>
      </c>
    </row>
    <row r="51" spans="2:5" x14ac:dyDescent="0.2">
      <c r="B51" s="60" t="s">
        <v>1544</v>
      </c>
      <c r="C51" s="60">
        <f>C50*3</f>
        <v>115381.72839506174</v>
      </c>
      <c r="D51" s="60" t="s">
        <v>532</v>
      </c>
      <c r="E51" s="60" t="s">
        <v>979</v>
      </c>
    </row>
    <row r="52" spans="2:5" x14ac:dyDescent="0.2">
      <c r="C52">
        <f>C51*4300</f>
        <v>496141432.09876549</v>
      </c>
    </row>
    <row r="54" spans="2:5" x14ac:dyDescent="0.2">
      <c r="B54">
        <f>35000*803.6/708.8</f>
        <v>39681.151241534993</v>
      </c>
      <c r="D54">
        <v>502.77</v>
      </c>
    </row>
    <row r="55" spans="2:5" x14ac:dyDescent="0.2">
      <c r="B55">
        <f>B54*D55/D54</f>
        <v>107603.97694178317</v>
      </c>
      <c r="D55">
        <v>1363.3689999999999</v>
      </c>
    </row>
    <row r="68" spans="2:2" x14ac:dyDescent="0.2">
      <c r="B68" t="s">
        <v>1545</v>
      </c>
    </row>
  </sheetData>
  <mergeCells count="8">
    <mergeCell ref="E31:F32"/>
    <mergeCell ref="B8:J8"/>
    <mergeCell ref="B3:J3"/>
    <mergeCell ref="B2:J2"/>
    <mergeCell ref="B4:J4"/>
    <mergeCell ref="B5:J5"/>
    <mergeCell ref="B6:J6"/>
    <mergeCell ref="B7:J7"/>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DF1D-AC7F-4254-A977-1562030158C3}">
  <dimension ref="B3:H38"/>
  <sheetViews>
    <sheetView zoomScale="82" zoomScaleNormal="85" workbookViewId="0">
      <selection activeCell="E12" sqref="E12"/>
    </sheetView>
  </sheetViews>
  <sheetFormatPr baseColWidth="10" defaultColWidth="11.5" defaultRowHeight="15" x14ac:dyDescent="0.2"/>
  <cols>
    <col min="2" max="2" width="18.83203125" bestFit="1" customWidth="1"/>
    <col min="3" max="3" width="12.33203125" bestFit="1" customWidth="1"/>
  </cols>
  <sheetData>
    <row r="3" spans="2:8" x14ac:dyDescent="0.2">
      <c r="B3" t="s">
        <v>1493</v>
      </c>
      <c r="C3" s="118">
        <v>4000.8261287196688</v>
      </c>
      <c r="D3" t="s">
        <v>493</v>
      </c>
    </row>
    <row r="4" spans="2:8" x14ac:dyDescent="0.2">
      <c r="B4" s="59" t="s">
        <v>1493</v>
      </c>
      <c r="C4" s="140">
        <v>4.0008261287196687</v>
      </c>
      <c r="D4" s="59" t="s">
        <v>613</v>
      </c>
    </row>
    <row r="6" spans="2:8" x14ac:dyDescent="0.2">
      <c r="B6">
        <v>1</v>
      </c>
      <c r="C6" t="s">
        <v>1596</v>
      </c>
      <c r="D6" t="s">
        <v>1597</v>
      </c>
      <c r="E6">
        <v>264.17200000000003</v>
      </c>
      <c r="F6" t="s">
        <v>1579</v>
      </c>
    </row>
    <row r="8" spans="2:8" x14ac:dyDescent="0.2">
      <c r="B8" s="59" t="s">
        <v>1493</v>
      </c>
      <c r="C8">
        <f>C4*E6</f>
        <v>1056.9062400761325</v>
      </c>
      <c r="D8" t="s">
        <v>1598</v>
      </c>
    </row>
    <row r="9" spans="2:8" x14ac:dyDescent="0.2">
      <c r="B9" s="92" t="s">
        <v>1493</v>
      </c>
      <c r="C9" s="92">
        <f>C8/60</f>
        <v>17.615104001268875</v>
      </c>
      <c r="D9" s="92" t="s">
        <v>1599</v>
      </c>
    </row>
    <row r="11" spans="2:8" x14ac:dyDescent="0.2">
      <c r="D11" t="s">
        <v>483</v>
      </c>
      <c r="E11" t="s">
        <v>1600</v>
      </c>
      <c r="F11" t="s">
        <v>1601</v>
      </c>
      <c r="G11" t="s">
        <v>1602</v>
      </c>
    </row>
    <row r="12" spans="2:8" x14ac:dyDescent="0.2">
      <c r="B12" s="32">
        <v>22</v>
      </c>
      <c r="C12" s="25" t="s">
        <v>1310</v>
      </c>
      <c r="D12" s="118">
        <v>9.8425200000000004</v>
      </c>
      <c r="E12">
        <f>$B$17*$D$12</f>
        <v>0.19685040000000001</v>
      </c>
      <c r="F12">
        <v>10</v>
      </c>
      <c r="G12" s="118"/>
    </row>
    <row r="13" spans="2:8" x14ac:dyDescent="0.2">
      <c r="B13" s="32">
        <v>21</v>
      </c>
      <c r="C13" s="25" t="s">
        <v>1310</v>
      </c>
      <c r="D13" s="118">
        <v>9.8425200000000004</v>
      </c>
      <c r="E13">
        <f>$B$17*$D$12</f>
        <v>0.19685040000000001</v>
      </c>
      <c r="F13">
        <v>10</v>
      </c>
      <c r="G13" s="118"/>
    </row>
    <row r="14" spans="2:8" x14ac:dyDescent="0.2">
      <c r="B14" s="32">
        <v>9</v>
      </c>
      <c r="C14" s="25" t="s">
        <v>1310</v>
      </c>
      <c r="D14" s="118">
        <v>9.8425200000000004</v>
      </c>
      <c r="E14">
        <f>$B$17*$D$12</f>
        <v>0.19685040000000001</v>
      </c>
      <c r="F14">
        <v>10</v>
      </c>
      <c r="G14" s="118"/>
    </row>
    <row r="15" spans="2:8" x14ac:dyDescent="0.2">
      <c r="E15">
        <f>SUM(E13:E14)</f>
        <v>0.39370080000000002</v>
      </c>
      <c r="F15">
        <f>SUM(F13:F14)</f>
        <v>20</v>
      </c>
      <c r="G15">
        <f>SUM(G12:G14)</f>
        <v>0</v>
      </c>
    </row>
    <row r="16" spans="2:8" x14ac:dyDescent="0.2">
      <c r="B16" t="s">
        <v>1500</v>
      </c>
      <c r="G16">
        <f>SUM(E15:G15)</f>
        <v>20.393700800000001</v>
      </c>
      <c r="H16" t="s">
        <v>1603</v>
      </c>
    </row>
    <row r="17" spans="2:8" x14ac:dyDescent="0.2">
      <c r="B17" s="32">
        <v>0.02</v>
      </c>
      <c r="C17" s="25" t="s">
        <v>1604</v>
      </c>
      <c r="D17" t="s">
        <v>1605</v>
      </c>
      <c r="G17" s="92">
        <f>G16+14.7</f>
        <v>35.093700800000001</v>
      </c>
      <c r="H17" s="92" t="s">
        <v>1027</v>
      </c>
    </row>
    <row r="18" spans="2:8" x14ac:dyDescent="0.2">
      <c r="B18" s="32">
        <v>10</v>
      </c>
      <c r="C18" s="25" t="s">
        <v>1603</v>
      </c>
      <c r="D18" t="s">
        <v>1601</v>
      </c>
    </row>
    <row r="19" spans="2:8" x14ac:dyDescent="0.2">
      <c r="B19" s="32">
        <v>0.4</v>
      </c>
      <c r="C19" s="25" t="s">
        <v>1606</v>
      </c>
      <c r="D19" t="s">
        <v>1607</v>
      </c>
    </row>
    <row r="20" spans="2:8" ht="16" thickBot="1" x14ac:dyDescent="0.25"/>
    <row r="21" spans="2:8" ht="15.5" customHeight="1" x14ac:dyDescent="0.2">
      <c r="B21" s="277" t="s">
        <v>1608</v>
      </c>
      <c r="C21" s="151">
        <f>C9*G17/1714</f>
        <v>0.36066463791214276</v>
      </c>
      <c r="D21" s="152" t="s">
        <v>1609</v>
      </c>
      <c r="E21" s="277" t="s">
        <v>1610</v>
      </c>
      <c r="F21" s="280"/>
      <c r="G21" t="s">
        <v>1611</v>
      </c>
      <c r="H21">
        <f>C9*(12*3.28084)^(0.5)</f>
        <v>110.52699440551747</v>
      </c>
    </row>
    <row r="22" spans="2:8" x14ac:dyDescent="0.2">
      <c r="B22" s="278"/>
      <c r="C22">
        <f>C21*0.7457</f>
        <v>0.26894762049108489</v>
      </c>
      <c r="D22" s="153" t="s">
        <v>1460</v>
      </c>
      <c r="E22" s="278"/>
      <c r="F22" s="281"/>
      <c r="G22" t="s">
        <v>1612</v>
      </c>
      <c r="H22">
        <f>EXP(9.7171-0.6019*(LN(H21))+0.0519*(LN(H21))^2)</f>
        <v>3084.1846610649736</v>
      </c>
    </row>
    <row r="23" spans="2:8" ht="16" thickBot="1" x14ac:dyDescent="0.25">
      <c r="B23" s="279"/>
      <c r="C23" s="154">
        <f>C22*60</f>
        <v>16.136857229465093</v>
      </c>
      <c r="D23" s="155" t="s">
        <v>1613</v>
      </c>
      <c r="E23" s="279"/>
      <c r="F23" s="282"/>
    </row>
    <row r="25" spans="2:8" x14ac:dyDescent="0.2">
      <c r="B25" s="32">
        <v>11</v>
      </c>
      <c r="C25" s="25" t="s">
        <v>1313</v>
      </c>
      <c r="D25">
        <v>49.212600000000002</v>
      </c>
      <c r="E25">
        <f>D25*B17</f>
        <v>0.98425200000000002</v>
      </c>
      <c r="F25">
        <v>10</v>
      </c>
      <c r="G25">
        <f>4*B19</f>
        <v>1.6</v>
      </c>
    </row>
    <row r="26" spans="2:8" x14ac:dyDescent="0.2">
      <c r="G26">
        <f>SUM(E25:G25)</f>
        <v>12.584251999999999</v>
      </c>
      <c r="H26" t="s">
        <v>1603</v>
      </c>
    </row>
    <row r="27" spans="2:8" x14ac:dyDescent="0.2">
      <c r="G27" s="92">
        <f>G26+14.7</f>
        <v>27.284251999999999</v>
      </c>
      <c r="H27" s="92" t="s">
        <v>1027</v>
      </c>
    </row>
    <row r="29" spans="2:8" ht="17" x14ac:dyDescent="0.25">
      <c r="B29" t="s">
        <v>1614</v>
      </c>
      <c r="C29" s="118">
        <v>0.14882403015930926</v>
      </c>
      <c r="D29" s="59" t="s">
        <v>613</v>
      </c>
      <c r="E29">
        <f>C29*1000</f>
        <v>148.82403015930925</v>
      </c>
      <c r="F29">
        <f>E29/60</f>
        <v>2.4804005026551539</v>
      </c>
    </row>
    <row r="30" spans="2:8" ht="17" x14ac:dyDescent="0.25">
      <c r="B30" t="s">
        <v>1614</v>
      </c>
      <c r="C30">
        <f>C29*E6</f>
        <v>39.315141695245046</v>
      </c>
      <c r="D30" t="s">
        <v>1598</v>
      </c>
      <c r="F30">
        <f>110*60/1000</f>
        <v>6.6</v>
      </c>
    </row>
    <row r="31" spans="2:8" ht="17" x14ac:dyDescent="0.25">
      <c r="B31" t="s">
        <v>1614</v>
      </c>
      <c r="C31">
        <f>C30/60</f>
        <v>0.6552523615874174</v>
      </c>
      <c r="D31" s="92" t="s">
        <v>1599</v>
      </c>
      <c r="F31">
        <f>F30*E6</f>
        <v>1743.5352</v>
      </c>
      <c r="G31">
        <f>F31/60</f>
        <v>29.058920000000001</v>
      </c>
    </row>
    <row r="32" spans="2:8" ht="16" thickBot="1" x14ac:dyDescent="0.25"/>
    <row r="33" spans="2:7" x14ac:dyDescent="0.2">
      <c r="B33" s="277" t="s">
        <v>1608</v>
      </c>
      <c r="C33" s="156">
        <f>C31*G27/1714</f>
        <v>1.0430612927156486E-2</v>
      </c>
      <c r="D33" s="152" t="s">
        <v>1609</v>
      </c>
      <c r="E33" s="277" t="s">
        <v>1610</v>
      </c>
      <c r="F33" s="280"/>
      <c r="G33" s="274" t="s">
        <v>1583</v>
      </c>
    </row>
    <row r="34" spans="2:7" x14ac:dyDescent="0.2">
      <c r="B34" s="278"/>
      <c r="C34">
        <f>C33*0.7457</f>
        <v>7.7781080597805917E-3</v>
      </c>
      <c r="D34" s="153" t="s">
        <v>1460</v>
      </c>
      <c r="E34" s="278"/>
      <c r="F34" s="281"/>
      <c r="G34" s="275"/>
    </row>
    <row r="35" spans="2:7" ht="16" thickBot="1" x14ac:dyDescent="0.25">
      <c r="B35" s="279"/>
      <c r="C35" s="154">
        <f>C34*60</f>
        <v>0.46668648358683551</v>
      </c>
      <c r="D35" s="155" t="s">
        <v>1613</v>
      </c>
      <c r="E35" s="279"/>
      <c r="F35" s="282"/>
      <c r="G35" s="276"/>
    </row>
    <row r="37" spans="2:7" x14ac:dyDescent="0.2">
      <c r="C37">
        <f>C23+C35+C35</f>
        <v>17.070230196638761</v>
      </c>
    </row>
    <row r="38" spans="2:7" x14ac:dyDescent="0.2">
      <c r="C38">
        <f>C37*8300</f>
        <v>141682.9106321017</v>
      </c>
    </row>
  </sheetData>
  <mergeCells count="5">
    <mergeCell ref="G33:G35"/>
    <mergeCell ref="B21:B23"/>
    <mergeCell ref="B33:B35"/>
    <mergeCell ref="E33:F35"/>
    <mergeCell ref="E21:F2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BFBA-6FCA-4476-B476-27155141C632}">
  <dimension ref="B2:O14"/>
  <sheetViews>
    <sheetView workbookViewId="0"/>
  </sheetViews>
  <sheetFormatPr baseColWidth="10" defaultColWidth="11.5" defaultRowHeight="15" x14ac:dyDescent="0.2"/>
  <cols>
    <col min="2" max="2" width="15.1640625" customWidth="1"/>
    <col min="3" max="4" width="17.83203125" customWidth="1"/>
    <col min="5" max="5" width="22.1640625" customWidth="1"/>
    <col min="6" max="6" width="27.1640625" customWidth="1"/>
    <col min="7" max="7" width="26.5" customWidth="1"/>
    <col min="8" max="8" width="23.6640625" customWidth="1"/>
    <col min="9" max="9" width="23.5" customWidth="1"/>
    <col min="10" max="10" width="24.33203125" customWidth="1"/>
    <col min="11" max="11" width="21.5" customWidth="1"/>
    <col min="12" max="12" width="15.5" customWidth="1"/>
    <col min="13" max="13" width="19.1640625" customWidth="1"/>
    <col min="14" max="14" width="21.5" customWidth="1"/>
    <col min="15" max="15" width="20.33203125" customWidth="1"/>
  </cols>
  <sheetData>
    <row r="2" spans="2:15" x14ac:dyDescent="0.2">
      <c r="B2" s="157" t="s">
        <v>1167</v>
      </c>
      <c r="C2" s="157" t="s">
        <v>1168</v>
      </c>
      <c r="D2" s="157" t="s">
        <v>1169</v>
      </c>
      <c r="E2" s="157" t="s">
        <v>1170</v>
      </c>
      <c r="F2" s="157" t="s">
        <v>1171</v>
      </c>
      <c r="G2" s="157" t="s">
        <v>1172</v>
      </c>
      <c r="H2" s="157" t="s">
        <v>1173</v>
      </c>
      <c r="I2" s="157" t="s">
        <v>1174</v>
      </c>
      <c r="J2" s="157" t="s">
        <v>1175</v>
      </c>
      <c r="K2" s="157" t="s">
        <v>1176</v>
      </c>
      <c r="L2" s="25"/>
    </row>
    <row r="3" spans="2:15" x14ac:dyDescent="0.2">
      <c r="B3" s="157">
        <v>1</v>
      </c>
      <c r="C3" s="157">
        <v>29.2</v>
      </c>
      <c r="D3" s="157">
        <v>0.82089999999999996</v>
      </c>
      <c r="E3" s="157">
        <v>0.82509999999999994</v>
      </c>
      <c r="F3" s="157">
        <v>85.8</v>
      </c>
      <c r="G3" s="157">
        <v>90.1</v>
      </c>
      <c r="H3" s="157">
        <v>7.1</v>
      </c>
      <c r="I3" s="157"/>
      <c r="J3" s="157"/>
      <c r="K3" s="157"/>
    </row>
    <row r="4" spans="2:15" x14ac:dyDescent="0.2">
      <c r="B4" s="157">
        <v>2</v>
      </c>
      <c r="C4" s="157">
        <v>29.1</v>
      </c>
      <c r="D4" s="157">
        <v>0.83789999999999998</v>
      </c>
      <c r="E4" s="157">
        <v>0.84209999999999996</v>
      </c>
      <c r="F4" s="157">
        <v>79</v>
      </c>
      <c r="G4" s="157">
        <v>84.7</v>
      </c>
      <c r="H4" s="157">
        <v>6</v>
      </c>
      <c r="I4" s="157"/>
      <c r="J4" s="157"/>
      <c r="K4" s="157"/>
    </row>
    <row r="5" spans="2:15" x14ac:dyDescent="0.2">
      <c r="B5" s="157">
        <v>3</v>
      </c>
      <c r="C5" s="157">
        <v>28.7</v>
      </c>
      <c r="D5" s="157">
        <v>0.8589</v>
      </c>
      <c r="E5" s="157">
        <v>0.86299999999999999</v>
      </c>
      <c r="F5" s="157">
        <v>70.599999999999994</v>
      </c>
      <c r="G5" s="157">
        <v>77.400000000000006</v>
      </c>
      <c r="H5" s="157">
        <v>5.0999999999999996</v>
      </c>
      <c r="I5" s="157"/>
      <c r="J5" s="157"/>
      <c r="K5" s="157"/>
    </row>
    <row r="6" spans="2:15" x14ac:dyDescent="0.2">
      <c r="B6" s="157">
        <v>4</v>
      </c>
      <c r="C6" s="157">
        <v>29</v>
      </c>
      <c r="D6" s="157">
        <v>0.81089999999999995</v>
      </c>
      <c r="E6" s="157">
        <v>0.81510000000000005</v>
      </c>
      <c r="F6" s="157">
        <v>89.6</v>
      </c>
      <c r="G6" s="157">
        <v>93</v>
      </c>
      <c r="H6" s="157"/>
      <c r="I6" s="157">
        <v>6</v>
      </c>
      <c r="J6" s="157"/>
      <c r="K6" s="157"/>
    </row>
    <row r="7" spans="2:15" x14ac:dyDescent="0.2">
      <c r="B7" s="157">
        <v>5</v>
      </c>
      <c r="C7" s="157">
        <v>28.6</v>
      </c>
      <c r="D7" s="157">
        <v>0.83740000000000003</v>
      </c>
      <c r="E7" s="157">
        <v>0.84150000000000003</v>
      </c>
      <c r="F7" s="157">
        <v>79.400000000000006</v>
      </c>
      <c r="G7" s="157">
        <v>85</v>
      </c>
      <c r="H7" s="157"/>
      <c r="I7" s="157"/>
      <c r="J7" s="157">
        <v>5</v>
      </c>
      <c r="K7" s="157"/>
    </row>
    <row r="8" spans="2:15" x14ac:dyDescent="0.2">
      <c r="B8" s="157">
        <v>6</v>
      </c>
      <c r="C8" s="157">
        <v>28.4</v>
      </c>
      <c r="D8" s="157">
        <v>0.85599999999999998</v>
      </c>
      <c r="E8" s="157">
        <v>0.86009999999999998</v>
      </c>
      <c r="F8" s="157">
        <v>71.8</v>
      </c>
      <c r="G8" s="157">
        <v>78.5</v>
      </c>
      <c r="H8" s="157"/>
      <c r="I8" s="157"/>
      <c r="J8" s="157"/>
      <c r="K8" s="157">
        <v>4.0999999999999996</v>
      </c>
    </row>
    <row r="9" spans="2:15" x14ac:dyDescent="0.2">
      <c r="B9" s="157">
        <v>7</v>
      </c>
      <c r="C9" s="157">
        <v>29.5</v>
      </c>
      <c r="D9" s="157">
        <v>0.81159999999999999</v>
      </c>
      <c r="E9" s="157">
        <v>0.81589999999999996</v>
      </c>
      <c r="F9" s="157">
        <v>89.2</v>
      </c>
      <c r="G9" s="157">
        <v>92.7</v>
      </c>
      <c r="H9" s="157"/>
      <c r="I9" s="157">
        <v>6.8</v>
      </c>
      <c r="J9" s="157"/>
      <c r="K9" s="157"/>
    </row>
    <row r="10" spans="2:15" x14ac:dyDescent="0.2">
      <c r="B10" s="157">
        <v>8</v>
      </c>
      <c r="C10" s="157">
        <v>29</v>
      </c>
      <c r="D10" s="157">
        <v>0.84309999999999996</v>
      </c>
      <c r="E10" s="157">
        <v>0.84730000000000005</v>
      </c>
      <c r="F10" s="157">
        <v>76.900000000000006</v>
      </c>
      <c r="G10" s="157">
        <v>83</v>
      </c>
      <c r="H10" s="157"/>
      <c r="I10" s="157"/>
      <c r="J10" s="157">
        <v>6.2</v>
      </c>
      <c r="K10" s="157"/>
    </row>
    <row r="11" spans="2:15" x14ac:dyDescent="0.2">
      <c r="B11" s="157">
        <v>9</v>
      </c>
      <c r="C11" s="157">
        <v>28.9</v>
      </c>
      <c r="D11" s="157">
        <v>0.85219999999999996</v>
      </c>
      <c r="E11" s="157">
        <v>0.85640000000000005</v>
      </c>
      <c r="F11" s="157">
        <v>73.2</v>
      </c>
      <c r="G11" s="157">
        <v>79.7</v>
      </c>
      <c r="H11" s="157"/>
      <c r="I11" s="157"/>
      <c r="J11" s="157"/>
      <c r="K11" s="157">
        <v>6.4</v>
      </c>
    </row>
    <row r="12" spans="2:15" x14ac:dyDescent="0.2">
      <c r="B12" s="157" t="s">
        <v>494</v>
      </c>
      <c r="C12" s="157">
        <v>28.9</v>
      </c>
      <c r="D12" s="157">
        <v>0.8034</v>
      </c>
      <c r="E12" s="157">
        <v>0.8075</v>
      </c>
      <c r="F12" s="157">
        <v>92.6</v>
      </c>
      <c r="G12" s="157">
        <v>95.1</v>
      </c>
      <c r="H12" s="157" t="s">
        <v>1177</v>
      </c>
      <c r="I12" s="157" t="s">
        <v>1177</v>
      </c>
      <c r="J12" s="157" t="s">
        <v>1177</v>
      </c>
      <c r="K12" s="157" t="s">
        <v>1177</v>
      </c>
    </row>
    <row r="13" spans="2:15" x14ac:dyDescent="0.2">
      <c r="B13" s="157" t="s">
        <v>1178</v>
      </c>
      <c r="C13" s="157">
        <v>34.5</v>
      </c>
      <c r="D13" s="157">
        <v>0.90910000000000002</v>
      </c>
      <c r="E13" s="157">
        <v>0.91510000000000002</v>
      </c>
      <c r="F13" s="157">
        <v>46.6</v>
      </c>
      <c r="G13" s="157">
        <v>54.4</v>
      </c>
      <c r="H13" s="157" t="s">
        <v>1177</v>
      </c>
      <c r="I13" s="157" t="s">
        <v>1177</v>
      </c>
      <c r="J13" s="157" t="s">
        <v>1177</v>
      </c>
      <c r="K13" s="157" t="s">
        <v>1177</v>
      </c>
      <c r="L13" s="25"/>
      <c r="M13" s="25"/>
      <c r="N13" s="25"/>
      <c r="O13" s="25"/>
    </row>
    <row r="14" spans="2:15" x14ac:dyDescent="0.2">
      <c r="B14" s="3" t="s">
        <v>1179</v>
      </c>
      <c r="C14" s="157">
        <v>32.9</v>
      </c>
      <c r="D14" s="157">
        <v>0.91849999999999998</v>
      </c>
      <c r="E14" s="157">
        <v>0.92400000000000004</v>
      </c>
      <c r="F14" s="157">
        <v>43.2</v>
      </c>
      <c r="G14" s="157">
        <v>50.8</v>
      </c>
      <c r="H14" s="157" t="s">
        <v>1177</v>
      </c>
      <c r="I14" s="157" t="s">
        <v>1177</v>
      </c>
      <c r="J14" s="157" t="s">
        <v>1177</v>
      </c>
      <c r="K14" s="157" t="s">
        <v>1177</v>
      </c>
      <c r="L14" s="25"/>
      <c r="M14" s="25"/>
      <c r="N14" s="25"/>
      <c r="O14" s="25"/>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01EA1-7B19-4C9A-A81D-096770E61C49}">
  <dimension ref="A2:L27"/>
  <sheetViews>
    <sheetView zoomScale="74" zoomScaleNormal="115" workbookViewId="0">
      <selection activeCell="G19" sqref="G19"/>
    </sheetView>
  </sheetViews>
  <sheetFormatPr baseColWidth="10" defaultColWidth="11.5" defaultRowHeight="15" x14ac:dyDescent="0.2"/>
  <cols>
    <col min="1" max="1" width="20.5" bestFit="1" customWidth="1"/>
    <col min="9" max="9" width="14" bestFit="1" customWidth="1"/>
  </cols>
  <sheetData>
    <row r="2" spans="1:11" x14ac:dyDescent="0.2">
      <c r="C2">
        <f>3.5*60</f>
        <v>210</v>
      </c>
      <c r="D2" t="s">
        <v>1615</v>
      </c>
    </row>
    <row r="5" spans="1:11" x14ac:dyDescent="0.2">
      <c r="B5" s="118">
        <v>484.00894713332963</v>
      </c>
      <c r="C5" t="s">
        <v>1616</v>
      </c>
      <c r="F5" s="118">
        <v>894.97468745347419</v>
      </c>
      <c r="G5" t="s">
        <v>1616</v>
      </c>
    </row>
    <row r="6" spans="1:11" x14ac:dyDescent="0.2">
      <c r="B6">
        <f>B5/3600</f>
        <v>0.13444692975925823</v>
      </c>
      <c r="C6" t="s">
        <v>1617</v>
      </c>
      <c r="F6">
        <f>F5/3600</f>
        <v>0.24860407984818728</v>
      </c>
      <c r="G6" t="s">
        <v>1617</v>
      </c>
    </row>
    <row r="7" spans="1:11" x14ac:dyDescent="0.2">
      <c r="B7" s="59">
        <f>B5*35.3147/60</f>
        <v>284.87717942215659</v>
      </c>
      <c r="C7" s="59" t="s">
        <v>1618</v>
      </c>
      <c r="D7" s="59" t="s">
        <v>1619</v>
      </c>
      <c r="E7" t="s">
        <v>1613</v>
      </c>
      <c r="F7" s="59">
        <f>F5*35.3147/60</f>
        <v>526.76270991688682</v>
      </c>
      <c r="G7" s="59" t="s">
        <v>1618</v>
      </c>
      <c r="H7" s="59" t="s">
        <v>1619</v>
      </c>
      <c r="J7" t="s">
        <v>1613</v>
      </c>
    </row>
    <row r="8" spans="1:11" x14ac:dyDescent="0.2">
      <c r="A8" t="s">
        <v>1620</v>
      </c>
      <c r="B8" s="164">
        <f>B7*(519.67/(8130*0.29))*((A10*3.5/A10)^(0.29)-1)</f>
        <v>27.506752036144153</v>
      </c>
      <c r="C8" s="163" t="s">
        <v>1621</v>
      </c>
      <c r="D8" s="163" t="s">
        <v>1622</v>
      </c>
      <c r="E8">
        <f>B8*0.7457</f>
        <v>20.511784993352695</v>
      </c>
      <c r="F8" s="164">
        <f>F7*(519.67/(8130*0.29))*((A10/(A10-2))^(0.29)-1)</f>
        <v>7.0611066173765513</v>
      </c>
      <c r="G8" s="163" t="s">
        <v>1621</v>
      </c>
      <c r="H8" s="163" t="s">
        <v>1622</v>
      </c>
      <c r="I8" s="163" t="s">
        <v>1623</v>
      </c>
      <c r="J8">
        <f>F8*0.7457</f>
        <v>5.2654672045776945</v>
      </c>
    </row>
    <row r="9" spans="1:11" x14ac:dyDescent="0.2">
      <c r="A9" t="s">
        <v>1624</v>
      </c>
      <c r="B9" s="164">
        <f>B7*(634.9122/(8130*0.29))*((A10*8/((A10*3.5)-2))^(0.29)-1)</f>
        <v>22.323985202788698</v>
      </c>
      <c r="C9" s="163" t="s">
        <v>1621</v>
      </c>
      <c r="D9" s="163" t="s">
        <v>1625</v>
      </c>
      <c r="E9">
        <f>B9*0.7457</f>
        <v>16.646995765719534</v>
      </c>
      <c r="F9" s="118"/>
    </row>
    <row r="10" spans="1:11" x14ac:dyDescent="0.2">
      <c r="A10">
        <v>10.858000000000001</v>
      </c>
      <c r="I10">
        <f>E8+E9+J8</f>
        <v>42.424247963649925</v>
      </c>
      <c r="J10">
        <f>I10*8300</f>
        <v>352121.25809829438</v>
      </c>
    </row>
    <row r="11" spans="1:11" x14ac:dyDescent="0.2">
      <c r="C11">
        <f>B6/E12</f>
        <v>4.2785089968420449</v>
      </c>
      <c r="D11" t="s">
        <v>1435</v>
      </c>
      <c r="E11">
        <f>(PI()/4)*7.875^2</f>
        <v>48.706957976944878</v>
      </c>
      <c r="F11" t="s">
        <v>1626</v>
      </c>
    </row>
    <row r="12" spans="1:11" x14ac:dyDescent="0.2">
      <c r="C12" s="92">
        <f>C11*3.28084</f>
        <v>14.037103457199255</v>
      </c>
      <c r="D12" s="92" t="s">
        <v>1627</v>
      </c>
      <c r="E12">
        <f>E11*0.00064516</f>
        <v>3.142378100840576E-2</v>
      </c>
      <c r="F12" t="s">
        <v>584</v>
      </c>
    </row>
    <row r="13" spans="1:11" x14ac:dyDescent="0.2">
      <c r="J13">
        <f>519.67*(3.5*A10/A10)^0.29</f>
        <v>747.32133173237628</v>
      </c>
      <c r="K13" t="s">
        <v>911</v>
      </c>
    </row>
    <row r="14" spans="1:11" x14ac:dyDescent="0.2">
      <c r="J14">
        <f>J13-459.67</f>
        <v>287.65133173237626</v>
      </c>
      <c r="K14" t="s">
        <v>1628</v>
      </c>
    </row>
    <row r="15" spans="1:11" x14ac:dyDescent="0.2">
      <c r="J15">
        <f>634.912*(A10*8/((A10*3.5)-2))^(0.29)</f>
        <v>819.66966798758256</v>
      </c>
      <c r="K15" t="s">
        <v>911</v>
      </c>
    </row>
    <row r="16" spans="1:11" x14ac:dyDescent="0.2">
      <c r="B16" s="32">
        <v>19</v>
      </c>
      <c r="C16" s="25" t="s">
        <v>1246</v>
      </c>
      <c r="D16" s="25" t="s">
        <v>1229</v>
      </c>
      <c r="E16" s="52">
        <v>0.89674309523695106</v>
      </c>
      <c r="F16" s="25">
        <v>1.2</v>
      </c>
      <c r="G16" s="52">
        <f t="shared" ref="G16" si="0">E16/F16</f>
        <v>0.74728591269745925</v>
      </c>
      <c r="H16" s="58">
        <f t="shared" ref="H16" si="1">G16/3600</f>
        <v>2.0757942019373869E-4</v>
      </c>
      <c r="J16">
        <f>J15-459.67</f>
        <v>359.99966798758254</v>
      </c>
      <c r="K16" t="s">
        <v>1628</v>
      </c>
    </row>
    <row r="17" spans="1:12" x14ac:dyDescent="0.2">
      <c r="J17">
        <f>519.67*(A10/(A10-2))^(0.29)</f>
        <v>551.27430827462217</v>
      </c>
      <c r="K17" t="s">
        <v>911</v>
      </c>
    </row>
    <row r="18" spans="1:12" x14ac:dyDescent="0.2">
      <c r="A18" t="s">
        <v>1629</v>
      </c>
      <c r="F18" t="s">
        <v>1630</v>
      </c>
      <c r="J18">
        <f>J17-459.67</f>
        <v>91.604308274622156</v>
      </c>
      <c r="K18" t="s">
        <v>1628</v>
      </c>
    </row>
    <row r="19" spans="1:12" x14ac:dyDescent="0.2">
      <c r="A19">
        <f>EXP(7.58+0.8*LN(B19))</f>
        <v>27765.380072749536</v>
      </c>
      <c r="B19" s="118">
        <v>27.506752036144153</v>
      </c>
      <c r="C19" t="s">
        <v>1621</v>
      </c>
      <c r="D19" t="s">
        <v>1631</v>
      </c>
      <c r="F19" s="90">
        <f>A19*803.6/500</f>
        <v>44624.518852923058</v>
      </c>
      <c r="J19">
        <v>33.11</v>
      </c>
      <c r="K19" t="s">
        <v>1485</v>
      </c>
    </row>
    <row r="20" spans="1:12" x14ac:dyDescent="0.2">
      <c r="A20">
        <f t="shared" ref="A20" si="2">EXP(7.58+0.8*LN(B20))</f>
        <v>12470.714201081477</v>
      </c>
      <c r="B20" s="118">
        <v>10.11402311621571</v>
      </c>
      <c r="C20" t="s">
        <v>1621</v>
      </c>
      <c r="D20" t="s">
        <v>1632</v>
      </c>
      <c r="F20" s="90">
        <f t="shared" ref="F20:F22" si="3">A20*803.6/500</f>
        <v>20042.931863978152</v>
      </c>
    </row>
    <row r="21" spans="1:12" x14ac:dyDescent="0.2">
      <c r="F21" s="90"/>
      <c r="H21">
        <v>819.67</v>
      </c>
      <c r="I21">
        <f>J21*(A10*8/((A10*3.5)-2))^(0.29)</f>
        <v>819.67000129099733</v>
      </c>
      <c r="J21">
        <v>634.91225817514783</v>
      </c>
    </row>
    <row r="22" spans="1:12" x14ac:dyDescent="0.2">
      <c r="A22">
        <f>EXP(7.58+0.8*LN(B22))</f>
        <v>9355.1420886183096</v>
      </c>
      <c r="B22" s="118">
        <v>7.0611066173765513</v>
      </c>
      <c r="C22" t="s">
        <v>1621</v>
      </c>
      <c r="D22" t="s">
        <v>1633</v>
      </c>
      <c r="F22" s="90">
        <f t="shared" si="3"/>
        <v>15035.584364827348</v>
      </c>
    </row>
    <row r="23" spans="1:12" x14ac:dyDescent="0.2">
      <c r="I23">
        <v>175.24199999999999</v>
      </c>
      <c r="K23">
        <v>142.03</v>
      </c>
      <c r="L23" t="s">
        <v>1485</v>
      </c>
    </row>
    <row r="24" spans="1:12" x14ac:dyDescent="0.2">
      <c r="I24">
        <v>79.58</v>
      </c>
      <c r="J24" t="s">
        <v>1485</v>
      </c>
    </row>
    <row r="27" spans="1:12" x14ac:dyDescent="0.2">
      <c r="I27" t="s">
        <v>1634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E8575-FA87-4B39-9E1C-7856A2F07FDC}">
  <dimension ref="A1:I50"/>
  <sheetViews>
    <sheetView topLeftCell="A9" workbookViewId="0">
      <selection activeCell="D45" sqref="D45"/>
    </sheetView>
  </sheetViews>
  <sheetFormatPr baseColWidth="10" defaultColWidth="11.5" defaultRowHeight="15" x14ac:dyDescent="0.2"/>
  <cols>
    <col min="2" max="2" width="11.6640625" bestFit="1" customWidth="1"/>
    <col min="3" max="3" width="9.1640625" bestFit="1" customWidth="1"/>
    <col min="4" max="4" width="30.33203125" customWidth="1"/>
    <col min="5" max="5" width="16.6640625" bestFit="1" customWidth="1"/>
    <col min="6" max="6" width="21" customWidth="1"/>
  </cols>
  <sheetData>
    <row r="1" spans="1:9" x14ac:dyDescent="0.2">
      <c r="A1" s="2" t="s">
        <v>1180</v>
      </c>
      <c r="B1" s="2" t="s">
        <v>1181</v>
      </c>
      <c r="D1" t="s">
        <v>1182</v>
      </c>
      <c r="E1">
        <f>AVERAGE(12800,14000)</f>
        <v>13400</v>
      </c>
      <c r="F1" t="s">
        <v>1183</v>
      </c>
    </row>
    <row r="2" spans="1:9" x14ac:dyDescent="0.2">
      <c r="A2" s="3">
        <v>1993</v>
      </c>
      <c r="B2" s="3">
        <v>22.6</v>
      </c>
      <c r="D2" t="s">
        <v>1184</v>
      </c>
      <c r="E2">
        <v>89.32</v>
      </c>
      <c r="F2" t="s">
        <v>1185</v>
      </c>
    </row>
    <row r="3" spans="1:9" x14ac:dyDescent="0.2">
      <c r="A3" s="3">
        <f t="shared" ref="A3:A42" si="0">A2+1</f>
        <v>1994</v>
      </c>
      <c r="B3" s="3">
        <v>22.59</v>
      </c>
      <c r="D3" t="s">
        <v>1184</v>
      </c>
      <c r="E3">
        <f>E2/30</f>
        <v>2.9773333333333332</v>
      </c>
      <c r="F3" t="s">
        <v>1186</v>
      </c>
    </row>
    <row r="4" spans="1:9" x14ac:dyDescent="0.2">
      <c r="A4" s="3">
        <f t="shared" si="0"/>
        <v>1995</v>
      </c>
      <c r="B4" s="3">
        <v>19.46</v>
      </c>
      <c r="D4" t="s">
        <v>1184</v>
      </c>
      <c r="E4">
        <f>E3/24</f>
        <v>0.12405555555555554</v>
      </c>
      <c r="F4" t="s">
        <v>1187</v>
      </c>
    </row>
    <row r="5" spans="1:9" x14ac:dyDescent="0.2">
      <c r="A5" s="3">
        <f t="shared" si="0"/>
        <v>1996</v>
      </c>
      <c r="B5" s="3">
        <v>21.63</v>
      </c>
      <c r="D5" t="s">
        <v>1188</v>
      </c>
      <c r="E5" s="1">
        <f>E1*E4</f>
        <v>1662.3444444444442</v>
      </c>
      <c r="F5" t="s">
        <v>593</v>
      </c>
    </row>
    <row r="6" spans="1:9" x14ac:dyDescent="0.2">
      <c r="A6" s="3">
        <f t="shared" si="0"/>
        <v>1997</v>
      </c>
      <c r="B6" s="3">
        <v>17.68</v>
      </c>
      <c r="D6" t="s">
        <v>1188</v>
      </c>
      <c r="E6">
        <f>E5*24</f>
        <v>39896.266666666663</v>
      </c>
      <c r="F6" t="s">
        <v>36</v>
      </c>
    </row>
    <row r="7" spans="1:9" x14ac:dyDescent="0.2">
      <c r="A7" s="3">
        <f t="shared" si="0"/>
        <v>1998</v>
      </c>
      <c r="B7" s="3">
        <v>16.7</v>
      </c>
      <c r="D7" t="s">
        <v>1188</v>
      </c>
      <c r="E7">
        <f>E6*30</f>
        <v>1196888</v>
      </c>
      <c r="F7" t="s">
        <v>50</v>
      </c>
    </row>
    <row r="8" spans="1:9" x14ac:dyDescent="0.2">
      <c r="A8" s="3">
        <f t="shared" si="0"/>
        <v>1999</v>
      </c>
      <c r="B8" s="3">
        <v>9.23</v>
      </c>
      <c r="D8" t="s">
        <v>1188</v>
      </c>
      <c r="E8">
        <f>E6*365</f>
        <v>14562137.333333332</v>
      </c>
      <c r="F8" t="s">
        <v>41</v>
      </c>
    </row>
    <row r="9" spans="1:9" x14ac:dyDescent="0.2">
      <c r="A9" s="3">
        <f t="shared" si="0"/>
        <v>2000</v>
      </c>
      <c r="B9" s="3">
        <v>8.75</v>
      </c>
      <c r="D9" t="s">
        <v>1189</v>
      </c>
      <c r="E9">
        <v>284</v>
      </c>
      <c r="F9" t="s">
        <v>600</v>
      </c>
    </row>
    <row r="10" spans="1:9" x14ac:dyDescent="0.2">
      <c r="A10" s="3">
        <f t="shared" si="0"/>
        <v>2001</v>
      </c>
      <c r="B10" s="3">
        <v>7.65</v>
      </c>
      <c r="D10" t="s">
        <v>1190</v>
      </c>
      <c r="E10" s="5">
        <f>E8*E9</f>
        <v>4135647002.6666665</v>
      </c>
      <c r="F10" t="s">
        <v>514</v>
      </c>
    </row>
    <row r="11" spans="1:9" x14ac:dyDescent="0.2">
      <c r="A11" s="3">
        <f t="shared" si="0"/>
        <v>2002</v>
      </c>
      <c r="B11" s="3">
        <v>6.99</v>
      </c>
    </row>
    <row r="12" spans="1:9" x14ac:dyDescent="0.2">
      <c r="A12" s="3">
        <f t="shared" si="0"/>
        <v>2003</v>
      </c>
      <c r="B12" s="3">
        <v>6.49</v>
      </c>
      <c r="D12" s="3" t="s">
        <v>1191</v>
      </c>
      <c r="E12" s="3" t="s">
        <v>1180</v>
      </c>
      <c r="F12" s="3" t="s">
        <v>1192</v>
      </c>
      <c r="G12" s="3"/>
      <c r="H12" s="3"/>
      <c r="I12" s="3"/>
    </row>
    <row r="13" spans="1:9" x14ac:dyDescent="0.2">
      <c r="A13" s="3">
        <f t="shared" si="0"/>
        <v>2004</v>
      </c>
      <c r="B13" s="3">
        <v>5.5</v>
      </c>
      <c r="D13" s="6">
        <f>B33*E9/B32</f>
        <v>308.38522281489105</v>
      </c>
      <c r="E13" s="3">
        <v>2024</v>
      </c>
      <c r="F13" s="7">
        <f t="shared" ref="F13:F22" si="1">$E$8*D13</f>
        <v>4490747966.2010431</v>
      </c>
      <c r="G13" s="3"/>
      <c r="H13" s="3"/>
      <c r="I13" s="3"/>
    </row>
    <row r="14" spans="1:9" x14ac:dyDescent="0.2">
      <c r="A14" s="3">
        <f t="shared" si="0"/>
        <v>2005</v>
      </c>
      <c r="B14" s="3">
        <v>4.8499999999999996</v>
      </c>
      <c r="D14" s="6">
        <f t="shared" ref="D14:D22" si="2">B34*D13/B33</f>
        <v>296.87119210905121</v>
      </c>
      <c r="E14" s="3">
        <v>2025</v>
      </c>
      <c r="F14" s="7">
        <f t="shared" si="1"/>
        <v>4323079069.8023863</v>
      </c>
      <c r="G14" s="3"/>
      <c r="H14" s="3"/>
      <c r="I14" s="3"/>
    </row>
    <row r="15" spans="1:9" x14ac:dyDescent="0.2">
      <c r="A15" s="3">
        <f t="shared" si="0"/>
        <v>2006</v>
      </c>
      <c r="B15" s="3">
        <v>4.4800000000000004</v>
      </c>
      <c r="D15" s="6">
        <f t="shared" si="2"/>
        <v>285.35716140321142</v>
      </c>
      <c r="E15" s="3">
        <f t="shared" ref="E15:E22" si="3">E14+1</f>
        <v>2026</v>
      </c>
      <c r="F15" s="7">
        <f t="shared" si="1"/>
        <v>4155410173.4037304</v>
      </c>
      <c r="G15" s="3"/>
      <c r="H15" s="3"/>
      <c r="I15" s="3"/>
    </row>
    <row r="16" spans="1:9" x14ac:dyDescent="0.2">
      <c r="A16" s="3">
        <f t="shared" si="0"/>
        <v>2007</v>
      </c>
      <c r="B16" s="3">
        <v>5.69</v>
      </c>
      <c r="D16" s="6">
        <f t="shared" si="2"/>
        <v>273.84313069737158</v>
      </c>
      <c r="E16" s="3">
        <f t="shared" si="3"/>
        <v>2027</v>
      </c>
      <c r="F16" s="7">
        <f t="shared" si="1"/>
        <v>3987741277.0050735</v>
      </c>
      <c r="G16" s="3"/>
      <c r="H16" s="3"/>
      <c r="I16" s="3"/>
    </row>
    <row r="17" spans="1:9" x14ac:dyDescent="0.2">
      <c r="A17" s="3">
        <f t="shared" si="0"/>
        <v>2008</v>
      </c>
      <c r="B17" s="3">
        <v>7.67</v>
      </c>
      <c r="D17" s="6">
        <f t="shared" si="2"/>
        <v>262.32909999153458</v>
      </c>
      <c r="E17" s="3">
        <f t="shared" si="3"/>
        <v>2028</v>
      </c>
      <c r="F17" s="7">
        <f t="shared" si="1"/>
        <v>3820072380.6064582</v>
      </c>
      <c r="G17" s="3"/>
      <c r="H17" s="3"/>
      <c r="I17" s="3"/>
    </row>
    <row r="18" spans="1:9" x14ac:dyDescent="0.2">
      <c r="A18" s="3">
        <f t="shared" si="0"/>
        <v>2009</v>
      </c>
      <c r="B18" s="3">
        <v>2</v>
      </c>
      <c r="D18" s="6">
        <f t="shared" si="2"/>
        <v>250.81506928569479</v>
      </c>
      <c r="E18" s="3">
        <f t="shared" si="3"/>
        <v>2029</v>
      </c>
      <c r="F18" s="7">
        <f t="shared" si="1"/>
        <v>3652403484.2078023</v>
      </c>
      <c r="G18" s="3"/>
      <c r="H18" s="3"/>
      <c r="I18" s="3"/>
    </row>
    <row r="19" spans="1:9" x14ac:dyDescent="0.2">
      <c r="A19" s="3">
        <f t="shared" si="0"/>
        <v>2010</v>
      </c>
      <c r="B19" s="3">
        <v>3.17</v>
      </c>
      <c r="D19" s="6">
        <f t="shared" si="2"/>
        <v>239.30103857985497</v>
      </c>
      <c r="E19" s="3">
        <f t="shared" si="3"/>
        <v>2030</v>
      </c>
      <c r="F19" s="7">
        <f t="shared" si="1"/>
        <v>3484734587.8091459</v>
      </c>
      <c r="G19" s="3"/>
      <c r="H19" s="3"/>
      <c r="I19" s="3"/>
    </row>
    <row r="20" spans="1:9" x14ac:dyDescent="0.2">
      <c r="A20" s="3">
        <f t="shared" si="0"/>
        <v>2011</v>
      </c>
      <c r="B20" s="3">
        <v>3.73</v>
      </c>
      <c r="D20" s="6">
        <f t="shared" si="2"/>
        <v>227.78700787401519</v>
      </c>
      <c r="E20" s="3">
        <f t="shared" si="3"/>
        <v>2031</v>
      </c>
      <c r="F20" s="7">
        <f t="shared" si="1"/>
        <v>3317065691.41049</v>
      </c>
      <c r="G20" s="3"/>
      <c r="H20" s="3"/>
      <c r="I20" s="3"/>
    </row>
    <row r="21" spans="1:9" x14ac:dyDescent="0.2">
      <c r="A21" s="3">
        <f t="shared" si="0"/>
        <v>2012</v>
      </c>
      <c r="B21" s="3">
        <v>2.44</v>
      </c>
      <c r="D21" s="6">
        <f t="shared" si="2"/>
        <v>216.27297716817822</v>
      </c>
      <c r="E21" s="3">
        <f t="shared" si="3"/>
        <v>2032</v>
      </c>
      <c r="F21" s="7">
        <f t="shared" si="1"/>
        <v>3149396795.0118752</v>
      </c>
      <c r="G21" s="3"/>
      <c r="H21" s="3"/>
      <c r="I21" s="3"/>
    </row>
    <row r="22" spans="1:9" x14ac:dyDescent="0.2">
      <c r="A22" s="3">
        <f t="shared" si="0"/>
        <v>2013</v>
      </c>
      <c r="B22" s="3">
        <v>1.94</v>
      </c>
      <c r="D22" s="6">
        <f t="shared" si="2"/>
        <v>204.7589464623384</v>
      </c>
      <c r="E22" s="3">
        <f t="shared" si="3"/>
        <v>2033</v>
      </c>
      <c r="F22" s="7">
        <f t="shared" si="1"/>
        <v>2981727898.6132193</v>
      </c>
      <c r="G22" s="3"/>
      <c r="H22" s="3"/>
      <c r="I22" s="3"/>
    </row>
    <row r="23" spans="1:9" x14ac:dyDescent="0.2">
      <c r="A23" s="3">
        <f t="shared" si="0"/>
        <v>2014</v>
      </c>
      <c r="B23" s="3">
        <v>3.66</v>
      </c>
      <c r="D23" s="6"/>
      <c r="E23" s="3"/>
      <c r="F23" s="8">
        <f>AVERAGE(F13:F22)</f>
        <v>3736237932.4071226</v>
      </c>
      <c r="G23" s="239" t="s">
        <v>1193</v>
      </c>
      <c r="H23" s="240"/>
      <c r="I23" s="241"/>
    </row>
    <row r="24" spans="1:9" x14ac:dyDescent="0.2">
      <c r="A24" s="3">
        <f t="shared" si="0"/>
        <v>2015</v>
      </c>
      <c r="B24" s="3">
        <v>6.77</v>
      </c>
      <c r="D24" s="1"/>
    </row>
    <row r="25" spans="1:9" x14ac:dyDescent="0.2">
      <c r="A25" s="3">
        <f t="shared" si="0"/>
        <v>2016</v>
      </c>
      <c r="B25" s="3">
        <v>5.75</v>
      </c>
      <c r="D25" s="1"/>
    </row>
    <row r="26" spans="1:9" x14ac:dyDescent="0.2">
      <c r="A26" s="3">
        <f t="shared" si="0"/>
        <v>2017</v>
      </c>
      <c r="B26" s="3">
        <v>4.09</v>
      </c>
      <c r="D26" t="s">
        <v>1194</v>
      </c>
      <c r="E26" s="1">
        <f>E5*0.2</f>
        <v>332.46888888888884</v>
      </c>
      <c r="F26" t="s">
        <v>593</v>
      </c>
    </row>
    <row r="27" spans="1:9" x14ac:dyDescent="0.2">
      <c r="A27" s="3">
        <f t="shared" si="0"/>
        <v>2018</v>
      </c>
      <c r="B27" s="3">
        <v>3.18</v>
      </c>
      <c r="D27" t="s">
        <v>1195</v>
      </c>
      <c r="E27" s="5">
        <f>F23*0.2</f>
        <v>747247586.48142457</v>
      </c>
      <c r="F27" t="s">
        <v>514</v>
      </c>
    </row>
    <row r="28" spans="1:9" x14ac:dyDescent="0.2">
      <c r="A28" s="3">
        <f t="shared" si="0"/>
        <v>2019</v>
      </c>
      <c r="B28" s="3">
        <v>3.8</v>
      </c>
    </row>
    <row r="29" spans="1:9" x14ac:dyDescent="0.2">
      <c r="A29" s="3">
        <f t="shared" si="0"/>
        <v>2020</v>
      </c>
      <c r="B29" s="3">
        <v>1.61</v>
      </c>
    </row>
    <row r="30" spans="1:9" x14ac:dyDescent="0.2">
      <c r="A30" s="3">
        <f t="shared" si="0"/>
        <v>2021</v>
      </c>
      <c r="B30" s="3">
        <v>5.62</v>
      </c>
    </row>
    <row r="31" spans="1:9" x14ac:dyDescent="0.2">
      <c r="A31" s="3">
        <f t="shared" si="0"/>
        <v>2022</v>
      </c>
      <c r="B31" s="3">
        <v>13.12</v>
      </c>
    </row>
    <row r="32" spans="1:9" x14ac:dyDescent="0.2">
      <c r="A32" s="3">
        <f t="shared" si="0"/>
        <v>2023</v>
      </c>
      <c r="B32" s="3">
        <v>11.43</v>
      </c>
      <c r="E32">
        <v>332</v>
      </c>
      <c r="F32" t="s">
        <v>1196</v>
      </c>
    </row>
    <row r="33" spans="1:6" x14ac:dyDescent="0.2">
      <c r="A33" s="3">
        <f t="shared" si="0"/>
        <v>2024</v>
      </c>
      <c r="B33" s="4">
        <f t="shared" ref="B33:B42" si="4">$B$32+_xlfn.FORECAST.LINEAR(A33,$B$2:$B$32,$A$2:$A$32)</f>
        <v>12.411419354838749</v>
      </c>
      <c r="E33">
        <v>320</v>
      </c>
      <c r="F33" t="s">
        <v>1197</v>
      </c>
    </row>
    <row r="34" spans="1:6" x14ac:dyDescent="0.2">
      <c r="A34" s="3">
        <f t="shared" si="0"/>
        <v>2025</v>
      </c>
      <c r="B34" s="4">
        <f t="shared" si="4"/>
        <v>11.948020161290337</v>
      </c>
      <c r="E34">
        <f>E32*E33</f>
        <v>106240</v>
      </c>
      <c r="F34" t="s">
        <v>1198</v>
      </c>
    </row>
    <row r="35" spans="1:6" x14ac:dyDescent="0.2">
      <c r="A35" s="3">
        <f t="shared" si="0"/>
        <v>2026</v>
      </c>
      <c r="B35" s="4">
        <f t="shared" si="4"/>
        <v>11.484620967741925</v>
      </c>
      <c r="E35" s="1">
        <f>E34/10000</f>
        <v>10.624000000000001</v>
      </c>
      <c r="F35" t="s">
        <v>1199</v>
      </c>
    </row>
    <row r="36" spans="1:6" x14ac:dyDescent="0.2">
      <c r="A36" s="3">
        <f t="shared" si="0"/>
        <v>2027</v>
      </c>
      <c r="B36" s="4">
        <f t="shared" si="4"/>
        <v>11.021221774193513</v>
      </c>
      <c r="E36">
        <v>321</v>
      </c>
      <c r="F36" t="s">
        <v>1200</v>
      </c>
    </row>
    <row r="37" spans="1:6" x14ac:dyDescent="0.2">
      <c r="A37" s="3">
        <f t="shared" si="0"/>
        <v>2028</v>
      </c>
      <c r="B37" s="4">
        <f t="shared" si="4"/>
        <v>10.557822580645215</v>
      </c>
    </row>
    <row r="38" spans="1:6" x14ac:dyDescent="0.2">
      <c r="A38" s="3">
        <f t="shared" si="0"/>
        <v>2029</v>
      </c>
      <c r="B38" s="4">
        <f t="shared" si="4"/>
        <v>10.094423387096803</v>
      </c>
      <c r="E38">
        <f>1.7*10.62/321</f>
        <v>5.6242990654205606E-2</v>
      </c>
      <c r="F38" t="s">
        <v>1201</v>
      </c>
    </row>
    <row r="39" spans="1:6" x14ac:dyDescent="0.2">
      <c r="A39" s="3">
        <f t="shared" si="0"/>
        <v>2030</v>
      </c>
      <c r="B39" s="4">
        <f t="shared" si="4"/>
        <v>9.6310241935483916</v>
      </c>
      <c r="E39">
        <f>E38*10000</f>
        <v>562.42990654205607</v>
      </c>
      <c r="F39" t="s">
        <v>1202</v>
      </c>
    </row>
    <row r="40" spans="1:6" x14ac:dyDescent="0.2">
      <c r="A40" s="3">
        <f t="shared" si="0"/>
        <v>2031</v>
      </c>
      <c r="B40" s="4">
        <f t="shared" si="4"/>
        <v>9.1676249999999797</v>
      </c>
    </row>
    <row r="41" spans="1:6" x14ac:dyDescent="0.2">
      <c r="A41" s="3">
        <f t="shared" si="0"/>
        <v>2032</v>
      </c>
      <c r="B41" s="4">
        <f t="shared" si="4"/>
        <v>8.7042258064516815</v>
      </c>
      <c r="E41" t="s">
        <v>1203</v>
      </c>
    </row>
    <row r="42" spans="1:6" x14ac:dyDescent="0.2">
      <c r="A42" s="3">
        <f t="shared" si="0"/>
        <v>2033</v>
      </c>
      <c r="B42" s="4">
        <f t="shared" si="4"/>
        <v>8.2408266129032697</v>
      </c>
    </row>
    <row r="43" spans="1:6" x14ac:dyDescent="0.2">
      <c r="B43" s="4" t="s">
        <v>1204</v>
      </c>
      <c r="D43" t="s">
        <v>1205</v>
      </c>
      <c r="E43">
        <v>83.33</v>
      </c>
      <c r="F43" t="s">
        <v>613</v>
      </c>
    </row>
    <row r="44" spans="1:6" x14ac:dyDescent="0.2">
      <c r="B44" t="s">
        <v>1206</v>
      </c>
      <c r="D44" t="s">
        <v>1207</v>
      </c>
      <c r="E44">
        <v>0.5</v>
      </c>
      <c r="F44" t="s">
        <v>1208</v>
      </c>
    </row>
    <row r="45" spans="1:6" x14ac:dyDescent="0.2">
      <c r="D45" t="s">
        <v>1209</v>
      </c>
      <c r="E45">
        <f>E43*E44</f>
        <v>41.664999999999999</v>
      </c>
      <c r="F45" t="s">
        <v>843</v>
      </c>
    </row>
    <row r="47" spans="1:6" x14ac:dyDescent="0.2">
      <c r="E47">
        <v>183</v>
      </c>
    </row>
    <row r="48" spans="1:6" x14ac:dyDescent="0.2">
      <c r="E48">
        <v>330</v>
      </c>
    </row>
    <row r="49" spans="5:5" x14ac:dyDescent="0.2">
      <c r="E49">
        <v>485</v>
      </c>
    </row>
    <row r="50" spans="5:5" x14ac:dyDescent="0.2">
      <c r="E50">
        <f>SUM(E47:E49)</f>
        <v>998</v>
      </c>
    </row>
  </sheetData>
  <mergeCells count="1">
    <mergeCell ref="G23:I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FED83-338C-41D9-B323-934F967FCE9F}">
  <dimension ref="A1:I50"/>
  <sheetViews>
    <sheetView topLeftCell="A13" workbookViewId="0">
      <selection activeCell="F8" sqref="F8"/>
    </sheetView>
  </sheetViews>
  <sheetFormatPr baseColWidth="10" defaultColWidth="11.5" defaultRowHeight="15" x14ac:dyDescent="0.2"/>
  <cols>
    <col min="2" max="2" width="11.6640625" bestFit="1" customWidth="1"/>
    <col min="4" max="4" width="30.33203125" customWidth="1"/>
    <col min="5" max="5" width="16.6640625" bestFit="1" customWidth="1"/>
    <col min="6" max="6" width="21" customWidth="1"/>
  </cols>
  <sheetData>
    <row r="1" spans="1:9" x14ac:dyDescent="0.2">
      <c r="A1" s="2" t="s">
        <v>1180</v>
      </c>
      <c r="B1" s="2" t="s">
        <v>1181</v>
      </c>
      <c r="D1" t="s">
        <v>1182</v>
      </c>
      <c r="E1">
        <f>AVERAGE(12800,14000)</f>
        <v>13400</v>
      </c>
      <c r="F1" t="s">
        <v>1183</v>
      </c>
    </row>
    <row r="2" spans="1:9" x14ac:dyDescent="0.2">
      <c r="A2" s="3">
        <v>1993</v>
      </c>
      <c r="B2" s="3">
        <v>22.6</v>
      </c>
      <c r="D2" t="s">
        <v>1184</v>
      </c>
      <c r="E2">
        <v>89.32</v>
      </c>
      <c r="F2" t="s">
        <v>1185</v>
      </c>
    </row>
    <row r="3" spans="1:9" x14ac:dyDescent="0.2">
      <c r="A3" s="3">
        <f t="shared" ref="A3:A42" si="0">A2+1</f>
        <v>1994</v>
      </c>
      <c r="B3" s="3">
        <v>22.59</v>
      </c>
      <c r="D3" t="s">
        <v>1184</v>
      </c>
      <c r="E3">
        <f>E2/30</f>
        <v>2.9773333333333332</v>
      </c>
      <c r="F3" t="s">
        <v>1186</v>
      </c>
    </row>
    <row r="4" spans="1:9" x14ac:dyDescent="0.2">
      <c r="A4" s="3">
        <f t="shared" si="0"/>
        <v>1995</v>
      </c>
      <c r="B4" s="3">
        <v>19.46</v>
      </c>
      <c r="D4" t="s">
        <v>1184</v>
      </c>
      <c r="E4">
        <f>E3/24</f>
        <v>0.12405555555555554</v>
      </c>
      <c r="F4" t="s">
        <v>1187</v>
      </c>
    </row>
    <row r="5" spans="1:9" x14ac:dyDescent="0.2">
      <c r="A5" s="3">
        <f t="shared" si="0"/>
        <v>1996</v>
      </c>
      <c r="B5" s="3">
        <v>21.63</v>
      </c>
      <c r="D5" t="s">
        <v>1188</v>
      </c>
      <c r="E5" s="1">
        <f>322.6</f>
        <v>322.60000000000002</v>
      </c>
      <c r="F5" t="s">
        <v>593</v>
      </c>
    </row>
    <row r="6" spans="1:9" x14ac:dyDescent="0.2">
      <c r="A6" s="3">
        <f t="shared" si="0"/>
        <v>1997</v>
      </c>
      <c r="B6" s="3">
        <v>17.68</v>
      </c>
      <c r="D6" t="s">
        <v>1188</v>
      </c>
      <c r="E6">
        <f>E5*24</f>
        <v>7742.4000000000005</v>
      </c>
      <c r="F6" t="s">
        <v>36</v>
      </c>
    </row>
    <row r="7" spans="1:9" x14ac:dyDescent="0.2">
      <c r="A7" s="3">
        <f t="shared" si="0"/>
        <v>1998</v>
      </c>
      <c r="B7" s="3">
        <v>16.7</v>
      </c>
      <c r="D7" t="s">
        <v>1188</v>
      </c>
      <c r="E7">
        <f>E6*30</f>
        <v>232272.00000000003</v>
      </c>
      <c r="F7" t="s">
        <v>50</v>
      </c>
    </row>
    <row r="8" spans="1:9" x14ac:dyDescent="0.2">
      <c r="A8" s="3">
        <f t="shared" si="0"/>
        <v>1999</v>
      </c>
      <c r="B8" s="3">
        <v>9.23</v>
      </c>
      <c r="D8" t="s">
        <v>1188</v>
      </c>
      <c r="E8">
        <f>E6*365</f>
        <v>2825976</v>
      </c>
      <c r="F8" t="s">
        <v>41</v>
      </c>
    </row>
    <row r="9" spans="1:9" x14ac:dyDescent="0.2">
      <c r="A9" s="3">
        <f t="shared" si="0"/>
        <v>2000</v>
      </c>
      <c r="B9" s="3">
        <v>8.75</v>
      </c>
      <c r="D9" t="s">
        <v>1189</v>
      </c>
      <c r="E9">
        <v>284</v>
      </c>
      <c r="F9" t="s">
        <v>600</v>
      </c>
    </row>
    <row r="10" spans="1:9" x14ac:dyDescent="0.2">
      <c r="A10" s="3">
        <f t="shared" si="0"/>
        <v>2001</v>
      </c>
      <c r="B10" s="3">
        <v>7.65</v>
      </c>
      <c r="D10" t="s">
        <v>1190</v>
      </c>
      <c r="E10" s="5">
        <f>E8*E9</f>
        <v>802577184</v>
      </c>
      <c r="F10" t="s">
        <v>514</v>
      </c>
    </row>
    <row r="11" spans="1:9" x14ac:dyDescent="0.2">
      <c r="A11" s="3">
        <f t="shared" si="0"/>
        <v>2002</v>
      </c>
      <c r="B11" s="3">
        <v>6.99</v>
      </c>
    </row>
    <row r="12" spans="1:9" x14ac:dyDescent="0.2">
      <c r="A12" s="3">
        <f t="shared" si="0"/>
        <v>2003</v>
      </c>
      <c r="B12" s="3">
        <v>6.49</v>
      </c>
      <c r="D12" s="3" t="s">
        <v>1191</v>
      </c>
      <c r="E12" s="3" t="s">
        <v>1180</v>
      </c>
      <c r="F12" s="3" t="s">
        <v>1192</v>
      </c>
      <c r="G12" s="3"/>
      <c r="H12" s="3"/>
      <c r="I12" s="3"/>
    </row>
    <row r="13" spans="1:9" x14ac:dyDescent="0.2">
      <c r="A13" s="3">
        <f t="shared" si="0"/>
        <v>2004</v>
      </c>
      <c r="B13" s="3">
        <v>5.5</v>
      </c>
      <c r="D13" s="6">
        <f>B33*E9/B32</f>
        <v>308.38522281489105</v>
      </c>
      <c r="E13" s="3">
        <v>2024</v>
      </c>
      <c r="F13" s="7">
        <f>$E$8*D13</f>
        <v>871489238.42953455</v>
      </c>
      <c r="G13" s="3"/>
      <c r="H13" s="3"/>
      <c r="I13" s="3"/>
    </row>
    <row r="14" spans="1:9" x14ac:dyDescent="0.2">
      <c r="A14" s="3">
        <f t="shared" si="0"/>
        <v>2005</v>
      </c>
      <c r="B14" s="3">
        <v>4.8499999999999996</v>
      </c>
      <c r="D14" s="6">
        <f>B34*D13/B33</f>
        <v>296.87119210905121</v>
      </c>
      <c r="E14" s="3">
        <v>2025</v>
      </c>
      <c r="F14" s="7">
        <f t="shared" ref="F14:F22" si="1">$E$8*D14</f>
        <v>838950863.99156809</v>
      </c>
      <c r="G14" s="3"/>
      <c r="H14" s="3"/>
      <c r="I14" s="3"/>
    </row>
    <row r="15" spans="1:9" x14ac:dyDescent="0.2">
      <c r="A15" s="3">
        <f t="shared" si="0"/>
        <v>2006</v>
      </c>
      <c r="B15" s="3">
        <v>4.4800000000000004</v>
      </c>
      <c r="D15" s="6">
        <f t="shared" ref="D15:D20" si="2">B35*D14/B34</f>
        <v>285.35716140321142</v>
      </c>
      <c r="E15" s="3">
        <f>E14+1</f>
        <v>2026</v>
      </c>
      <c r="F15" s="7">
        <f t="shared" si="1"/>
        <v>806412489.55360174</v>
      </c>
      <c r="G15" s="3"/>
      <c r="H15" s="3"/>
      <c r="I15" s="3"/>
    </row>
    <row r="16" spans="1:9" x14ac:dyDescent="0.2">
      <c r="A16" s="3">
        <f t="shared" si="0"/>
        <v>2007</v>
      </c>
      <c r="B16" s="3">
        <v>5.69</v>
      </c>
      <c r="D16" s="6">
        <f t="shared" si="2"/>
        <v>273.84313069737158</v>
      </c>
      <c r="E16" s="3">
        <f t="shared" ref="E16:E20" si="3">E15+1</f>
        <v>2027</v>
      </c>
      <c r="F16" s="7">
        <f t="shared" si="1"/>
        <v>773874115.1156354</v>
      </c>
      <c r="G16" s="3"/>
      <c r="H16" s="3"/>
      <c r="I16" s="3"/>
    </row>
    <row r="17" spans="1:9" x14ac:dyDescent="0.2">
      <c r="A17" s="3">
        <f t="shared" si="0"/>
        <v>2008</v>
      </c>
      <c r="B17" s="3">
        <v>7.67</v>
      </c>
      <c r="D17" s="6">
        <f t="shared" si="2"/>
        <v>262.32909999153458</v>
      </c>
      <c r="E17" s="3">
        <f t="shared" si="3"/>
        <v>2028</v>
      </c>
      <c r="F17" s="7">
        <f t="shared" si="1"/>
        <v>741335740.67767692</v>
      </c>
      <c r="G17" s="3"/>
      <c r="H17" s="3"/>
      <c r="I17" s="3"/>
    </row>
    <row r="18" spans="1:9" x14ac:dyDescent="0.2">
      <c r="A18" s="3">
        <f t="shared" si="0"/>
        <v>2009</v>
      </c>
      <c r="B18" s="3">
        <v>2</v>
      </c>
      <c r="D18" s="6">
        <f t="shared" si="2"/>
        <v>250.81506928569479</v>
      </c>
      <c r="E18" s="3">
        <f t="shared" si="3"/>
        <v>2029</v>
      </c>
      <c r="F18" s="7">
        <f t="shared" si="1"/>
        <v>708797366.23971057</v>
      </c>
      <c r="G18" s="3"/>
      <c r="H18" s="3"/>
      <c r="I18" s="3"/>
    </row>
    <row r="19" spans="1:9" x14ac:dyDescent="0.2">
      <c r="A19" s="3">
        <f t="shared" si="0"/>
        <v>2010</v>
      </c>
      <c r="B19" s="3">
        <v>3.17</v>
      </c>
      <c r="D19" s="6">
        <f t="shared" si="2"/>
        <v>239.30103857985497</v>
      </c>
      <c r="E19" s="3">
        <f t="shared" si="3"/>
        <v>2030</v>
      </c>
      <c r="F19" s="7">
        <f t="shared" si="1"/>
        <v>676258991.80174422</v>
      </c>
      <c r="G19" s="3"/>
      <c r="H19" s="3"/>
      <c r="I19" s="3"/>
    </row>
    <row r="20" spans="1:9" x14ac:dyDescent="0.2">
      <c r="A20" s="3">
        <f t="shared" si="0"/>
        <v>2011</v>
      </c>
      <c r="B20" s="3">
        <v>3.73</v>
      </c>
      <c r="D20" s="6">
        <f t="shared" si="2"/>
        <v>227.78700787401519</v>
      </c>
      <c r="E20" s="3">
        <f t="shared" si="3"/>
        <v>2031</v>
      </c>
      <c r="F20" s="7">
        <f t="shared" si="1"/>
        <v>643720617.363778</v>
      </c>
      <c r="G20" s="3"/>
      <c r="H20" s="3"/>
      <c r="I20" s="3"/>
    </row>
    <row r="21" spans="1:9" x14ac:dyDescent="0.2">
      <c r="A21" s="3">
        <f t="shared" si="0"/>
        <v>2012</v>
      </c>
      <c r="B21" s="3">
        <v>2.44</v>
      </c>
      <c r="D21" s="6">
        <f t="shared" ref="D21:D22" si="4">B41*D20/B40</f>
        <v>216.27297716817822</v>
      </c>
      <c r="E21" s="3">
        <f t="shared" ref="E21:E22" si="5">E20+1</f>
        <v>2032</v>
      </c>
      <c r="F21" s="7">
        <f t="shared" si="1"/>
        <v>611182242.92581964</v>
      </c>
      <c r="G21" s="3"/>
      <c r="H21" s="3"/>
      <c r="I21" s="3"/>
    </row>
    <row r="22" spans="1:9" x14ac:dyDescent="0.2">
      <c r="A22" s="3">
        <f t="shared" si="0"/>
        <v>2013</v>
      </c>
      <c r="B22" s="3">
        <v>1.94</v>
      </c>
      <c r="D22" s="6">
        <f t="shared" si="4"/>
        <v>204.7589464623384</v>
      </c>
      <c r="E22" s="3">
        <f t="shared" si="5"/>
        <v>2033</v>
      </c>
      <c r="F22" s="7">
        <f t="shared" si="1"/>
        <v>578643868.48785317</v>
      </c>
      <c r="G22" s="3"/>
      <c r="H22" s="3"/>
      <c r="I22" s="3"/>
    </row>
    <row r="23" spans="1:9" x14ac:dyDescent="0.2">
      <c r="A23" s="3">
        <f t="shared" si="0"/>
        <v>2014</v>
      </c>
      <c r="B23" s="3">
        <v>3.66</v>
      </c>
      <c r="D23" s="6"/>
      <c r="E23" s="3"/>
      <c r="F23" s="8">
        <f>AVERAGE(F13:F22)</f>
        <v>725066553.45869231</v>
      </c>
      <c r="G23" s="239" t="s">
        <v>1193</v>
      </c>
      <c r="H23" s="240"/>
      <c r="I23" s="241"/>
    </row>
    <row r="24" spans="1:9" x14ac:dyDescent="0.2">
      <c r="A24" s="3">
        <f t="shared" si="0"/>
        <v>2015</v>
      </c>
      <c r="B24" s="3">
        <v>6.77</v>
      </c>
      <c r="D24" s="1"/>
    </row>
    <row r="25" spans="1:9" x14ac:dyDescent="0.2">
      <c r="A25" s="3">
        <f t="shared" si="0"/>
        <v>2016</v>
      </c>
      <c r="B25" s="3">
        <v>5.75</v>
      </c>
      <c r="D25" s="1"/>
    </row>
    <row r="26" spans="1:9" x14ac:dyDescent="0.2">
      <c r="A26" s="3">
        <f t="shared" si="0"/>
        <v>2017</v>
      </c>
      <c r="B26" s="3">
        <v>4.09</v>
      </c>
      <c r="D26" t="s">
        <v>1194</v>
      </c>
      <c r="E26" s="1">
        <f>E5*0.2</f>
        <v>64.52000000000001</v>
      </c>
      <c r="F26" t="s">
        <v>593</v>
      </c>
    </row>
    <row r="27" spans="1:9" x14ac:dyDescent="0.2">
      <c r="A27" s="3">
        <f t="shared" si="0"/>
        <v>2018</v>
      </c>
      <c r="B27" s="3">
        <v>3.18</v>
      </c>
      <c r="D27" t="s">
        <v>1195</v>
      </c>
      <c r="E27" s="5">
        <f>F23*0.2</f>
        <v>145013310.69173846</v>
      </c>
      <c r="F27" t="s">
        <v>514</v>
      </c>
    </row>
    <row r="28" spans="1:9" x14ac:dyDescent="0.2">
      <c r="A28" s="3">
        <f t="shared" si="0"/>
        <v>2019</v>
      </c>
      <c r="B28" s="3">
        <v>3.8</v>
      </c>
    </row>
    <row r="29" spans="1:9" x14ac:dyDescent="0.2">
      <c r="A29" s="3">
        <f t="shared" si="0"/>
        <v>2020</v>
      </c>
      <c r="B29" s="3">
        <v>1.61</v>
      </c>
    </row>
    <row r="30" spans="1:9" x14ac:dyDescent="0.2">
      <c r="A30" s="3">
        <f t="shared" si="0"/>
        <v>2021</v>
      </c>
      <c r="B30" s="3">
        <v>5.62</v>
      </c>
    </row>
    <row r="31" spans="1:9" x14ac:dyDescent="0.2">
      <c r="A31" s="3">
        <f t="shared" si="0"/>
        <v>2022</v>
      </c>
      <c r="B31" s="3">
        <v>13.12</v>
      </c>
    </row>
    <row r="32" spans="1:9" x14ac:dyDescent="0.2">
      <c r="A32" s="3">
        <f t="shared" si="0"/>
        <v>2023</v>
      </c>
      <c r="B32" s="3">
        <v>11.43</v>
      </c>
      <c r="E32">
        <v>332</v>
      </c>
      <c r="F32" t="s">
        <v>1196</v>
      </c>
    </row>
    <row r="33" spans="1:6" x14ac:dyDescent="0.2">
      <c r="A33" s="3">
        <f t="shared" si="0"/>
        <v>2024</v>
      </c>
      <c r="B33" s="4">
        <f>$B$32+_xlfn.FORECAST.LINEAR(A33,$B$2:$B$32,$A$2:$A$32)</f>
        <v>12.411419354838749</v>
      </c>
      <c r="E33">
        <v>320</v>
      </c>
      <c r="F33" t="s">
        <v>1197</v>
      </c>
    </row>
    <row r="34" spans="1:6" x14ac:dyDescent="0.2">
      <c r="A34" s="3">
        <f t="shared" si="0"/>
        <v>2025</v>
      </c>
      <c r="B34" s="4">
        <f t="shared" ref="B34:B41" si="6">$B$32+_xlfn.FORECAST.LINEAR(A34,$B$2:$B$32,$A$2:$A$32)</f>
        <v>11.948020161290337</v>
      </c>
      <c r="E34">
        <f>E32*E33</f>
        <v>106240</v>
      </c>
      <c r="F34" t="s">
        <v>1198</v>
      </c>
    </row>
    <row r="35" spans="1:6" x14ac:dyDescent="0.2">
      <c r="A35" s="3">
        <f t="shared" si="0"/>
        <v>2026</v>
      </c>
      <c r="B35" s="4">
        <f t="shared" si="6"/>
        <v>11.484620967741925</v>
      </c>
      <c r="E35" s="1">
        <f>E34/10000</f>
        <v>10.624000000000001</v>
      </c>
      <c r="F35" t="s">
        <v>1199</v>
      </c>
    </row>
    <row r="36" spans="1:6" x14ac:dyDescent="0.2">
      <c r="A36" s="3">
        <f t="shared" si="0"/>
        <v>2027</v>
      </c>
      <c r="B36" s="4">
        <f t="shared" si="6"/>
        <v>11.021221774193513</v>
      </c>
      <c r="E36">
        <v>321</v>
      </c>
      <c r="F36" t="s">
        <v>1200</v>
      </c>
    </row>
    <row r="37" spans="1:6" x14ac:dyDescent="0.2">
      <c r="A37" s="3">
        <f t="shared" si="0"/>
        <v>2028</v>
      </c>
      <c r="B37" s="4">
        <f t="shared" si="6"/>
        <v>10.557822580645215</v>
      </c>
    </row>
    <row r="38" spans="1:6" x14ac:dyDescent="0.2">
      <c r="A38" s="3">
        <f t="shared" si="0"/>
        <v>2029</v>
      </c>
      <c r="B38" s="4">
        <f t="shared" si="6"/>
        <v>10.094423387096803</v>
      </c>
      <c r="E38">
        <f>1.7*10.62/321</f>
        <v>5.6242990654205606E-2</v>
      </c>
      <c r="F38" t="s">
        <v>1201</v>
      </c>
    </row>
    <row r="39" spans="1:6" x14ac:dyDescent="0.2">
      <c r="A39" s="3">
        <f t="shared" si="0"/>
        <v>2030</v>
      </c>
      <c r="B39" s="4">
        <f t="shared" si="6"/>
        <v>9.6310241935483916</v>
      </c>
      <c r="E39">
        <f>E38*10000</f>
        <v>562.42990654205607</v>
      </c>
      <c r="F39" t="s">
        <v>1202</v>
      </c>
    </row>
    <row r="40" spans="1:6" x14ac:dyDescent="0.2">
      <c r="A40" s="3">
        <f t="shared" si="0"/>
        <v>2031</v>
      </c>
      <c r="B40" s="4">
        <f t="shared" si="6"/>
        <v>9.1676249999999797</v>
      </c>
    </row>
    <row r="41" spans="1:6" x14ac:dyDescent="0.2">
      <c r="A41" s="3">
        <f t="shared" si="0"/>
        <v>2032</v>
      </c>
      <c r="B41" s="4">
        <f t="shared" si="6"/>
        <v>8.7042258064516815</v>
      </c>
      <c r="E41" t="s">
        <v>1203</v>
      </c>
    </row>
    <row r="42" spans="1:6" x14ac:dyDescent="0.2">
      <c r="A42" s="3">
        <f t="shared" si="0"/>
        <v>2033</v>
      </c>
      <c r="B42" s="4">
        <f>$B$32+_xlfn.FORECAST.LINEAR(A42,$B$2:$B$32,$A$2:$A$32)</f>
        <v>8.2408266129032697</v>
      </c>
    </row>
    <row r="43" spans="1:6" x14ac:dyDescent="0.2">
      <c r="B43" s="4" t="s">
        <v>1204</v>
      </c>
      <c r="D43" t="s">
        <v>1205</v>
      </c>
      <c r="E43">
        <v>83.33</v>
      </c>
      <c r="F43" t="s">
        <v>613</v>
      </c>
    </row>
    <row r="44" spans="1:6" x14ac:dyDescent="0.2">
      <c r="B44" t="s">
        <v>1206</v>
      </c>
      <c r="D44" t="s">
        <v>1207</v>
      </c>
      <c r="E44">
        <v>0.5</v>
      </c>
      <c r="F44" t="s">
        <v>1208</v>
      </c>
    </row>
    <row r="45" spans="1:6" x14ac:dyDescent="0.2">
      <c r="D45" t="s">
        <v>1209</v>
      </c>
      <c r="E45">
        <f>E43*E44</f>
        <v>41.664999999999999</v>
      </c>
      <c r="F45" t="s">
        <v>843</v>
      </c>
    </row>
    <row r="47" spans="1:6" x14ac:dyDescent="0.2">
      <c r="E47">
        <v>183</v>
      </c>
    </row>
    <row r="48" spans="1:6" x14ac:dyDescent="0.2">
      <c r="E48">
        <v>330</v>
      </c>
    </row>
    <row r="49" spans="5:5" x14ac:dyDescent="0.2">
      <c r="E49">
        <v>485</v>
      </c>
    </row>
    <row r="50" spans="5:5" x14ac:dyDescent="0.2">
      <c r="E50">
        <f>SUM(E47:E49)</f>
        <v>998</v>
      </c>
    </row>
  </sheetData>
  <mergeCells count="1">
    <mergeCell ref="G23:I2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BFC58-F688-9447-8E1E-597AABE98F0F}">
  <dimension ref="A14:Q58"/>
  <sheetViews>
    <sheetView showGridLines="0" topLeftCell="A23" zoomScale="131" zoomScaleNormal="85" workbookViewId="0">
      <selection activeCell="A27" sqref="A27:K40"/>
    </sheetView>
  </sheetViews>
  <sheetFormatPr baseColWidth="10" defaultColWidth="11.5" defaultRowHeight="15" x14ac:dyDescent="0.2"/>
  <cols>
    <col min="1" max="1" width="21.1640625" customWidth="1"/>
    <col min="2" max="11" width="11.6640625" bestFit="1" customWidth="1"/>
    <col min="14" max="14" width="33" bestFit="1" customWidth="1"/>
    <col min="15" max="15" width="18.6640625" bestFit="1" customWidth="1"/>
    <col min="16" max="16" width="11.1640625" customWidth="1"/>
    <col min="17" max="17" width="22.33203125" customWidth="1"/>
  </cols>
  <sheetData>
    <row r="14" spans="14:16" x14ac:dyDescent="0.2">
      <c r="N14" s="26"/>
      <c r="O14" s="28"/>
      <c r="P14" s="28"/>
    </row>
    <row r="15" spans="14:16" x14ac:dyDescent="0.2">
      <c r="N15" s="243" t="s">
        <v>1210</v>
      </c>
      <c r="O15" s="243"/>
      <c r="P15" s="243"/>
    </row>
    <row r="16" spans="14:16" x14ac:dyDescent="0.2">
      <c r="N16" s="9" t="s">
        <v>1211</v>
      </c>
      <c r="O16" s="30">
        <v>6018.27</v>
      </c>
      <c r="P16" s="9" t="s">
        <v>1212</v>
      </c>
    </row>
    <row r="17" spans="1:17" x14ac:dyDescent="0.2">
      <c r="N17" s="9" t="s">
        <v>1213</v>
      </c>
      <c r="O17" s="30">
        <v>754.09999999999991</v>
      </c>
      <c r="P17" s="9" t="s">
        <v>1214</v>
      </c>
    </row>
    <row r="18" spans="1:17" x14ac:dyDescent="0.2">
      <c r="N18" s="9" t="s">
        <v>1215</v>
      </c>
      <c r="O18" s="30">
        <v>893.4</v>
      </c>
      <c r="P18" s="9" t="s">
        <v>1212</v>
      </c>
    </row>
    <row r="19" spans="1:17" x14ac:dyDescent="0.2">
      <c r="N19" s="9" t="s">
        <v>1216</v>
      </c>
      <c r="O19" s="9">
        <v>1761.1306</v>
      </c>
      <c r="P19" s="9" t="s">
        <v>593</v>
      </c>
    </row>
    <row r="20" spans="1:17" x14ac:dyDescent="0.2">
      <c r="N20" s="9" t="s">
        <v>1217</v>
      </c>
      <c r="O20" s="9">
        <v>1000</v>
      </c>
      <c r="P20" s="9" t="s">
        <v>493</v>
      </c>
    </row>
    <row r="21" spans="1:17" x14ac:dyDescent="0.2">
      <c r="N21" s="9" t="s">
        <v>1218</v>
      </c>
      <c r="O21" s="9">
        <v>8300</v>
      </c>
      <c r="P21" s="9" t="s">
        <v>665</v>
      </c>
    </row>
    <row r="22" spans="1:17" x14ac:dyDescent="0.2">
      <c r="N22" s="9" t="s">
        <v>1219</v>
      </c>
      <c r="O22" s="9">
        <v>522</v>
      </c>
      <c r="P22" s="9" t="s">
        <v>493</v>
      </c>
    </row>
    <row r="23" spans="1:17" x14ac:dyDescent="0.2">
      <c r="N23" s="9" t="s">
        <v>1220</v>
      </c>
      <c r="O23" s="30">
        <v>893400</v>
      </c>
      <c r="P23" s="9" t="s">
        <v>1221</v>
      </c>
    </row>
    <row r="24" spans="1:17" x14ac:dyDescent="0.2">
      <c r="N24" s="9" t="s">
        <v>1222</v>
      </c>
      <c r="O24" s="30">
        <v>1328068.5854599997</v>
      </c>
      <c r="P24" s="9" t="s">
        <v>1221</v>
      </c>
      <c r="Q24" s="5">
        <f>(O24+O25)*O21</f>
        <v>37097725861.318001</v>
      </c>
    </row>
    <row r="25" spans="1:17" x14ac:dyDescent="0.2">
      <c r="N25" s="29" t="s">
        <v>1223</v>
      </c>
      <c r="O25" s="31">
        <v>3141536.9400000004</v>
      </c>
      <c r="P25" s="29" t="s">
        <v>1221</v>
      </c>
    </row>
    <row r="26" spans="1:17" x14ac:dyDescent="0.2">
      <c r="A26" s="26"/>
      <c r="B26" s="26"/>
      <c r="C26" s="26"/>
      <c r="D26" s="26"/>
      <c r="E26" s="26"/>
      <c r="F26" s="26"/>
      <c r="G26" s="26"/>
      <c r="H26" s="26"/>
      <c r="I26" s="26"/>
      <c r="J26" s="26"/>
      <c r="K26" s="26"/>
      <c r="N26" s="29" t="s">
        <v>1224</v>
      </c>
      <c r="O26" s="31">
        <v>29682505861.318001</v>
      </c>
      <c r="P26" s="29" t="s">
        <v>1225</v>
      </c>
    </row>
    <row r="27" spans="1:17" x14ac:dyDescent="0.2">
      <c r="A27" s="243" t="s">
        <v>903</v>
      </c>
      <c r="B27" s="243"/>
      <c r="C27" s="243"/>
      <c r="D27" s="243"/>
      <c r="E27" s="243"/>
      <c r="F27" s="243"/>
      <c r="G27" s="243"/>
      <c r="H27" s="243"/>
      <c r="I27" s="243"/>
      <c r="J27" s="243"/>
      <c r="K27" s="243"/>
      <c r="N27" s="29"/>
      <c r="O27" s="31"/>
      <c r="P27" s="29"/>
    </row>
    <row r="28" spans="1:17" ht="16" thickBot="1" x14ac:dyDescent="0.25">
      <c r="A28" s="33" t="s">
        <v>1226</v>
      </c>
      <c r="B28" s="33">
        <v>1</v>
      </c>
      <c r="C28" s="33">
        <v>2</v>
      </c>
      <c r="D28" s="33">
        <v>3</v>
      </c>
      <c r="E28" s="33">
        <v>4</v>
      </c>
      <c r="F28" s="33">
        <v>5</v>
      </c>
      <c r="G28" s="33">
        <v>6</v>
      </c>
      <c r="H28" s="33">
        <v>7</v>
      </c>
      <c r="I28" s="33">
        <v>8</v>
      </c>
      <c r="J28" s="33">
        <v>9</v>
      </c>
      <c r="K28" s="33">
        <v>10</v>
      </c>
    </row>
    <row r="29" spans="1:17" ht="16" thickBot="1" x14ac:dyDescent="0.25">
      <c r="A29" s="32" t="s">
        <v>1227</v>
      </c>
      <c r="B29" s="25" t="s">
        <v>1228</v>
      </c>
      <c r="C29" s="25" t="s">
        <v>1229</v>
      </c>
      <c r="D29" s="25" t="s">
        <v>1229</v>
      </c>
      <c r="E29" s="25" t="s">
        <v>1229</v>
      </c>
      <c r="F29" s="25" t="s">
        <v>1228</v>
      </c>
      <c r="G29" s="25" t="s">
        <v>1228</v>
      </c>
      <c r="H29" s="25" t="s">
        <v>1229</v>
      </c>
      <c r="I29" s="25" t="s">
        <v>1230</v>
      </c>
      <c r="J29" s="25" t="s">
        <v>1229</v>
      </c>
      <c r="K29" s="25" t="s">
        <v>1229</v>
      </c>
      <c r="N29" s="26"/>
      <c r="O29" s="26"/>
      <c r="P29" s="26"/>
    </row>
    <row r="30" spans="1:17" ht="16" thickBot="1" x14ac:dyDescent="0.25">
      <c r="A30" s="35" t="s">
        <v>1231</v>
      </c>
      <c r="B30" s="9">
        <v>15</v>
      </c>
      <c r="C30" s="9">
        <v>15</v>
      </c>
      <c r="D30" s="9">
        <v>15</v>
      </c>
      <c r="E30" s="9">
        <v>650</v>
      </c>
      <c r="F30" s="9">
        <v>650</v>
      </c>
      <c r="G30" s="9">
        <v>35</v>
      </c>
      <c r="H30" s="9">
        <v>15</v>
      </c>
      <c r="I30" s="9">
        <v>15</v>
      </c>
      <c r="J30" s="9">
        <v>15</v>
      </c>
      <c r="K30" s="9">
        <v>15</v>
      </c>
      <c r="N30" s="243" t="s">
        <v>1232</v>
      </c>
      <c r="O30" s="243"/>
      <c r="P30" s="243"/>
    </row>
    <row r="31" spans="1:17" ht="16" thickBot="1" x14ac:dyDescent="0.25">
      <c r="A31" s="33" t="s">
        <v>1233</v>
      </c>
      <c r="B31" s="34">
        <v>76.400000000000006</v>
      </c>
      <c r="C31" s="34">
        <v>76.400000000000006</v>
      </c>
      <c r="D31" s="34">
        <v>76.400000000000006</v>
      </c>
      <c r="E31" s="34">
        <v>76.400000000000006</v>
      </c>
      <c r="F31" s="34">
        <v>76.400000000000006</v>
      </c>
      <c r="G31" s="34">
        <v>76.400000000000006</v>
      </c>
      <c r="H31" s="34">
        <v>76.400000000000006</v>
      </c>
      <c r="I31" s="34">
        <v>76.400000000000006</v>
      </c>
      <c r="J31" s="34">
        <v>76.400000000000006</v>
      </c>
      <c r="K31" s="34">
        <v>76.400000000000006</v>
      </c>
      <c r="N31" s="29" t="s">
        <v>1224</v>
      </c>
      <c r="O31" s="31">
        <v>29682505861.318001</v>
      </c>
      <c r="P31" s="29" t="s">
        <v>1225</v>
      </c>
    </row>
    <row r="32" spans="1:17" ht="16" thickBot="1" x14ac:dyDescent="0.25">
      <c r="A32" s="242" t="s">
        <v>1234</v>
      </c>
      <c r="B32" s="242"/>
      <c r="C32" s="242"/>
      <c r="D32" s="242"/>
      <c r="E32" s="242"/>
      <c r="F32" s="242"/>
      <c r="G32" s="242"/>
      <c r="H32" s="242"/>
      <c r="I32" s="242"/>
      <c r="J32" s="242"/>
      <c r="K32" s="242"/>
      <c r="N32" s="9" t="s">
        <v>1235</v>
      </c>
      <c r="O32" s="30">
        <v>215000000</v>
      </c>
      <c r="P32" s="9" t="s">
        <v>600</v>
      </c>
    </row>
    <row r="33" spans="1:16" x14ac:dyDescent="0.2">
      <c r="A33" s="245" t="s">
        <v>1236</v>
      </c>
      <c r="B33" s="238">
        <f>1000/B40</f>
        <v>1</v>
      </c>
      <c r="C33" s="238">
        <v>0</v>
      </c>
      <c r="D33" s="238">
        <v>0</v>
      </c>
      <c r="E33" s="238">
        <v>0</v>
      </c>
      <c r="F33" s="238">
        <v>0</v>
      </c>
      <c r="G33" s="238">
        <v>0</v>
      </c>
      <c r="H33" s="238">
        <v>0</v>
      </c>
      <c r="I33" s="238">
        <v>0</v>
      </c>
      <c r="J33" s="238">
        <v>0</v>
      </c>
      <c r="K33" s="244">
        <v>0</v>
      </c>
      <c r="N33" s="9" t="s">
        <v>1237</v>
      </c>
      <c r="O33" s="30">
        <v>71666666.666666672</v>
      </c>
      <c r="P33" s="9" t="s">
        <v>514</v>
      </c>
    </row>
    <row r="34" spans="1:16" x14ac:dyDescent="0.2">
      <c r="A34" s="245"/>
      <c r="B34" s="238"/>
      <c r="C34" s="238"/>
      <c r="D34" s="238"/>
      <c r="E34" s="238"/>
      <c r="F34" s="238"/>
      <c r="G34" s="238"/>
      <c r="H34" s="238"/>
      <c r="I34" s="238"/>
      <c r="J34" s="238"/>
      <c r="K34" s="238"/>
      <c r="N34" s="9" t="s">
        <v>1238</v>
      </c>
      <c r="O34" s="30">
        <v>3067429265.2799997</v>
      </c>
      <c r="P34" s="9" t="s">
        <v>514</v>
      </c>
    </row>
    <row r="35" spans="1:16" x14ac:dyDescent="0.2">
      <c r="A35" s="32" t="s">
        <v>1239</v>
      </c>
      <c r="B35" s="25">
        <v>0</v>
      </c>
      <c r="C35" s="25">
        <v>0</v>
      </c>
      <c r="D35" s="25">
        <v>0</v>
      </c>
      <c r="E35" s="25">
        <v>0</v>
      </c>
      <c r="F35" s="25">
        <v>1</v>
      </c>
      <c r="G35" s="25">
        <v>1</v>
      </c>
      <c r="H35" s="25">
        <v>0</v>
      </c>
      <c r="I35" s="25">
        <v>0</v>
      </c>
      <c r="J35" s="25">
        <v>0</v>
      </c>
      <c r="K35" s="25">
        <v>0</v>
      </c>
      <c r="N35" s="9" t="s">
        <v>1240</v>
      </c>
      <c r="O35" s="30" t="s">
        <v>1241</v>
      </c>
      <c r="P35" s="9" t="s">
        <v>600</v>
      </c>
    </row>
    <row r="36" spans="1:16" ht="16" thickBot="1" x14ac:dyDescent="0.25">
      <c r="A36" s="32" t="s">
        <v>1242</v>
      </c>
      <c r="B36" s="25">
        <v>0</v>
      </c>
      <c r="C36" s="25">
        <v>0</v>
      </c>
      <c r="D36" s="25">
        <v>0</v>
      </c>
      <c r="E36" s="37">
        <f>238/E40</f>
        <v>0.497907949790795</v>
      </c>
      <c r="F36" s="25">
        <v>0</v>
      </c>
      <c r="G36" s="25">
        <v>0</v>
      </c>
      <c r="H36" s="25">
        <v>0</v>
      </c>
      <c r="I36" s="25">
        <v>1</v>
      </c>
      <c r="J36" s="25">
        <v>0</v>
      </c>
      <c r="K36" s="25">
        <v>0</v>
      </c>
      <c r="N36" s="29" t="s">
        <v>1243</v>
      </c>
      <c r="O36" s="31">
        <v>659333.32999999996</v>
      </c>
      <c r="P36" s="29" t="s">
        <v>514</v>
      </c>
    </row>
    <row r="37" spans="1:16" ht="16" thickBot="1" x14ac:dyDescent="0.25">
      <c r="A37" s="32" t="s">
        <v>1244</v>
      </c>
      <c r="B37" s="25">
        <v>0</v>
      </c>
      <c r="C37" s="25">
        <v>0</v>
      </c>
      <c r="D37" s="25">
        <v>0</v>
      </c>
      <c r="E37" s="37">
        <f>240/E40</f>
        <v>0.502092050209205</v>
      </c>
      <c r="F37" s="25">
        <v>0</v>
      </c>
      <c r="G37" s="25">
        <v>0</v>
      </c>
      <c r="H37" s="25">
        <v>1</v>
      </c>
      <c r="I37" s="25">
        <v>0</v>
      </c>
      <c r="J37" s="25">
        <v>1</v>
      </c>
      <c r="K37" s="25">
        <v>1</v>
      </c>
      <c r="N37" s="29" t="s">
        <v>1245</v>
      </c>
      <c r="O37" s="31">
        <v>26542750596.041332</v>
      </c>
      <c r="P37" s="29" t="s">
        <v>514</v>
      </c>
    </row>
    <row r="38" spans="1:16" x14ac:dyDescent="0.2">
      <c r="A38" s="32" t="s">
        <v>1246</v>
      </c>
      <c r="B38" s="25">
        <v>0</v>
      </c>
      <c r="C38" s="25">
        <f>4682.09/C40</f>
        <v>1</v>
      </c>
      <c r="D38" s="25">
        <v>0</v>
      </c>
      <c r="E38" s="25">
        <v>0</v>
      </c>
      <c r="F38" s="25">
        <v>0</v>
      </c>
      <c r="G38" s="25">
        <v>0</v>
      </c>
      <c r="H38" s="25">
        <v>0</v>
      </c>
      <c r="I38" s="25">
        <v>0</v>
      </c>
      <c r="J38" s="25">
        <v>0</v>
      </c>
      <c r="K38" s="25">
        <v>0</v>
      </c>
      <c r="N38" s="9"/>
      <c r="O38" s="30"/>
      <c r="P38" s="9"/>
    </row>
    <row r="39" spans="1:16" ht="16" thickBot="1" x14ac:dyDescent="0.25">
      <c r="A39" s="33" t="s">
        <v>1247</v>
      </c>
      <c r="B39" s="34">
        <v>0</v>
      </c>
      <c r="C39" s="34">
        <v>0</v>
      </c>
      <c r="D39" s="34">
        <v>1</v>
      </c>
      <c r="E39" s="34">
        <v>0</v>
      </c>
      <c r="F39" s="34">
        <v>0</v>
      </c>
      <c r="G39" s="34">
        <v>0</v>
      </c>
      <c r="H39" s="34">
        <v>0</v>
      </c>
      <c r="I39" s="34">
        <v>0</v>
      </c>
      <c r="J39" s="34">
        <v>0</v>
      </c>
      <c r="K39" s="34">
        <v>0</v>
      </c>
      <c r="N39" s="9" t="s">
        <v>1248</v>
      </c>
      <c r="O39" s="30">
        <f>96990*4300</f>
        <v>417057000</v>
      </c>
      <c r="P39" s="9" t="s">
        <v>1249</v>
      </c>
    </row>
    <row r="40" spans="1:16" ht="16" thickBot="1" x14ac:dyDescent="0.25">
      <c r="A40" s="27" t="s">
        <v>1250</v>
      </c>
      <c r="B40" s="29">
        <v>1000</v>
      </c>
      <c r="C40" s="29">
        <v>4682.09</v>
      </c>
      <c r="D40" s="29">
        <v>33.4</v>
      </c>
      <c r="E40" s="29">
        <v>478</v>
      </c>
      <c r="F40" s="29">
        <v>522</v>
      </c>
      <c r="G40" s="29">
        <v>522</v>
      </c>
      <c r="H40" s="29">
        <v>240</v>
      </c>
      <c r="I40" s="29">
        <v>238</v>
      </c>
      <c r="J40" s="29">
        <v>176.99099999999999</v>
      </c>
      <c r="K40" s="29">
        <v>63.009</v>
      </c>
      <c r="N40" s="9" t="s">
        <v>1251</v>
      </c>
      <c r="O40" s="30">
        <f>O39/3</f>
        <v>139019000</v>
      </c>
      <c r="P40" t="s">
        <v>1252</v>
      </c>
    </row>
    <row r="41" spans="1:16" x14ac:dyDescent="0.2">
      <c r="A41" s="36"/>
      <c r="N41" s="9" t="s">
        <v>1253</v>
      </c>
      <c r="O41" s="30">
        <f>282900*4300</f>
        <v>1216470000</v>
      </c>
      <c r="P41" s="9" t="s">
        <v>1249</v>
      </c>
    </row>
    <row r="42" spans="1:16" x14ac:dyDescent="0.2">
      <c r="N42" s="9" t="s">
        <v>1254</v>
      </c>
      <c r="O42" s="30">
        <f>O41/3</f>
        <v>405490000</v>
      </c>
      <c r="P42" t="s">
        <v>1252</v>
      </c>
    </row>
    <row r="43" spans="1:16" x14ac:dyDescent="0.2">
      <c r="N43" s="9" t="s">
        <v>1255</v>
      </c>
      <c r="O43" s="112">
        <v>182255566.72693807</v>
      </c>
      <c r="P43" t="s">
        <v>1252</v>
      </c>
    </row>
    <row r="44" spans="1:16" x14ac:dyDescent="0.2">
      <c r="B44" t="s">
        <v>725</v>
      </c>
      <c r="C44" s="1">
        <f>I40/B40</f>
        <v>0.23799999999999999</v>
      </c>
      <c r="N44" s="9" t="s">
        <v>1256</v>
      </c>
      <c r="O44" s="112">
        <f>4300*560204.488115788</f>
        <v>2408879298.8978882</v>
      </c>
      <c r="P44" t="s">
        <v>1249</v>
      </c>
    </row>
    <row r="45" spans="1:16" x14ac:dyDescent="0.2">
      <c r="B45" t="s">
        <v>726</v>
      </c>
      <c r="C45" s="1">
        <f>1-C44-C46</f>
        <v>0.24</v>
      </c>
      <c r="N45" s="9" t="s">
        <v>1257</v>
      </c>
      <c r="O45" s="113">
        <f>O44/3</f>
        <v>802959766.29929602</v>
      </c>
      <c r="P45" t="s">
        <v>1225</v>
      </c>
    </row>
    <row r="46" spans="1:16" x14ac:dyDescent="0.2">
      <c r="B46" t="s">
        <v>1258</v>
      </c>
      <c r="C46" s="1">
        <f>G40/B40</f>
        <v>0.52200000000000002</v>
      </c>
      <c r="N46" s="9" t="s">
        <v>1259</v>
      </c>
      <c r="O46" s="112">
        <f>4300*12149.28</f>
        <v>52241904</v>
      </c>
      <c r="P46" t="s">
        <v>1225</v>
      </c>
    </row>
    <row r="47" spans="1:16" x14ac:dyDescent="0.2">
      <c r="C47">
        <f>SUM(C44:C46)</f>
        <v>1</v>
      </c>
      <c r="N47" s="9" t="s">
        <v>1260</v>
      </c>
      <c r="O47" s="112">
        <f>8300*7459.9662191411</f>
        <v>61917719.61887113</v>
      </c>
      <c r="P47" t="s">
        <v>1225</v>
      </c>
    </row>
    <row r="48" spans="1:16" x14ac:dyDescent="0.2">
      <c r="N48" s="9" t="s">
        <v>1261</v>
      </c>
      <c r="O48" s="112">
        <f>4300*1052.11620239278</f>
        <v>4524099.6702889539</v>
      </c>
      <c r="P48" t="s">
        <v>1249</v>
      </c>
    </row>
    <row r="49" spans="14:16" x14ac:dyDescent="0.2">
      <c r="N49" s="9" t="s">
        <v>1262</v>
      </c>
      <c r="O49" s="112">
        <f>4300*31500.4851015801</f>
        <v>135452085.93679443</v>
      </c>
      <c r="P49" t="s">
        <v>1249</v>
      </c>
    </row>
    <row r="50" spans="14:16" x14ac:dyDescent="0.2">
      <c r="N50" s="9" t="s">
        <v>1263</v>
      </c>
      <c r="O50" s="112">
        <f>4300*50645.8231563072</f>
        <v>217777039.57212093</v>
      </c>
      <c r="P50" t="s">
        <v>1249</v>
      </c>
    </row>
    <row r="51" spans="14:16" x14ac:dyDescent="0.2">
      <c r="N51" s="9" t="s">
        <v>929</v>
      </c>
      <c r="O51" s="112">
        <v>341097234.56790119</v>
      </c>
      <c r="P51" t="s">
        <v>1249</v>
      </c>
    </row>
    <row r="52" spans="14:16" x14ac:dyDescent="0.2">
      <c r="N52" s="9" t="s">
        <v>1264</v>
      </c>
      <c r="O52" s="112">
        <f>4300*13008.8*2</f>
        <v>111875680</v>
      </c>
      <c r="P52" t="s">
        <v>1249</v>
      </c>
    </row>
    <row r="53" spans="14:16" x14ac:dyDescent="0.2">
      <c r="N53" s="9" t="s">
        <v>1265</v>
      </c>
      <c r="O53" s="112">
        <f>4300*15450.2*2</f>
        <v>132871720</v>
      </c>
      <c r="P53" t="s">
        <v>1249</v>
      </c>
    </row>
    <row r="54" spans="14:16" x14ac:dyDescent="0.2">
      <c r="N54" s="9" t="s">
        <v>1266</v>
      </c>
      <c r="O54" s="112">
        <f>4300*36000</f>
        <v>154800000</v>
      </c>
      <c r="P54" t="s">
        <v>1249</v>
      </c>
    </row>
    <row r="55" spans="14:16" ht="32" x14ac:dyDescent="0.2">
      <c r="N55" s="44" t="s">
        <v>1267</v>
      </c>
      <c r="O55" s="114">
        <f>60000*4300</f>
        <v>258000000</v>
      </c>
      <c r="P55" s="48" t="s">
        <v>1249</v>
      </c>
    </row>
    <row r="57" spans="14:16" x14ac:dyDescent="0.2">
      <c r="N57" s="9" t="s">
        <v>1268</v>
      </c>
      <c r="O57" s="5">
        <f>O39+O41+O44+O48+O49+O50+O51+O52+O53+O54+O55+O35+600000*4300</f>
        <v>7980782158.6449938</v>
      </c>
    </row>
    <row r="58" spans="14:16" x14ac:dyDescent="0.2">
      <c r="N58" s="9" t="s">
        <v>657</v>
      </c>
      <c r="O58" s="113">
        <f>O47+O43+O46+O23*8300+600000000</f>
        <v>8311635190.345809</v>
      </c>
    </row>
  </sheetData>
  <mergeCells count="15">
    <mergeCell ref="A32:K32"/>
    <mergeCell ref="A27:K27"/>
    <mergeCell ref="K33:K34"/>
    <mergeCell ref="N15:P15"/>
    <mergeCell ref="A33:A34"/>
    <mergeCell ref="B33:B34"/>
    <mergeCell ref="C33:C34"/>
    <mergeCell ref="D33:D34"/>
    <mergeCell ref="E33:E34"/>
    <mergeCell ref="F33:F34"/>
    <mergeCell ref="G33:G34"/>
    <mergeCell ref="H33:H34"/>
    <mergeCell ref="I33:I34"/>
    <mergeCell ref="J33:J34"/>
    <mergeCell ref="N30:P3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2A6A-A139-4A04-9AD7-DBBA0D117D2E}">
  <dimension ref="A1:M884"/>
  <sheetViews>
    <sheetView topLeftCell="A758" zoomScale="44" zoomScaleNormal="40" workbookViewId="0">
      <selection activeCell="B866" sqref="B866"/>
    </sheetView>
  </sheetViews>
  <sheetFormatPr baseColWidth="10" defaultColWidth="11.5" defaultRowHeight="15" x14ac:dyDescent="0.2"/>
  <cols>
    <col min="1" max="1" width="35.5" customWidth="1"/>
    <col min="2" max="2" width="21.6640625" customWidth="1"/>
    <col min="3" max="3" width="31" customWidth="1"/>
    <col min="4" max="4" width="22.6640625" customWidth="1"/>
    <col min="5" max="5" width="25.6640625" customWidth="1"/>
    <col min="6" max="6" width="37" customWidth="1"/>
    <col min="7" max="7" width="28" customWidth="1"/>
    <col min="8" max="8" width="24.1640625" customWidth="1"/>
    <col min="9" max="9" width="21.33203125" customWidth="1"/>
    <col min="10" max="10" width="20.33203125" customWidth="1"/>
    <col min="11" max="11" width="21.1640625" customWidth="1"/>
    <col min="12" max="12" width="18.6640625" customWidth="1"/>
  </cols>
  <sheetData>
    <row r="1" spans="1:7" x14ac:dyDescent="0.2">
      <c r="E1" t="s">
        <v>0</v>
      </c>
    </row>
    <row r="2" spans="1:7" x14ac:dyDescent="0.2">
      <c r="B2" s="65" t="s">
        <v>1</v>
      </c>
      <c r="C2" s="65">
        <v>60</v>
      </c>
      <c r="D2" s="65" t="s">
        <v>2</v>
      </c>
      <c r="E2" s="62" t="s">
        <v>3</v>
      </c>
    </row>
    <row r="3" spans="1:7" x14ac:dyDescent="0.2">
      <c r="B3" t="s">
        <v>4</v>
      </c>
      <c r="C3">
        <v>0.80500000000000005</v>
      </c>
      <c r="D3" t="s">
        <v>5</v>
      </c>
      <c r="E3" s="61" t="s">
        <v>6</v>
      </c>
    </row>
    <row r="4" spans="1:7" x14ac:dyDescent="0.2">
      <c r="B4" t="s">
        <v>7</v>
      </c>
      <c r="C4">
        <f>1-(C3+C5)</f>
        <v>0.16499999999999992</v>
      </c>
      <c r="D4" t="s">
        <v>5</v>
      </c>
      <c r="E4" s="61" t="s">
        <v>8</v>
      </c>
    </row>
    <row r="5" spans="1:7" x14ac:dyDescent="0.2">
      <c r="A5">
        <f>9000000*1*400/252</f>
        <v>14285714.285714285</v>
      </c>
      <c r="B5" t="s">
        <v>9</v>
      </c>
      <c r="C5">
        <v>0.03</v>
      </c>
      <c r="D5" t="s">
        <v>5</v>
      </c>
      <c r="E5" s="61" t="s">
        <v>8</v>
      </c>
    </row>
    <row r="7" spans="1:7" x14ac:dyDescent="0.2">
      <c r="B7" t="s">
        <v>10</v>
      </c>
      <c r="C7">
        <v>0.4</v>
      </c>
      <c r="G7" t="s">
        <v>11</v>
      </c>
    </row>
    <row r="8" spans="1:7" x14ac:dyDescent="0.2">
      <c r="B8" s="64" t="s">
        <v>12</v>
      </c>
      <c r="C8" s="64">
        <v>30</v>
      </c>
      <c r="D8" s="64" t="s">
        <v>13</v>
      </c>
      <c r="E8" s="64" t="s">
        <v>14</v>
      </c>
      <c r="G8">
        <f>C20+C21/C23</f>
        <v>48.465000000000003</v>
      </c>
    </row>
    <row r="9" spans="1:7" x14ac:dyDescent="0.2">
      <c r="B9" s="63" t="s">
        <v>15</v>
      </c>
      <c r="C9" s="63">
        <v>40</v>
      </c>
      <c r="D9" s="63" t="s">
        <v>16</v>
      </c>
      <c r="E9" s="63" t="s">
        <v>14</v>
      </c>
    </row>
    <row r="11" spans="1:7" x14ac:dyDescent="0.2">
      <c r="B11" t="s">
        <v>17</v>
      </c>
      <c r="C11" t="s">
        <v>5</v>
      </c>
      <c r="E11" t="s">
        <v>18</v>
      </c>
    </row>
    <row r="12" spans="1:7" ht="15" customHeight="1" x14ac:dyDescent="0.2">
      <c r="B12" t="s">
        <v>19</v>
      </c>
      <c r="C12">
        <v>0.151</v>
      </c>
      <c r="E12" s="61" t="s">
        <v>8</v>
      </c>
    </row>
    <row r="13" spans="1:7" x14ac:dyDescent="0.2">
      <c r="B13" t="s">
        <v>20</v>
      </c>
      <c r="C13">
        <v>0.20100000000000001</v>
      </c>
      <c r="E13" s="61" t="s">
        <v>8</v>
      </c>
    </row>
    <row r="14" spans="1:7" x14ac:dyDescent="0.2">
      <c r="B14" t="s">
        <v>21</v>
      </c>
      <c r="C14">
        <v>0.28699999999999998</v>
      </c>
      <c r="E14" s="61" t="s">
        <v>8</v>
      </c>
    </row>
    <row r="15" spans="1:7" x14ac:dyDescent="0.2">
      <c r="B15" t="s">
        <v>22</v>
      </c>
      <c r="C15">
        <v>7.8E-2</v>
      </c>
      <c r="E15" s="61" t="s">
        <v>8</v>
      </c>
    </row>
    <row r="16" spans="1:7" x14ac:dyDescent="0.2">
      <c r="B16" t="s">
        <v>23</v>
      </c>
      <c r="C16">
        <v>0.28299999999999997</v>
      </c>
      <c r="E16" s="61" t="s">
        <v>8</v>
      </c>
    </row>
    <row r="17" spans="2:9" x14ac:dyDescent="0.2">
      <c r="B17" t="s">
        <v>24</v>
      </c>
      <c r="C17">
        <f>SUM(C12:C16)</f>
        <v>1</v>
      </c>
    </row>
    <row r="19" spans="2:9" x14ac:dyDescent="0.2">
      <c r="D19" t="s">
        <v>25</v>
      </c>
      <c r="E19" t="s">
        <v>26</v>
      </c>
    </row>
    <row r="20" spans="2:9" x14ac:dyDescent="0.2">
      <c r="B20" s="66" t="s">
        <v>27</v>
      </c>
      <c r="C20" s="3">
        <f>$C$2*C3</f>
        <v>48.300000000000004</v>
      </c>
      <c r="D20" s="3" t="s">
        <v>2</v>
      </c>
      <c r="E20" s="3">
        <f>C20*907.2</f>
        <v>43817.760000000009</v>
      </c>
      <c r="F20" s="3" t="s">
        <v>28</v>
      </c>
    </row>
    <row r="21" spans="2:9" x14ac:dyDescent="0.2">
      <c r="B21" s="66" t="s">
        <v>29</v>
      </c>
      <c r="C21" s="3">
        <f>$C$2*C4</f>
        <v>9.899999999999995</v>
      </c>
      <c r="D21" s="3" t="s">
        <v>2</v>
      </c>
      <c r="E21" s="3">
        <f>C21*907.2</f>
        <v>8981.2799999999952</v>
      </c>
      <c r="F21" s="3" t="s">
        <v>28</v>
      </c>
    </row>
    <row r="22" spans="2:9" x14ac:dyDescent="0.2">
      <c r="B22" s="66" t="s">
        <v>30</v>
      </c>
      <c r="C22" s="3">
        <f>$C$2*C5</f>
        <v>1.7999999999999998</v>
      </c>
      <c r="D22" s="3" t="s">
        <v>2</v>
      </c>
      <c r="E22" s="3">
        <f>C22*907.2</f>
        <v>1632.9599999999998</v>
      </c>
      <c r="F22" s="3" t="s">
        <v>28</v>
      </c>
    </row>
    <row r="23" spans="2:9" x14ac:dyDescent="0.2">
      <c r="B23" s="66" t="s">
        <v>24</v>
      </c>
      <c r="C23" s="3">
        <f>SUM(C20:C22)</f>
        <v>60</v>
      </c>
      <c r="D23" s="3" t="s">
        <v>2</v>
      </c>
      <c r="E23" s="3">
        <f>C23*907.2</f>
        <v>54432</v>
      </c>
      <c r="F23" s="3" t="s">
        <v>28</v>
      </c>
    </row>
    <row r="25" spans="2:9" x14ac:dyDescent="0.2">
      <c r="B25" t="s">
        <v>31</v>
      </c>
      <c r="C25" t="s">
        <v>32</v>
      </c>
    </row>
    <row r="26" spans="2:9" x14ac:dyDescent="0.2">
      <c r="E26" t="s">
        <v>33</v>
      </c>
    </row>
    <row r="27" spans="2:9" x14ac:dyDescent="0.2">
      <c r="B27" s="66" t="s">
        <v>34</v>
      </c>
      <c r="C27" s="3">
        <f>C7*(E20*I60)</f>
        <v>793258.0361480657</v>
      </c>
      <c r="D27" s="3" t="s">
        <v>35</v>
      </c>
      <c r="E27" s="3">
        <f>C27*0.2778</f>
        <v>220367.08244193264</v>
      </c>
      <c r="F27" s="3" t="s">
        <v>36</v>
      </c>
    </row>
    <row r="28" spans="2:9" x14ac:dyDescent="0.2">
      <c r="B28" s="66" t="s">
        <v>37</v>
      </c>
      <c r="C28" s="3">
        <f>C7*(E21*I38)</f>
        <v>161663.03999999992</v>
      </c>
      <c r="D28" s="3" t="s">
        <v>35</v>
      </c>
      <c r="E28" s="3">
        <f>C28*0.2778*1000</f>
        <v>44909992.511999972</v>
      </c>
      <c r="F28" s="3" t="s">
        <v>36</v>
      </c>
    </row>
    <row r="29" spans="2:9" x14ac:dyDescent="0.2">
      <c r="D29" s="66" t="s">
        <v>24</v>
      </c>
      <c r="E29" s="3">
        <f>E27+E28</f>
        <v>45130359.594441906</v>
      </c>
      <c r="F29" s="3" t="s">
        <v>36</v>
      </c>
    </row>
    <row r="30" spans="2:9" x14ac:dyDescent="0.2">
      <c r="E30" s="66">
        <f>E29/1000</f>
        <v>45130.359594441907</v>
      </c>
      <c r="F30" s="66" t="s">
        <v>38</v>
      </c>
    </row>
    <row r="31" spans="2:9" x14ac:dyDescent="0.2">
      <c r="F31" s="68">
        <f>+E29*3000*360/100</f>
        <v>487407883619.9726</v>
      </c>
      <c r="I31">
        <f>(0.68/550)*300</f>
        <v>0.37090909090909091</v>
      </c>
    </row>
    <row r="32" spans="2:9" x14ac:dyDescent="0.2">
      <c r="E32" t="s">
        <v>39</v>
      </c>
    </row>
    <row r="33" spans="2:12" x14ac:dyDescent="0.2">
      <c r="B33" t="s">
        <v>40</v>
      </c>
      <c r="C33">
        <v>1159</v>
      </c>
      <c r="D33" t="s">
        <v>41</v>
      </c>
      <c r="E33" s="230" t="s">
        <v>42</v>
      </c>
      <c r="H33" t="s">
        <v>43</v>
      </c>
    </row>
    <row r="34" spans="2:12" x14ac:dyDescent="0.2">
      <c r="B34" t="s">
        <v>44</v>
      </c>
      <c r="C34" s="1">
        <f>C33/365</f>
        <v>3.1753424657534248</v>
      </c>
      <c r="D34" t="s">
        <v>36</v>
      </c>
      <c r="E34" s="230"/>
      <c r="H34" t="s">
        <v>45</v>
      </c>
      <c r="I34">
        <f>0.586</f>
        <v>0.58599999999999997</v>
      </c>
      <c r="J34" t="s">
        <v>46</v>
      </c>
    </row>
    <row r="35" spans="2:12" x14ac:dyDescent="0.2">
      <c r="H35" t="s">
        <v>47</v>
      </c>
      <c r="I35">
        <v>1000</v>
      </c>
      <c r="J35" t="s">
        <v>48</v>
      </c>
      <c r="K35" s="1">
        <f>2344568.561/1000</f>
        <v>2344.568561</v>
      </c>
      <c r="L35" t="s">
        <v>36</v>
      </c>
    </row>
    <row r="36" spans="2:12" x14ac:dyDescent="0.2">
      <c r="B36" t="s">
        <v>49</v>
      </c>
      <c r="C36">
        <v>82.92</v>
      </c>
      <c r="D36" t="s">
        <v>50</v>
      </c>
      <c r="E36" s="230" t="s">
        <v>51</v>
      </c>
      <c r="H36" t="s">
        <v>52</v>
      </c>
      <c r="I36">
        <v>0.37090000000000001</v>
      </c>
      <c r="J36" t="s">
        <v>48</v>
      </c>
      <c r="K36">
        <v>8</v>
      </c>
      <c r="L36" t="s">
        <v>53</v>
      </c>
    </row>
    <row r="37" spans="2:12" x14ac:dyDescent="0.2">
      <c r="B37" t="s">
        <v>44</v>
      </c>
      <c r="C37" s="1">
        <f>C36/30</f>
        <v>2.7640000000000002</v>
      </c>
      <c r="D37" t="s">
        <v>36</v>
      </c>
      <c r="E37" s="230"/>
      <c r="H37" t="s">
        <v>54</v>
      </c>
      <c r="I37">
        <f>38.15</f>
        <v>38.15</v>
      </c>
      <c r="J37" t="s">
        <v>16</v>
      </c>
      <c r="K37">
        <v>1.5</v>
      </c>
      <c r="L37" t="s">
        <v>55</v>
      </c>
    </row>
    <row r="38" spans="2:12" x14ac:dyDescent="0.2">
      <c r="G38" s="63" t="s">
        <v>56</v>
      </c>
      <c r="H38" s="63" t="s">
        <v>57</v>
      </c>
      <c r="I38" s="63">
        <f>45</f>
        <v>45</v>
      </c>
      <c r="J38" s="63" t="s">
        <v>13</v>
      </c>
      <c r="K38">
        <f>1.5*1000</f>
        <v>1500</v>
      </c>
      <c r="L38" s="63" t="s">
        <v>28</v>
      </c>
    </row>
    <row r="39" spans="2:12" x14ac:dyDescent="0.2">
      <c r="B39" t="s">
        <v>58</v>
      </c>
      <c r="C39">
        <v>1320.35</v>
      </c>
      <c r="D39" t="s">
        <v>41</v>
      </c>
      <c r="E39" s="230" t="s">
        <v>59</v>
      </c>
      <c r="K39">
        <f>K38*I38</f>
        <v>67500</v>
      </c>
      <c r="L39" t="s">
        <v>35</v>
      </c>
    </row>
    <row r="40" spans="2:12" x14ac:dyDescent="0.2">
      <c r="B40" t="s">
        <v>44</v>
      </c>
      <c r="C40" s="1">
        <f>C39/365</f>
        <v>3.6173972602739726</v>
      </c>
      <c r="D40" t="s">
        <v>36</v>
      </c>
      <c r="E40" s="230"/>
      <c r="K40">
        <f>K39*1000</f>
        <v>67500000</v>
      </c>
      <c r="L40" t="s">
        <v>60</v>
      </c>
    </row>
    <row r="41" spans="2:12" x14ac:dyDescent="0.2">
      <c r="K41">
        <f>((K40/3.6)*0.3)*0.9</f>
        <v>5062500</v>
      </c>
      <c r="L41" t="s">
        <v>36</v>
      </c>
    </row>
    <row r="42" spans="2:12" x14ac:dyDescent="0.2">
      <c r="B42" t="s">
        <v>61</v>
      </c>
      <c r="C42">
        <f>SQRT(C33*C39)</f>
        <v>1237.0471494652093</v>
      </c>
      <c r="D42" t="s">
        <v>41</v>
      </c>
      <c r="E42" t="s">
        <v>62</v>
      </c>
      <c r="K42" s="1">
        <f>K35/K41</f>
        <v>4.6312465402469137E-4</v>
      </c>
    </row>
    <row r="43" spans="2:12" x14ac:dyDescent="0.2">
      <c r="B43" t="s">
        <v>44</v>
      </c>
      <c r="C43" s="1">
        <f>C42/365</f>
        <v>3.3891702725074224</v>
      </c>
      <c r="D43" t="s">
        <v>36</v>
      </c>
      <c r="K43">
        <f>K39/1000</f>
        <v>67.5</v>
      </c>
      <c r="L43" t="s">
        <v>63</v>
      </c>
    </row>
    <row r="44" spans="2:12" x14ac:dyDescent="0.2">
      <c r="K44">
        <f>(K43*0.3)*0.9</f>
        <v>18.225000000000001</v>
      </c>
      <c r="L44" t="s">
        <v>64</v>
      </c>
    </row>
    <row r="45" spans="2:12" x14ac:dyDescent="0.2">
      <c r="B45" t="s">
        <v>65</v>
      </c>
      <c r="C45">
        <v>284.54768674015469</v>
      </c>
      <c r="D45" t="s">
        <v>36</v>
      </c>
      <c r="K45">
        <f>K44-K36</f>
        <v>10.225000000000001</v>
      </c>
      <c r="L45" t="s">
        <v>64</v>
      </c>
    </row>
    <row r="46" spans="2:12" x14ac:dyDescent="0.2">
      <c r="B46" t="s">
        <v>66</v>
      </c>
      <c r="C46" s="67"/>
      <c r="D46" t="s">
        <v>67</v>
      </c>
      <c r="K46">
        <f>K36/K44</f>
        <v>0.43895747599451301</v>
      </c>
    </row>
    <row r="47" spans="2:12" x14ac:dyDescent="0.2">
      <c r="K47">
        <f>1-K46</f>
        <v>0.56104252400548704</v>
      </c>
    </row>
    <row r="48" spans="2:12" x14ac:dyDescent="0.2">
      <c r="B48" t="s">
        <v>68</v>
      </c>
      <c r="C48">
        <v>379.39691565353951</v>
      </c>
      <c r="D48" t="s">
        <v>36</v>
      </c>
      <c r="K48">
        <f>K37*K47</f>
        <v>0.84156378600823056</v>
      </c>
      <c r="L48" t="s">
        <v>55</v>
      </c>
    </row>
    <row r="49" spans="1:12" x14ac:dyDescent="0.2">
      <c r="B49" t="s">
        <v>66</v>
      </c>
      <c r="C49" s="67"/>
      <c r="D49" t="s">
        <v>67</v>
      </c>
      <c r="K49">
        <f>K48*1000</f>
        <v>841.56378600823052</v>
      </c>
      <c r="L49" t="s">
        <v>28</v>
      </c>
    </row>
    <row r="50" spans="1:12" x14ac:dyDescent="0.2">
      <c r="E50">
        <f>E51/0.2</f>
        <v>229.43764950340457</v>
      </c>
      <c r="F50" t="s">
        <v>69</v>
      </c>
      <c r="K50">
        <f>K49*I38*0.4</f>
        <v>15148.14814814815</v>
      </c>
      <c r="L50" t="s">
        <v>35</v>
      </c>
    </row>
    <row r="51" spans="1:12" x14ac:dyDescent="0.2">
      <c r="B51" t="s">
        <v>70</v>
      </c>
      <c r="C51">
        <f>E29</f>
        <v>45130359.594441906</v>
      </c>
      <c r="D51" t="s">
        <v>36</v>
      </c>
      <c r="E51">
        <f>E52*30</f>
        <v>45.887529900680917</v>
      </c>
      <c r="F51" t="s">
        <v>71</v>
      </c>
      <c r="K51">
        <f>K50*1000</f>
        <v>15148148.148148149</v>
      </c>
      <c r="L51" t="s">
        <v>72</v>
      </c>
    </row>
    <row r="52" spans="1:12" x14ac:dyDescent="0.2">
      <c r="B52" t="s">
        <v>66</v>
      </c>
      <c r="C52" s="67">
        <f>C51/C43</f>
        <v>13316049.642160039</v>
      </c>
      <c r="D52" t="s">
        <v>67</v>
      </c>
      <c r="E52">
        <f>(7300*I60*0.4)/(24*3600)</f>
        <v>1.5295843300226972</v>
      </c>
      <c r="F52" t="s">
        <v>73</v>
      </c>
      <c r="K52">
        <f>4.2</f>
        <v>4.2</v>
      </c>
      <c r="L52" t="s">
        <v>36</v>
      </c>
    </row>
    <row r="53" spans="1:12" x14ac:dyDescent="0.2">
      <c r="E53">
        <f>E52*1000</f>
        <v>1529.5843300226973</v>
      </c>
      <c r="F53" t="s">
        <v>73</v>
      </c>
    </row>
    <row r="54" spans="1:12" x14ac:dyDescent="0.2">
      <c r="E54">
        <f>E53/C43</f>
        <v>451.31527985788074</v>
      </c>
      <c r="F54" t="s">
        <v>74</v>
      </c>
    </row>
    <row r="55" spans="1:12" x14ac:dyDescent="0.2">
      <c r="C55">
        <f>3800/C43</f>
        <v>1121.2183792668027</v>
      </c>
      <c r="E55">
        <f>E52*(1000/24)</f>
        <v>63.732680417612379</v>
      </c>
      <c r="F55" t="s">
        <v>75</v>
      </c>
    </row>
    <row r="56" spans="1:12" x14ac:dyDescent="0.2">
      <c r="C56">
        <f>C55/4</f>
        <v>280.30459481670067</v>
      </c>
    </row>
    <row r="57" spans="1:12" x14ac:dyDescent="0.2">
      <c r="D57" s="68">
        <f>900*500*360*40*3</f>
        <v>19440000000</v>
      </c>
    </row>
    <row r="58" spans="1:12" x14ac:dyDescent="0.2">
      <c r="A58">
        <v>2</v>
      </c>
      <c r="H58" t="s">
        <v>76</v>
      </c>
      <c r="I58">
        <f>SQRT(19.17*19.75)*1000</f>
        <v>19457.839037262074</v>
      </c>
      <c r="J58" t="s">
        <v>77</v>
      </c>
    </row>
    <row r="59" spans="1:12" x14ac:dyDescent="0.2">
      <c r="B59">
        <f>12.5*8</f>
        <v>100</v>
      </c>
      <c r="H59" t="s">
        <v>78</v>
      </c>
      <c r="I59">
        <f>I58*2.326</f>
        <v>45258.933600671589</v>
      </c>
      <c r="J59" t="s">
        <v>79</v>
      </c>
    </row>
    <row r="60" spans="1:12" x14ac:dyDescent="0.2">
      <c r="B60">
        <f>2+1+2+3+3+4+4+5+6+7+8+8+47</f>
        <v>100</v>
      </c>
      <c r="G60" s="64" t="s">
        <v>56</v>
      </c>
      <c r="H60" s="64" t="s">
        <v>80</v>
      </c>
      <c r="I60" s="64">
        <f>I59/1000</f>
        <v>45.25893360067159</v>
      </c>
      <c r="J60" s="64" t="s">
        <v>13</v>
      </c>
    </row>
    <row r="62" spans="1:12" x14ac:dyDescent="0.2">
      <c r="B62">
        <f>12.5*8</f>
        <v>100</v>
      </c>
    </row>
    <row r="63" spans="1:12" x14ac:dyDescent="0.2">
      <c r="B63">
        <f>6+4+4+8+6+8+10+12+6+8+10+16+2</f>
        <v>100</v>
      </c>
      <c r="C63" t="s">
        <v>81</v>
      </c>
    </row>
    <row r="64" spans="1:12" x14ac:dyDescent="0.2">
      <c r="B64" t="s">
        <v>82</v>
      </c>
      <c r="C64" t="s">
        <v>83</v>
      </c>
    </row>
    <row r="65" spans="1:3" x14ac:dyDescent="0.2">
      <c r="B65" t="s">
        <v>84</v>
      </c>
    </row>
    <row r="66" spans="1:3" x14ac:dyDescent="0.2">
      <c r="A66">
        <v>3</v>
      </c>
    </row>
    <row r="67" spans="1:3" x14ac:dyDescent="0.2">
      <c r="A67" t="s">
        <v>85</v>
      </c>
      <c r="B67">
        <f>18*3</f>
        <v>54</v>
      </c>
    </row>
    <row r="68" spans="1:3" x14ac:dyDescent="0.2">
      <c r="A68" t="s">
        <v>86</v>
      </c>
      <c r="B68">
        <f>6*18</f>
        <v>108</v>
      </c>
    </row>
    <row r="70" spans="1:3" x14ac:dyDescent="0.2">
      <c r="A70" t="s">
        <v>85</v>
      </c>
      <c r="B70">
        <f>2+1+2+3+3+4+4+5+6+7+8+8+1</f>
        <v>54</v>
      </c>
    </row>
    <row r="71" spans="1:3" x14ac:dyDescent="0.2">
      <c r="A71" t="s">
        <v>86</v>
      </c>
      <c r="B71">
        <f>6+4+4+8+4+8+10+12+6+8+10+8+20</f>
        <v>108</v>
      </c>
      <c r="C71" t="s">
        <v>87</v>
      </c>
    </row>
    <row r="74" spans="1:3" x14ac:dyDescent="0.2">
      <c r="A74">
        <v>1</v>
      </c>
    </row>
    <row r="75" spans="1:3" x14ac:dyDescent="0.2">
      <c r="A75" t="s">
        <v>85</v>
      </c>
      <c r="B75">
        <f>27*2</f>
        <v>54</v>
      </c>
    </row>
    <row r="76" spans="1:3" x14ac:dyDescent="0.2">
      <c r="A76" t="s">
        <v>86</v>
      </c>
      <c r="B76">
        <f>27*4</f>
        <v>108</v>
      </c>
    </row>
    <row r="78" spans="1:3" x14ac:dyDescent="0.2">
      <c r="A78" t="s">
        <v>85</v>
      </c>
      <c r="B78">
        <f>2+1+2+3+3+4+4+5+6+7+8+8+1</f>
        <v>54</v>
      </c>
    </row>
    <row r="79" spans="1:3" x14ac:dyDescent="0.2">
      <c r="A79" t="s">
        <v>86</v>
      </c>
      <c r="B79">
        <f>6+4+2+8+6+8+10+12+6+8+10+8+20</f>
        <v>108</v>
      </c>
      <c r="C79" t="s">
        <v>88</v>
      </c>
    </row>
    <row r="81" spans="1:6" x14ac:dyDescent="0.2">
      <c r="A81">
        <v>4</v>
      </c>
    </row>
    <row r="82" spans="1:6" x14ac:dyDescent="0.2">
      <c r="A82" t="s">
        <v>85</v>
      </c>
      <c r="B82">
        <f>4+(57*2)</f>
        <v>118</v>
      </c>
    </row>
    <row r="83" spans="1:6" x14ac:dyDescent="0.2">
      <c r="A83" t="s">
        <v>86</v>
      </c>
      <c r="B83">
        <f>6+(57*4)</f>
        <v>234</v>
      </c>
    </row>
    <row r="84" spans="1:6" x14ac:dyDescent="0.2">
      <c r="A84" t="s">
        <v>89</v>
      </c>
      <c r="B84">
        <v>2</v>
      </c>
    </row>
    <row r="86" spans="1:6" x14ac:dyDescent="0.2">
      <c r="A86" t="s">
        <v>85</v>
      </c>
      <c r="B86">
        <f>2*2+16+2*3+2*3+2*4+2*4+2*5+2*6+2*7+2*8+2*8+2</f>
        <v>118</v>
      </c>
    </row>
    <row r="87" spans="1:6" x14ac:dyDescent="0.2">
      <c r="A87" t="s">
        <v>86</v>
      </c>
      <c r="B87">
        <f>6*2+16*4+8*2+6*2+8*2+2*10+2*12+6*2+8*2+10*2+2*8+2*2+2</f>
        <v>234</v>
      </c>
    </row>
    <row r="88" spans="1:6" x14ac:dyDescent="0.2">
      <c r="A88" t="s">
        <v>89</v>
      </c>
      <c r="B88">
        <v>2</v>
      </c>
      <c r="C88" t="s">
        <v>90</v>
      </c>
    </row>
    <row r="90" spans="1:6" x14ac:dyDescent="0.2">
      <c r="A90" t="s">
        <v>91</v>
      </c>
      <c r="B90">
        <f>100</f>
        <v>100</v>
      </c>
      <c r="C90" t="s">
        <v>2</v>
      </c>
      <c r="D90" t="s">
        <v>26</v>
      </c>
    </row>
    <row r="91" spans="1:6" x14ac:dyDescent="0.2">
      <c r="A91" t="s">
        <v>92</v>
      </c>
      <c r="B91" s="9" t="s">
        <v>93</v>
      </c>
      <c r="C91" t="s">
        <v>94</v>
      </c>
      <c r="D91" t="s">
        <v>95</v>
      </c>
      <c r="E91" t="s">
        <v>96</v>
      </c>
      <c r="F91" t="s">
        <v>97</v>
      </c>
    </row>
    <row r="92" spans="1:6" x14ac:dyDescent="0.2">
      <c r="A92" t="s">
        <v>98</v>
      </c>
      <c r="B92">
        <f>C13+C14</f>
        <v>0.48799999999999999</v>
      </c>
      <c r="C92">
        <f>$B$90*B92</f>
        <v>48.8</v>
      </c>
      <c r="D92">
        <f>C92*907.2</f>
        <v>44271.360000000001</v>
      </c>
      <c r="E92">
        <f>28.054</f>
        <v>28.053999999999998</v>
      </c>
      <c r="F92">
        <f>D92/E92</f>
        <v>1578.0765666215157</v>
      </c>
    </row>
    <row r="93" spans="1:6" x14ac:dyDescent="0.2">
      <c r="A93" t="s">
        <v>99</v>
      </c>
      <c r="B93">
        <f>C15</f>
        <v>7.8E-2</v>
      </c>
      <c r="C93">
        <f>$B$90*B93</f>
        <v>7.8</v>
      </c>
      <c r="D93">
        <f>C93*907.2</f>
        <v>7076.16</v>
      </c>
      <c r="E93">
        <v>104.15</v>
      </c>
      <c r="F93">
        <f>D93/E93</f>
        <v>67.942006721075373</v>
      </c>
    </row>
    <row r="94" spans="1:6" x14ac:dyDescent="0.2">
      <c r="A94" t="s">
        <v>100</v>
      </c>
      <c r="B94">
        <f>C16</f>
        <v>0.28299999999999997</v>
      </c>
      <c r="C94">
        <f>$B$90*B94</f>
        <v>28.299999999999997</v>
      </c>
      <c r="D94">
        <f>C94*907.2</f>
        <v>25673.759999999998</v>
      </c>
      <c r="E94">
        <v>42.081000000000003</v>
      </c>
      <c r="F94">
        <f>D94/E94</f>
        <v>610.10337206815416</v>
      </c>
    </row>
    <row r="95" spans="1:6" x14ac:dyDescent="0.2">
      <c r="A95" t="s">
        <v>101</v>
      </c>
      <c r="B95">
        <f>C12</f>
        <v>0.151</v>
      </c>
      <c r="C95">
        <f>$B$90*B95</f>
        <v>15.1</v>
      </c>
      <c r="D95">
        <f>C95*907.2</f>
        <v>13698.720000000001</v>
      </c>
      <c r="E95">
        <v>62.497999999999998</v>
      </c>
      <c r="F95">
        <f>D95/E95</f>
        <v>219.18653396908704</v>
      </c>
    </row>
    <row r="96" spans="1:6" x14ac:dyDescent="0.2">
      <c r="A96" s="65" t="s">
        <v>102</v>
      </c>
      <c r="B96" s="65">
        <f>SUM(B92:B95)</f>
        <v>1</v>
      </c>
      <c r="C96" s="65">
        <f>SUM(C92:C95)</f>
        <v>99.999999999999986</v>
      </c>
      <c r="D96" s="65">
        <f>SUM(D92:D95)</f>
        <v>90720</v>
      </c>
      <c r="E96" s="65"/>
      <c r="F96" s="65">
        <f>SUM(F92:F95)</f>
        <v>2475.3084793798321</v>
      </c>
    </row>
    <row r="98" spans="1:8" x14ac:dyDescent="0.2">
      <c r="A98" t="s">
        <v>103</v>
      </c>
      <c r="B98" t="s">
        <v>104</v>
      </c>
      <c r="C98" t="s">
        <v>105</v>
      </c>
      <c r="D98" t="s">
        <v>106</v>
      </c>
      <c r="E98" t="s">
        <v>107</v>
      </c>
      <c r="F98" t="s">
        <v>108</v>
      </c>
      <c r="G98" t="s">
        <v>109</v>
      </c>
    </row>
    <row r="99" spans="1:8" x14ac:dyDescent="0.2">
      <c r="A99" t="s">
        <v>110</v>
      </c>
      <c r="B99">
        <f>$F$92*1/27</f>
        <v>58.447280245241323</v>
      </c>
      <c r="C99">
        <f>$F$93*(1/12.5)</f>
        <v>5.4353605376860301</v>
      </c>
      <c r="D99">
        <f>$F$94*(1/18)</f>
        <v>33.894631781564115</v>
      </c>
      <c r="E99">
        <f>F95*(16/2)</f>
        <v>1753.4922717526963</v>
      </c>
      <c r="F99">
        <f t="shared" ref="F99:F116" si="0">SUM(B99:E99)</f>
        <v>1851.2695443171879</v>
      </c>
      <c r="G99" s="73">
        <f t="shared" ref="G99:G117" si="1">F99*0.8</f>
        <v>1481.0156354537503</v>
      </c>
    </row>
    <row r="100" spans="1:8" x14ac:dyDescent="0.2">
      <c r="A100" t="s">
        <v>111</v>
      </c>
      <c r="B100">
        <f>$F$92*1/27</f>
        <v>58.447280245241323</v>
      </c>
      <c r="C100">
        <v>0</v>
      </c>
      <c r="D100">
        <v>0</v>
      </c>
      <c r="E100">
        <v>0</v>
      </c>
      <c r="F100">
        <f t="shared" si="0"/>
        <v>58.447280245241323</v>
      </c>
      <c r="G100" s="73">
        <f t="shared" si="1"/>
        <v>46.757824196193063</v>
      </c>
    </row>
    <row r="101" spans="1:8" x14ac:dyDescent="0.2">
      <c r="A101" t="s">
        <v>112</v>
      </c>
      <c r="B101">
        <v>0</v>
      </c>
      <c r="C101">
        <f>$F$93*(1/12.5)</f>
        <v>5.4353605376860301</v>
      </c>
      <c r="D101">
        <f>$F$94*(1/18)</f>
        <v>33.894631781564115</v>
      </c>
      <c r="E101">
        <v>0</v>
      </c>
      <c r="F101">
        <f t="shared" si="0"/>
        <v>39.329992319250145</v>
      </c>
      <c r="G101" s="73">
        <f t="shared" si="1"/>
        <v>31.463993855400119</v>
      </c>
    </row>
    <row r="102" spans="1:8" x14ac:dyDescent="0.2">
      <c r="A102" t="s">
        <v>113</v>
      </c>
      <c r="B102">
        <f>$F$92*1/27</f>
        <v>58.447280245241323</v>
      </c>
      <c r="C102">
        <f>$F$93*(1/12.5)</f>
        <v>5.4353605376860301</v>
      </c>
      <c r="D102">
        <f>$F$94*(1/18)</f>
        <v>33.894631781564115</v>
      </c>
      <c r="E102">
        <f>$F$95*(2/2)</f>
        <v>219.18653396908704</v>
      </c>
      <c r="F102">
        <f t="shared" si="0"/>
        <v>316.96380653357852</v>
      </c>
      <c r="G102" s="73">
        <f t="shared" si="1"/>
        <v>253.57104522686282</v>
      </c>
    </row>
    <row r="103" spans="1:8" x14ac:dyDescent="0.2">
      <c r="A103" t="s">
        <v>114</v>
      </c>
      <c r="B103">
        <f>$F$92*1/27</f>
        <v>58.447280245241323</v>
      </c>
      <c r="C103">
        <f>$F$93*(1/12.5)</f>
        <v>5.4353605376860301</v>
      </c>
      <c r="D103">
        <f>$F$94*(1/18)</f>
        <v>33.894631781564115</v>
      </c>
      <c r="E103">
        <f>$F$95*(2/2)</f>
        <v>219.18653396908704</v>
      </c>
      <c r="F103">
        <f t="shared" si="0"/>
        <v>316.96380653357852</v>
      </c>
      <c r="G103" s="73">
        <f t="shared" si="1"/>
        <v>253.57104522686282</v>
      </c>
    </row>
    <row r="104" spans="1:8" x14ac:dyDescent="0.2">
      <c r="A104" t="s">
        <v>115</v>
      </c>
      <c r="B104">
        <v>0</v>
      </c>
      <c r="C104">
        <v>0</v>
      </c>
      <c r="D104">
        <f>$F$94*(1/18)</f>
        <v>33.894631781564115</v>
      </c>
      <c r="E104">
        <v>0</v>
      </c>
      <c r="F104">
        <f t="shared" si="0"/>
        <v>33.894631781564115</v>
      </c>
      <c r="G104" s="73">
        <f t="shared" si="1"/>
        <v>27.115705425251292</v>
      </c>
    </row>
    <row r="105" spans="1:8" x14ac:dyDescent="0.2">
      <c r="A105" t="s">
        <v>116</v>
      </c>
      <c r="B105">
        <f t="shared" ref="B105:B112" si="2">$F$92*1/27</f>
        <v>58.447280245241323</v>
      </c>
      <c r="C105">
        <f t="shared" ref="C105:C111" si="3">$F$93*(1/12.5)</f>
        <v>5.4353605376860301</v>
      </c>
      <c r="D105">
        <v>0</v>
      </c>
      <c r="E105">
        <f t="shared" ref="E105:E112" si="4">$F$95*(2/2)</f>
        <v>219.18653396908704</v>
      </c>
      <c r="F105">
        <f t="shared" si="0"/>
        <v>283.06917475201442</v>
      </c>
      <c r="G105" s="73">
        <f t="shared" si="1"/>
        <v>226.45533980161156</v>
      </c>
    </row>
    <row r="106" spans="1:8" x14ac:dyDescent="0.2">
      <c r="A106" t="s">
        <v>117</v>
      </c>
      <c r="B106">
        <f t="shared" si="2"/>
        <v>58.447280245241323</v>
      </c>
      <c r="C106">
        <f t="shared" si="3"/>
        <v>5.4353605376860301</v>
      </c>
      <c r="D106">
        <f t="shared" ref="D106:D112" si="5">$F$94*(1/18)</f>
        <v>33.894631781564115</v>
      </c>
      <c r="E106">
        <f t="shared" si="4"/>
        <v>219.18653396908704</v>
      </c>
      <c r="F106">
        <f t="shared" si="0"/>
        <v>316.96380653357852</v>
      </c>
      <c r="G106" s="73">
        <f t="shared" si="1"/>
        <v>253.57104522686282</v>
      </c>
    </row>
    <row r="107" spans="1:8" x14ac:dyDescent="0.2">
      <c r="A107" t="s">
        <v>118</v>
      </c>
      <c r="B107">
        <f t="shared" si="2"/>
        <v>58.447280245241323</v>
      </c>
      <c r="C107">
        <f t="shared" si="3"/>
        <v>5.4353605376860301</v>
      </c>
      <c r="D107">
        <f t="shared" si="5"/>
        <v>33.894631781564115</v>
      </c>
      <c r="E107">
        <f t="shared" si="4"/>
        <v>219.18653396908704</v>
      </c>
      <c r="F107">
        <f t="shared" si="0"/>
        <v>316.96380653357852</v>
      </c>
      <c r="G107" s="73">
        <f t="shared" si="1"/>
        <v>253.57104522686282</v>
      </c>
    </row>
    <row r="108" spans="1:8" x14ac:dyDescent="0.2">
      <c r="A108" t="s">
        <v>119</v>
      </c>
      <c r="B108">
        <f t="shared" si="2"/>
        <v>58.447280245241323</v>
      </c>
      <c r="C108">
        <f t="shared" si="3"/>
        <v>5.4353605376860301</v>
      </c>
      <c r="D108">
        <f t="shared" si="5"/>
        <v>33.894631781564115</v>
      </c>
      <c r="E108">
        <f t="shared" si="4"/>
        <v>219.18653396908704</v>
      </c>
      <c r="F108">
        <f t="shared" si="0"/>
        <v>316.96380653357852</v>
      </c>
      <c r="G108" s="73">
        <f t="shared" si="1"/>
        <v>253.57104522686282</v>
      </c>
    </row>
    <row r="109" spans="1:8" x14ac:dyDescent="0.2">
      <c r="A109" t="s">
        <v>120</v>
      </c>
      <c r="B109">
        <f t="shared" si="2"/>
        <v>58.447280245241323</v>
      </c>
      <c r="C109">
        <f t="shared" si="3"/>
        <v>5.4353605376860301</v>
      </c>
      <c r="D109">
        <f t="shared" si="5"/>
        <v>33.894631781564115</v>
      </c>
      <c r="E109">
        <f t="shared" si="4"/>
        <v>219.18653396908704</v>
      </c>
      <c r="F109">
        <f t="shared" si="0"/>
        <v>316.96380653357852</v>
      </c>
      <c r="G109" s="73">
        <f t="shared" si="1"/>
        <v>253.57104522686282</v>
      </c>
    </row>
    <row r="110" spans="1:8" x14ac:dyDescent="0.2">
      <c r="A110" t="s">
        <v>121</v>
      </c>
      <c r="B110">
        <f t="shared" si="2"/>
        <v>58.447280245241323</v>
      </c>
      <c r="C110">
        <f t="shared" si="3"/>
        <v>5.4353605376860301</v>
      </c>
      <c r="D110">
        <f t="shared" si="5"/>
        <v>33.894631781564115</v>
      </c>
      <c r="E110">
        <f t="shared" si="4"/>
        <v>219.18653396908704</v>
      </c>
      <c r="F110">
        <f t="shared" si="0"/>
        <v>316.96380653357852</v>
      </c>
      <c r="G110" s="73">
        <f t="shared" si="1"/>
        <v>253.57104522686282</v>
      </c>
    </row>
    <row r="111" spans="1:8" x14ac:dyDescent="0.2">
      <c r="A111" s="72" t="s">
        <v>122</v>
      </c>
      <c r="B111" s="72">
        <f t="shared" si="2"/>
        <v>58.447280245241323</v>
      </c>
      <c r="C111" s="72">
        <f t="shared" si="3"/>
        <v>5.4353605376860301</v>
      </c>
      <c r="D111" s="72">
        <f t="shared" si="5"/>
        <v>33.894631781564115</v>
      </c>
      <c r="E111" s="72">
        <f t="shared" si="4"/>
        <v>219.18653396908704</v>
      </c>
      <c r="F111" s="72">
        <f t="shared" si="0"/>
        <v>316.96380653357852</v>
      </c>
      <c r="G111" s="74">
        <f t="shared" si="1"/>
        <v>253.57104522686282</v>
      </c>
      <c r="H111" t="s">
        <v>123</v>
      </c>
    </row>
    <row r="112" spans="1:8" x14ac:dyDescent="0.2">
      <c r="A112" t="s">
        <v>124</v>
      </c>
      <c r="B112">
        <f t="shared" si="2"/>
        <v>58.447280245241323</v>
      </c>
      <c r="C112">
        <v>0</v>
      </c>
      <c r="D112">
        <f t="shared" si="5"/>
        <v>33.894631781564115</v>
      </c>
      <c r="E112">
        <f t="shared" si="4"/>
        <v>219.18653396908704</v>
      </c>
      <c r="F112">
        <f t="shared" si="0"/>
        <v>311.52844599589247</v>
      </c>
      <c r="G112" s="73">
        <f t="shared" si="1"/>
        <v>249.22275679671398</v>
      </c>
    </row>
    <row r="113" spans="1:9" x14ac:dyDescent="0.2">
      <c r="A113" t="s">
        <v>125</v>
      </c>
      <c r="B113">
        <v>0</v>
      </c>
      <c r="C113">
        <f>$F$93*(1/12.5)</f>
        <v>5.4353605376860301</v>
      </c>
      <c r="D113">
        <v>0</v>
      </c>
      <c r="E113">
        <v>0</v>
      </c>
      <c r="F113">
        <f t="shared" si="0"/>
        <v>5.4353605376860301</v>
      </c>
      <c r="G113" s="73">
        <f t="shared" si="1"/>
        <v>4.3482884301488243</v>
      </c>
    </row>
    <row r="114" spans="1:9" x14ac:dyDescent="0.2">
      <c r="A114" s="72" t="s">
        <v>85</v>
      </c>
      <c r="B114" s="72">
        <f>$F$92*1/27</f>
        <v>58.447280245241323</v>
      </c>
      <c r="C114" s="72">
        <f>F93*(47/12.5)</f>
        <v>255.46194527124339</v>
      </c>
      <c r="D114" s="72">
        <f>$F$94*(1/18)</f>
        <v>33.894631781564115</v>
      </c>
      <c r="E114" s="72">
        <f>$F$95*(2/2)</f>
        <v>219.18653396908704</v>
      </c>
      <c r="F114" s="72">
        <f t="shared" si="0"/>
        <v>566.99039126713581</v>
      </c>
      <c r="G114" s="74">
        <f t="shared" si="1"/>
        <v>453.59231301370869</v>
      </c>
      <c r="H114" t="s">
        <v>126</v>
      </c>
    </row>
    <row r="115" spans="1:9" x14ac:dyDescent="0.2">
      <c r="A115" t="s">
        <v>127</v>
      </c>
      <c r="B115">
        <f>F92*(10/27)</f>
        <v>584.47280245241313</v>
      </c>
      <c r="C115">
        <f>$F$93*(1/12.5)</f>
        <v>5.4353605376860301</v>
      </c>
      <c r="D115">
        <f>F94*(10/18)</f>
        <v>338.94631781564124</v>
      </c>
      <c r="E115">
        <f>$F$95*(2/2)</f>
        <v>219.18653396908704</v>
      </c>
      <c r="F115">
        <f t="shared" si="0"/>
        <v>1148.0410147748275</v>
      </c>
      <c r="G115" s="73">
        <f t="shared" si="1"/>
        <v>918.43281181986208</v>
      </c>
    </row>
    <row r="116" spans="1:9" x14ac:dyDescent="0.2">
      <c r="A116" t="s">
        <v>128</v>
      </c>
      <c r="B116">
        <v>0</v>
      </c>
      <c r="C116">
        <v>0</v>
      </c>
      <c r="D116">
        <v>0</v>
      </c>
      <c r="E116">
        <f>$F$95*(2/2)</f>
        <v>219.18653396908704</v>
      </c>
      <c r="F116">
        <f t="shared" si="0"/>
        <v>219.18653396908704</v>
      </c>
      <c r="G116" s="73">
        <f t="shared" si="1"/>
        <v>175.34922717526965</v>
      </c>
    </row>
    <row r="117" spans="1:9" x14ac:dyDescent="0.2">
      <c r="E117" s="65" t="s">
        <v>129</v>
      </c>
      <c r="F117" s="65">
        <f>SUM(F99:F116)</f>
        <v>7052.9028222285142</v>
      </c>
      <c r="G117" s="75">
        <f t="shared" si="1"/>
        <v>5642.3222577828119</v>
      </c>
      <c r="H117" s="73">
        <f>G117-G114</f>
        <v>5188.729944769103</v>
      </c>
      <c r="I117" s="73">
        <f>H117-G111</f>
        <v>4935.1588995422399</v>
      </c>
    </row>
    <row r="118" spans="1:9" x14ac:dyDescent="0.2">
      <c r="E118" t="s">
        <v>130</v>
      </c>
      <c r="F118">
        <f>F114/F117</f>
        <v>8.0391068125901549E-2</v>
      </c>
      <c r="G118" s="71">
        <f>F118</f>
        <v>8.0391068125901549E-2</v>
      </c>
    </row>
    <row r="119" spans="1:9" x14ac:dyDescent="0.2">
      <c r="A119" s="223" t="s">
        <v>131</v>
      </c>
      <c r="B119" s="223"/>
      <c r="C119" s="223"/>
      <c r="D119" s="223"/>
      <c r="E119" s="223"/>
    </row>
    <row r="120" spans="1:9" x14ac:dyDescent="0.2">
      <c r="A120" s="232" t="s">
        <v>132</v>
      </c>
      <c r="B120" s="232"/>
      <c r="C120" s="232"/>
      <c r="D120" s="232"/>
      <c r="E120" s="232"/>
    </row>
    <row r="121" spans="1:9" x14ac:dyDescent="0.2">
      <c r="A121" s="76" t="s">
        <v>133</v>
      </c>
      <c r="B121" s="76" t="s">
        <v>134</v>
      </c>
      <c r="C121" s="76" t="s">
        <v>135</v>
      </c>
      <c r="D121" s="76" t="s">
        <v>136</v>
      </c>
      <c r="E121" s="76" t="s">
        <v>137</v>
      </c>
    </row>
    <row r="122" spans="1:9" x14ac:dyDescent="0.2">
      <c r="A122" s="76" t="s">
        <v>138</v>
      </c>
      <c r="B122" s="76"/>
      <c r="C122" s="76"/>
      <c r="D122" s="76"/>
      <c r="E122" s="76"/>
    </row>
    <row r="123" spans="1:9" x14ac:dyDescent="0.2">
      <c r="A123" s="76" t="s">
        <v>139</v>
      </c>
      <c r="B123" s="76"/>
      <c r="C123" s="76"/>
      <c r="D123" s="76" t="s">
        <v>140</v>
      </c>
      <c r="E123" s="76" t="s">
        <v>140</v>
      </c>
    </row>
    <row r="124" spans="1:9" x14ac:dyDescent="0.2">
      <c r="A124" s="76" t="s">
        <v>141</v>
      </c>
      <c r="B124" s="76"/>
      <c r="C124" s="76" t="s">
        <v>140</v>
      </c>
      <c r="D124" s="76"/>
      <c r="E124" s="76"/>
    </row>
    <row r="125" spans="1:9" x14ac:dyDescent="0.2">
      <c r="A125" s="76" t="s">
        <v>142</v>
      </c>
      <c r="B125" s="76"/>
      <c r="C125" s="76" t="s">
        <v>143</v>
      </c>
      <c r="D125" s="76" t="s">
        <v>143</v>
      </c>
      <c r="E125" s="76" t="s">
        <v>143</v>
      </c>
    </row>
    <row r="126" spans="1:9" x14ac:dyDescent="0.2">
      <c r="A126" s="76" t="s">
        <v>144</v>
      </c>
      <c r="B126" s="76"/>
      <c r="C126" s="76"/>
      <c r="D126" s="76"/>
      <c r="E126" s="76"/>
    </row>
    <row r="127" spans="1:9" x14ac:dyDescent="0.2">
      <c r="A127" s="76" t="s">
        <v>145</v>
      </c>
      <c r="B127" s="76" t="s">
        <v>146</v>
      </c>
      <c r="C127" s="76"/>
      <c r="D127" s="76"/>
      <c r="E127" s="76"/>
    </row>
    <row r="128" spans="1:9" x14ac:dyDescent="0.2">
      <c r="A128" s="76" t="s">
        <v>147</v>
      </c>
      <c r="B128" s="76"/>
      <c r="C128" s="76"/>
      <c r="D128" s="76"/>
      <c r="E128" s="76"/>
    </row>
    <row r="129" spans="1:5" x14ac:dyDescent="0.2">
      <c r="A129" s="76" t="s">
        <v>148</v>
      </c>
      <c r="B129" s="76"/>
      <c r="C129" s="76" t="s">
        <v>149</v>
      </c>
      <c r="D129" s="76" t="s">
        <v>149</v>
      </c>
      <c r="E129" s="76" t="s">
        <v>150</v>
      </c>
    </row>
    <row r="130" spans="1:5" x14ac:dyDescent="0.2">
      <c r="A130" s="76" t="s">
        <v>151</v>
      </c>
      <c r="B130" s="76" t="s">
        <v>85</v>
      </c>
      <c r="C130" s="76">
        <v>500</v>
      </c>
      <c r="D130" s="76">
        <v>30</v>
      </c>
      <c r="E130" s="76">
        <v>30</v>
      </c>
    </row>
    <row r="131" spans="1:5" x14ac:dyDescent="0.2">
      <c r="A131" s="76" t="s">
        <v>152</v>
      </c>
      <c r="B131" s="76" t="s">
        <v>153</v>
      </c>
      <c r="C131" s="76">
        <v>1</v>
      </c>
      <c r="D131" s="76">
        <v>1</v>
      </c>
      <c r="E131" s="76">
        <v>1</v>
      </c>
    </row>
    <row r="132" spans="1:5" x14ac:dyDescent="0.2">
      <c r="A132" s="76" t="s">
        <v>154</v>
      </c>
      <c r="B132" s="76"/>
      <c r="C132" s="76">
        <v>1</v>
      </c>
      <c r="D132" s="76">
        <v>1</v>
      </c>
      <c r="E132" s="76">
        <v>0</v>
      </c>
    </row>
    <row r="133" spans="1:5" x14ac:dyDescent="0.2">
      <c r="A133" s="76" t="s">
        <v>155</v>
      </c>
      <c r="B133" s="76"/>
      <c r="C133" s="76">
        <v>0</v>
      </c>
      <c r="D133" s="76">
        <v>0</v>
      </c>
      <c r="E133" s="76">
        <v>1</v>
      </c>
    </row>
    <row r="134" spans="1:5" x14ac:dyDescent="0.2">
      <c r="A134" s="76" t="s">
        <v>156</v>
      </c>
      <c r="B134" s="76"/>
      <c r="C134" s="76">
        <v>0</v>
      </c>
      <c r="D134" s="76">
        <v>0</v>
      </c>
      <c r="E134" s="76">
        <v>0</v>
      </c>
    </row>
    <row r="135" spans="1:5" x14ac:dyDescent="0.2">
      <c r="A135" s="76" t="s">
        <v>157</v>
      </c>
      <c r="B135" s="76"/>
      <c r="C135" s="76">
        <v>1</v>
      </c>
      <c r="D135" s="76">
        <v>1</v>
      </c>
      <c r="E135" s="76">
        <v>0</v>
      </c>
    </row>
    <row r="136" spans="1:5" x14ac:dyDescent="0.2">
      <c r="A136" s="76" t="s">
        <v>158</v>
      </c>
      <c r="B136" s="76"/>
      <c r="C136" s="76">
        <v>0</v>
      </c>
      <c r="D136" s="76">
        <v>0</v>
      </c>
      <c r="E136" s="76">
        <v>1</v>
      </c>
    </row>
    <row r="137" spans="1:5" x14ac:dyDescent="0.2">
      <c r="A137" s="76" t="s">
        <v>159</v>
      </c>
      <c r="B137" s="76"/>
      <c r="C137" s="76">
        <v>0</v>
      </c>
      <c r="D137" s="76">
        <v>0</v>
      </c>
      <c r="E137" s="76">
        <v>0</v>
      </c>
    </row>
    <row r="138" spans="1:5" x14ac:dyDescent="0.2">
      <c r="A138" s="77" t="s">
        <v>160</v>
      </c>
      <c r="B138" s="77" t="s">
        <v>161</v>
      </c>
      <c r="C138" s="77" t="s">
        <v>162</v>
      </c>
      <c r="D138" s="77" t="s">
        <v>163</v>
      </c>
      <c r="E138" s="80">
        <v>613311</v>
      </c>
    </row>
    <row r="139" spans="1:5" x14ac:dyDescent="0.2">
      <c r="A139" s="76" t="s">
        <v>164</v>
      </c>
      <c r="B139" s="76" t="s">
        <v>161</v>
      </c>
      <c r="C139" s="76">
        <v>1481</v>
      </c>
      <c r="D139" s="76" t="s">
        <v>165</v>
      </c>
      <c r="E139" s="76" t="s">
        <v>166</v>
      </c>
    </row>
    <row r="140" spans="1:5" x14ac:dyDescent="0.2">
      <c r="A140" s="76" t="s">
        <v>167</v>
      </c>
      <c r="B140" s="76" t="s">
        <v>161</v>
      </c>
      <c r="C140" s="76" t="s">
        <v>168</v>
      </c>
      <c r="D140" s="78">
        <v>466765</v>
      </c>
      <c r="E140" s="76" t="s">
        <v>169</v>
      </c>
    </row>
    <row r="141" spans="1:5" x14ac:dyDescent="0.2">
      <c r="A141" s="76" t="s">
        <v>170</v>
      </c>
      <c r="B141" s="76" t="s">
        <v>161</v>
      </c>
      <c r="C141" s="76" t="s">
        <v>171</v>
      </c>
      <c r="D141" s="78">
        <v>314409</v>
      </c>
      <c r="E141" s="76" t="s">
        <v>172</v>
      </c>
    </row>
    <row r="142" spans="1:5" x14ac:dyDescent="0.2">
      <c r="A142" s="76" t="s">
        <v>173</v>
      </c>
      <c r="B142" s="76" t="s">
        <v>161</v>
      </c>
      <c r="C142" s="76" t="s">
        <v>174</v>
      </c>
      <c r="D142" s="78">
        <v>252815</v>
      </c>
      <c r="E142" s="76" t="s">
        <v>175</v>
      </c>
    </row>
    <row r="143" spans="1:5" x14ac:dyDescent="0.2">
      <c r="A143" s="76" t="s">
        <v>176</v>
      </c>
      <c r="B143" s="76" t="s">
        <v>161</v>
      </c>
      <c r="C143" s="76" t="s">
        <v>174</v>
      </c>
      <c r="D143" s="76" t="s">
        <v>177</v>
      </c>
      <c r="E143" s="78">
        <v>333957</v>
      </c>
    </row>
    <row r="144" spans="1:5" x14ac:dyDescent="0.2">
      <c r="A144" s="76" t="s">
        <v>178</v>
      </c>
      <c r="B144" s="76" t="s">
        <v>161</v>
      </c>
      <c r="C144" s="76" t="s">
        <v>179</v>
      </c>
      <c r="D144" s="78">
        <v>267037</v>
      </c>
      <c r="E144" s="76" t="s">
        <v>180</v>
      </c>
    </row>
    <row r="145" spans="1:5" x14ac:dyDescent="0.2">
      <c r="A145" s="76" t="s">
        <v>181</v>
      </c>
      <c r="B145" s="76" t="s">
        <v>161</v>
      </c>
      <c r="C145" s="76" t="s">
        <v>182</v>
      </c>
      <c r="D145" s="78">
        <v>224251</v>
      </c>
      <c r="E145" s="78">
        <v>224932</v>
      </c>
    </row>
    <row r="146" spans="1:5" x14ac:dyDescent="0.2">
      <c r="A146" s="76" t="s">
        <v>183</v>
      </c>
      <c r="B146" s="76" t="s">
        <v>161</v>
      </c>
      <c r="C146" s="76" t="s">
        <v>174</v>
      </c>
      <c r="D146" s="78">
        <v>239803</v>
      </c>
      <c r="E146" s="78">
        <v>137971</v>
      </c>
    </row>
    <row r="147" spans="1:5" x14ac:dyDescent="0.2">
      <c r="A147" s="76" t="s">
        <v>184</v>
      </c>
      <c r="B147" s="76" t="s">
        <v>161</v>
      </c>
      <c r="C147" s="76" t="s">
        <v>174</v>
      </c>
      <c r="D147" s="78">
        <v>241865</v>
      </c>
      <c r="E147" s="78">
        <v>117353</v>
      </c>
    </row>
    <row r="148" spans="1:5" x14ac:dyDescent="0.2">
      <c r="A148" s="76" t="s">
        <v>185</v>
      </c>
      <c r="B148" s="76" t="s">
        <v>161</v>
      </c>
      <c r="C148" s="76" t="s">
        <v>174</v>
      </c>
      <c r="D148" s="78">
        <v>222251</v>
      </c>
      <c r="E148" s="78">
        <v>313486</v>
      </c>
    </row>
    <row r="149" spans="1:5" x14ac:dyDescent="0.2">
      <c r="A149" s="76" t="s">
        <v>186</v>
      </c>
      <c r="B149" s="76" t="s">
        <v>161</v>
      </c>
      <c r="C149" s="76" t="s">
        <v>174</v>
      </c>
      <c r="D149" s="78">
        <v>131111</v>
      </c>
      <c r="E149" s="78">
        <v>122489</v>
      </c>
    </row>
    <row r="150" spans="1:5" x14ac:dyDescent="0.2">
      <c r="A150" s="76" t="s">
        <v>187</v>
      </c>
      <c r="B150" s="76" t="s">
        <v>161</v>
      </c>
      <c r="C150" s="76" t="s">
        <v>174</v>
      </c>
      <c r="D150" s="78">
        <v>632838</v>
      </c>
      <c r="E150" s="78">
        <v>190316</v>
      </c>
    </row>
    <row r="151" spans="1:5" x14ac:dyDescent="0.2">
      <c r="A151" s="76" t="s">
        <v>188</v>
      </c>
      <c r="B151" s="76" t="s">
        <v>161</v>
      </c>
      <c r="C151" s="76" t="s">
        <v>189</v>
      </c>
      <c r="D151" s="78">
        <v>173917</v>
      </c>
      <c r="E151" s="78">
        <v>231808</v>
      </c>
    </row>
    <row r="152" spans="1:5" x14ac:dyDescent="0.2">
      <c r="A152" s="79">
        <v>37166</v>
      </c>
      <c r="B152" s="76" t="s">
        <v>161</v>
      </c>
      <c r="C152" s="76" t="s">
        <v>190</v>
      </c>
      <c r="D152" s="76" t="s">
        <v>191</v>
      </c>
      <c r="E152" s="78">
        <v>38316</v>
      </c>
    </row>
    <row r="153" spans="1:5" x14ac:dyDescent="0.2">
      <c r="A153" s="76" t="s">
        <v>192</v>
      </c>
      <c r="B153" s="76" t="s">
        <v>161</v>
      </c>
      <c r="C153" s="76" t="s">
        <v>193</v>
      </c>
      <c r="D153" s="78">
        <v>918391</v>
      </c>
      <c r="E153" s="76" t="s">
        <v>194</v>
      </c>
    </row>
    <row r="154" spans="1:5" x14ac:dyDescent="0.2">
      <c r="A154" s="76" t="s">
        <v>195</v>
      </c>
      <c r="B154" s="76" t="s">
        <v>161</v>
      </c>
      <c r="C154" s="76" t="s">
        <v>196</v>
      </c>
      <c r="D154" s="78">
        <v>174823</v>
      </c>
      <c r="E154" s="76" t="s">
        <v>197</v>
      </c>
    </row>
    <row r="155" spans="1:5" x14ac:dyDescent="0.2">
      <c r="A155" s="77" t="s">
        <v>198</v>
      </c>
      <c r="B155" s="77" t="s">
        <v>199</v>
      </c>
      <c r="C155" s="80">
        <v>198868</v>
      </c>
      <c r="D155" s="80">
        <v>137461</v>
      </c>
      <c r="E155" s="80">
        <v>61407</v>
      </c>
    </row>
    <row r="156" spans="1:5" x14ac:dyDescent="0.2">
      <c r="A156" s="76" t="s">
        <v>164</v>
      </c>
      <c r="B156" s="76" t="s">
        <v>200</v>
      </c>
      <c r="C156" s="78">
        <v>989972</v>
      </c>
      <c r="D156" s="78">
        <v>989607</v>
      </c>
      <c r="E156" s="76" t="s">
        <v>201</v>
      </c>
    </row>
    <row r="157" spans="1:5" x14ac:dyDescent="0.2">
      <c r="A157" s="76" t="s">
        <v>167</v>
      </c>
      <c r="B157" s="76" t="s">
        <v>200</v>
      </c>
      <c r="C157" s="78">
        <v>507739</v>
      </c>
      <c r="D157" s="78">
        <v>506399</v>
      </c>
      <c r="E157" s="76" t="s">
        <v>202</v>
      </c>
    </row>
    <row r="158" spans="1:5" x14ac:dyDescent="0.2">
      <c r="A158" s="76" t="s">
        <v>170</v>
      </c>
      <c r="B158" s="76" t="s">
        <v>200</v>
      </c>
      <c r="C158" s="78">
        <v>368206</v>
      </c>
      <c r="D158" s="78">
        <v>367514</v>
      </c>
      <c r="E158" s="76" t="s">
        <v>203</v>
      </c>
    </row>
    <row r="159" spans="1:5" x14ac:dyDescent="0.2">
      <c r="A159" s="76" t="s">
        <v>173</v>
      </c>
      <c r="B159" s="76" t="s">
        <v>200</v>
      </c>
      <c r="C159" s="78">
        <v>317736</v>
      </c>
      <c r="D159" s="78">
        <v>316752</v>
      </c>
      <c r="E159" s="76" t="s">
        <v>204</v>
      </c>
    </row>
    <row r="160" spans="1:5" x14ac:dyDescent="0.2">
      <c r="A160" s="76" t="s">
        <v>176</v>
      </c>
      <c r="B160" s="76" t="s">
        <v>200</v>
      </c>
      <c r="C160" s="78">
        <v>465953</v>
      </c>
      <c r="D160" s="78">
        <v>459817</v>
      </c>
      <c r="E160" s="78">
        <v>613598</v>
      </c>
    </row>
    <row r="161" spans="1:5" x14ac:dyDescent="0.2">
      <c r="A161" s="76" t="s">
        <v>178</v>
      </c>
      <c r="B161" s="76" t="s">
        <v>200</v>
      </c>
      <c r="C161" s="78">
        <v>452398</v>
      </c>
      <c r="D161" s="78">
        <v>445783</v>
      </c>
      <c r="E161" s="76" t="s">
        <v>205</v>
      </c>
    </row>
    <row r="162" spans="1:5" x14ac:dyDescent="0.2">
      <c r="A162" s="76" t="s">
        <v>181</v>
      </c>
      <c r="B162" s="76" t="s">
        <v>200</v>
      </c>
      <c r="C162" s="78">
        <v>397136</v>
      </c>
      <c r="D162" s="78">
        <v>393192</v>
      </c>
      <c r="E162" s="78">
        <v>394386</v>
      </c>
    </row>
    <row r="163" spans="1:5" x14ac:dyDescent="0.2">
      <c r="A163" s="76" t="s">
        <v>183</v>
      </c>
      <c r="B163" s="76" t="s">
        <v>200</v>
      </c>
      <c r="C163" s="78">
        <v>592869</v>
      </c>
      <c r="D163" s="78">
        <v>560614</v>
      </c>
      <c r="E163" s="78">
        <v>32255</v>
      </c>
    </row>
    <row r="164" spans="1:5" x14ac:dyDescent="0.2">
      <c r="A164" s="76" t="s">
        <v>184</v>
      </c>
      <c r="B164" s="76" t="s">
        <v>200</v>
      </c>
      <c r="C164" s="78">
        <v>614171</v>
      </c>
      <c r="D164" s="76" t="s">
        <v>206</v>
      </c>
      <c r="E164" s="78">
        <v>284207</v>
      </c>
    </row>
    <row r="165" spans="1:5" x14ac:dyDescent="0.2">
      <c r="A165" s="76" t="s">
        <v>185</v>
      </c>
      <c r="B165" s="76" t="s">
        <v>200</v>
      </c>
      <c r="C165" s="78">
        <v>762388</v>
      </c>
      <c r="D165" s="78">
        <v>668146</v>
      </c>
      <c r="E165" s="78">
        <v>942419</v>
      </c>
    </row>
    <row r="166" spans="1:5" x14ac:dyDescent="0.2">
      <c r="A166" s="76" t="s">
        <v>186</v>
      </c>
      <c r="B166" s="76" t="s">
        <v>200</v>
      </c>
      <c r="C166" s="78">
        <v>825401</v>
      </c>
      <c r="D166" s="76" t="s">
        <v>207</v>
      </c>
      <c r="E166" s="78">
        <v>398671</v>
      </c>
    </row>
    <row r="167" spans="1:5" x14ac:dyDescent="0.2">
      <c r="A167" s="76" t="s">
        <v>187</v>
      </c>
      <c r="B167" s="76" t="s">
        <v>200</v>
      </c>
      <c r="C167" s="78">
        <v>973618</v>
      </c>
      <c r="D167" s="78">
        <v>242958</v>
      </c>
      <c r="E167" s="76" t="s">
        <v>208</v>
      </c>
    </row>
    <row r="168" spans="1:5" x14ac:dyDescent="0.2">
      <c r="A168" s="76" t="s">
        <v>188</v>
      </c>
      <c r="B168" s="76" t="s">
        <v>200</v>
      </c>
      <c r="C168" s="76" t="s">
        <v>209</v>
      </c>
      <c r="D168" s="78">
        <v>75474</v>
      </c>
      <c r="E168" s="76" t="s">
        <v>210</v>
      </c>
    </row>
    <row r="169" spans="1:5" x14ac:dyDescent="0.2">
      <c r="A169" s="79">
        <v>37166</v>
      </c>
      <c r="B169" s="76" t="s">
        <v>200</v>
      </c>
      <c r="C169" s="78">
        <v>201052</v>
      </c>
      <c r="D169" s="78">
        <v>219005</v>
      </c>
      <c r="E169" s="78">
        <v>179151</v>
      </c>
    </row>
    <row r="170" spans="1:5" x14ac:dyDescent="0.2">
      <c r="A170" s="76" t="s">
        <v>192</v>
      </c>
      <c r="B170" s="76" t="s">
        <v>200</v>
      </c>
      <c r="C170" s="78">
        <v>77141</v>
      </c>
      <c r="D170" s="78">
        <v>771402</v>
      </c>
      <c r="E170" s="76" t="s">
        <v>211</v>
      </c>
    </row>
    <row r="171" spans="1:5" x14ac:dyDescent="0.2">
      <c r="A171" s="76" t="s">
        <v>195</v>
      </c>
      <c r="B171" s="76" t="s">
        <v>200</v>
      </c>
      <c r="C171" s="78">
        <v>266315</v>
      </c>
      <c r="D171" s="76" t="s">
        <v>212</v>
      </c>
      <c r="E171" s="76" t="s">
        <v>213</v>
      </c>
    </row>
    <row r="172" spans="1:5" x14ac:dyDescent="0.2">
      <c r="A172" s="233" t="s">
        <v>214</v>
      </c>
      <c r="B172" s="233"/>
      <c r="C172" s="233"/>
      <c r="D172" s="233"/>
      <c r="E172" s="233"/>
    </row>
    <row r="173" spans="1:5" x14ac:dyDescent="0.2">
      <c r="A173" s="76" t="s">
        <v>164</v>
      </c>
      <c r="B173" s="76"/>
      <c r="C173" s="83">
        <v>0.13169600000000001</v>
      </c>
      <c r="D173" s="76" t="s">
        <v>215</v>
      </c>
      <c r="E173" s="76" t="s">
        <v>216</v>
      </c>
    </row>
    <row r="174" spans="1:5" x14ac:dyDescent="0.2">
      <c r="A174" s="76" t="s">
        <v>167</v>
      </c>
      <c r="B174" s="76"/>
      <c r="C174" s="83">
        <v>6.7544700000000003E-3</v>
      </c>
      <c r="D174" s="76" t="s">
        <v>217</v>
      </c>
      <c r="E174" s="82">
        <v>5.7702900000000001</v>
      </c>
    </row>
    <row r="175" spans="1:5" x14ac:dyDescent="0.2">
      <c r="A175" s="76" t="s">
        <v>170</v>
      </c>
      <c r="B175" s="76"/>
      <c r="C175" s="83">
        <v>4.8982499999999998E-3</v>
      </c>
      <c r="D175" s="76" t="s">
        <v>218</v>
      </c>
      <c r="E175" s="82">
        <v>2.9782899999999999</v>
      </c>
    </row>
    <row r="176" spans="1:5" x14ac:dyDescent="0.2">
      <c r="A176" s="76" t="s">
        <v>173</v>
      </c>
      <c r="B176" s="76"/>
      <c r="C176" s="83">
        <v>4.2268500000000001E-2</v>
      </c>
      <c r="D176" s="76" t="s">
        <v>219</v>
      </c>
      <c r="E176" s="76" t="s">
        <v>220</v>
      </c>
    </row>
    <row r="177" spans="1:5" x14ac:dyDescent="0.2">
      <c r="A177" s="76" t="s">
        <v>176</v>
      </c>
      <c r="B177" s="76"/>
      <c r="C177" s="83">
        <v>6.1985899999999997E-2</v>
      </c>
      <c r="D177" s="76" t="s">
        <v>221</v>
      </c>
      <c r="E177" s="76" t="s">
        <v>222</v>
      </c>
    </row>
    <row r="178" spans="1:5" x14ac:dyDescent="0.2">
      <c r="A178" s="76" t="s">
        <v>178</v>
      </c>
      <c r="B178" s="76"/>
      <c r="C178" s="83">
        <v>6.01827E-3</v>
      </c>
      <c r="D178" s="76" t="s">
        <v>223</v>
      </c>
      <c r="E178" s="76" t="s">
        <v>224</v>
      </c>
    </row>
    <row r="179" spans="1:5" x14ac:dyDescent="0.2">
      <c r="A179" s="76" t="s">
        <v>181</v>
      </c>
      <c r="B179" s="76"/>
      <c r="C179" s="83">
        <v>5.2831200000000002E-2</v>
      </c>
      <c r="D179" s="76" t="s">
        <v>225</v>
      </c>
      <c r="E179" s="76" t="s">
        <v>226</v>
      </c>
    </row>
    <row r="180" spans="1:5" x14ac:dyDescent="0.2">
      <c r="A180" s="76" t="s">
        <v>183</v>
      </c>
      <c r="B180" s="76"/>
      <c r="C180" s="83">
        <v>7.8869700000000001E-2</v>
      </c>
      <c r="D180" s="76" t="s">
        <v>227</v>
      </c>
      <c r="E180" s="76" t="s">
        <v>228</v>
      </c>
    </row>
    <row r="181" spans="1:5" x14ac:dyDescent="0.2">
      <c r="A181" s="76" t="s">
        <v>184</v>
      </c>
      <c r="B181" s="76"/>
      <c r="C181" s="83">
        <v>8.1703399999999995E-2</v>
      </c>
      <c r="D181" s="76" t="s">
        <v>229</v>
      </c>
      <c r="E181" s="76" t="s">
        <v>230</v>
      </c>
    </row>
    <row r="182" spans="1:5" x14ac:dyDescent="0.2">
      <c r="A182" s="76" t="s">
        <v>185</v>
      </c>
      <c r="B182" s="76"/>
      <c r="C182" s="83">
        <v>0.101421</v>
      </c>
      <c r="D182" s="76" t="s">
        <v>231</v>
      </c>
      <c r="E182" s="76" t="s">
        <v>232</v>
      </c>
    </row>
    <row r="183" spans="1:5" x14ac:dyDescent="0.2">
      <c r="A183" s="76" t="s">
        <v>186</v>
      </c>
      <c r="B183" s="76"/>
      <c r="C183" s="83">
        <v>0.109803</v>
      </c>
      <c r="D183" s="76" t="s">
        <v>233</v>
      </c>
      <c r="E183" s="76" t="s">
        <v>234</v>
      </c>
    </row>
    <row r="184" spans="1:5" x14ac:dyDescent="0.2">
      <c r="A184" s="76" t="s">
        <v>187</v>
      </c>
      <c r="B184" s="76"/>
      <c r="C184" s="83">
        <v>0.129521</v>
      </c>
      <c r="D184" s="76" t="s">
        <v>235</v>
      </c>
      <c r="E184" s="76" t="s">
        <v>236</v>
      </c>
    </row>
    <row r="185" spans="1:5" x14ac:dyDescent="0.2">
      <c r="A185" s="76" t="s">
        <v>188</v>
      </c>
      <c r="B185" s="76"/>
      <c r="C185" s="83">
        <v>0.14386399999999999</v>
      </c>
      <c r="D185" s="76" t="s">
        <v>237</v>
      </c>
      <c r="E185" s="76" t="s">
        <v>238</v>
      </c>
    </row>
    <row r="186" spans="1:5" x14ac:dyDescent="0.2">
      <c r="A186" s="79">
        <v>37166</v>
      </c>
      <c r="B186" s="76"/>
      <c r="C186" s="83">
        <v>2.6746000000000001E-3</v>
      </c>
      <c r="D186" s="76" t="s">
        <v>239</v>
      </c>
      <c r="E186" s="76" t="s">
        <v>240</v>
      </c>
    </row>
    <row r="187" spans="1:5" x14ac:dyDescent="0.2">
      <c r="A187" s="76" t="s">
        <v>192</v>
      </c>
      <c r="B187" s="76"/>
      <c r="C187" s="83">
        <v>1.02621E-2</v>
      </c>
      <c r="D187" s="76" t="s">
        <v>241</v>
      </c>
      <c r="E187" s="82">
        <v>3.3213199999999998E-2</v>
      </c>
    </row>
    <row r="188" spans="1:5" x14ac:dyDescent="0.2">
      <c r="A188" s="76" t="s">
        <v>195</v>
      </c>
      <c r="B188" s="76"/>
      <c r="C188" s="83">
        <v>3.5427899999999998E-2</v>
      </c>
      <c r="D188" s="76" t="s">
        <v>242</v>
      </c>
      <c r="E188" s="76" t="s">
        <v>243</v>
      </c>
    </row>
    <row r="189" spans="1:5" x14ac:dyDescent="0.2">
      <c r="A189" s="233" t="s">
        <v>244</v>
      </c>
      <c r="B189" s="233"/>
      <c r="C189" s="233"/>
      <c r="D189" s="233"/>
      <c r="E189" s="233"/>
    </row>
    <row r="190" spans="1:5" x14ac:dyDescent="0.2">
      <c r="A190" s="76" t="s">
        <v>164</v>
      </c>
      <c r="B190" s="76"/>
      <c r="C190" s="76" t="s">
        <v>245</v>
      </c>
      <c r="D190" s="76" t="s">
        <v>246</v>
      </c>
      <c r="E190" s="76" t="s">
        <v>247</v>
      </c>
    </row>
    <row r="191" spans="1:5" x14ac:dyDescent="0.2">
      <c r="A191" s="76" t="s">
        <v>167</v>
      </c>
      <c r="B191" s="76"/>
      <c r="C191" s="76" t="s">
        <v>248</v>
      </c>
      <c r="D191" s="76" t="s">
        <v>249</v>
      </c>
      <c r="E191" s="76" t="s">
        <v>250</v>
      </c>
    </row>
    <row r="192" spans="1:5" x14ac:dyDescent="0.2">
      <c r="A192" s="76" t="s">
        <v>170</v>
      </c>
      <c r="B192" s="76"/>
      <c r="C192" s="76" t="s">
        <v>251</v>
      </c>
      <c r="D192" s="76" t="s">
        <v>252</v>
      </c>
      <c r="E192" s="82">
        <v>9.6429299999999998</v>
      </c>
    </row>
    <row r="193" spans="1:5" x14ac:dyDescent="0.2">
      <c r="A193" s="76" t="s">
        <v>173</v>
      </c>
      <c r="B193" s="76"/>
      <c r="C193" s="76" t="s">
        <v>253</v>
      </c>
      <c r="D193" s="76" t="s">
        <v>254</v>
      </c>
      <c r="E193" s="76" t="s">
        <v>255</v>
      </c>
    </row>
    <row r="194" spans="1:5" x14ac:dyDescent="0.2">
      <c r="A194" s="76" t="s">
        <v>176</v>
      </c>
      <c r="B194" s="76"/>
      <c r="C194" s="76" t="s">
        <v>253</v>
      </c>
      <c r="D194" s="76" t="s">
        <v>256</v>
      </c>
      <c r="E194" s="76" t="s">
        <v>257</v>
      </c>
    </row>
    <row r="195" spans="1:5" x14ac:dyDescent="0.2">
      <c r="A195" s="76" t="s">
        <v>178</v>
      </c>
      <c r="B195" s="76"/>
      <c r="C195" s="76" t="s">
        <v>258</v>
      </c>
      <c r="D195" s="76" t="s">
        <v>259</v>
      </c>
      <c r="E195" s="76" t="s">
        <v>260</v>
      </c>
    </row>
    <row r="196" spans="1:5" x14ac:dyDescent="0.2">
      <c r="A196" s="76" t="s">
        <v>181</v>
      </c>
      <c r="B196" s="76"/>
      <c r="C196" s="76" t="s">
        <v>261</v>
      </c>
      <c r="D196" s="76" t="s">
        <v>262</v>
      </c>
      <c r="E196" s="76" t="s">
        <v>263</v>
      </c>
    </row>
    <row r="197" spans="1:5" x14ac:dyDescent="0.2">
      <c r="A197" s="76" t="s">
        <v>183</v>
      </c>
      <c r="B197" s="76"/>
      <c r="C197" s="76" t="s">
        <v>253</v>
      </c>
      <c r="D197" s="76" t="s">
        <v>264</v>
      </c>
      <c r="E197" s="76" t="s">
        <v>265</v>
      </c>
    </row>
    <row r="198" spans="1:5" x14ac:dyDescent="0.2">
      <c r="A198" s="76" t="s">
        <v>184</v>
      </c>
      <c r="B198" s="76"/>
      <c r="C198" s="76" t="s">
        <v>253</v>
      </c>
      <c r="D198" s="76" t="s">
        <v>266</v>
      </c>
      <c r="E198" s="76" t="s">
        <v>267</v>
      </c>
    </row>
    <row r="199" spans="1:5" x14ac:dyDescent="0.2">
      <c r="A199" s="76" t="s">
        <v>185</v>
      </c>
      <c r="B199" s="76"/>
      <c r="C199" s="76" t="s">
        <v>253</v>
      </c>
      <c r="D199" s="76" t="s">
        <v>268</v>
      </c>
      <c r="E199" s="76" t="s">
        <v>269</v>
      </c>
    </row>
    <row r="200" spans="1:5" x14ac:dyDescent="0.2">
      <c r="A200" s="76" t="s">
        <v>186</v>
      </c>
      <c r="B200" s="76"/>
      <c r="C200" s="76" t="s">
        <v>253</v>
      </c>
      <c r="D200" s="76" t="s">
        <v>270</v>
      </c>
      <c r="E200" s="76" t="s">
        <v>271</v>
      </c>
    </row>
    <row r="201" spans="1:5" x14ac:dyDescent="0.2">
      <c r="A201" s="76" t="s">
        <v>187</v>
      </c>
      <c r="B201" s="76"/>
      <c r="C201" s="76" t="s">
        <v>253</v>
      </c>
      <c r="D201" s="76" t="s">
        <v>272</v>
      </c>
      <c r="E201" s="76" t="s">
        <v>273</v>
      </c>
    </row>
    <row r="202" spans="1:5" x14ac:dyDescent="0.2">
      <c r="A202" s="76" t="s">
        <v>188</v>
      </c>
      <c r="B202" s="76"/>
      <c r="C202" s="76" t="s">
        <v>274</v>
      </c>
      <c r="D202" s="76" t="s">
        <v>275</v>
      </c>
      <c r="E202" s="76" t="s">
        <v>276</v>
      </c>
    </row>
    <row r="203" spans="1:5" x14ac:dyDescent="0.2">
      <c r="A203" s="79">
        <v>37166</v>
      </c>
      <c r="B203" s="76"/>
      <c r="C203" s="76" t="s">
        <v>277</v>
      </c>
      <c r="D203" s="76" t="s">
        <v>278</v>
      </c>
      <c r="E203" s="76" t="s">
        <v>279</v>
      </c>
    </row>
    <row r="204" spans="1:5" x14ac:dyDescent="0.2">
      <c r="A204" s="76" t="s">
        <v>192</v>
      </c>
      <c r="B204" s="76"/>
      <c r="C204" s="76" t="s">
        <v>280</v>
      </c>
      <c r="D204" s="76" t="s">
        <v>281</v>
      </c>
      <c r="E204" s="82">
        <v>1.49651</v>
      </c>
    </row>
    <row r="205" spans="1:5" x14ac:dyDescent="0.2">
      <c r="A205" s="76" t="s">
        <v>195</v>
      </c>
      <c r="B205" s="76"/>
      <c r="C205" s="76" t="s">
        <v>282</v>
      </c>
      <c r="D205" s="76" t="s">
        <v>283</v>
      </c>
      <c r="E205" s="76" t="s">
        <v>284</v>
      </c>
    </row>
    <row r="208" spans="1:5" x14ac:dyDescent="0.2">
      <c r="A208" s="223" t="s">
        <v>285</v>
      </c>
      <c r="B208" s="223"/>
      <c r="C208" s="223"/>
      <c r="D208" s="223"/>
      <c r="E208" s="223"/>
    </row>
    <row r="209" spans="1:5" x14ac:dyDescent="0.2">
      <c r="A209" s="232" t="s">
        <v>132</v>
      </c>
      <c r="B209" s="232"/>
      <c r="C209" s="232"/>
      <c r="D209" s="232"/>
      <c r="E209" s="232"/>
    </row>
    <row r="210" spans="1:5" x14ac:dyDescent="0.2">
      <c r="A210" s="76" t="s">
        <v>133</v>
      </c>
      <c r="B210" s="76" t="s">
        <v>134</v>
      </c>
      <c r="C210" s="76" t="s">
        <v>135</v>
      </c>
      <c r="D210" s="76" t="s">
        <v>136</v>
      </c>
      <c r="E210" s="76" t="s">
        <v>137</v>
      </c>
    </row>
    <row r="211" spans="1:5" x14ac:dyDescent="0.2">
      <c r="A211" s="76" t="s">
        <v>138</v>
      </c>
      <c r="B211" s="76"/>
      <c r="C211" s="76"/>
      <c r="D211" s="76"/>
      <c r="E211" s="76"/>
    </row>
    <row r="212" spans="1:5" x14ac:dyDescent="0.2">
      <c r="A212" s="76" t="s">
        <v>139</v>
      </c>
      <c r="B212" s="76"/>
      <c r="C212" s="76"/>
      <c r="D212" s="76" t="s">
        <v>140</v>
      </c>
      <c r="E212" s="76" t="s">
        <v>140</v>
      </c>
    </row>
    <row r="213" spans="1:5" x14ac:dyDescent="0.2">
      <c r="A213" s="76" t="s">
        <v>141</v>
      </c>
      <c r="B213" s="76"/>
      <c r="C213" s="76" t="s">
        <v>140</v>
      </c>
      <c r="D213" s="76"/>
      <c r="E213" s="76"/>
    </row>
    <row r="214" spans="1:5" x14ac:dyDescent="0.2">
      <c r="A214" s="76" t="s">
        <v>142</v>
      </c>
      <c r="B214" s="76"/>
      <c r="C214" s="76" t="s">
        <v>143</v>
      </c>
      <c r="D214" s="76" t="s">
        <v>143</v>
      </c>
      <c r="E214" s="76" t="s">
        <v>143</v>
      </c>
    </row>
    <row r="215" spans="1:5" x14ac:dyDescent="0.2">
      <c r="A215" s="76" t="s">
        <v>144</v>
      </c>
      <c r="B215" s="76"/>
      <c r="C215" s="76"/>
      <c r="D215" s="76"/>
      <c r="E215" s="76"/>
    </row>
    <row r="216" spans="1:5" x14ac:dyDescent="0.2">
      <c r="A216" s="76" t="s">
        <v>145</v>
      </c>
      <c r="B216" s="76" t="s">
        <v>146</v>
      </c>
      <c r="C216" s="76"/>
      <c r="D216" s="76"/>
      <c r="E216" s="76"/>
    </row>
    <row r="217" spans="1:5" x14ac:dyDescent="0.2">
      <c r="A217" s="76" t="s">
        <v>147</v>
      </c>
      <c r="B217" s="76"/>
      <c r="C217" s="76"/>
      <c r="D217" s="76"/>
      <c r="E217" s="76"/>
    </row>
    <row r="218" spans="1:5" x14ac:dyDescent="0.2">
      <c r="A218" s="76" t="s">
        <v>148</v>
      </c>
      <c r="B218" s="76"/>
      <c r="C218" s="76" t="s">
        <v>149</v>
      </c>
      <c r="D218" s="76" t="s">
        <v>149</v>
      </c>
      <c r="E218" s="76" t="s">
        <v>150</v>
      </c>
    </row>
    <row r="219" spans="1:5" x14ac:dyDescent="0.2">
      <c r="A219" s="76" t="s">
        <v>151</v>
      </c>
      <c r="B219" s="76" t="s">
        <v>85</v>
      </c>
      <c r="C219" s="76">
        <v>500</v>
      </c>
      <c r="D219" s="76">
        <v>30</v>
      </c>
      <c r="E219" s="76">
        <v>30</v>
      </c>
    </row>
    <row r="220" spans="1:5" x14ac:dyDescent="0.2">
      <c r="A220" s="76" t="s">
        <v>152</v>
      </c>
      <c r="B220" s="76" t="s">
        <v>286</v>
      </c>
      <c r="C220" s="78">
        <v>101325</v>
      </c>
      <c r="D220" s="78">
        <v>101325</v>
      </c>
      <c r="E220" s="78">
        <v>101325</v>
      </c>
    </row>
    <row r="221" spans="1:5" x14ac:dyDescent="0.2">
      <c r="A221" s="76" t="s">
        <v>154</v>
      </c>
      <c r="B221" s="76"/>
      <c r="C221" s="76">
        <v>1</v>
      </c>
      <c r="D221" s="76">
        <v>1</v>
      </c>
      <c r="E221" s="76">
        <v>0</v>
      </c>
    </row>
    <row r="222" spans="1:5" x14ac:dyDescent="0.2">
      <c r="A222" s="76" t="s">
        <v>155</v>
      </c>
      <c r="B222" s="76"/>
      <c r="C222" s="76">
        <v>0</v>
      </c>
      <c r="D222" s="76">
        <v>0</v>
      </c>
      <c r="E222" s="76">
        <v>1</v>
      </c>
    </row>
    <row r="223" spans="1:5" x14ac:dyDescent="0.2">
      <c r="A223" s="76" t="s">
        <v>156</v>
      </c>
      <c r="B223" s="76"/>
      <c r="C223" s="76">
        <v>0</v>
      </c>
      <c r="D223" s="76">
        <v>0</v>
      </c>
      <c r="E223" s="76">
        <v>0</v>
      </c>
    </row>
    <row r="224" spans="1:5" x14ac:dyDescent="0.2">
      <c r="A224" s="76" t="s">
        <v>157</v>
      </c>
      <c r="B224" s="76"/>
      <c r="C224" s="76">
        <v>1</v>
      </c>
      <c r="D224" s="76">
        <v>1</v>
      </c>
      <c r="E224" s="76">
        <v>0</v>
      </c>
    </row>
    <row r="225" spans="1:5" x14ac:dyDescent="0.2">
      <c r="A225" s="76" t="s">
        <v>158</v>
      </c>
      <c r="B225" s="76"/>
      <c r="C225" s="76">
        <v>0</v>
      </c>
      <c r="D225" s="76">
        <v>0</v>
      </c>
      <c r="E225" s="76">
        <v>1</v>
      </c>
    </row>
    <row r="226" spans="1:5" x14ac:dyDescent="0.2">
      <c r="A226" s="76" t="s">
        <v>159</v>
      </c>
      <c r="B226" s="76"/>
      <c r="C226" s="76">
        <v>0</v>
      </c>
      <c r="D226" s="76">
        <v>0</v>
      </c>
      <c r="E226" s="76">
        <v>0</v>
      </c>
    </row>
    <row r="227" spans="1:5" x14ac:dyDescent="0.2">
      <c r="A227" s="77" t="s">
        <v>160</v>
      </c>
      <c r="B227" s="77" t="s">
        <v>161</v>
      </c>
      <c r="C227" s="77" t="s">
        <v>287</v>
      </c>
      <c r="D227" s="77" t="s">
        <v>288</v>
      </c>
      <c r="E227" s="80">
        <v>308339</v>
      </c>
    </row>
    <row r="228" spans="1:5" x14ac:dyDescent="0.2">
      <c r="A228" s="76" t="s">
        <v>164</v>
      </c>
      <c r="B228" s="76" t="s">
        <v>161</v>
      </c>
      <c r="C228" s="78">
        <v>744736</v>
      </c>
      <c r="D228" s="78">
        <v>744462</v>
      </c>
      <c r="E228" s="76" t="s">
        <v>289</v>
      </c>
    </row>
    <row r="229" spans="1:5" x14ac:dyDescent="0.2">
      <c r="A229" s="76" t="s">
        <v>167</v>
      </c>
      <c r="B229" s="76" t="s">
        <v>161</v>
      </c>
      <c r="C229" s="78">
        <v>236919</v>
      </c>
      <c r="D229" s="78">
        <v>236294</v>
      </c>
      <c r="E229" s="76" t="s">
        <v>290</v>
      </c>
    </row>
    <row r="230" spans="1:5" x14ac:dyDescent="0.2">
      <c r="A230" s="76" t="s">
        <v>170</v>
      </c>
      <c r="B230" s="76" t="s">
        <v>161</v>
      </c>
      <c r="C230" s="78">
        <v>158453</v>
      </c>
      <c r="D230" s="78">
        <v>158156</v>
      </c>
      <c r="E230" s="76" t="s">
        <v>291</v>
      </c>
    </row>
    <row r="231" spans="1:5" x14ac:dyDescent="0.2">
      <c r="A231" s="76" t="s">
        <v>173</v>
      </c>
      <c r="B231" s="76" t="s">
        <v>161</v>
      </c>
      <c r="C231" s="78">
        <v>127617</v>
      </c>
      <c r="D231" s="78">
        <v>127222</v>
      </c>
      <c r="E231" s="76" t="s">
        <v>292</v>
      </c>
    </row>
    <row r="232" spans="1:5" x14ac:dyDescent="0.2">
      <c r="A232" s="76" t="s">
        <v>176</v>
      </c>
      <c r="B232" s="76" t="s">
        <v>161</v>
      </c>
      <c r="C232" s="78">
        <v>127551</v>
      </c>
      <c r="D232" s="78">
        <v>125873</v>
      </c>
      <c r="E232" s="78">
        <v>167803</v>
      </c>
    </row>
    <row r="233" spans="1:5" x14ac:dyDescent="0.2">
      <c r="A233" s="76" t="s">
        <v>178</v>
      </c>
      <c r="B233" s="76" t="s">
        <v>161</v>
      </c>
      <c r="C233" s="78">
        <v>135858</v>
      </c>
      <c r="D233" s="78">
        <v>133873</v>
      </c>
      <c r="E233" s="76" t="s">
        <v>293</v>
      </c>
    </row>
    <row r="234" spans="1:5" x14ac:dyDescent="0.2">
      <c r="A234" s="76" t="s">
        <v>181</v>
      </c>
      <c r="B234" s="76" t="s">
        <v>161</v>
      </c>
      <c r="C234" s="78">
        <v>113828</v>
      </c>
      <c r="D234" s="78">
        <v>112698</v>
      </c>
      <c r="E234" s="78">
        <v>112931</v>
      </c>
    </row>
    <row r="235" spans="1:5" x14ac:dyDescent="0.2">
      <c r="A235" s="76" t="s">
        <v>183</v>
      </c>
      <c r="B235" s="76" t="s">
        <v>161</v>
      </c>
      <c r="C235" s="78">
        <v>127571</v>
      </c>
      <c r="D235" s="78">
        <v>120637</v>
      </c>
      <c r="E235" s="78">
        <v>693394</v>
      </c>
    </row>
    <row r="236" spans="1:5" x14ac:dyDescent="0.2">
      <c r="A236" s="76" t="s">
        <v>184</v>
      </c>
      <c r="B236" s="76" t="s">
        <v>161</v>
      </c>
      <c r="C236" s="78">
        <v>127517</v>
      </c>
      <c r="D236" s="78">
        <v>121621</v>
      </c>
      <c r="E236" s="78">
        <v>589516</v>
      </c>
    </row>
    <row r="237" spans="1:5" x14ac:dyDescent="0.2">
      <c r="A237" s="76" t="s">
        <v>185</v>
      </c>
      <c r="B237" s="76" t="s">
        <v>161</v>
      </c>
      <c r="C237" s="78">
        <v>127496</v>
      </c>
      <c r="D237" s="78">
        <v>111748</v>
      </c>
      <c r="E237" s="78">
        <v>157477</v>
      </c>
    </row>
    <row r="238" spans="1:5" x14ac:dyDescent="0.2">
      <c r="A238" s="76" t="s">
        <v>186</v>
      </c>
      <c r="B238" s="76" t="s">
        <v>161</v>
      </c>
      <c r="C238" s="78">
        <v>127518</v>
      </c>
      <c r="D238" s="78">
        <v>659566</v>
      </c>
      <c r="E238" s="78">
        <v>615613</v>
      </c>
    </row>
    <row r="239" spans="1:5" x14ac:dyDescent="0.2">
      <c r="A239" s="76" t="s">
        <v>187</v>
      </c>
      <c r="B239" s="76" t="s">
        <v>161</v>
      </c>
      <c r="C239" s="78">
        <v>127501</v>
      </c>
      <c r="D239" s="76" t="s">
        <v>294</v>
      </c>
      <c r="E239" s="78">
        <v>956614</v>
      </c>
    </row>
    <row r="240" spans="1:5" x14ac:dyDescent="0.2">
      <c r="A240" s="76" t="s">
        <v>188</v>
      </c>
      <c r="B240" s="76" t="s">
        <v>161</v>
      </c>
      <c r="C240" s="76" t="s">
        <v>295</v>
      </c>
      <c r="D240" s="78">
        <v>875584</v>
      </c>
      <c r="E240" s="78">
        <v>116585</v>
      </c>
    </row>
    <row r="241" spans="1:5" x14ac:dyDescent="0.2">
      <c r="A241" s="79">
        <v>37166</v>
      </c>
      <c r="B241" s="76" t="s">
        <v>161</v>
      </c>
      <c r="C241" s="78">
        <v>218277</v>
      </c>
      <c r="D241" s="76" t="s">
        <v>296</v>
      </c>
      <c r="E241" s="78">
        <v>194479</v>
      </c>
    </row>
    <row r="242" spans="1:5" x14ac:dyDescent="0.2">
      <c r="A242" s="76" t="s">
        <v>192</v>
      </c>
      <c r="B242" s="76" t="s">
        <v>161</v>
      </c>
      <c r="C242" s="76" t="s">
        <v>297</v>
      </c>
      <c r="D242" s="78">
        <v>463515</v>
      </c>
      <c r="E242" s="76" t="s">
        <v>298</v>
      </c>
    </row>
    <row r="243" spans="1:5" x14ac:dyDescent="0.2">
      <c r="A243" s="76" t="s">
        <v>195</v>
      </c>
      <c r="B243" s="76" t="s">
        <v>161</v>
      </c>
      <c r="C243" s="78">
        <v>878307</v>
      </c>
      <c r="D243" s="78">
        <v>87592</v>
      </c>
      <c r="E243" s="76" t="s">
        <v>299</v>
      </c>
    </row>
    <row r="244" spans="1:5" x14ac:dyDescent="0.2">
      <c r="A244" s="231" t="s">
        <v>244</v>
      </c>
      <c r="B244" s="247"/>
      <c r="C244" s="247"/>
      <c r="D244" s="247"/>
      <c r="E244" s="248"/>
    </row>
    <row r="245" spans="1:5" x14ac:dyDescent="0.2">
      <c r="A245" s="76" t="s">
        <v>164</v>
      </c>
      <c r="B245" s="76"/>
      <c r="C245" s="76" t="s">
        <v>300</v>
      </c>
      <c r="D245" s="76" t="s">
        <v>301</v>
      </c>
      <c r="E245" s="76" t="s">
        <v>302</v>
      </c>
    </row>
    <row r="246" spans="1:5" x14ac:dyDescent="0.2">
      <c r="A246" s="76" t="s">
        <v>167</v>
      </c>
      <c r="B246" s="76"/>
      <c r="C246" s="76" t="s">
        <v>303</v>
      </c>
      <c r="D246" s="76" t="s">
        <v>304</v>
      </c>
      <c r="E246" s="76" t="s">
        <v>305</v>
      </c>
    </row>
    <row r="247" spans="1:5" x14ac:dyDescent="0.2">
      <c r="A247" s="76" t="s">
        <v>170</v>
      </c>
      <c r="B247" s="76"/>
      <c r="C247" s="76" t="s">
        <v>306</v>
      </c>
      <c r="D247" s="76" t="s">
        <v>307</v>
      </c>
      <c r="E247" s="82">
        <v>9.6387400000000003</v>
      </c>
    </row>
    <row r="248" spans="1:5" x14ac:dyDescent="0.2">
      <c r="A248" s="76" t="s">
        <v>173</v>
      </c>
      <c r="B248" s="76"/>
      <c r="C248" s="76" t="s">
        <v>308</v>
      </c>
      <c r="D248" s="76" t="s">
        <v>309</v>
      </c>
      <c r="E248" s="76" t="s">
        <v>310</v>
      </c>
    </row>
    <row r="249" spans="1:5" x14ac:dyDescent="0.2">
      <c r="A249" s="76" t="s">
        <v>176</v>
      </c>
      <c r="B249" s="76"/>
      <c r="C249" s="76" t="s">
        <v>311</v>
      </c>
      <c r="D249" s="76" t="s">
        <v>312</v>
      </c>
      <c r="E249" s="76" t="s">
        <v>313</v>
      </c>
    </row>
    <row r="250" spans="1:5" x14ac:dyDescent="0.2">
      <c r="A250" s="76" t="s">
        <v>178</v>
      </c>
      <c r="B250" s="76"/>
      <c r="C250" s="76" t="s">
        <v>314</v>
      </c>
      <c r="D250" s="76" t="s">
        <v>315</v>
      </c>
      <c r="E250" s="76" t="s">
        <v>316</v>
      </c>
    </row>
    <row r="251" spans="1:5" x14ac:dyDescent="0.2">
      <c r="A251" s="76" t="s">
        <v>181</v>
      </c>
      <c r="B251" s="76"/>
      <c r="C251" s="76" t="s">
        <v>317</v>
      </c>
      <c r="D251" s="76" t="s">
        <v>318</v>
      </c>
      <c r="E251" s="76" t="s">
        <v>319</v>
      </c>
    </row>
    <row r="252" spans="1:5" x14ac:dyDescent="0.2">
      <c r="A252" s="76" t="s">
        <v>183</v>
      </c>
      <c r="B252" s="76"/>
      <c r="C252" s="76" t="s">
        <v>320</v>
      </c>
      <c r="D252" s="76" t="s">
        <v>321</v>
      </c>
      <c r="E252" s="76" t="s">
        <v>322</v>
      </c>
    </row>
    <row r="253" spans="1:5" x14ac:dyDescent="0.2">
      <c r="A253" s="76" t="s">
        <v>184</v>
      </c>
      <c r="B253" s="76"/>
      <c r="C253" s="76" t="s">
        <v>323</v>
      </c>
      <c r="D253" s="76" t="s">
        <v>324</v>
      </c>
      <c r="E253" s="76" t="s">
        <v>325</v>
      </c>
    </row>
    <row r="254" spans="1:5" x14ac:dyDescent="0.2">
      <c r="A254" s="76" t="s">
        <v>185</v>
      </c>
      <c r="B254" s="76"/>
      <c r="C254" s="76" t="s">
        <v>326</v>
      </c>
      <c r="D254" s="76" t="s">
        <v>327</v>
      </c>
      <c r="E254" s="76" t="s">
        <v>328</v>
      </c>
    </row>
    <row r="255" spans="1:5" x14ac:dyDescent="0.2">
      <c r="A255" s="76" t="s">
        <v>186</v>
      </c>
      <c r="B255" s="76"/>
      <c r="C255" s="76" t="s">
        <v>329</v>
      </c>
      <c r="D255" s="76" t="s">
        <v>330</v>
      </c>
      <c r="E255" s="76" t="s">
        <v>331</v>
      </c>
    </row>
    <row r="256" spans="1:5" x14ac:dyDescent="0.2">
      <c r="A256" s="76" t="s">
        <v>187</v>
      </c>
      <c r="B256" s="76"/>
      <c r="C256" s="76" t="s">
        <v>332</v>
      </c>
      <c r="D256" s="76" t="s">
        <v>333</v>
      </c>
      <c r="E256" s="76" t="s">
        <v>334</v>
      </c>
    </row>
    <row r="257" spans="1:5" x14ac:dyDescent="0.2">
      <c r="A257" s="76" t="s">
        <v>188</v>
      </c>
      <c r="B257" s="76"/>
      <c r="C257" s="76" t="s">
        <v>335</v>
      </c>
      <c r="D257" s="76" t="s">
        <v>336</v>
      </c>
      <c r="E257" s="76" t="s">
        <v>337</v>
      </c>
    </row>
    <row r="258" spans="1:5" x14ac:dyDescent="0.2">
      <c r="A258" s="79">
        <v>37166</v>
      </c>
      <c r="B258" s="76"/>
      <c r="C258" s="76" t="s">
        <v>338</v>
      </c>
      <c r="D258" s="76" t="s">
        <v>339</v>
      </c>
      <c r="E258" s="76" t="s">
        <v>340</v>
      </c>
    </row>
    <row r="259" spans="1:5" x14ac:dyDescent="0.2">
      <c r="A259" s="76" t="s">
        <v>192</v>
      </c>
      <c r="B259" s="76"/>
      <c r="C259" s="76" t="s">
        <v>341</v>
      </c>
      <c r="D259" s="76" t="s">
        <v>342</v>
      </c>
      <c r="E259" s="82">
        <v>1.50084</v>
      </c>
    </row>
    <row r="260" spans="1:5" x14ac:dyDescent="0.2">
      <c r="A260" s="76" t="s">
        <v>195</v>
      </c>
      <c r="B260" s="76"/>
      <c r="C260" s="76" t="s">
        <v>343</v>
      </c>
      <c r="D260" s="76" t="s">
        <v>344</v>
      </c>
      <c r="E260" s="76" t="s">
        <v>345</v>
      </c>
    </row>
    <row r="261" spans="1:5" x14ac:dyDescent="0.2">
      <c r="A261" s="77" t="s">
        <v>198</v>
      </c>
      <c r="B261" s="77" t="s">
        <v>199</v>
      </c>
      <c r="C261" s="77">
        <v>100</v>
      </c>
      <c r="D261" s="80">
        <v>691259</v>
      </c>
      <c r="E261" s="80">
        <v>308741</v>
      </c>
    </row>
    <row r="262" spans="1:5" x14ac:dyDescent="0.2">
      <c r="A262" s="76" t="s">
        <v>164</v>
      </c>
      <c r="B262" s="76" t="s">
        <v>199</v>
      </c>
      <c r="C262" s="76" t="s">
        <v>346</v>
      </c>
      <c r="D262" s="78">
        <v>131651</v>
      </c>
      <c r="E262" s="76" t="s">
        <v>347</v>
      </c>
    </row>
    <row r="263" spans="1:5" x14ac:dyDescent="0.2">
      <c r="A263" s="76" t="s">
        <v>167</v>
      </c>
      <c r="B263" s="76" t="s">
        <v>199</v>
      </c>
      <c r="C263" s="76" t="s">
        <v>348</v>
      </c>
      <c r="D263" s="76" t="s">
        <v>349</v>
      </c>
      <c r="E263" s="76" t="s">
        <v>350</v>
      </c>
    </row>
    <row r="264" spans="1:5" x14ac:dyDescent="0.2">
      <c r="A264" s="76" t="s">
        <v>170</v>
      </c>
      <c r="B264" s="76" t="s">
        <v>199</v>
      </c>
      <c r="C264" s="76" t="s">
        <v>351</v>
      </c>
      <c r="D264" s="76" t="s">
        <v>352</v>
      </c>
      <c r="E264" s="76" t="s">
        <v>353</v>
      </c>
    </row>
    <row r="265" spans="1:5" x14ac:dyDescent="0.2">
      <c r="A265" s="76" t="s">
        <v>173</v>
      </c>
      <c r="B265" s="76" t="s">
        <v>199</v>
      </c>
      <c r="C265" s="76" t="s">
        <v>354</v>
      </c>
      <c r="D265" s="78">
        <v>421692</v>
      </c>
      <c r="E265" s="76" t="s">
        <v>355</v>
      </c>
    </row>
    <row r="266" spans="1:5" x14ac:dyDescent="0.2">
      <c r="A266" s="76" t="s">
        <v>176</v>
      </c>
      <c r="B266" s="76" t="s">
        <v>199</v>
      </c>
      <c r="C266" s="76" t="s">
        <v>356</v>
      </c>
      <c r="D266" s="78">
        <v>611843</v>
      </c>
      <c r="E266" s="76" t="s">
        <v>357</v>
      </c>
    </row>
    <row r="267" spans="1:5" x14ac:dyDescent="0.2">
      <c r="A267" s="76" t="s">
        <v>178</v>
      </c>
      <c r="B267" s="76" t="s">
        <v>199</v>
      </c>
      <c r="C267" s="76" t="s">
        <v>358</v>
      </c>
      <c r="D267" s="76" t="s">
        <v>359</v>
      </c>
      <c r="E267" s="76" t="s">
        <v>360</v>
      </c>
    </row>
    <row r="268" spans="1:5" x14ac:dyDescent="0.2">
      <c r="A268" s="76" t="s">
        <v>181</v>
      </c>
      <c r="B268" s="76" t="s">
        <v>199</v>
      </c>
      <c r="C268" s="76" t="s">
        <v>361</v>
      </c>
      <c r="D268" s="78">
        <v>522762</v>
      </c>
      <c r="E268" s="76" t="s">
        <v>362</v>
      </c>
    </row>
    <row r="269" spans="1:5" x14ac:dyDescent="0.2">
      <c r="A269" s="76" t="s">
        <v>183</v>
      </c>
      <c r="B269" s="76" t="s">
        <v>199</v>
      </c>
      <c r="C269" s="76" t="s">
        <v>363</v>
      </c>
      <c r="D269" s="78">
        <v>746115</v>
      </c>
      <c r="E269" s="76" t="s">
        <v>364</v>
      </c>
    </row>
    <row r="270" spans="1:5" x14ac:dyDescent="0.2">
      <c r="A270" s="76" t="s">
        <v>184</v>
      </c>
      <c r="B270" s="76" t="s">
        <v>199</v>
      </c>
      <c r="C270" s="76" t="s">
        <v>365</v>
      </c>
      <c r="D270" s="78">
        <v>77923</v>
      </c>
      <c r="E270" s="76" t="s">
        <v>366</v>
      </c>
    </row>
    <row r="271" spans="1:5" x14ac:dyDescent="0.2">
      <c r="A271" s="76" t="s">
        <v>185</v>
      </c>
      <c r="B271" s="76" t="s">
        <v>199</v>
      </c>
      <c r="C271" s="76" t="s">
        <v>367</v>
      </c>
      <c r="D271" s="78">
        <v>888755</v>
      </c>
      <c r="E271" s="78">
        <v>125245</v>
      </c>
    </row>
    <row r="272" spans="1:5" x14ac:dyDescent="0.2">
      <c r="A272" s="76" t="s">
        <v>186</v>
      </c>
      <c r="B272" s="76" t="s">
        <v>199</v>
      </c>
      <c r="C272" s="76" t="s">
        <v>368</v>
      </c>
      <c r="D272" s="78">
        <v>567923</v>
      </c>
      <c r="E272" s="78">
        <v>530077</v>
      </c>
    </row>
    <row r="273" spans="1:5" x14ac:dyDescent="0.2">
      <c r="A273" s="76" t="s">
        <v>187</v>
      </c>
      <c r="B273" s="76" t="s">
        <v>199</v>
      </c>
      <c r="C273" s="76" t="s">
        <v>369</v>
      </c>
      <c r="D273" s="78">
        <v>323391</v>
      </c>
      <c r="E273" s="78">
        <v>971609</v>
      </c>
    </row>
    <row r="274" spans="1:5" x14ac:dyDescent="0.2">
      <c r="A274" s="76" t="s">
        <v>188</v>
      </c>
      <c r="B274" s="76" t="s">
        <v>199</v>
      </c>
      <c r="C274" s="76" t="s">
        <v>370</v>
      </c>
      <c r="D274" s="78">
        <v>100524</v>
      </c>
      <c r="E274" s="78">
        <v>133848</v>
      </c>
    </row>
    <row r="275" spans="1:5" x14ac:dyDescent="0.2">
      <c r="A275" s="79">
        <v>37166</v>
      </c>
      <c r="B275" s="76" t="s">
        <v>199</v>
      </c>
      <c r="C275" s="76" t="s">
        <v>371</v>
      </c>
      <c r="D275" s="76" t="s">
        <v>372</v>
      </c>
      <c r="E275" s="76" t="s">
        <v>373</v>
      </c>
    </row>
    <row r="276" spans="1:5" x14ac:dyDescent="0.2">
      <c r="A276" s="76" t="s">
        <v>192</v>
      </c>
      <c r="B276" s="76" t="s">
        <v>199</v>
      </c>
      <c r="C276" s="76" t="s">
        <v>374</v>
      </c>
      <c r="D276" s="78">
        <v>102999</v>
      </c>
      <c r="E276" s="82">
        <v>1.02833</v>
      </c>
    </row>
    <row r="277" spans="1:5" x14ac:dyDescent="0.2">
      <c r="A277" s="76" t="s">
        <v>195</v>
      </c>
      <c r="B277" s="76" t="s">
        <v>199</v>
      </c>
      <c r="C277" s="76" t="s">
        <v>375</v>
      </c>
      <c r="D277" s="78">
        <v>352041</v>
      </c>
      <c r="E277" s="76" t="s">
        <v>376</v>
      </c>
    </row>
    <row r="278" spans="1:5" x14ac:dyDescent="0.2">
      <c r="A278" s="231" t="s">
        <v>214</v>
      </c>
      <c r="B278" s="247"/>
      <c r="C278" s="247"/>
      <c r="D278" s="247"/>
      <c r="E278" s="248"/>
    </row>
    <row r="279" spans="1:5" x14ac:dyDescent="0.2">
      <c r="A279" s="76" t="s">
        <v>164</v>
      </c>
      <c r="B279" s="76"/>
      <c r="C279" s="76" t="s">
        <v>377</v>
      </c>
      <c r="D279" s="76" t="s">
        <v>378</v>
      </c>
      <c r="E279" s="76" t="s">
        <v>379</v>
      </c>
    </row>
    <row r="280" spans="1:5" x14ac:dyDescent="0.2">
      <c r="A280" s="76" t="s">
        <v>167</v>
      </c>
      <c r="B280" s="76"/>
      <c r="C280" s="76" t="s">
        <v>380</v>
      </c>
      <c r="D280" s="76" t="s">
        <v>381</v>
      </c>
      <c r="E280" s="82">
        <v>5.8042100000000003</v>
      </c>
    </row>
    <row r="281" spans="1:5" x14ac:dyDescent="0.2">
      <c r="A281" s="76" t="s">
        <v>170</v>
      </c>
      <c r="B281" s="76"/>
      <c r="C281" s="76" t="s">
        <v>382</v>
      </c>
      <c r="D281" s="76" t="s">
        <v>383</v>
      </c>
      <c r="E281" s="82">
        <v>0.29768</v>
      </c>
    </row>
    <row r="282" spans="1:5" x14ac:dyDescent="0.2">
      <c r="A282" s="76" t="s">
        <v>173</v>
      </c>
      <c r="B282" s="76"/>
      <c r="C282" s="76" t="s">
        <v>384</v>
      </c>
      <c r="D282" s="76" t="s">
        <v>385</v>
      </c>
      <c r="E282" s="76" t="s">
        <v>386</v>
      </c>
    </row>
    <row r="283" spans="1:5" x14ac:dyDescent="0.2">
      <c r="A283" s="76" t="s">
        <v>176</v>
      </c>
      <c r="B283" s="76"/>
      <c r="C283" s="76" t="s">
        <v>387</v>
      </c>
      <c r="D283" s="76" t="s">
        <v>388</v>
      </c>
      <c r="E283" s="76" t="s">
        <v>389</v>
      </c>
    </row>
    <row r="284" spans="1:5" x14ac:dyDescent="0.2">
      <c r="A284" s="76" t="s">
        <v>178</v>
      </c>
      <c r="B284" s="76"/>
      <c r="C284" s="76" t="s">
        <v>390</v>
      </c>
      <c r="D284" s="76" t="s">
        <v>391</v>
      </c>
      <c r="E284" s="76" t="s">
        <v>392</v>
      </c>
    </row>
    <row r="285" spans="1:5" x14ac:dyDescent="0.2">
      <c r="A285" s="76" t="s">
        <v>181</v>
      </c>
      <c r="B285" s="76"/>
      <c r="C285" s="76" t="s">
        <v>393</v>
      </c>
      <c r="D285" s="76" t="s">
        <v>394</v>
      </c>
      <c r="E285" s="76" t="s">
        <v>395</v>
      </c>
    </row>
    <row r="286" spans="1:5" x14ac:dyDescent="0.2">
      <c r="A286" s="76" t="s">
        <v>183</v>
      </c>
      <c r="B286" s="76"/>
      <c r="C286" s="76" t="s">
        <v>396</v>
      </c>
      <c r="D286" s="76" t="s">
        <v>397</v>
      </c>
      <c r="E286" s="76" t="s">
        <v>398</v>
      </c>
    </row>
    <row r="287" spans="1:5" x14ac:dyDescent="0.2">
      <c r="A287" s="76" t="s">
        <v>184</v>
      </c>
      <c r="B287" s="76"/>
      <c r="C287" s="76" t="s">
        <v>399</v>
      </c>
      <c r="D287" s="76" t="s">
        <v>400</v>
      </c>
      <c r="E287" s="76" t="s">
        <v>401</v>
      </c>
    </row>
    <row r="288" spans="1:5" x14ac:dyDescent="0.2">
      <c r="A288" s="76" t="s">
        <v>185</v>
      </c>
      <c r="B288" s="76"/>
      <c r="C288" s="76" t="s">
        <v>402</v>
      </c>
      <c r="D288" s="76" t="s">
        <v>403</v>
      </c>
      <c r="E288" s="76" t="s">
        <v>404</v>
      </c>
    </row>
    <row r="289" spans="1:5" x14ac:dyDescent="0.2">
      <c r="A289" s="76" t="s">
        <v>186</v>
      </c>
      <c r="B289" s="76"/>
      <c r="C289" s="76" t="s">
        <v>405</v>
      </c>
      <c r="D289" s="76" t="s">
        <v>406</v>
      </c>
      <c r="E289" s="76" t="s">
        <v>407</v>
      </c>
    </row>
    <row r="290" spans="1:5" x14ac:dyDescent="0.2">
      <c r="A290" s="76" t="s">
        <v>187</v>
      </c>
      <c r="B290" s="76"/>
      <c r="C290" s="76" t="s">
        <v>408</v>
      </c>
      <c r="D290" s="76" t="s">
        <v>409</v>
      </c>
      <c r="E290" s="76" t="s">
        <v>410</v>
      </c>
    </row>
    <row r="291" spans="1:5" x14ac:dyDescent="0.2">
      <c r="A291" s="76" t="s">
        <v>188</v>
      </c>
      <c r="B291" s="76"/>
      <c r="C291" s="76" t="s">
        <v>411</v>
      </c>
      <c r="D291" s="76" t="s">
        <v>412</v>
      </c>
      <c r="E291" s="76" t="s">
        <v>413</v>
      </c>
    </row>
    <row r="292" spans="1:5" x14ac:dyDescent="0.2">
      <c r="A292" s="79">
        <v>37166</v>
      </c>
      <c r="B292" s="76"/>
      <c r="C292" s="76" t="s">
        <v>414</v>
      </c>
      <c r="D292" s="76" t="s">
        <v>415</v>
      </c>
      <c r="E292" s="76" t="s">
        <v>416</v>
      </c>
    </row>
    <row r="293" spans="1:5" x14ac:dyDescent="0.2">
      <c r="A293" s="76" t="s">
        <v>192</v>
      </c>
      <c r="B293" s="76"/>
      <c r="C293" s="76" t="s">
        <v>417</v>
      </c>
      <c r="D293" s="76" t="s">
        <v>418</v>
      </c>
      <c r="E293" s="82">
        <v>3.3307200000000002E-2</v>
      </c>
    </row>
    <row r="294" spans="1:5" x14ac:dyDescent="0.2">
      <c r="A294" s="76" t="s">
        <v>195</v>
      </c>
      <c r="B294" s="76"/>
      <c r="C294" s="76" t="s">
        <v>419</v>
      </c>
      <c r="D294" s="76" t="s">
        <v>420</v>
      </c>
      <c r="E294" s="76" t="s">
        <v>421</v>
      </c>
    </row>
    <row r="297" spans="1:5" x14ac:dyDescent="0.2">
      <c r="A297" s="223" t="s">
        <v>422</v>
      </c>
      <c r="B297" s="223"/>
      <c r="C297" s="223"/>
      <c r="D297" s="223"/>
      <c r="E297" s="223"/>
    </row>
    <row r="298" spans="1:5" x14ac:dyDescent="0.2">
      <c r="A298" s="232" t="s">
        <v>132</v>
      </c>
      <c r="B298" s="232"/>
      <c r="C298" s="232"/>
      <c r="D298" s="232"/>
      <c r="E298" s="232"/>
    </row>
    <row r="299" spans="1:5" x14ac:dyDescent="0.2">
      <c r="A299" s="76" t="s">
        <v>133</v>
      </c>
      <c r="B299" s="76" t="s">
        <v>134</v>
      </c>
      <c r="C299" s="76" t="s">
        <v>135</v>
      </c>
      <c r="D299" s="76" t="s">
        <v>136</v>
      </c>
      <c r="E299" s="76" t="s">
        <v>137</v>
      </c>
    </row>
    <row r="300" spans="1:5" x14ac:dyDescent="0.2">
      <c r="A300" s="76" t="s">
        <v>138</v>
      </c>
      <c r="B300" s="76"/>
      <c r="C300" s="76"/>
      <c r="D300" s="76"/>
      <c r="E300" s="76"/>
    </row>
    <row r="301" spans="1:5" x14ac:dyDescent="0.2">
      <c r="A301" s="76" t="s">
        <v>139</v>
      </c>
      <c r="B301" s="76"/>
      <c r="C301" s="76"/>
      <c r="D301" s="76" t="s">
        <v>140</v>
      </c>
      <c r="E301" s="76" t="s">
        <v>140</v>
      </c>
    </row>
    <row r="302" spans="1:5" x14ac:dyDescent="0.2">
      <c r="A302" s="76" t="s">
        <v>141</v>
      </c>
      <c r="B302" s="76"/>
      <c r="C302" s="76" t="s">
        <v>140</v>
      </c>
      <c r="D302" s="76"/>
      <c r="E302" s="76"/>
    </row>
    <row r="303" spans="1:5" x14ac:dyDescent="0.2">
      <c r="A303" s="76" t="s">
        <v>142</v>
      </c>
      <c r="B303" s="76"/>
      <c r="C303" s="76" t="s">
        <v>143</v>
      </c>
      <c r="D303" s="76" t="s">
        <v>143</v>
      </c>
      <c r="E303" s="76" t="s">
        <v>143</v>
      </c>
    </row>
    <row r="304" spans="1:5" x14ac:dyDescent="0.2">
      <c r="A304" s="76" t="s">
        <v>144</v>
      </c>
      <c r="B304" s="76"/>
      <c r="C304" s="76"/>
      <c r="D304" s="76"/>
      <c r="E304" s="76"/>
    </row>
    <row r="305" spans="1:5" x14ac:dyDescent="0.2">
      <c r="A305" s="76" t="s">
        <v>145</v>
      </c>
      <c r="B305" s="76" t="s">
        <v>146</v>
      </c>
      <c r="C305" s="76"/>
      <c r="D305" s="76"/>
      <c r="E305" s="76"/>
    </row>
    <row r="306" spans="1:5" x14ac:dyDescent="0.2">
      <c r="A306" s="76" t="s">
        <v>147</v>
      </c>
      <c r="B306" s="76"/>
      <c r="C306" s="76"/>
      <c r="D306" s="76"/>
      <c r="E306" s="76"/>
    </row>
    <row r="307" spans="1:5" x14ac:dyDescent="0.2">
      <c r="A307" s="76" t="s">
        <v>148</v>
      </c>
      <c r="B307" s="76"/>
      <c r="C307" s="76" t="s">
        <v>149</v>
      </c>
      <c r="D307" s="76" t="s">
        <v>149</v>
      </c>
      <c r="E307" s="76" t="s">
        <v>150</v>
      </c>
    </row>
    <row r="308" spans="1:5" x14ac:dyDescent="0.2">
      <c r="A308" s="76" t="s">
        <v>151</v>
      </c>
      <c r="B308" s="76" t="s">
        <v>85</v>
      </c>
      <c r="C308" s="76">
        <v>500</v>
      </c>
      <c r="D308" s="76">
        <v>30</v>
      </c>
      <c r="E308" s="76">
        <v>30</v>
      </c>
    </row>
    <row r="309" spans="1:5" x14ac:dyDescent="0.2">
      <c r="A309" s="76" t="s">
        <v>152</v>
      </c>
      <c r="B309" s="76" t="s">
        <v>153</v>
      </c>
      <c r="C309" s="76">
        <v>1</v>
      </c>
      <c r="D309" s="76">
        <v>1</v>
      </c>
      <c r="E309" s="76">
        <v>1</v>
      </c>
    </row>
    <row r="310" spans="1:5" x14ac:dyDescent="0.2">
      <c r="A310" s="76" t="s">
        <v>154</v>
      </c>
      <c r="B310" s="76"/>
      <c r="C310" s="76">
        <v>1</v>
      </c>
      <c r="D310" s="76">
        <v>1</v>
      </c>
      <c r="E310" s="76">
        <v>0</v>
      </c>
    </row>
    <row r="311" spans="1:5" x14ac:dyDescent="0.2">
      <c r="A311" s="76" t="s">
        <v>155</v>
      </c>
      <c r="B311" s="76"/>
      <c r="C311" s="76">
        <v>0</v>
      </c>
      <c r="D311" s="76">
        <v>0</v>
      </c>
      <c r="E311" s="76">
        <v>1</v>
      </c>
    </row>
    <row r="312" spans="1:5" x14ac:dyDescent="0.2">
      <c r="A312" s="76" t="s">
        <v>156</v>
      </c>
      <c r="B312" s="76"/>
      <c r="C312" s="76">
        <v>0</v>
      </c>
      <c r="D312" s="76">
        <v>0</v>
      </c>
      <c r="E312" s="76">
        <v>0</v>
      </c>
    </row>
    <row r="313" spans="1:5" x14ac:dyDescent="0.2">
      <c r="A313" s="76" t="s">
        <v>157</v>
      </c>
      <c r="B313" s="76"/>
      <c r="C313" s="76">
        <v>1</v>
      </c>
      <c r="D313" s="76">
        <v>1</v>
      </c>
      <c r="E313" s="76">
        <v>0</v>
      </c>
    </row>
    <row r="314" spans="1:5" x14ac:dyDescent="0.2">
      <c r="A314" s="76" t="s">
        <v>158</v>
      </c>
      <c r="B314" s="76"/>
      <c r="C314" s="76">
        <v>0</v>
      </c>
      <c r="D314" s="76">
        <v>0</v>
      </c>
      <c r="E314" s="76">
        <v>1</v>
      </c>
    </row>
    <row r="315" spans="1:5" x14ac:dyDescent="0.2">
      <c r="A315" s="76" t="s">
        <v>159</v>
      </c>
      <c r="B315" s="76"/>
      <c r="C315" s="76">
        <v>0</v>
      </c>
      <c r="D315" s="76">
        <v>0</v>
      </c>
      <c r="E315" s="76">
        <v>0</v>
      </c>
    </row>
    <row r="316" spans="1:5" x14ac:dyDescent="0.2">
      <c r="A316" s="77" t="s">
        <v>160</v>
      </c>
      <c r="B316" s="77" t="s">
        <v>161</v>
      </c>
      <c r="C316" s="77">
        <v>1490</v>
      </c>
      <c r="D316" s="77" t="s">
        <v>423</v>
      </c>
      <c r="E316" s="80">
        <v>185003</v>
      </c>
    </row>
    <row r="317" spans="1:5" x14ac:dyDescent="0.2">
      <c r="A317" s="76" t="s">
        <v>164</v>
      </c>
      <c r="B317" s="76" t="s">
        <v>161</v>
      </c>
      <c r="C317" s="86">
        <v>446842</v>
      </c>
      <c r="D317" s="86">
        <v>446677</v>
      </c>
      <c r="E317" s="87" t="s">
        <v>424</v>
      </c>
    </row>
    <row r="318" spans="1:5" x14ac:dyDescent="0.2">
      <c r="A318" s="76" t="s">
        <v>167</v>
      </c>
      <c r="B318" s="76" t="s">
        <v>161</v>
      </c>
      <c r="C318" s="86">
        <v>142151</v>
      </c>
      <c r="D318" s="86">
        <v>141777</v>
      </c>
      <c r="E318" s="87" t="s">
        <v>425</v>
      </c>
    </row>
    <row r="319" spans="1:5" x14ac:dyDescent="0.2">
      <c r="A319" s="76" t="s">
        <v>170</v>
      </c>
      <c r="B319" s="76" t="s">
        <v>161</v>
      </c>
      <c r="C319" s="86">
        <v>950719</v>
      </c>
      <c r="D319" s="86">
        <v>948935</v>
      </c>
      <c r="E319" s="87" t="s">
        <v>426</v>
      </c>
    </row>
    <row r="320" spans="1:5" x14ac:dyDescent="0.2">
      <c r="A320" s="76" t="s">
        <v>173</v>
      </c>
      <c r="B320" s="76" t="s">
        <v>161</v>
      </c>
      <c r="C320" s="86">
        <v>765701</v>
      </c>
      <c r="D320" s="86">
        <v>763333</v>
      </c>
      <c r="E320" s="87" t="s">
        <v>427</v>
      </c>
    </row>
    <row r="321" spans="1:5" x14ac:dyDescent="0.2">
      <c r="A321" s="76" t="s">
        <v>176</v>
      </c>
      <c r="B321" s="76" t="s">
        <v>161</v>
      </c>
      <c r="C321" s="86">
        <v>765305</v>
      </c>
      <c r="D321" s="86">
        <v>755237</v>
      </c>
      <c r="E321" s="86">
        <v>100682</v>
      </c>
    </row>
    <row r="322" spans="1:5" x14ac:dyDescent="0.2">
      <c r="A322" s="76" t="s">
        <v>178</v>
      </c>
      <c r="B322" s="76" t="s">
        <v>161</v>
      </c>
      <c r="C322" s="86">
        <v>815147</v>
      </c>
      <c r="D322" s="86">
        <v>803239</v>
      </c>
      <c r="E322" s="87" t="s">
        <v>428</v>
      </c>
    </row>
    <row r="323" spans="1:5" x14ac:dyDescent="0.2">
      <c r="A323" s="76" t="s">
        <v>181</v>
      </c>
      <c r="B323" s="76" t="s">
        <v>161</v>
      </c>
      <c r="C323" s="86">
        <v>682965</v>
      </c>
      <c r="D323" s="86">
        <v>676189</v>
      </c>
      <c r="E323" s="87" t="s">
        <v>429</v>
      </c>
    </row>
    <row r="324" spans="1:5" x14ac:dyDescent="0.2">
      <c r="A324" s="76" t="s">
        <v>183</v>
      </c>
      <c r="B324" s="76" t="s">
        <v>161</v>
      </c>
      <c r="C324" s="86">
        <v>765425</v>
      </c>
      <c r="D324" s="86">
        <v>723822</v>
      </c>
      <c r="E324" s="86">
        <v>416037</v>
      </c>
    </row>
    <row r="325" spans="1:5" x14ac:dyDescent="0.2">
      <c r="A325" s="76" t="s">
        <v>184</v>
      </c>
      <c r="B325" s="76" t="s">
        <v>161</v>
      </c>
      <c r="C325" s="87" t="s">
        <v>430</v>
      </c>
      <c r="D325" s="86">
        <v>729729</v>
      </c>
      <c r="E325" s="86">
        <v>35371</v>
      </c>
    </row>
    <row r="326" spans="1:5" x14ac:dyDescent="0.2">
      <c r="A326" s="76" t="s">
        <v>185</v>
      </c>
      <c r="B326" s="76" t="s">
        <v>161</v>
      </c>
      <c r="C326" s="86">
        <v>764974</v>
      </c>
      <c r="D326" s="86">
        <v>670488</v>
      </c>
      <c r="E326" s="86">
        <v>944861</v>
      </c>
    </row>
    <row r="327" spans="1:5" x14ac:dyDescent="0.2">
      <c r="A327" s="76" t="s">
        <v>186</v>
      </c>
      <c r="B327" s="76" t="s">
        <v>161</v>
      </c>
      <c r="C327" s="86">
        <v>765107</v>
      </c>
      <c r="D327" s="86">
        <v>39574</v>
      </c>
      <c r="E327" s="86">
        <v>369368</v>
      </c>
    </row>
    <row r="328" spans="1:5" x14ac:dyDescent="0.2">
      <c r="A328" s="76" t="s">
        <v>187</v>
      </c>
      <c r="B328" s="76" t="s">
        <v>161</v>
      </c>
      <c r="C328" s="86">
        <v>765008</v>
      </c>
      <c r="D328" s="86">
        <v>19104</v>
      </c>
      <c r="E328" s="86">
        <v>573968</v>
      </c>
    </row>
    <row r="329" spans="1:5" x14ac:dyDescent="0.2">
      <c r="A329" s="76" t="s">
        <v>188</v>
      </c>
      <c r="B329" s="76" t="s">
        <v>161</v>
      </c>
      <c r="C329" s="86">
        <v>752042</v>
      </c>
      <c r="D329" s="86">
        <v>52535</v>
      </c>
      <c r="E329" s="86">
        <v>699507</v>
      </c>
    </row>
    <row r="330" spans="1:5" x14ac:dyDescent="0.2">
      <c r="A330" s="79">
        <v>37166</v>
      </c>
      <c r="B330" s="76" t="s">
        <v>161</v>
      </c>
      <c r="C330" s="86">
        <v>130966</v>
      </c>
      <c r="D330" s="87" t="s">
        <v>431</v>
      </c>
      <c r="E330" s="86">
        <v>116688</v>
      </c>
    </row>
    <row r="331" spans="1:5" x14ac:dyDescent="0.2">
      <c r="A331" s="76" t="s">
        <v>192</v>
      </c>
      <c r="B331" s="76" t="s">
        <v>161</v>
      </c>
      <c r="C331" s="86">
        <v>278112</v>
      </c>
      <c r="D331" s="86">
        <v>278109</v>
      </c>
      <c r="E331" s="87" t="s">
        <v>432</v>
      </c>
    </row>
    <row r="332" spans="1:5" x14ac:dyDescent="0.2">
      <c r="A332" s="76" t="s">
        <v>195</v>
      </c>
      <c r="B332" s="76" t="s">
        <v>161</v>
      </c>
      <c r="C332" s="86">
        <v>526984</v>
      </c>
      <c r="D332" s="86">
        <v>525552</v>
      </c>
      <c r="E332" s="87" t="s">
        <v>433</v>
      </c>
    </row>
    <row r="333" spans="1:5" x14ac:dyDescent="0.2">
      <c r="A333" s="233" t="s">
        <v>244</v>
      </c>
      <c r="B333" s="233"/>
      <c r="C333" s="233"/>
      <c r="D333" s="233"/>
      <c r="E333" s="233"/>
    </row>
    <row r="334" spans="1:5" x14ac:dyDescent="0.2">
      <c r="A334" s="76" t="s">
        <v>164</v>
      </c>
      <c r="B334" s="76"/>
      <c r="C334" s="76" t="s">
        <v>300</v>
      </c>
      <c r="D334" s="76" t="s">
        <v>301</v>
      </c>
      <c r="E334" s="76" t="s">
        <v>302</v>
      </c>
    </row>
    <row r="335" spans="1:5" x14ac:dyDescent="0.2">
      <c r="A335" s="76" t="s">
        <v>167</v>
      </c>
      <c r="B335" s="76"/>
      <c r="C335" s="76" t="s">
        <v>303</v>
      </c>
      <c r="D335" s="76" t="s">
        <v>304</v>
      </c>
      <c r="E335" s="76" t="s">
        <v>305</v>
      </c>
    </row>
    <row r="336" spans="1:5" x14ac:dyDescent="0.2">
      <c r="A336" s="76" t="s">
        <v>170</v>
      </c>
      <c r="B336" s="76"/>
      <c r="C336" s="76" t="s">
        <v>306</v>
      </c>
      <c r="D336" s="76" t="s">
        <v>307</v>
      </c>
      <c r="E336" s="82">
        <v>9.6387400000000003</v>
      </c>
    </row>
    <row r="337" spans="1:5" x14ac:dyDescent="0.2">
      <c r="A337" s="76" t="s">
        <v>173</v>
      </c>
      <c r="B337" s="76"/>
      <c r="C337" s="76" t="s">
        <v>308</v>
      </c>
      <c r="D337" s="76" t="s">
        <v>309</v>
      </c>
      <c r="E337" s="76" t="s">
        <v>310</v>
      </c>
    </row>
    <row r="338" spans="1:5" x14ac:dyDescent="0.2">
      <c r="A338" s="76" t="s">
        <v>176</v>
      </c>
      <c r="B338" s="76"/>
      <c r="C338" s="76" t="s">
        <v>311</v>
      </c>
      <c r="D338" s="76" t="s">
        <v>312</v>
      </c>
      <c r="E338" s="76" t="s">
        <v>313</v>
      </c>
    </row>
    <row r="339" spans="1:5" x14ac:dyDescent="0.2">
      <c r="A339" s="76" t="s">
        <v>178</v>
      </c>
      <c r="B339" s="76"/>
      <c r="C339" s="76" t="s">
        <v>314</v>
      </c>
      <c r="D339" s="76" t="s">
        <v>315</v>
      </c>
      <c r="E339" s="76" t="s">
        <v>316</v>
      </c>
    </row>
    <row r="340" spans="1:5" x14ac:dyDescent="0.2">
      <c r="A340" s="76" t="s">
        <v>181</v>
      </c>
      <c r="B340" s="76"/>
      <c r="C340" s="76" t="s">
        <v>317</v>
      </c>
      <c r="D340" s="76" t="s">
        <v>318</v>
      </c>
      <c r="E340" s="76" t="s">
        <v>319</v>
      </c>
    </row>
    <row r="341" spans="1:5" x14ac:dyDescent="0.2">
      <c r="A341" s="76" t="s">
        <v>183</v>
      </c>
      <c r="B341" s="76"/>
      <c r="C341" s="76" t="s">
        <v>320</v>
      </c>
      <c r="D341" s="76" t="s">
        <v>321</v>
      </c>
      <c r="E341" s="76" t="s">
        <v>322</v>
      </c>
    </row>
    <row r="342" spans="1:5" x14ac:dyDescent="0.2">
      <c r="A342" s="76" t="s">
        <v>184</v>
      </c>
      <c r="B342" s="76"/>
      <c r="C342" s="76" t="s">
        <v>323</v>
      </c>
      <c r="D342" s="76" t="s">
        <v>324</v>
      </c>
      <c r="E342" s="76" t="s">
        <v>325</v>
      </c>
    </row>
    <row r="343" spans="1:5" x14ac:dyDescent="0.2">
      <c r="A343" s="76" t="s">
        <v>185</v>
      </c>
      <c r="B343" s="76"/>
      <c r="C343" s="76" t="s">
        <v>326</v>
      </c>
      <c r="D343" s="76" t="s">
        <v>327</v>
      </c>
      <c r="E343" s="76" t="s">
        <v>328</v>
      </c>
    </row>
    <row r="344" spans="1:5" x14ac:dyDescent="0.2">
      <c r="A344" s="76" t="s">
        <v>186</v>
      </c>
      <c r="B344" s="76"/>
      <c r="C344" s="76" t="s">
        <v>329</v>
      </c>
      <c r="D344" s="76" t="s">
        <v>330</v>
      </c>
      <c r="E344" s="76" t="s">
        <v>331</v>
      </c>
    </row>
    <row r="345" spans="1:5" x14ac:dyDescent="0.2">
      <c r="A345" s="76" t="s">
        <v>187</v>
      </c>
      <c r="B345" s="76"/>
      <c r="C345" s="76" t="s">
        <v>332</v>
      </c>
      <c r="D345" s="76" t="s">
        <v>333</v>
      </c>
      <c r="E345" s="76" t="s">
        <v>334</v>
      </c>
    </row>
    <row r="346" spans="1:5" x14ac:dyDescent="0.2">
      <c r="A346" s="76" t="s">
        <v>188</v>
      </c>
      <c r="B346" s="76"/>
      <c r="C346" s="76" t="s">
        <v>335</v>
      </c>
      <c r="D346" s="76" t="s">
        <v>336</v>
      </c>
      <c r="E346" s="76" t="s">
        <v>337</v>
      </c>
    </row>
    <row r="347" spans="1:5" x14ac:dyDescent="0.2">
      <c r="A347" s="79">
        <v>37166</v>
      </c>
      <c r="B347" s="76"/>
      <c r="C347" s="76" t="s">
        <v>338</v>
      </c>
      <c r="D347" s="76" t="s">
        <v>339</v>
      </c>
      <c r="E347" s="76" t="s">
        <v>340</v>
      </c>
    </row>
    <row r="348" spans="1:5" x14ac:dyDescent="0.2">
      <c r="A348" s="76" t="s">
        <v>192</v>
      </c>
      <c r="B348" s="76"/>
      <c r="C348" s="76" t="s">
        <v>341</v>
      </c>
      <c r="D348" s="76" t="s">
        <v>342</v>
      </c>
      <c r="E348" s="82">
        <v>1.50084</v>
      </c>
    </row>
    <row r="349" spans="1:5" x14ac:dyDescent="0.2">
      <c r="A349" s="76" t="s">
        <v>195</v>
      </c>
      <c r="B349" s="76"/>
      <c r="C349" s="76" t="s">
        <v>343</v>
      </c>
      <c r="D349" s="76" t="s">
        <v>344</v>
      </c>
      <c r="E349" s="76" t="s">
        <v>345</v>
      </c>
    </row>
    <row r="350" spans="1:5" x14ac:dyDescent="0.2">
      <c r="A350" s="77" t="s">
        <v>198</v>
      </c>
      <c r="B350" s="77" t="s">
        <v>199</v>
      </c>
      <c r="C350" s="77">
        <v>60</v>
      </c>
      <c r="D350" s="80">
        <v>414755</v>
      </c>
      <c r="E350" s="80">
        <v>185245</v>
      </c>
    </row>
    <row r="351" spans="1:5" x14ac:dyDescent="0.2">
      <c r="A351" s="76" t="s">
        <v>164</v>
      </c>
      <c r="B351" s="76" t="s">
        <v>199</v>
      </c>
      <c r="C351" s="86">
        <v>7902</v>
      </c>
      <c r="D351" s="86">
        <v>789909</v>
      </c>
      <c r="E351" s="87" t="s">
        <v>434</v>
      </c>
    </row>
    <row r="352" spans="1:5" x14ac:dyDescent="0.2">
      <c r="A352" s="76" t="s">
        <v>167</v>
      </c>
      <c r="B352" s="76" t="s">
        <v>199</v>
      </c>
      <c r="C352" s="87" t="s">
        <v>435</v>
      </c>
      <c r="D352" s="87" t="s">
        <v>436</v>
      </c>
      <c r="E352" s="87" t="s">
        <v>437</v>
      </c>
    </row>
    <row r="353" spans="1:5" x14ac:dyDescent="0.2">
      <c r="A353" s="76" t="s">
        <v>170</v>
      </c>
      <c r="B353" s="76" t="s">
        <v>199</v>
      </c>
      <c r="C353" s="87" t="s">
        <v>438</v>
      </c>
      <c r="D353" s="87" t="s">
        <v>439</v>
      </c>
      <c r="E353" s="87" t="s">
        <v>440</v>
      </c>
    </row>
    <row r="354" spans="1:5" x14ac:dyDescent="0.2">
      <c r="A354" s="76" t="s">
        <v>173</v>
      </c>
      <c r="B354" s="76" t="s">
        <v>199</v>
      </c>
      <c r="C354" s="86">
        <v>2538</v>
      </c>
      <c r="D354" s="86">
        <v>253015</v>
      </c>
      <c r="E354" s="87" t="s">
        <v>441</v>
      </c>
    </row>
    <row r="355" spans="1:5" x14ac:dyDescent="0.2">
      <c r="A355" s="76" t="s">
        <v>176</v>
      </c>
      <c r="B355" s="76" t="s">
        <v>199</v>
      </c>
      <c r="C355" s="87" t="s">
        <v>442</v>
      </c>
      <c r="D355" s="86">
        <v>367106</v>
      </c>
      <c r="E355" s="87" t="s">
        <v>443</v>
      </c>
    </row>
    <row r="356" spans="1:5" x14ac:dyDescent="0.2">
      <c r="A356" s="76" t="s">
        <v>178</v>
      </c>
      <c r="B356" s="76" t="s">
        <v>199</v>
      </c>
      <c r="C356" s="87" t="s">
        <v>444</v>
      </c>
      <c r="D356" s="87" t="s">
        <v>445</v>
      </c>
      <c r="E356" s="87" t="s">
        <v>446</v>
      </c>
    </row>
    <row r="357" spans="1:5" x14ac:dyDescent="0.2">
      <c r="A357" s="76" t="s">
        <v>181</v>
      </c>
      <c r="B357" s="76" t="s">
        <v>199</v>
      </c>
      <c r="C357" s="86">
        <v>3168</v>
      </c>
      <c r="D357" s="86">
        <v>313657</v>
      </c>
      <c r="E357" s="87" t="s">
        <v>447</v>
      </c>
    </row>
    <row r="358" spans="1:5" x14ac:dyDescent="0.2">
      <c r="A358" s="76" t="s">
        <v>183</v>
      </c>
      <c r="B358" s="76" t="s">
        <v>199</v>
      </c>
      <c r="C358" s="86">
        <v>4734</v>
      </c>
      <c r="D358" s="86">
        <v>447669</v>
      </c>
      <c r="E358" s="87" t="s">
        <v>448</v>
      </c>
    </row>
    <row r="359" spans="1:5" x14ac:dyDescent="0.2">
      <c r="A359" s="76" t="s">
        <v>184</v>
      </c>
      <c r="B359" s="76" t="s">
        <v>199</v>
      </c>
      <c r="C359" s="86">
        <v>4902</v>
      </c>
      <c r="D359" s="86">
        <v>467538</v>
      </c>
      <c r="E359" s="87" t="s">
        <v>449</v>
      </c>
    </row>
    <row r="360" spans="1:5" x14ac:dyDescent="0.2">
      <c r="A360" s="76" t="s">
        <v>185</v>
      </c>
      <c r="B360" s="76" t="s">
        <v>199</v>
      </c>
      <c r="C360" s="86">
        <v>6084</v>
      </c>
      <c r="D360" s="86">
        <v>533253</v>
      </c>
      <c r="E360" s="87" t="s">
        <v>450</v>
      </c>
    </row>
    <row r="361" spans="1:5" x14ac:dyDescent="0.2">
      <c r="A361" s="76" t="s">
        <v>186</v>
      </c>
      <c r="B361" s="76" t="s">
        <v>199</v>
      </c>
      <c r="C361" s="86">
        <v>6588</v>
      </c>
      <c r="D361" s="86">
        <v>340754</v>
      </c>
      <c r="E361" s="86">
        <v>318046</v>
      </c>
    </row>
    <row r="362" spans="1:5" x14ac:dyDescent="0.2">
      <c r="A362" s="76" t="s">
        <v>187</v>
      </c>
      <c r="B362" s="76" t="s">
        <v>199</v>
      </c>
      <c r="C362" s="87" t="s">
        <v>451</v>
      </c>
      <c r="D362" s="86">
        <v>194035</v>
      </c>
      <c r="E362" s="86">
        <v>582965</v>
      </c>
    </row>
    <row r="363" spans="1:5" x14ac:dyDescent="0.2">
      <c r="A363" s="76" t="s">
        <v>188</v>
      </c>
      <c r="B363" s="76" t="s">
        <v>199</v>
      </c>
      <c r="C363" s="86">
        <v>8634</v>
      </c>
      <c r="D363" s="87" t="s">
        <v>452</v>
      </c>
      <c r="E363" s="86">
        <v>803086</v>
      </c>
    </row>
    <row r="364" spans="1:5" x14ac:dyDescent="0.2">
      <c r="A364" s="79">
        <v>37166</v>
      </c>
      <c r="B364" s="76" t="s">
        <v>199</v>
      </c>
      <c r="C364" s="87" t="s">
        <v>453</v>
      </c>
      <c r="D364" s="87" t="s">
        <v>454</v>
      </c>
      <c r="E364" s="87" t="s">
        <v>455</v>
      </c>
    </row>
    <row r="365" spans="1:5" x14ac:dyDescent="0.2">
      <c r="A365" s="76" t="s">
        <v>192</v>
      </c>
      <c r="B365" s="76" t="s">
        <v>199</v>
      </c>
      <c r="C365" s="87" t="s">
        <v>456</v>
      </c>
      <c r="D365" s="87" t="s">
        <v>457</v>
      </c>
      <c r="E365" s="88">
        <v>0.61699899999999996</v>
      </c>
    </row>
    <row r="366" spans="1:5" x14ac:dyDescent="0.2">
      <c r="A366" s="76" t="s">
        <v>195</v>
      </c>
      <c r="B366" s="76" t="s">
        <v>199</v>
      </c>
      <c r="C366" s="86">
        <v>2118</v>
      </c>
      <c r="D366" s="86">
        <v>211225</v>
      </c>
      <c r="E366" s="87" t="s">
        <v>458</v>
      </c>
    </row>
    <row r="367" spans="1:5" x14ac:dyDescent="0.2">
      <c r="A367" s="233" t="s">
        <v>214</v>
      </c>
      <c r="B367" s="233"/>
      <c r="C367" s="233"/>
      <c r="D367" s="233"/>
      <c r="E367" s="233"/>
    </row>
    <row r="368" spans="1:5" x14ac:dyDescent="0.2">
      <c r="A368" s="76" t="s">
        <v>164</v>
      </c>
      <c r="B368" s="76"/>
      <c r="C368" s="76" t="s">
        <v>377</v>
      </c>
      <c r="D368" s="76" t="s">
        <v>378</v>
      </c>
      <c r="E368" s="76" t="s">
        <v>379</v>
      </c>
    </row>
    <row r="369" spans="1:9" x14ac:dyDescent="0.2">
      <c r="A369" s="76" t="s">
        <v>167</v>
      </c>
      <c r="B369" s="76"/>
      <c r="C369" s="76" t="s">
        <v>380</v>
      </c>
      <c r="D369" s="76" t="s">
        <v>381</v>
      </c>
      <c r="E369" s="82">
        <v>5.8042100000000003</v>
      </c>
    </row>
    <row r="370" spans="1:9" x14ac:dyDescent="0.2">
      <c r="A370" s="76" t="s">
        <v>170</v>
      </c>
      <c r="B370" s="76"/>
      <c r="C370" s="76" t="s">
        <v>382</v>
      </c>
      <c r="D370" s="76" t="s">
        <v>383</v>
      </c>
      <c r="E370" s="82">
        <v>0.29768</v>
      </c>
    </row>
    <row r="371" spans="1:9" x14ac:dyDescent="0.2">
      <c r="A371" s="76" t="s">
        <v>173</v>
      </c>
      <c r="B371" s="76"/>
      <c r="C371" s="76" t="s">
        <v>384</v>
      </c>
      <c r="D371" s="76" t="s">
        <v>385</v>
      </c>
      <c r="E371" s="76" t="s">
        <v>386</v>
      </c>
      <c r="G371" s="84" t="s">
        <v>459</v>
      </c>
    </row>
    <row r="372" spans="1:9" x14ac:dyDescent="0.2">
      <c r="A372" s="76" t="s">
        <v>176</v>
      </c>
      <c r="B372" s="76"/>
      <c r="C372" s="76" t="s">
        <v>387</v>
      </c>
      <c r="D372" s="76" t="s">
        <v>388</v>
      </c>
      <c r="E372" s="76" t="s">
        <v>389</v>
      </c>
      <c r="G372" s="84" t="s">
        <v>460</v>
      </c>
    </row>
    <row r="373" spans="1:9" x14ac:dyDescent="0.2">
      <c r="A373" s="76" t="s">
        <v>178</v>
      </c>
      <c r="B373" s="76"/>
      <c r="C373" s="76" t="s">
        <v>390</v>
      </c>
      <c r="D373" s="76" t="s">
        <v>391</v>
      </c>
      <c r="E373" s="76" t="s">
        <v>392</v>
      </c>
    </row>
    <row r="374" spans="1:9" x14ac:dyDescent="0.2">
      <c r="A374" s="76" t="s">
        <v>181</v>
      </c>
      <c r="B374" s="76"/>
      <c r="C374" s="76" t="s">
        <v>393</v>
      </c>
      <c r="D374" s="76" t="s">
        <v>394</v>
      </c>
      <c r="E374" s="76" t="s">
        <v>395</v>
      </c>
      <c r="F374" s="85" t="s">
        <v>461</v>
      </c>
      <c r="G374">
        <f>5*1490</f>
        <v>7450</v>
      </c>
      <c r="H374" s="84" t="s">
        <v>462</v>
      </c>
      <c r="I374" s="84" t="s">
        <v>463</v>
      </c>
    </row>
    <row r="375" spans="1:9" x14ac:dyDescent="0.2">
      <c r="A375" s="76" t="s">
        <v>183</v>
      </c>
      <c r="B375" s="76"/>
      <c r="C375" s="76" t="s">
        <v>396</v>
      </c>
      <c r="D375" s="76" t="s">
        <v>397</v>
      </c>
      <c r="E375" s="76" t="s">
        <v>398</v>
      </c>
      <c r="F375" s="85" t="s">
        <v>24</v>
      </c>
      <c r="G375">
        <f>G374+1490</f>
        <v>8940</v>
      </c>
      <c r="H375" s="84" t="s">
        <v>462</v>
      </c>
    </row>
    <row r="376" spans="1:9" x14ac:dyDescent="0.2">
      <c r="A376" s="76" t="s">
        <v>184</v>
      </c>
      <c r="B376" s="76"/>
      <c r="C376" s="76" t="s">
        <v>399</v>
      </c>
      <c r="D376" s="76" t="s">
        <v>400</v>
      </c>
      <c r="E376" s="76" t="s">
        <v>401</v>
      </c>
    </row>
    <row r="377" spans="1:9" x14ac:dyDescent="0.2">
      <c r="A377" s="76" t="s">
        <v>185</v>
      </c>
      <c r="B377" s="76"/>
      <c r="C377" s="76" t="s">
        <v>402</v>
      </c>
      <c r="D377" s="76" t="s">
        <v>403</v>
      </c>
      <c r="E377" s="76" t="s">
        <v>404</v>
      </c>
    </row>
    <row r="378" spans="1:9" x14ac:dyDescent="0.2">
      <c r="A378" s="76" t="s">
        <v>186</v>
      </c>
      <c r="B378" s="76"/>
      <c r="C378" s="76" t="s">
        <v>405</v>
      </c>
      <c r="D378" s="76" t="s">
        <v>406</v>
      </c>
      <c r="E378" s="76" t="s">
        <v>407</v>
      </c>
    </row>
    <row r="379" spans="1:9" x14ac:dyDescent="0.2">
      <c r="A379" s="76" t="s">
        <v>187</v>
      </c>
      <c r="B379" s="76"/>
      <c r="C379" s="76" t="s">
        <v>408</v>
      </c>
      <c r="D379" s="76" t="s">
        <v>409</v>
      </c>
      <c r="E379" s="76" t="s">
        <v>410</v>
      </c>
    </row>
    <row r="380" spans="1:9" x14ac:dyDescent="0.2">
      <c r="A380" s="76" t="s">
        <v>188</v>
      </c>
      <c r="B380" s="76"/>
      <c r="C380" s="76" t="s">
        <v>411</v>
      </c>
      <c r="D380" s="76" t="s">
        <v>412</v>
      </c>
      <c r="E380" s="76" t="s">
        <v>413</v>
      </c>
    </row>
    <row r="381" spans="1:9" x14ac:dyDescent="0.2">
      <c r="A381" s="79">
        <v>37166</v>
      </c>
      <c r="B381" s="76"/>
      <c r="C381" s="76" t="s">
        <v>414</v>
      </c>
      <c r="D381" s="76" t="s">
        <v>415</v>
      </c>
      <c r="E381" s="76" t="s">
        <v>416</v>
      </c>
    </row>
    <row r="382" spans="1:9" x14ac:dyDescent="0.2">
      <c r="A382" s="76" t="s">
        <v>192</v>
      </c>
      <c r="B382" s="76"/>
      <c r="C382" s="76" t="s">
        <v>417</v>
      </c>
      <c r="D382" s="76" t="s">
        <v>418</v>
      </c>
      <c r="E382" s="82">
        <v>3.3307200000000002E-2</v>
      </c>
    </row>
    <row r="383" spans="1:9" x14ac:dyDescent="0.2">
      <c r="A383" s="76" t="s">
        <v>195</v>
      </c>
      <c r="B383" s="76"/>
      <c r="C383" s="76" t="s">
        <v>419</v>
      </c>
      <c r="D383" s="76" t="s">
        <v>420</v>
      </c>
      <c r="E383" s="76" t="s">
        <v>421</v>
      </c>
    </row>
    <row r="386" spans="1:5" x14ac:dyDescent="0.2">
      <c r="A386" s="223" t="s">
        <v>464</v>
      </c>
      <c r="B386" s="223"/>
      <c r="C386" s="223"/>
      <c r="D386" s="223"/>
      <c r="E386" s="223"/>
    </row>
    <row r="467" spans="1:5" x14ac:dyDescent="0.2">
      <c r="A467" s="223" t="s">
        <v>465</v>
      </c>
      <c r="B467" s="223"/>
      <c r="C467" s="223"/>
      <c r="D467" s="223"/>
      <c r="E467" s="223"/>
    </row>
    <row r="485" spans="2:2" x14ac:dyDescent="0.2">
      <c r="B485">
        <f>7.3/4.184/252*24</f>
        <v>0.1661658927433306</v>
      </c>
    </row>
    <row r="529" spans="1:5" x14ac:dyDescent="0.2">
      <c r="A529" s="223" t="s">
        <v>466</v>
      </c>
      <c r="B529" s="223"/>
      <c r="C529" s="223"/>
      <c r="D529" s="223"/>
      <c r="E529" s="223"/>
    </row>
    <row r="545" spans="4:4" x14ac:dyDescent="0.2">
      <c r="D545" t="s">
        <v>467</v>
      </c>
    </row>
    <row r="562" spans="1:3" x14ac:dyDescent="0.2">
      <c r="A562" t="s">
        <v>468</v>
      </c>
      <c r="B562">
        <v>3.4697</v>
      </c>
      <c r="C562" t="s">
        <v>469</v>
      </c>
    </row>
    <row r="563" spans="1:3" x14ac:dyDescent="0.2">
      <c r="A563" t="s">
        <v>470</v>
      </c>
      <c r="B563">
        <v>47.066600000000001</v>
      </c>
      <c r="C563" t="s">
        <v>469</v>
      </c>
    </row>
    <row r="564" spans="1:3" x14ac:dyDescent="0.2">
      <c r="A564" t="s">
        <v>471</v>
      </c>
      <c r="B564">
        <v>27.195</v>
      </c>
      <c r="C564" t="s">
        <v>472</v>
      </c>
    </row>
    <row r="565" spans="1:3" x14ac:dyDescent="0.2">
      <c r="A565" t="s">
        <v>473</v>
      </c>
      <c r="B565">
        <v>74.352599999999995</v>
      </c>
      <c r="C565" t="s">
        <v>472</v>
      </c>
    </row>
    <row r="566" spans="1:3" x14ac:dyDescent="0.2">
      <c r="A566" t="s">
        <v>474</v>
      </c>
      <c r="B566">
        <f>(B565/B564)*SQRT(B563/B562)</f>
        <v>10.06972353156104</v>
      </c>
    </row>
    <row r="567" spans="1:3" x14ac:dyDescent="0.2">
      <c r="A567" t="s">
        <v>467</v>
      </c>
      <c r="B567">
        <v>-1.877478</v>
      </c>
    </row>
    <row r="568" spans="1:3" x14ac:dyDescent="0.2">
      <c r="A568" t="s">
        <v>475</v>
      </c>
      <c r="B568">
        <v>-0.81457999999999997</v>
      </c>
    </row>
    <row r="569" spans="1:3" x14ac:dyDescent="0.2">
      <c r="A569" t="s">
        <v>85</v>
      </c>
      <c r="B569">
        <v>-0.18707399999999999</v>
      </c>
    </row>
    <row r="570" spans="1:3" ht="16.5" customHeight="1" x14ac:dyDescent="0.2">
      <c r="A570" t="s">
        <v>476</v>
      </c>
      <c r="B570">
        <v>-1.4522999999999999E-2</v>
      </c>
    </row>
    <row r="571" spans="1:3" ht="15.75" customHeight="1" x14ac:dyDescent="0.2">
      <c r="A571" t="s">
        <v>477</v>
      </c>
      <c r="B571">
        <f>-0.001015</f>
        <v>-1.0150000000000001E-3</v>
      </c>
      <c r="C571" s="230" t="s">
        <v>478</v>
      </c>
    </row>
    <row r="572" spans="1:3" ht="32" customHeight="1" x14ac:dyDescent="0.2">
      <c r="A572" t="s">
        <v>479</v>
      </c>
      <c r="B572" s="89">
        <f>EXP(B567+(B568*LN(B566))+(B569*(LN(B566))^2)+(B570*(LN(B566))^3)+(B571*(LN(B566))^4))</f>
        <v>6.9821023432735723E-3</v>
      </c>
      <c r="C572" s="230"/>
    </row>
    <row r="573" spans="1:3" x14ac:dyDescent="0.2">
      <c r="A573" t="s">
        <v>480</v>
      </c>
      <c r="B573">
        <f>B572*SQRT((B563-B562)/B562)</f>
        <v>2.4749592463190747E-2</v>
      </c>
      <c r="C573" s="230"/>
    </row>
    <row r="574" spans="1:3" ht="16" x14ac:dyDescent="0.2">
      <c r="A574" t="s">
        <v>481</v>
      </c>
      <c r="B574">
        <v>5.9</v>
      </c>
      <c r="C574" s="70" t="s">
        <v>482</v>
      </c>
    </row>
    <row r="575" spans="1:3" x14ac:dyDescent="0.2">
      <c r="A575" t="s">
        <v>476</v>
      </c>
      <c r="B575">
        <f>SQRT((4/PI())*(B574/(B573*B562)))</f>
        <v>9.3530030519974368</v>
      </c>
      <c r="C575" t="s">
        <v>483</v>
      </c>
    </row>
    <row r="576" spans="1:3" x14ac:dyDescent="0.2">
      <c r="A576" t="s">
        <v>476</v>
      </c>
      <c r="B576">
        <f>B575*(0.3048)</f>
        <v>2.8507953302488187</v>
      </c>
      <c r="C576" t="s">
        <v>484</v>
      </c>
    </row>
    <row r="577" spans="1:8" x14ac:dyDescent="0.2">
      <c r="A577" t="s">
        <v>485</v>
      </c>
      <c r="B577">
        <v>3.5</v>
      </c>
      <c r="C577" t="s">
        <v>483</v>
      </c>
    </row>
    <row r="578" spans="1:8" x14ac:dyDescent="0.2">
      <c r="A578" t="s">
        <v>486</v>
      </c>
      <c r="B578">
        <f>B582/((PI()*(B575)^2)/4)</f>
        <v>21.832286687169386</v>
      </c>
      <c r="C578" t="s">
        <v>483</v>
      </c>
    </row>
    <row r="579" spans="1:8" x14ac:dyDescent="0.2">
      <c r="A579" t="s">
        <v>487</v>
      </c>
      <c r="B579">
        <v>1</v>
      </c>
      <c r="C579" t="s">
        <v>483</v>
      </c>
    </row>
    <row r="580" spans="1:8" x14ac:dyDescent="0.2">
      <c r="A580" t="s">
        <v>488</v>
      </c>
      <c r="B580">
        <f>SUM(B577:B579)</f>
        <v>26.332286687169386</v>
      </c>
      <c r="C580" t="s">
        <v>483</v>
      </c>
    </row>
    <row r="581" spans="1:8" x14ac:dyDescent="0.2">
      <c r="A581" t="s">
        <v>489</v>
      </c>
      <c r="B581" s="73">
        <f>B580/B575</f>
        <v>2.8153830957583015</v>
      </c>
    </row>
    <row r="582" spans="1:8" x14ac:dyDescent="0.2">
      <c r="A582" t="s">
        <v>490</v>
      </c>
      <c r="B582">
        <v>1500</v>
      </c>
      <c r="C582" t="s">
        <v>491</v>
      </c>
      <c r="G582" t="s">
        <v>26</v>
      </c>
    </row>
    <row r="583" spans="1:8" x14ac:dyDescent="0.2">
      <c r="A583" t="s">
        <v>492</v>
      </c>
      <c r="B583">
        <v>1</v>
      </c>
      <c r="C583" t="s">
        <v>483</v>
      </c>
      <c r="G583">
        <f>10963*0.03</f>
        <v>328.89</v>
      </c>
      <c r="H583" t="s">
        <v>493</v>
      </c>
    </row>
    <row r="584" spans="1:8" x14ac:dyDescent="0.2">
      <c r="A584" t="s">
        <v>494</v>
      </c>
      <c r="G584">
        <f>G583*(1/907.2)</f>
        <v>0.36253306878306873</v>
      </c>
      <c r="H584" t="s">
        <v>495</v>
      </c>
    </row>
    <row r="585" spans="1:8" x14ac:dyDescent="0.2">
      <c r="A585" s="90" t="s">
        <v>476</v>
      </c>
      <c r="B585">
        <f>B576</f>
        <v>2.8507953302488187</v>
      </c>
      <c r="C585" t="s">
        <v>484</v>
      </c>
    </row>
    <row r="586" spans="1:8" x14ac:dyDescent="0.2">
      <c r="A586" s="91" t="s">
        <v>488</v>
      </c>
      <c r="B586">
        <f>B580*0.3048</f>
        <v>8.0260809822492298</v>
      </c>
      <c r="C586" t="s">
        <v>484</v>
      </c>
      <c r="G586" t="s">
        <v>496</v>
      </c>
    </row>
    <row r="587" spans="1:8" x14ac:dyDescent="0.2">
      <c r="G587">
        <v>12</v>
      </c>
      <c r="H587" t="s">
        <v>497</v>
      </c>
    </row>
    <row r="588" spans="1:8" x14ac:dyDescent="0.2">
      <c r="G588" t="s">
        <v>498</v>
      </c>
    </row>
    <row r="589" spans="1:8" x14ac:dyDescent="0.2">
      <c r="G589">
        <f>G583/G587</f>
        <v>27.407499999999999</v>
      </c>
      <c r="H589" t="s">
        <v>499</v>
      </c>
    </row>
    <row r="590" spans="1:8" x14ac:dyDescent="0.2">
      <c r="G590">
        <f>G589*24</f>
        <v>657.78</v>
      </c>
      <c r="H590" t="s">
        <v>462</v>
      </c>
    </row>
    <row r="599" spans="4:6" x14ac:dyDescent="0.2">
      <c r="D599" t="s">
        <v>500</v>
      </c>
      <c r="E599" t="s">
        <v>26</v>
      </c>
      <c r="F599" t="s">
        <v>501</v>
      </c>
    </row>
    <row r="600" spans="4:6" x14ac:dyDescent="0.2">
      <c r="D600" t="s">
        <v>461</v>
      </c>
      <c r="E600">
        <v>230</v>
      </c>
      <c r="F600" t="s">
        <v>502</v>
      </c>
    </row>
    <row r="601" spans="4:6" x14ac:dyDescent="0.2">
      <c r="D601" t="s">
        <v>461</v>
      </c>
      <c r="E601">
        <f>907.2*E600</f>
        <v>208656</v>
      </c>
      <c r="F601" t="s">
        <v>28</v>
      </c>
    </row>
    <row r="602" spans="4:6" x14ac:dyDescent="0.2">
      <c r="D602" t="s">
        <v>503</v>
      </c>
      <c r="E602">
        <v>22.601400000000002</v>
      </c>
      <c r="F602" t="s">
        <v>48</v>
      </c>
    </row>
    <row r="603" spans="4:6" x14ac:dyDescent="0.2">
      <c r="D603" t="s">
        <v>504</v>
      </c>
      <c r="E603">
        <f>E601/E602</f>
        <v>9231.9944782181628</v>
      </c>
      <c r="F603" t="s">
        <v>505</v>
      </c>
    </row>
    <row r="604" spans="4:6" x14ac:dyDescent="0.2">
      <c r="D604" t="s">
        <v>506</v>
      </c>
    </row>
    <row r="605" spans="4:6" x14ac:dyDescent="0.2">
      <c r="D605" t="s">
        <v>507</v>
      </c>
      <c r="E605">
        <v>500</v>
      </c>
      <c r="F605" t="s">
        <v>508</v>
      </c>
    </row>
    <row r="606" spans="4:6" x14ac:dyDescent="0.2">
      <c r="D606" t="s">
        <v>509</v>
      </c>
      <c r="E606" s="5">
        <f>E605*E600</f>
        <v>115000</v>
      </c>
      <c r="F606" t="s">
        <v>510</v>
      </c>
    </row>
    <row r="607" spans="4:6" x14ac:dyDescent="0.2">
      <c r="D607" t="s">
        <v>511</v>
      </c>
      <c r="E607" s="5">
        <f>E606*365</f>
        <v>41975000</v>
      </c>
      <c r="F607" t="s">
        <v>512</v>
      </c>
    </row>
    <row r="608" spans="4:6" x14ac:dyDescent="0.2">
      <c r="D608" t="s">
        <v>513</v>
      </c>
      <c r="E608" s="5">
        <f>E607*0.4</f>
        <v>16790000</v>
      </c>
      <c r="F608" t="s">
        <v>512</v>
      </c>
    </row>
    <row r="609" spans="1:6" x14ac:dyDescent="0.2">
      <c r="D609" t="s">
        <v>513</v>
      </c>
      <c r="E609" s="5">
        <f>E608*3962</f>
        <v>66521980000</v>
      </c>
      <c r="F609" t="s">
        <v>514</v>
      </c>
    </row>
    <row r="610" spans="1:6" x14ac:dyDescent="0.2">
      <c r="A610" t="s">
        <v>515</v>
      </c>
    </row>
    <row r="611" spans="1:6" x14ac:dyDescent="0.2">
      <c r="A611" t="s">
        <v>476</v>
      </c>
      <c r="B611">
        <v>1.5</v>
      </c>
      <c r="C611" t="s">
        <v>484</v>
      </c>
    </row>
    <row r="612" spans="1:6" x14ac:dyDescent="0.2">
      <c r="A612" t="s">
        <v>488</v>
      </c>
      <c r="B612">
        <v>5</v>
      </c>
      <c r="C612" t="s">
        <v>484</v>
      </c>
    </row>
    <row r="613" spans="1:6" x14ac:dyDescent="0.2">
      <c r="A613" t="s">
        <v>516</v>
      </c>
      <c r="B613">
        <v>50</v>
      </c>
      <c r="C613" t="s">
        <v>153</v>
      </c>
    </row>
    <row r="614" spans="1:6" x14ac:dyDescent="0.2">
      <c r="A614" t="s">
        <v>517</v>
      </c>
      <c r="B614">
        <f>B613*10^5</f>
        <v>5000000</v>
      </c>
      <c r="C614" t="s">
        <v>518</v>
      </c>
    </row>
    <row r="615" spans="1:6" x14ac:dyDescent="0.2">
      <c r="A615" t="s">
        <v>519</v>
      </c>
      <c r="B615">
        <v>0.01</v>
      </c>
      <c r="C615" t="s">
        <v>520</v>
      </c>
    </row>
    <row r="616" spans="1:6" x14ac:dyDescent="0.2">
      <c r="A616" t="s">
        <v>521</v>
      </c>
      <c r="B616">
        <f>+B614</f>
        <v>5000000</v>
      </c>
      <c r="C616" t="s">
        <v>518</v>
      </c>
    </row>
    <row r="617" spans="1:6" x14ac:dyDescent="0.2">
      <c r="A617" t="s">
        <v>522</v>
      </c>
      <c r="B617">
        <f>B611</f>
        <v>1.5</v>
      </c>
      <c r="C617" t="s">
        <v>484</v>
      </c>
    </row>
    <row r="618" spans="1:6" x14ac:dyDescent="0.2">
      <c r="A618" t="s">
        <v>523</v>
      </c>
      <c r="B618" s="73">
        <f>B616*50</f>
        <v>250000000</v>
      </c>
      <c r="C618" t="s">
        <v>518</v>
      </c>
    </row>
    <row r="619" spans="1:6" x14ac:dyDescent="0.2">
      <c r="A619" t="s">
        <v>477</v>
      </c>
      <c r="B619">
        <v>0.8</v>
      </c>
    </row>
    <row r="620" spans="1:6" x14ac:dyDescent="0.2">
      <c r="A620" t="s">
        <v>524</v>
      </c>
      <c r="B620">
        <f>(B616*B617)/((B618*B619)-(0.6*B616))</f>
        <v>3.8071065989847719E-2</v>
      </c>
      <c r="C620" t="s">
        <v>484</v>
      </c>
    </row>
    <row r="621" spans="1:6" x14ac:dyDescent="0.2">
      <c r="A621" t="s">
        <v>524</v>
      </c>
      <c r="B621">
        <f>(B616*(B617+B615))/(2*B618)</f>
        <v>1.5100000000000001E-2</v>
      </c>
      <c r="C621" t="s">
        <v>484</v>
      </c>
    </row>
    <row r="622" spans="1:6" x14ac:dyDescent="0.2">
      <c r="A622" t="s">
        <v>525</v>
      </c>
      <c r="B622">
        <f>PI()*B611*B612*B621*B623</f>
        <v>2786.8667876931718</v>
      </c>
      <c r="C622" t="s">
        <v>526</v>
      </c>
    </row>
    <row r="623" spans="1:6" x14ac:dyDescent="0.2">
      <c r="A623" t="s">
        <v>527</v>
      </c>
      <c r="B623">
        <f>7833</f>
        <v>7833</v>
      </c>
      <c r="C623" t="s">
        <v>48</v>
      </c>
    </row>
    <row r="624" spans="1:6" x14ac:dyDescent="0.2">
      <c r="A624" t="s">
        <v>528</v>
      </c>
      <c r="B624">
        <v>-400</v>
      </c>
      <c r="C624">
        <v>-10000</v>
      </c>
    </row>
    <row r="625" spans="1:3" x14ac:dyDescent="0.2">
      <c r="A625" t="s">
        <v>529</v>
      </c>
      <c r="B625">
        <v>230</v>
      </c>
      <c r="C625">
        <v>600</v>
      </c>
    </row>
    <row r="626" spans="1:3" x14ac:dyDescent="0.2">
      <c r="A626" t="s">
        <v>530</v>
      </c>
      <c r="B626">
        <v>0.6</v>
      </c>
      <c r="C626">
        <v>0.6</v>
      </c>
    </row>
    <row r="627" spans="1:3" x14ac:dyDescent="0.2">
      <c r="A627" t="s">
        <v>531</v>
      </c>
      <c r="B627" s="5">
        <f>B624+B625*(B622)^B626</f>
        <v>26440.930156214221</v>
      </c>
      <c r="C627" t="s">
        <v>532</v>
      </c>
    </row>
    <row r="628" spans="1:3" x14ac:dyDescent="0.2">
      <c r="A628" t="s">
        <v>533</v>
      </c>
      <c r="B628" s="5">
        <f>C624+C625*(B622)^C626</f>
        <v>60019.817798819713</v>
      </c>
      <c r="C628" t="s">
        <v>532</v>
      </c>
    </row>
    <row r="629" spans="1:3" x14ac:dyDescent="0.2">
      <c r="A629" t="s">
        <v>534</v>
      </c>
      <c r="B629" s="5">
        <f>$B$627*($B$632/$B$631)</f>
        <v>44125.304880418509</v>
      </c>
      <c r="C629" t="s">
        <v>532</v>
      </c>
    </row>
    <row r="630" spans="1:3" x14ac:dyDescent="0.2">
      <c r="A630" t="s">
        <v>535</v>
      </c>
      <c r="B630" s="5">
        <f>$B$628*($B$632/$B$631)</f>
        <v>100162.61695762078</v>
      </c>
      <c r="C630" t="s">
        <v>532</v>
      </c>
    </row>
    <row r="631" spans="1:3" x14ac:dyDescent="0.2">
      <c r="A631" t="s">
        <v>536</v>
      </c>
      <c r="B631">
        <v>478.6</v>
      </c>
    </row>
    <row r="632" spans="1:3" x14ac:dyDescent="0.2">
      <c r="A632" t="s">
        <v>537</v>
      </c>
      <c r="B632">
        <v>798.7</v>
      </c>
    </row>
    <row r="633" spans="1:3" x14ac:dyDescent="0.2">
      <c r="A633" t="s">
        <v>538</v>
      </c>
    </row>
    <row r="634" spans="1:3" x14ac:dyDescent="0.2">
      <c r="A634" t="s">
        <v>539</v>
      </c>
      <c r="B634" s="38">
        <f>B629*1.4</f>
        <v>61775.426832585908</v>
      </c>
      <c r="C634" t="s">
        <v>532</v>
      </c>
    </row>
    <row r="635" spans="1:3" x14ac:dyDescent="0.2">
      <c r="A635" t="s">
        <v>540</v>
      </c>
      <c r="B635" s="38">
        <f>B630*1.4</f>
        <v>140227.66374066909</v>
      </c>
      <c r="C635" t="s">
        <v>532</v>
      </c>
    </row>
    <row r="637" spans="1:3" x14ac:dyDescent="0.2">
      <c r="A637" t="s">
        <v>541</v>
      </c>
      <c r="B637" t="s">
        <v>542</v>
      </c>
    </row>
    <row r="638" spans="1:3" x14ac:dyDescent="0.2">
      <c r="A638" t="s">
        <v>539</v>
      </c>
      <c r="B638" s="38">
        <f>B634*3.5</f>
        <v>216213.99391405069</v>
      </c>
      <c r="C638" t="s">
        <v>532</v>
      </c>
    </row>
    <row r="639" spans="1:3" x14ac:dyDescent="0.2">
      <c r="A639" t="s">
        <v>540</v>
      </c>
      <c r="B639" s="38">
        <f>B635*2.5</f>
        <v>350569.15935167274</v>
      </c>
      <c r="C639" t="s">
        <v>532</v>
      </c>
    </row>
    <row r="643" spans="1:5" x14ac:dyDescent="0.2">
      <c r="B643" t="s">
        <v>543</v>
      </c>
    </row>
    <row r="645" spans="1:5" x14ac:dyDescent="0.2">
      <c r="B645" t="s">
        <v>544</v>
      </c>
      <c r="C645" t="s">
        <v>545</v>
      </c>
      <c r="D645" t="s">
        <v>546</v>
      </c>
    </row>
    <row r="646" spans="1:5" x14ac:dyDescent="0.2">
      <c r="A646" t="s">
        <v>547</v>
      </c>
      <c r="B646">
        <f>10963.8</f>
        <v>10963.8</v>
      </c>
      <c r="C646">
        <v>9648.84</v>
      </c>
      <c r="D646">
        <v>1314.98</v>
      </c>
    </row>
    <row r="647" spans="1:5" x14ac:dyDescent="0.2">
      <c r="A647" t="s">
        <v>548</v>
      </c>
      <c r="B647">
        <v>8695.86</v>
      </c>
      <c r="C647">
        <v>8673.14</v>
      </c>
      <c r="D647">
        <v>22.7181</v>
      </c>
    </row>
    <row r="648" spans="1:5" x14ac:dyDescent="0.2">
      <c r="A648" t="s">
        <v>549</v>
      </c>
      <c r="B648">
        <f>B646-B647</f>
        <v>2267.9399999999987</v>
      </c>
      <c r="C648">
        <f>C646-C647</f>
        <v>975.70000000000073</v>
      </c>
      <c r="D648">
        <f>D646-D647</f>
        <v>1292.2619</v>
      </c>
    </row>
    <row r="649" spans="1:5" x14ac:dyDescent="0.2">
      <c r="A649" t="s">
        <v>550</v>
      </c>
      <c r="B649" s="1">
        <f>B648/907.2*24</f>
        <v>59.998412698412658</v>
      </c>
      <c r="C649" s="1">
        <f>C648/907.2*24</f>
        <v>25.812169312169328</v>
      </c>
      <c r="D649" s="1">
        <f>D648/907.2*24</f>
        <v>34.186822751322751</v>
      </c>
    </row>
    <row r="650" spans="1:5" x14ac:dyDescent="0.2">
      <c r="A650" t="s">
        <v>26</v>
      </c>
    </row>
    <row r="651" spans="1:5" x14ac:dyDescent="0.2">
      <c r="A651" s="92" t="s">
        <v>551</v>
      </c>
      <c r="B651" s="92"/>
      <c r="C651" s="93">
        <f>C649/$B$649</f>
        <v>0.430214203197616</v>
      </c>
      <c r="D651" s="93">
        <f>D649/$B$649</f>
        <v>0.5697954531424998</v>
      </c>
      <c r="E651" s="92" t="s">
        <v>552</v>
      </c>
    </row>
    <row r="653" spans="1:5" x14ac:dyDescent="0.2">
      <c r="B653">
        <v>60</v>
      </c>
      <c r="C653">
        <f>-228.494+249.228</f>
        <v>20.734000000000009</v>
      </c>
      <c r="D653">
        <f>B653-C653</f>
        <v>39.265999999999991</v>
      </c>
    </row>
    <row r="654" spans="1:5" x14ac:dyDescent="0.2">
      <c r="C654" s="93">
        <f>C653/$B$653</f>
        <v>0.3455666666666668</v>
      </c>
      <c r="D654" s="93">
        <f>D653/$B$653</f>
        <v>0.6544333333333332</v>
      </c>
      <c r="E654" s="92" t="s">
        <v>553</v>
      </c>
    </row>
    <row r="657" spans="1:3" x14ac:dyDescent="0.2">
      <c r="A657" t="s">
        <v>554</v>
      </c>
    </row>
    <row r="658" spans="1:3" x14ac:dyDescent="0.2">
      <c r="A658" t="s">
        <v>555</v>
      </c>
      <c r="B658">
        <v>50</v>
      </c>
    </row>
    <row r="659" spans="1:3" x14ac:dyDescent="0.2">
      <c r="A659" t="s">
        <v>528</v>
      </c>
      <c r="B659">
        <v>53000</v>
      </c>
    </row>
    <row r="660" spans="1:3" x14ac:dyDescent="0.2">
      <c r="A660" t="s">
        <v>529</v>
      </c>
      <c r="B660">
        <v>69000</v>
      </c>
    </row>
    <row r="661" spans="1:3" x14ac:dyDescent="0.2">
      <c r="A661" t="s">
        <v>523</v>
      </c>
      <c r="B661">
        <f>B658</f>
        <v>50</v>
      </c>
    </row>
    <row r="662" spans="1:3" x14ac:dyDescent="0.2">
      <c r="A662" t="s">
        <v>530</v>
      </c>
      <c r="B662">
        <v>0.8</v>
      </c>
    </row>
    <row r="663" spans="1:3" x14ac:dyDescent="0.2">
      <c r="A663" t="s">
        <v>556</v>
      </c>
      <c r="B663" s="94">
        <f>B659+(B660*(B661)^B662)</f>
        <v>1630702.4291492761</v>
      </c>
      <c r="C663" t="s">
        <v>532</v>
      </c>
    </row>
    <row r="664" spans="1:3" x14ac:dyDescent="0.2">
      <c r="A664" t="s">
        <v>536</v>
      </c>
      <c r="B664">
        <v>478.6</v>
      </c>
    </row>
    <row r="665" spans="1:3" x14ac:dyDescent="0.2">
      <c r="A665" t="s">
        <v>537</v>
      </c>
      <c r="B665">
        <v>798.7</v>
      </c>
    </row>
    <row r="666" spans="1:3" x14ac:dyDescent="0.2">
      <c r="A666" t="s">
        <v>557</v>
      </c>
      <c r="B666" s="94">
        <f>B663*(B665/B664)</f>
        <v>2721358.1908932864</v>
      </c>
      <c r="C666" t="s">
        <v>532</v>
      </c>
    </row>
    <row r="667" spans="1:3" x14ac:dyDescent="0.2">
      <c r="A667" t="s">
        <v>558</v>
      </c>
      <c r="B667" s="94">
        <f>B666*2.5</f>
        <v>6803395.4772332162</v>
      </c>
      <c r="C667" t="s">
        <v>532</v>
      </c>
    </row>
    <row r="668" spans="1:3" x14ac:dyDescent="0.2">
      <c r="A668" t="s">
        <v>559</v>
      </c>
      <c r="B668">
        <v>60</v>
      </c>
      <c r="C668" t="s">
        <v>2</v>
      </c>
    </row>
    <row r="670" spans="1:3" x14ac:dyDescent="0.2">
      <c r="A670" t="s">
        <v>560</v>
      </c>
    </row>
    <row r="671" spans="1:3" x14ac:dyDescent="0.2">
      <c r="A671" t="s">
        <v>559</v>
      </c>
      <c r="B671">
        <v>25</v>
      </c>
      <c r="C671" t="s">
        <v>561</v>
      </c>
    </row>
    <row r="672" spans="1:3" x14ac:dyDescent="0.2">
      <c r="A672" t="s">
        <v>562</v>
      </c>
      <c r="B672">
        <f>B671*(35000/80)</f>
        <v>10937.5</v>
      </c>
      <c r="C672" t="s">
        <v>532</v>
      </c>
    </row>
    <row r="673" spans="1:3" x14ac:dyDescent="0.2">
      <c r="A673" t="s">
        <v>541</v>
      </c>
      <c r="B673">
        <f>B672*3</f>
        <v>32812.5</v>
      </c>
      <c r="C673" t="s">
        <v>532</v>
      </c>
    </row>
    <row r="675" spans="1:3" x14ac:dyDescent="0.2">
      <c r="A675" t="s">
        <v>563</v>
      </c>
    </row>
    <row r="676" spans="1:3" x14ac:dyDescent="0.2">
      <c r="A676" t="s">
        <v>559</v>
      </c>
      <c r="B676">
        <v>1</v>
      </c>
      <c r="C676" t="s">
        <v>561</v>
      </c>
    </row>
    <row r="677" spans="1:3" x14ac:dyDescent="0.2">
      <c r="A677" t="s">
        <v>562</v>
      </c>
      <c r="B677">
        <f>800</f>
        <v>800</v>
      </c>
      <c r="C677" t="s">
        <v>532</v>
      </c>
    </row>
    <row r="678" spans="1:3" x14ac:dyDescent="0.2">
      <c r="A678" t="s">
        <v>541</v>
      </c>
      <c r="B678">
        <f>B677*4</f>
        <v>3200</v>
      </c>
      <c r="C678" t="s">
        <v>532</v>
      </c>
    </row>
    <row r="680" spans="1:3" x14ac:dyDescent="0.2">
      <c r="A680" t="s">
        <v>564</v>
      </c>
    </row>
    <row r="688" spans="1:3" x14ac:dyDescent="0.2">
      <c r="C688" t="s">
        <v>565</v>
      </c>
    </row>
    <row r="709" spans="1:6" x14ac:dyDescent="0.2">
      <c r="A709" t="s">
        <v>566</v>
      </c>
    </row>
    <row r="710" spans="1:6" x14ac:dyDescent="0.2">
      <c r="A710" t="s">
        <v>567</v>
      </c>
      <c r="B710">
        <v>5165.1899999999996</v>
      </c>
      <c r="C710" t="s">
        <v>568</v>
      </c>
    </row>
    <row r="711" spans="1:6" x14ac:dyDescent="0.2">
      <c r="A711" t="s">
        <v>528</v>
      </c>
      <c r="B711">
        <v>8400</v>
      </c>
    </row>
    <row r="712" spans="1:6" x14ac:dyDescent="0.2">
      <c r="A712" t="s">
        <v>529</v>
      </c>
      <c r="B712">
        <v>3100</v>
      </c>
    </row>
    <row r="713" spans="1:6" x14ac:dyDescent="0.2">
      <c r="A713" t="s">
        <v>530</v>
      </c>
      <c r="B713">
        <v>0.6</v>
      </c>
    </row>
    <row r="714" spans="1:6" x14ac:dyDescent="0.2">
      <c r="A714" t="s">
        <v>569</v>
      </c>
      <c r="B714" s="5">
        <f>B711+B712*(B710)^B713</f>
        <v>532257.87240069418</v>
      </c>
      <c r="C714" t="s">
        <v>532</v>
      </c>
      <c r="D714" t="s">
        <v>570</v>
      </c>
    </row>
    <row r="715" spans="1:6" x14ac:dyDescent="0.2">
      <c r="A715" t="s">
        <v>536</v>
      </c>
      <c r="B715">
        <v>478.6</v>
      </c>
      <c r="D715" t="s">
        <v>571</v>
      </c>
      <c r="E715">
        <v>50</v>
      </c>
      <c r="F715" t="s">
        <v>561</v>
      </c>
    </row>
    <row r="716" spans="1:6" x14ac:dyDescent="0.2">
      <c r="A716" t="s">
        <v>537</v>
      </c>
      <c r="B716">
        <v>798.7</v>
      </c>
      <c r="D716" t="s">
        <v>572</v>
      </c>
      <c r="E716">
        <v>950</v>
      </c>
      <c r="F716" t="s">
        <v>532</v>
      </c>
    </row>
    <row r="717" spans="1:6" x14ac:dyDescent="0.2">
      <c r="A717" t="s">
        <v>573</v>
      </c>
      <c r="B717" s="5">
        <f>B714*(B716/B715)</f>
        <v>888245.63870964153</v>
      </c>
      <c r="C717" t="s">
        <v>532</v>
      </c>
      <c r="D717" t="s">
        <v>574</v>
      </c>
      <c r="E717" s="5">
        <f>E716*4</f>
        <v>3800</v>
      </c>
      <c r="F717" t="s">
        <v>532</v>
      </c>
    </row>
    <row r="718" spans="1:6" x14ac:dyDescent="0.2">
      <c r="A718" t="s">
        <v>575</v>
      </c>
      <c r="B718" s="5">
        <f>B717*2.5</f>
        <v>2220614.0967741041</v>
      </c>
      <c r="C718" t="s">
        <v>532</v>
      </c>
    </row>
    <row r="720" spans="1:6" x14ac:dyDescent="0.2">
      <c r="A720" t="s">
        <v>576</v>
      </c>
    </row>
    <row r="721" spans="1:9" x14ac:dyDescent="0.2">
      <c r="A721" t="s">
        <v>567</v>
      </c>
      <c r="B721">
        <v>5165.1899999999996</v>
      </c>
      <c r="C721" t="s">
        <v>568</v>
      </c>
    </row>
    <row r="722" spans="1:9" x14ac:dyDescent="0.2">
      <c r="A722" t="s">
        <v>528</v>
      </c>
      <c r="B722">
        <v>240000</v>
      </c>
    </row>
    <row r="723" spans="1:9" x14ac:dyDescent="0.2">
      <c r="A723" t="s">
        <v>529</v>
      </c>
      <c r="B723">
        <v>1.33</v>
      </c>
      <c r="D723">
        <v>24.6</v>
      </c>
    </row>
    <row r="724" spans="1:9" x14ac:dyDescent="0.2">
      <c r="A724" t="s">
        <v>530</v>
      </c>
      <c r="B724">
        <v>1.5</v>
      </c>
      <c r="D724">
        <f>D723*2.2</f>
        <v>54.120000000000005</v>
      </c>
    </row>
    <row r="725" spans="1:9" x14ac:dyDescent="0.2">
      <c r="A725" t="s">
        <v>569</v>
      </c>
      <c r="B725" s="5">
        <f>B722+B723*(B721)^B724</f>
        <v>733720.42399780871</v>
      </c>
      <c r="C725" t="s">
        <v>532</v>
      </c>
    </row>
    <row r="726" spans="1:9" x14ac:dyDescent="0.2">
      <c r="A726" t="s">
        <v>536</v>
      </c>
      <c r="B726">
        <v>478.6</v>
      </c>
    </row>
    <row r="727" spans="1:9" x14ac:dyDescent="0.2">
      <c r="A727" t="s">
        <v>537</v>
      </c>
      <c r="B727">
        <v>798.7</v>
      </c>
    </row>
    <row r="728" spans="1:9" x14ac:dyDescent="0.2">
      <c r="A728" t="s">
        <v>573</v>
      </c>
      <c r="B728" s="5">
        <f>B725*(B727/B726)</f>
        <v>1224451.5308128914</v>
      </c>
      <c r="C728" t="s">
        <v>532</v>
      </c>
    </row>
    <row r="729" spans="1:9" x14ac:dyDescent="0.2">
      <c r="A729" t="s">
        <v>575</v>
      </c>
      <c r="B729" s="5">
        <f>B728*2.5</f>
        <v>3061128.8270322285</v>
      </c>
      <c r="C729" t="s">
        <v>532</v>
      </c>
    </row>
    <row r="732" spans="1:9" x14ac:dyDescent="0.2">
      <c r="A732" s="235" t="s">
        <v>577</v>
      </c>
      <c r="B732" s="235"/>
      <c r="C732" s="235"/>
      <c r="D732" s="235"/>
    </row>
    <row r="733" spans="1:9" x14ac:dyDescent="0.2">
      <c r="A733" s="99" t="s">
        <v>578</v>
      </c>
      <c r="B733" s="99" t="s">
        <v>579</v>
      </c>
      <c r="C733" s="99" t="s">
        <v>580</v>
      </c>
      <c r="D733" s="99" t="s">
        <v>581</v>
      </c>
    </row>
    <row r="734" spans="1:9" x14ac:dyDescent="0.2">
      <c r="A734" s="99" t="s">
        <v>582</v>
      </c>
      <c r="B734" s="95">
        <f>B673</f>
        <v>32812.5</v>
      </c>
      <c r="C734" s="95">
        <f t="shared" ref="C734:C739" si="6">B734/2</f>
        <v>16406.25</v>
      </c>
      <c r="D734" s="95">
        <f t="shared" ref="D734:D739" si="7">3962*C734</f>
        <v>65001562.5</v>
      </c>
      <c r="F734">
        <f>2.3*(230/1.5)</f>
        <v>352.66666666666669</v>
      </c>
    </row>
    <row r="735" spans="1:9" x14ac:dyDescent="0.2">
      <c r="A735" s="99" t="s">
        <v>583</v>
      </c>
      <c r="B735" s="95">
        <f>B678</f>
        <v>3200</v>
      </c>
      <c r="C735" s="95">
        <f t="shared" si="6"/>
        <v>1600</v>
      </c>
      <c r="D735" s="95">
        <f t="shared" si="7"/>
        <v>6339200</v>
      </c>
      <c r="G735" t="s">
        <v>467</v>
      </c>
      <c r="H735">
        <f>G749/(F748*G750)</f>
        <v>27.421854514619884</v>
      </c>
      <c r="I735" t="s">
        <v>584</v>
      </c>
    </row>
    <row r="736" spans="1:9" x14ac:dyDescent="0.2">
      <c r="A736" s="99" t="s">
        <v>585</v>
      </c>
      <c r="B736" s="96">
        <f>B667</f>
        <v>6803395.4772332162</v>
      </c>
      <c r="C736" s="95">
        <f t="shared" si="6"/>
        <v>3401697.7386166081</v>
      </c>
      <c r="D736" s="95">
        <f t="shared" si="7"/>
        <v>13477526440.399002</v>
      </c>
    </row>
    <row r="737" spans="1:8" x14ac:dyDescent="0.2">
      <c r="A737" s="99" t="s">
        <v>586</v>
      </c>
      <c r="B737" s="95">
        <f>E717</f>
        <v>3800</v>
      </c>
      <c r="C737" s="95">
        <f t="shared" si="6"/>
        <v>1900</v>
      </c>
      <c r="D737" s="95">
        <f t="shared" si="7"/>
        <v>7527800</v>
      </c>
    </row>
    <row r="738" spans="1:8" x14ac:dyDescent="0.2">
      <c r="A738" s="99" t="s">
        <v>587</v>
      </c>
      <c r="B738" s="95">
        <f>B718</f>
        <v>2220614.0967741041</v>
      </c>
      <c r="C738" s="95">
        <f t="shared" si="6"/>
        <v>1110307.048387052</v>
      </c>
      <c r="D738" s="95">
        <f t="shared" si="7"/>
        <v>4399036525.7095003</v>
      </c>
      <c r="E738" t="s">
        <v>528</v>
      </c>
      <c r="F738">
        <f>10000</f>
        <v>10000</v>
      </c>
    </row>
    <row r="739" spans="1:8" x14ac:dyDescent="0.2">
      <c r="A739" s="99" t="s">
        <v>588</v>
      </c>
      <c r="B739" s="97">
        <f>B639</f>
        <v>350569.15935167274</v>
      </c>
      <c r="C739" s="95">
        <f t="shared" si="6"/>
        <v>175284.57967583637</v>
      </c>
      <c r="D739" s="95">
        <f t="shared" si="7"/>
        <v>694477504.67566371</v>
      </c>
      <c r="E739" t="s">
        <v>529</v>
      </c>
      <c r="F739">
        <v>88</v>
      </c>
    </row>
    <row r="740" spans="1:8" x14ac:dyDescent="0.2">
      <c r="A740" s="81" t="s">
        <v>24</v>
      </c>
      <c r="B740" s="98">
        <f>SUM(B734:B739)</f>
        <v>9414391.2333589941</v>
      </c>
      <c r="C740" s="98">
        <f>SUM(C734:C739)</f>
        <v>4707195.6166794971</v>
      </c>
      <c r="D740" s="98">
        <f>SUM(D734:D739)</f>
        <v>18649909033.284164</v>
      </c>
      <c r="E740" t="s">
        <v>523</v>
      </c>
      <c r="F740">
        <v>27.42</v>
      </c>
      <c r="G740" t="s">
        <v>584</v>
      </c>
    </row>
    <row r="741" spans="1:8" x14ac:dyDescent="0.2">
      <c r="E741" t="s">
        <v>530</v>
      </c>
      <c r="F741">
        <v>1</v>
      </c>
    </row>
    <row r="742" spans="1:8" x14ac:dyDescent="0.2">
      <c r="E742" t="s">
        <v>589</v>
      </c>
      <c r="F742">
        <f>F738+F739*(F740)^F741</f>
        <v>12412.96</v>
      </c>
      <c r="G742" t="s">
        <v>532</v>
      </c>
    </row>
    <row r="743" spans="1:8" x14ac:dyDescent="0.2">
      <c r="A743" s="222" t="s">
        <v>590</v>
      </c>
      <c r="B743" s="222"/>
      <c r="C743" s="222"/>
      <c r="D743" t="s">
        <v>591</v>
      </c>
      <c r="E743" t="s">
        <v>536</v>
      </c>
      <c r="F743">
        <v>478.6</v>
      </c>
    </row>
    <row r="744" spans="1:8" x14ac:dyDescent="0.2">
      <c r="A744" t="s">
        <v>592</v>
      </c>
      <c r="B744">
        <v>5165.1899999999996</v>
      </c>
      <c r="C744" t="s">
        <v>593</v>
      </c>
      <c r="D744" t="s">
        <v>594</v>
      </c>
      <c r="E744" t="s">
        <v>537</v>
      </c>
      <c r="F744">
        <v>798.7</v>
      </c>
    </row>
    <row r="745" spans="1:8" x14ac:dyDescent="0.2">
      <c r="A745" t="s">
        <v>595</v>
      </c>
      <c r="B745">
        <v>20000</v>
      </c>
      <c r="C745" t="s">
        <v>593</v>
      </c>
      <c r="D745" t="s">
        <v>594</v>
      </c>
      <c r="E745" t="s">
        <v>596</v>
      </c>
      <c r="F745">
        <f>F742*(F744/F743)</f>
        <v>20715.067179272879</v>
      </c>
      <c r="G745" t="s">
        <v>532</v>
      </c>
    </row>
    <row r="746" spans="1:8" x14ac:dyDescent="0.2">
      <c r="A746" t="s">
        <v>597</v>
      </c>
      <c r="B746">
        <v>7255.65</v>
      </c>
      <c r="C746" t="s">
        <v>593</v>
      </c>
      <c r="D746" t="s">
        <v>598</v>
      </c>
      <c r="E746" t="s">
        <v>599</v>
      </c>
      <c r="F746" s="11">
        <f>F745*3960</f>
        <v>82031666.029920608</v>
      </c>
      <c r="G746" t="s">
        <v>600</v>
      </c>
    </row>
    <row r="748" spans="1:8" x14ac:dyDescent="0.2">
      <c r="B748">
        <f>2*8.314*700/200000</f>
        <v>5.8198E-2</v>
      </c>
      <c r="C748">
        <f>+B748*3.3^3</f>
        <v>2.0914615259999998</v>
      </c>
      <c r="F748">
        <f>(850+2000)/2</f>
        <v>1425</v>
      </c>
      <c r="G748" t="s">
        <v>601</v>
      </c>
    </row>
    <row r="749" spans="1:8" x14ac:dyDescent="0.2">
      <c r="A749" t="s">
        <v>602</v>
      </c>
      <c r="B749">
        <f>-6.2387*10^6</f>
        <v>-6238700</v>
      </c>
      <c r="C749" t="s">
        <v>603</v>
      </c>
      <c r="D749">
        <f>B749*3.96</f>
        <v>-24705252</v>
      </c>
      <c r="E749" t="s">
        <v>604</v>
      </c>
      <c r="F749" t="s">
        <v>605</v>
      </c>
      <c r="G749">
        <v>2344568.5610000002</v>
      </c>
      <c r="H749" t="s">
        <v>606</v>
      </c>
    </row>
    <row r="750" spans="1:8" x14ac:dyDescent="0.2">
      <c r="A750" t="s">
        <v>607</v>
      </c>
      <c r="B750">
        <v>1</v>
      </c>
      <c r="C750" t="s">
        <v>608</v>
      </c>
      <c r="D750">
        <v>24</v>
      </c>
      <c r="E750" t="s">
        <v>609</v>
      </c>
      <c r="F750" t="s">
        <v>610</v>
      </c>
      <c r="G750">
        <v>60</v>
      </c>
      <c r="H750" t="s">
        <v>611</v>
      </c>
    </row>
    <row r="751" spans="1:8" x14ac:dyDescent="0.2">
      <c r="A751" t="s">
        <v>610</v>
      </c>
      <c r="B751">
        <f>25-500</f>
        <v>-475</v>
      </c>
      <c r="C751" t="s">
        <v>612</v>
      </c>
      <c r="D751">
        <f>(3.5/24)*(B753/D750)</f>
        <v>7.9807931286549713E-2</v>
      </c>
      <c r="E751" t="s">
        <v>613</v>
      </c>
    </row>
    <row r="752" spans="1:8" x14ac:dyDescent="0.2">
      <c r="A752" t="s">
        <v>484</v>
      </c>
      <c r="B752">
        <f>B749/(B750*B751)</f>
        <v>13134.105263157895</v>
      </c>
      <c r="C752" t="s">
        <v>493</v>
      </c>
      <c r="D752">
        <f>D751*1000</f>
        <v>79.807931286549717</v>
      </c>
      <c r="E752" t="s">
        <v>614</v>
      </c>
      <c r="G752">
        <v>2000000</v>
      </c>
      <c r="H752" t="s">
        <v>615</v>
      </c>
    </row>
    <row r="753" spans="1:8" x14ac:dyDescent="0.2">
      <c r="A753" t="s">
        <v>616</v>
      </c>
      <c r="B753">
        <f>B752/1000</f>
        <v>13.134105263157895</v>
      </c>
      <c r="C753" t="s">
        <v>613</v>
      </c>
      <c r="D753">
        <f>D752*24</f>
        <v>1915.3903508771932</v>
      </c>
      <c r="E753" t="s">
        <v>617</v>
      </c>
      <c r="G753">
        <f>G752/24</f>
        <v>83333.333333333328</v>
      </c>
      <c r="H753" t="s">
        <v>618</v>
      </c>
    </row>
    <row r="754" spans="1:8" x14ac:dyDescent="0.2">
      <c r="A754" t="s">
        <v>619</v>
      </c>
      <c r="B754">
        <v>5476.6</v>
      </c>
      <c r="C754" t="s">
        <v>620</v>
      </c>
      <c r="D754" t="s">
        <v>621</v>
      </c>
      <c r="G754">
        <f>G753/35.315</f>
        <v>2359.7149464344707</v>
      </c>
      <c r="H754" t="s">
        <v>613</v>
      </c>
    </row>
    <row r="755" spans="1:8" x14ac:dyDescent="0.2">
      <c r="A755" t="s">
        <v>622</v>
      </c>
      <c r="B755" s="5">
        <f>B753*B754*8200</f>
        <v>589827975.25052643</v>
      </c>
      <c r="C755" t="s">
        <v>514</v>
      </c>
    </row>
    <row r="756" spans="1:8" x14ac:dyDescent="0.2">
      <c r="A756" t="s">
        <v>623</v>
      </c>
      <c r="B756" s="5">
        <f>B755/3962</f>
        <v>148871.27088604908</v>
      </c>
      <c r="C756" t="s">
        <v>512</v>
      </c>
      <c r="G756">
        <f>7+250+16+82+40+108</f>
        <v>503</v>
      </c>
    </row>
    <row r="757" spans="1:8" x14ac:dyDescent="0.2">
      <c r="G757">
        <f>750-G756</f>
        <v>247</v>
      </c>
    </row>
    <row r="758" spans="1:8" x14ac:dyDescent="0.2">
      <c r="A758" t="s">
        <v>624</v>
      </c>
      <c r="G758">
        <f>G757+G756</f>
        <v>750</v>
      </c>
    </row>
    <row r="759" spans="1:8" x14ac:dyDescent="0.2">
      <c r="A759" t="s">
        <v>625</v>
      </c>
      <c r="B759">
        <v>744.95699999999999</v>
      </c>
      <c r="C759" t="s">
        <v>626</v>
      </c>
      <c r="D759" t="s">
        <v>627</v>
      </c>
    </row>
    <row r="760" spans="1:8" x14ac:dyDescent="0.2">
      <c r="A760" t="s">
        <v>628</v>
      </c>
      <c r="B760">
        <f>B744</f>
        <v>5165.1899999999996</v>
      </c>
      <c r="C760" t="s">
        <v>593</v>
      </c>
    </row>
    <row r="761" spans="1:8" x14ac:dyDescent="0.2">
      <c r="A761" t="s">
        <v>629</v>
      </c>
      <c r="B761" s="5">
        <f>B759*B760*2000</f>
        <v>7695688893.6599998</v>
      </c>
      <c r="C761" t="s">
        <v>514</v>
      </c>
    </row>
    <row r="762" spans="1:8" x14ac:dyDescent="0.2">
      <c r="D762" t="s">
        <v>630</v>
      </c>
      <c r="E762" t="s">
        <v>631</v>
      </c>
    </row>
    <row r="763" spans="1:8" x14ac:dyDescent="0.2">
      <c r="A763" t="s">
        <v>632</v>
      </c>
      <c r="D763" t="s">
        <v>633</v>
      </c>
      <c r="E763" t="s">
        <v>634</v>
      </c>
    </row>
    <row r="764" spans="1:8" x14ac:dyDescent="0.2">
      <c r="A764" t="s">
        <v>625</v>
      </c>
      <c r="B764">
        <v>744.95699999999999</v>
      </c>
      <c r="C764" t="s">
        <v>626</v>
      </c>
    </row>
    <row r="765" spans="1:8" x14ac:dyDescent="0.2">
      <c r="A765" t="s">
        <v>595</v>
      </c>
      <c r="B765">
        <f>B745</f>
        <v>20000</v>
      </c>
      <c r="C765" t="s">
        <v>593</v>
      </c>
    </row>
    <row r="766" spans="1:8" x14ac:dyDescent="0.2">
      <c r="A766" t="s">
        <v>635</v>
      </c>
      <c r="B766" s="5">
        <f>B764*B765*3000</f>
        <v>44697420000</v>
      </c>
      <c r="C766" t="s">
        <v>514</v>
      </c>
    </row>
    <row r="769" spans="1:3" x14ac:dyDescent="0.2">
      <c r="A769" s="229" t="s">
        <v>636</v>
      </c>
      <c r="B769" s="246"/>
    </row>
    <row r="770" spans="1:3" x14ac:dyDescent="0.2">
      <c r="A770" s="99" t="s">
        <v>637</v>
      </c>
      <c r="B770" s="99" t="s">
        <v>514</v>
      </c>
    </row>
    <row r="771" spans="1:3" x14ac:dyDescent="0.2">
      <c r="A771" s="99" t="s">
        <v>638</v>
      </c>
      <c r="B771" s="95">
        <f>E609</f>
        <v>66521980000</v>
      </c>
    </row>
    <row r="772" spans="1:3" x14ac:dyDescent="0.2">
      <c r="A772" s="99" t="s">
        <v>635</v>
      </c>
      <c r="B772" s="95">
        <f>B766</f>
        <v>44697420000</v>
      </c>
    </row>
    <row r="773" spans="1:3" x14ac:dyDescent="0.2">
      <c r="A773" s="99" t="s">
        <v>629</v>
      </c>
      <c r="B773" s="95">
        <f>B761</f>
        <v>7695688893.6599998</v>
      </c>
    </row>
    <row r="774" spans="1:3" x14ac:dyDescent="0.2">
      <c r="A774" s="99" t="s">
        <v>622</v>
      </c>
      <c r="B774" s="96">
        <f>B755</f>
        <v>589827975.25052643</v>
      </c>
    </row>
    <row r="775" spans="1:3" x14ac:dyDescent="0.2">
      <c r="A775" s="81" t="s">
        <v>639</v>
      </c>
      <c r="B775" s="98">
        <f>SUM(B771:B774)</f>
        <v>119504916868.91052</v>
      </c>
    </row>
    <row r="776" spans="1:3" x14ac:dyDescent="0.2">
      <c r="A776" s="99" t="s">
        <v>640</v>
      </c>
      <c r="B776" s="95">
        <f>8*(1160000)*12</f>
        <v>111360000</v>
      </c>
      <c r="C776" t="s">
        <v>641</v>
      </c>
    </row>
    <row r="777" spans="1:3" x14ac:dyDescent="0.2">
      <c r="A777" s="99" t="s">
        <v>642</v>
      </c>
      <c r="B777" s="95">
        <f>33994000*12</f>
        <v>407928000</v>
      </c>
      <c r="C777" t="s">
        <v>643</v>
      </c>
    </row>
    <row r="778" spans="1:3" x14ac:dyDescent="0.2">
      <c r="A778" s="81" t="s">
        <v>644</v>
      </c>
      <c r="B778" s="98">
        <f>SUM(B776:B777)</f>
        <v>519288000</v>
      </c>
    </row>
    <row r="779" spans="1:3" x14ac:dyDescent="0.2">
      <c r="A779" s="81" t="s">
        <v>645</v>
      </c>
      <c r="B779" s="98">
        <f>B775+B778</f>
        <v>120024204868.91052</v>
      </c>
    </row>
    <row r="781" spans="1:3" x14ac:dyDescent="0.2">
      <c r="C781">
        <f>6*800*360*4100</f>
        <v>7084800000</v>
      </c>
    </row>
    <row r="782" spans="1:3" x14ac:dyDescent="0.2">
      <c r="A782" t="s">
        <v>646</v>
      </c>
      <c r="B782">
        <f>E29</f>
        <v>45130359.594441906</v>
      </c>
      <c r="C782" t="s">
        <v>36</v>
      </c>
    </row>
    <row r="783" spans="1:3" x14ac:dyDescent="0.2">
      <c r="A783" t="s">
        <v>647</v>
      </c>
      <c r="B783">
        <f>B782*365</f>
        <v>16472581251.971296</v>
      </c>
      <c r="C783" t="s">
        <v>41</v>
      </c>
    </row>
    <row r="784" spans="1:3" x14ac:dyDescent="0.2">
      <c r="A784" t="s">
        <v>648</v>
      </c>
      <c r="B784">
        <v>700</v>
      </c>
      <c r="C784" t="s">
        <v>626</v>
      </c>
    </row>
    <row r="785" spans="1:11" x14ac:dyDescent="0.2">
      <c r="A785" t="s">
        <v>649</v>
      </c>
      <c r="B785" s="5">
        <f>B783*B784</f>
        <v>11530806876379.908</v>
      </c>
      <c r="C785" t="s">
        <v>514</v>
      </c>
      <c r="D785" t="s">
        <v>650</v>
      </c>
      <c r="E785" s="100">
        <v>7.0000000000000007E-2</v>
      </c>
      <c r="F785" t="s">
        <v>651</v>
      </c>
    </row>
    <row r="786" spans="1:11" x14ac:dyDescent="0.2">
      <c r="A786" t="s">
        <v>652</v>
      </c>
      <c r="B786" s="5">
        <f>B783*3000</f>
        <v>49417743755913.891</v>
      </c>
      <c r="C786" t="s">
        <v>514</v>
      </c>
    </row>
    <row r="788" spans="1:11" x14ac:dyDescent="0.2">
      <c r="A788" t="s">
        <v>653</v>
      </c>
      <c r="B788" s="5">
        <f>B785-(D740+B779)</f>
        <v>11392132762477.713</v>
      </c>
      <c r="C788" t="s">
        <v>514</v>
      </c>
    </row>
    <row r="789" spans="1:11" x14ac:dyDescent="0.2">
      <c r="A789" t="s">
        <v>654</v>
      </c>
      <c r="B789" s="5">
        <f>B786-(D740+B779)</f>
        <v>49279069642011.695</v>
      </c>
      <c r="C789" t="s">
        <v>514</v>
      </c>
    </row>
    <row r="794" spans="1:11" x14ac:dyDescent="0.2">
      <c r="A794" t="s">
        <v>655</v>
      </c>
      <c r="B794">
        <v>0</v>
      </c>
      <c r="C794">
        <v>1</v>
      </c>
      <c r="D794">
        <v>2</v>
      </c>
      <c r="E794">
        <v>3</v>
      </c>
      <c r="F794">
        <v>4</v>
      </c>
      <c r="G794">
        <v>5</v>
      </c>
      <c r="H794">
        <v>6</v>
      </c>
      <c r="I794">
        <v>7</v>
      </c>
      <c r="J794">
        <v>8</v>
      </c>
      <c r="K794">
        <v>9</v>
      </c>
    </row>
    <row r="795" spans="1:11" x14ac:dyDescent="0.2">
      <c r="A795" t="s">
        <v>656</v>
      </c>
      <c r="C795" s="5">
        <f>B786</f>
        <v>49417743755913.891</v>
      </c>
      <c r="D795" s="38">
        <f t="shared" ref="D795:K796" si="8">C795*1.07</f>
        <v>52876985818827.867</v>
      </c>
      <c r="E795" s="38">
        <f t="shared" si="8"/>
        <v>56578374826145.82</v>
      </c>
      <c r="F795" s="38">
        <f t="shared" si="8"/>
        <v>60538861063976.031</v>
      </c>
      <c r="G795" s="38">
        <f t="shared" si="8"/>
        <v>64776581338454.359</v>
      </c>
      <c r="H795" s="38">
        <f t="shared" si="8"/>
        <v>69310942032146.172</v>
      </c>
      <c r="I795" s="38">
        <f t="shared" si="8"/>
        <v>74162707974396.406</v>
      </c>
      <c r="J795" s="38">
        <f t="shared" si="8"/>
        <v>79354097532604.156</v>
      </c>
      <c r="K795" s="38">
        <f t="shared" si="8"/>
        <v>84908884359886.453</v>
      </c>
    </row>
    <row r="796" spans="1:11" x14ac:dyDescent="0.2">
      <c r="A796" t="s">
        <v>657</v>
      </c>
      <c r="C796" s="5">
        <f>B779</f>
        <v>120024204868.91052</v>
      </c>
      <c r="D796" s="38">
        <f t="shared" si="8"/>
        <v>128425899209.73427</v>
      </c>
      <c r="E796" s="38">
        <f t="shared" si="8"/>
        <v>137415712154.41568</v>
      </c>
      <c r="F796" s="38">
        <f t="shared" si="8"/>
        <v>147034812005.22479</v>
      </c>
      <c r="G796" s="38">
        <f t="shared" si="8"/>
        <v>157327248845.59055</v>
      </c>
      <c r="H796" s="38">
        <f t="shared" si="8"/>
        <v>168340156264.78189</v>
      </c>
      <c r="I796" s="38">
        <f t="shared" si="8"/>
        <v>180123967203.31662</v>
      </c>
      <c r="J796" s="38">
        <f t="shared" si="8"/>
        <v>192732644907.5488</v>
      </c>
      <c r="K796" s="38">
        <f t="shared" si="8"/>
        <v>206223930051.07724</v>
      </c>
    </row>
    <row r="797" spans="1:11" x14ac:dyDescent="0.2">
      <c r="A797" t="s">
        <v>658</v>
      </c>
      <c r="C797" s="38">
        <f>C795-C796-B800</f>
        <v>49279069642011.695</v>
      </c>
      <c r="D797" s="38">
        <f>D795-D796-C800</f>
        <v>52729910010584.852</v>
      </c>
      <c r="E797" s="38">
        <f t="shared" ref="E797:K797" si="9">E795-E796</f>
        <v>56440959113991.406</v>
      </c>
      <c r="F797" s="38">
        <f t="shared" si="9"/>
        <v>60391826251970.805</v>
      </c>
      <c r="G797" s="38">
        <f t="shared" si="9"/>
        <v>64619254089608.766</v>
      </c>
      <c r="H797" s="38">
        <f t="shared" si="9"/>
        <v>69142601875881.391</v>
      </c>
      <c r="I797" s="38">
        <f t="shared" si="9"/>
        <v>73982584007193.094</v>
      </c>
      <c r="J797" s="38">
        <f t="shared" si="9"/>
        <v>79161364887696.609</v>
      </c>
      <c r="K797" s="38">
        <f t="shared" si="9"/>
        <v>84702660429835.375</v>
      </c>
    </row>
    <row r="798" spans="1:11" x14ac:dyDescent="0.2">
      <c r="A798" t="s">
        <v>659</v>
      </c>
      <c r="C798" s="38">
        <f t="shared" ref="C798:K798" si="10">0.35*C797</f>
        <v>17247674374704.092</v>
      </c>
      <c r="D798" s="38">
        <f t="shared" si="10"/>
        <v>18455468503704.695</v>
      </c>
      <c r="E798" s="38">
        <f t="shared" si="10"/>
        <v>19754335689896.992</v>
      </c>
      <c r="F798" s="38">
        <f t="shared" si="10"/>
        <v>21137139188189.781</v>
      </c>
      <c r="G798" s="38">
        <f t="shared" si="10"/>
        <v>22616738931363.066</v>
      </c>
      <c r="H798" s="38">
        <f t="shared" si="10"/>
        <v>24199910656558.484</v>
      </c>
      <c r="I798" s="38">
        <f t="shared" si="10"/>
        <v>25893904402517.582</v>
      </c>
      <c r="J798" s="38">
        <f t="shared" si="10"/>
        <v>27706477710693.812</v>
      </c>
      <c r="K798" s="38">
        <f t="shared" si="10"/>
        <v>29645931150442.379</v>
      </c>
    </row>
    <row r="799" spans="1:11" x14ac:dyDescent="0.2">
      <c r="A799" t="s">
        <v>660</v>
      </c>
      <c r="C799" s="38">
        <f t="shared" ref="C799:K799" si="11">C797-C798</f>
        <v>32031395267307.602</v>
      </c>
      <c r="D799" s="38">
        <f t="shared" si="11"/>
        <v>34274441506880.156</v>
      </c>
      <c r="E799" s="38">
        <f t="shared" si="11"/>
        <v>36686623424094.414</v>
      </c>
      <c r="F799" s="38">
        <f t="shared" si="11"/>
        <v>39254687063781.023</v>
      </c>
      <c r="G799" s="38">
        <f t="shared" si="11"/>
        <v>42002515158245.703</v>
      </c>
      <c r="H799" s="38">
        <f t="shared" si="11"/>
        <v>44942691219322.906</v>
      </c>
      <c r="I799" s="38">
        <f t="shared" si="11"/>
        <v>48088679604675.516</v>
      </c>
      <c r="J799" s="38">
        <f t="shared" si="11"/>
        <v>51454887177002.797</v>
      </c>
      <c r="K799" s="38">
        <f t="shared" si="11"/>
        <v>55056729279393</v>
      </c>
    </row>
    <row r="800" spans="1:11" x14ac:dyDescent="0.2">
      <c r="A800" t="s">
        <v>661</v>
      </c>
      <c r="B800" s="5">
        <f>D740</f>
        <v>18649909033.284164</v>
      </c>
      <c r="C800" s="5">
        <f>D740</f>
        <v>18649909033.284164</v>
      </c>
    </row>
    <row r="802" spans="1:6" x14ac:dyDescent="0.2">
      <c r="B802" t="s">
        <v>662</v>
      </c>
    </row>
    <row r="803" spans="1:6" x14ac:dyDescent="0.2">
      <c r="A803" t="s">
        <v>663</v>
      </c>
      <c r="B803" t="s">
        <v>664</v>
      </c>
      <c r="C803">
        <v>8200</v>
      </c>
      <c r="D803" t="s">
        <v>665</v>
      </c>
      <c r="E803">
        <f>4.2-3.73-0.288</f>
        <v>0.18200000000000022</v>
      </c>
    </row>
    <row r="804" spans="1:6" x14ac:dyDescent="0.2">
      <c r="A804" t="s">
        <v>666</v>
      </c>
      <c r="B804">
        <v>3.73</v>
      </c>
      <c r="C804" t="s">
        <v>593</v>
      </c>
    </row>
    <row r="805" spans="1:6" x14ac:dyDescent="0.2">
      <c r="A805" t="s">
        <v>667</v>
      </c>
      <c r="B805">
        <f>280</f>
        <v>280</v>
      </c>
      <c r="C805" t="s">
        <v>626</v>
      </c>
    </row>
    <row r="806" spans="1:6" x14ac:dyDescent="0.2">
      <c r="A806" t="s">
        <v>668</v>
      </c>
      <c r="B806" s="11">
        <f>B804*B805*C803</f>
        <v>8564080</v>
      </c>
      <c r="C806" t="s">
        <v>514</v>
      </c>
    </row>
    <row r="807" spans="1:6" x14ac:dyDescent="0.2">
      <c r="D807" t="s">
        <v>484</v>
      </c>
      <c r="E807" t="s">
        <v>669</v>
      </c>
    </row>
    <row r="808" spans="1:6" x14ac:dyDescent="0.2">
      <c r="A808" t="s">
        <v>670</v>
      </c>
      <c r="D808">
        <v>1</v>
      </c>
      <c r="E808">
        <v>20</v>
      </c>
    </row>
    <row r="809" spans="1:6" x14ac:dyDescent="0.2">
      <c r="A809" t="s">
        <v>671</v>
      </c>
      <c r="B809" s="1">
        <f>K35</f>
        <v>2344.568561</v>
      </c>
      <c r="C809" t="s">
        <v>593</v>
      </c>
      <c r="D809">
        <v>20</v>
      </c>
      <c r="E809">
        <v>80</v>
      </c>
    </row>
    <row r="810" spans="1:6" x14ac:dyDescent="0.2">
      <c r="A810" t="s">
        <v>667</v>
      </c>
      <c r="B810">
        <f>280</f>
        <v>280</v>
      </c>
      <c r="C810" t="s">
        <v>626</v>
      </c>
      <c r="D810">
        <v>3.5</v>
      </c>
      <c r="E810">
        <f>3.1579*D810+16.842</f>
        <v>27.894649999999999</v>
      </c>
    </row>
    <row r="811" spans="1:6" x14ac:dyDescent="0.2">
      <c r="A811" t="s">
        <v>668</v>
      </c>
      <c r="B811" s="11">
        <f>B810*B809*C803</f>
        <v>5383129416.0560007</v>
      </c>
      <c r="C811" t="s">
        <v>514</v>
      </c>
    </row>
    <row r="812" spans="1:6" x14ac:dyDescent="0.2">
      <c r="D812" t="s">
        <v>672</v>
      </c>
      <c r="E812" t="s">
        <v>673</v>
      </c>
    </row>
    <row r="813" spans="1:6" x14ac:dyDescent="0.2">
      <c r="A813" t="s">
        <v>674</v>
      </c>
      <c r="D813">
        <v>20</v>
      </c>
      <c r="E813">
        <f>9/24</f>
        <v>0.375</v>
      </c>
    </row>
    <row r="814" spans="1:6" x14ac:dyDescent="0.2">
      <c r="A814" t="s">
        <v>675</v>
      </c>
      <c r="B814">
        <f>E826</f>
        <v>0.28881562499999996</v>
      </c>
      <c r="C814" t="s">
        <v>593</v>
      </c>
      <c r="D814">
        <f>D813*60</f>
        <v>1200</v>
      </c>
      <c r="E814">
        <f>E813*(D814/E810)</f>
        <v>16.132125694353576</v>
      </c>
      <c r="F814" t="s">
        <v>676</v>
      </c>
    </row>
    <row r="815" spans="1:6" x14ac:dyDescent="0.2">
      <c r="A815" t="s">
        <v>667</v>
      </c>
      <c r="B815">
        <f>280</f>
        <v>280</v>
      </c>
      <c r="C815" t="s">
        <v>626</v>
      </c>
    </row>
    <row r="816" spans="1:6" x14ac:dyDescent="0.2">
      <c r="A816" t="s">
        <v>668</v>
      </c>
      <c r="B816" s="11">
        <f>B814*B815*C803</f>
        <v>663120.67499999993</v>
      </c>
      <c r="C816" t="s">
        <v>514</v>
      </c>
    </row>
    <row r="817" spans="1:6" x14ac:dyDescent="0.2">
      <c r="D817" t="s">
        <v>678</v>
      </c>
      <c r="E817">
        <f>1.38</f>
        <v>1.38</v>
      </c>
      <c r="F817" t="s">
        <v>48</v>
      </c>
    </row>
    <row r="818" spans="1:6" x14ac:dyDescent="0.2">
      <c r="A818" t="s">
        <v>679</v>
      </c>
      <c r="D818" t="s">
        <v>680</v>
      </c>
      <c r="E818">
        <f>E814</f>
        <v>16.132125694353576</v>
      </c>
      <c r="F818" t="s">
        <v>681</v>
      </c>
    </row>
    <row r="819" spans="1:6" x14ac:dyDescent="0.2">
      <c r="A819" t="s">
        <v>682</v>
      </c>
      <c r="B819">
        <v>5.5</v>
      </c>
      <c r="C819" t="s">
        <v>593</v>
      </c>
      <c r="D819" t="s">
        <v>683</v>
      </c>
      <c r="E819">
        <v>0.05</v>
      </c>
      <c r="F819" t="s">
        <v>484</v>
      </c>
    </row>
    <row r="820" spans="1:6" x14ac:dyDescent="0.2">
      <c r="A820" t="s">
        <v>667</v>
      </c>
      <c r="B820">
        <f>B815</f>
        <v>280</v>
      </c>
      <c r="C820" t="s">
        <v>626</v>
      </c>
      <c r="D820" t="s">
        <v>488</v>
      </c>
      <c r="E820">
        <v>7</v>
      </c>
      <c r="F820" t="s">
        <v>484</v>
      </c>
    </row>
    <row r="821" spans="1:6" x14ac:dyDescent="0.2">
      <c r="A821" t="s">
        <v>668</v>
      </c>
      <c r="B821" s="11">
        <f>B819*B820*C803</f>
        <v>12628000</v>
      </c>
      <c r="C821" t="s">
        <v>514</v>
      </c>
      <c r="D821" t="s">
        <v>684</v>
      </c>
      <c r="E821">
        <f>E813*1000</f>
        <v>375</v>
      </c>
      <c r="F821" t="s">
        <v>493</v>
      </c>
    </row>
    <row r="822" spans="1:6" x14ac:dyDescent="0.2">
      <c r="D822" t="s">
        <v>685</v>
      </c>
      <c r="E822" s="1">
        <f>SQRT(((4*E821)/(E818*E820*E817*PI()))+(E819)^2)</f>
        <v>1.7511100557677299</v>
      </c>
      <c r="F822" t="s">
        <v>484</v>
      </c>
    </row>
    <row r="823" spans="1:6" x14ac:dyDescent="0.2">
      <c r="A823" t="s">
        <v>686</v>
      </c>
      <c r="D823" t="s">
        <v>687</v>
      </c>
      <c r="E823" s="1">
        <f>E821*9.82*E822</f>
        <v>6448.4627803646654</v>
      </c>
      <c r="F823" t="s">
        <v>688</v>
      </c>
    </row>
    <row r="824" spans="1:6" x14ac:dyDescent="0.2">
      <c r="A824" t="s">
        <v>689</v>
      </c>
      <c r="B824">
        <f>D751</f>
        <v>7.9807931286549713E-2</v>
      </c>
      <c r="C824" t="s">
        <v>613</v>
      </c>
      <c r="D824" t="s">
        <v>672</v>
      </c>
      <c r="E824">
        <f>E818/60</f>
        <v>0.26886876157255962</v>
      </c>
      <c r="F824" t="s">
        <v>672</v>
      </c>
    </row>
    <row r="825" spans="1:6" x14ac:dyDescent="0.2">
      <c r="A825" t="s">
        <v>690</v>
      </c>
      <c r="B825">
        <f>B754</f>
        <v>5476.6</v>
      </c>
      <c r="C825" t="s">
        <v>620</v>
      </c>
      <c r="D825" t="s">
        <v>1269</v>
      </c>
      <c r="E825">
        <f>(E824*E823)/5252</f>
        <v>0.33011999272722625</v>
      </c>
      <c r="F825" t="s">
        <v>692</v>
      </c>
    </row>
    <row r="826" spans="1:6" x14ac:dyDescent="0.2">
      <c r="A826" t="s">
        <v>668</v>
      </c>
      <c r="B826" s="11">
        <f>B824*B825*C803</f>
        <v>3584024.1551681291</v>
      </c>
      <c r="C826" t="s">
        <v>514</v>
      </c>
      <c r="D826" t="s">
        <v>488</v>
      </c>
      <c r="E826">
        <f>0.7335*0.3*3.5*E813</f>
        <v>0.28881562499999996</v>
      </c>
      <c r="F826" t="s">
        <v>593</v>
      </c>
    </row>
    <row r="828" spans="1:6" x14ac:dyDescent="0.2">
      <c r="A828" t="s">
        <v>693</v>
      </c>
    </row>
    <row r="829" spans="1:6" x14ac:dyDescent="0.2">
      <c r="A829" t="s">
        <v>694</v>
      </c>
      <c r="B829">
        <f>5/24</f>
        <v>0.20833333333333334</v>
      </c>
      <c r="C829" t="s">
        <v>495</v>
      </c>
    </row>
    <row r="830" spans="1:6" x14ac:dyDescent="0.2">
      <c r="A830" t="s">
        <v>695</v>
      </c>
      <c r="B830">
        <f>900*3960</f>
        <v>3564000</v>
      </c>
      <c r="C830" t="s">
        <v>696</v>
      </c>
    </row>
    <row r="831" spans="1:6" x14ac:dyDescent="0.2">
      <c r="A831" t="s">
        <v>668</v>
      </c>
      <c r="B831" s="11">
        <f>B829*B830*C803</f>
        <v>6088500000</v>
      </c>
      <c r="C831" t="s">
        <v>514</v>
      </c>
      <c r="D831" s="12">
        <f>B831*0.9</f>
        <v>5479650000</v>
      </c>
      <c r="F831">
        <f>108+47</f>
        <v>155</v>
      </c>
    </row>
    <row r="833" spans="1:12" x14ac:dyDescent="0.2">
      <c r="B833" t="s">
        <v>697</v>
      </c>
    </row>
    <row r="834" spans="1:12" x14ac:dyDescent="0.2">
      <c r="A834" t="s">
        <v>640</v>
      </c>
      <c r="B834" s="5">
        <f>B776</f>
        <v>111360000</v>
      </c>
      <c r="C834" t="s">
        <v>514</v>
      </c>
    </row>
    <row r="835" spans="1:12" x14ac:dyDescent="0.2">
      <c r="A835" t="s">
        <v>698</v>
      </c>
      <c r="B835" s="5">
        <f>B777</f>
        <v>407928000</v>
      </c>
      <c r="C835" t="s">
        <v>514</v>
      </c>
    </row>
    <row r="836" spans="1:12" x14ac:dyDescent="0.2">
      <c r="A836" t="s">
        <v>699</v>
      </c>
      <c r="B836" s="101">
        <f>3800000*(365/2)</f>
        <v>693500000</v>
      </c>
      <c r="C836" t="s">
        <v>514</v>
      </c>
    </row>
    <row r="838" spans="1:12" x14ac:dyDescent="0.2">
      <c r="A838" t="s">
        <v>24</v>
      </c>
      <c r="B838" s="102">
        <f>$B$826+$B$834+$B$835</f>
        <v>522872024.15516812</v>
      </c>
      <c r="C838" s="102">
        <f>$B$826+$B$834+$B$835+(B831)*0.1</f>
        <v>1131722024.1551681</v>
      </c>
    </row>
    <row r="839" spans="1:12" x14ac:dyDescent="0.2">
      <c r="A839" t="s">
        <v>24</v>
      </c>
      <c r="B839" s="102">
        <f>B838+B811</f>
        <v>5906001440.2111692</v>
      </c>
    </row>
    <row r="841" spans="1:12" x14ac:dyDescent="0.2">
      <c r="A841" t="s">
        <v>646</v>
      </c>
      <c r="B841">
        <f>3800</f>
        <v>3800</v>
      </c>
      <c r="C841" t="s">
        <v>36</v>
      </c>
    </row>
    <row r="842" spans="1:12" x14ac:dyDescent="0.2">
      <c r="A842" t="s">
        <v>700</v>
      </c>
      <c r="B842" s="11">
        <f>B841*365*700</f>
        <v>970900000</v>
      </c>
      <c r="C842" t="s">
        <v>514</v>
      </c>
    </row>
    <row r="843" spans="1:12" x14ac:dyDescent="0.2">
      <c r="A843" t="s">
        <v>700</v>
      </c>
      <c r="B843" s="11">
        <f>B841*365*700</f>
        <v>970900000</v>
      </c>
      <c r="C843" t="s">
        <v>514</v>
      </c>
    </row>
    <row r="845" spans="1:12" x14ac:dyDescent="0.2">
      <c r="A845" s="103" t="s">
        <v>655</v>
      </c>
      <c r="B845" s="103">
        <v>0</v>
      </c>
      <c r="C845" s="103">
        <v>1</v>
      </c>
      <c r="D845" s="103">
        <v>2</v>
      </c>
      <c r="E845" s="103">
        <v>3</v>
      </c>
      <c r="F845" s="103">
        <v>4</v>
      </c>
      <c r="G845" s="103">
        <v>5</v>
      </c>
      <c r="H845" s="103">
        <v>6</v>
      </c>
      <c r="I845" s="103">
        <v>7</v>
      </c>
      <c r="J845" s="103">
        <v>8</v>
      </c>
      <c r="K845" s="103">
        <v>9</v>
      </c>
      <c r="L845" s="103">
        <v>10</v>
      </c>
    </row>
    <row r="846" spans="1:12" x14ac:dyDescent="0.2">
      <c r="A846" s="104" t="s">
        <v>701</v>
      </c>
      <c r="B846" s="105">
        <v>0</v>
      </c>
      <c r="C846" s="106">
        <v>32652579393.000004</v>
      </c>
      <c r="D846" s="106">
        <f t="shared" ref="D846:L846" si="12">C846*1.07</f>
        <v>34938259950.51001</v>
      </c>
      <c r="E846" s="106">
        <f t="shared" si="12"/>
        <v>37383938147.045715</v>
      </c>
      <c r="F846" s="106">
        <f t="shared" si="12"/>
        <v>40000813817.338921</v>
      </c>
      <c r="G846" s="106">
        <f t="shared" si="12"/>
        <v>42800870784.55265</v>
      </c>
      <c r="H846" s="106">
        <f t="shared" si="12"/>
        <v>45796931739.471336</v>
      </c>
      <c r="I846" s="106">
        <f t="shared" si="12"/>
        <v>49002716961.234329</v>
      </c>
      <c r="J846" s="106">
        <f t="shared" si="12"/>
        <v>52432907148.520737</v>
      </c>
      <c r="K846" s="106">
        <f t="shared" si="12"/>
        <v>56103210648.917191</v>
      </c>
      <c r="L846" s="106">
        <f t="shared" si="12"/>
        <v>60030435394.3414</v>
      </c>
    </row>
    <row r="847" spans="1:12" x14ac:dyDescent="0.2">
      <c r="A847" s="104" t="s">
        <v>702</v>
      </c>
      <c r="B847" s="105"/>
      <c r="C847" s="106"/>
      <c r="D847" s="106"/>
      <c r="E847" s="106"/>
      <c r="F847" s="106"/>
      <c r="G847" s="106"/>
      <c r="H847" s="106"/>
      <c r="I847" s="106"/>
      <c r="J847" s="106"/>
      <c r="K847" s="106"/>
      <c r="L847" s="106"/>
    </row>
    <row r="848" spans="1:12" x14ac:dyDescent="0.2">
      <c r="A848" s="107" t="s">
        <v>657</v>
      </c>
      <c r="B848" s="108">
        <v>0</v>
      </c>
      <c r="C848" s="109">
        <v>8311635190.345809</v>
      </c>
      <c r="D848" s="109">
        <f t="shared" ref="D848:L848" si="13">C848*1.05</f>
        <v>8727216949.8631001</v>
      </c>
      <c r="E848" s="109">
        <f t="shared" si="13"/>
        <v>9163577797.3562546</v>
      </c>
      <c r="F848" s="109">
        <f t="shared" si="13"/>
        <v>9621756687.2240677</v>
      </c>
      <c r="G848" s="108">
        <f t="shared" si="13"/>
        <v>10102844521.585272</v>
      </c>
      <c r="H848" s="108">
        <f t="shared" si="13"/>
        <v>10607986747.664536</v>
      </c>
      <c r="I848" s="109">
        <f t="shared" si="13"/>
        <v>11138386085.047762</v>
      </c>
      <c r="J848" s="109">
        <f t="shared" si="13"/>
        <v>11695305389.30015</v>
      </c>
      <c r="K848" s="109">
        <f t="shared" si="13"/>
        <v>12280070658.765158</v>
      </c>
      <c r="L848" s="109">
        <f t="shared" si="13"/>
        <v>12894074191.703417</v>
      </c>
    </row>
    <row r="849" spans="1:13" x14ac:dyDescent="0.2">
      <c r="A849" s="107" t="s">
        <v>703</v>
      </c>
      <c r="B849" s="108"/>
      <c r="C849" s="109">
        <f>500000000</f>
        <v>500000000</v>
      </c>
      <c r="D849" s="109">
        <f t="shared" ref="D849:L849" si="14">50000000</f>
        <v>50000000</v>
      </c>
      <c r="E849" s="109">
        <f t="shared" si="14"/>
        <v>50000000</v>
      </c>
      <c r="F849" s="109">
        <f t="shared" si="14"/>
        <v>50000000</v>
      </c>
      <c r="G849" s="109">
        <f t="shared" si="14"/>
        <v>50000000</v>
      </c>
      <c r="H849" s="109">
        <f t="shared" si="14"/>
        <v>50000000</v>
      </c>
      <c r="I849" s="109">
        <f t="shared" si="14"/>
        <v>50000000</v>
      </c>
      <c r="J849" s="109">
        <f t="shared" si="14"/>
        <v>50000000</v>
      </c>
      <c r="K849" s="109">
        <f t="shared" si="14"/>
        <v>50000000</v>
      </c>
      <c r="L849" s="109">
        <f t="shared" si="14"/>
        <v>50000000</v>
      </c>
      <c r="M849" s="109"/>
    </row>
    <row r="850" spans="1:13" x14ac:dyDescent="0.2">
      <c r="A850" s="107" t="s">
        <v>704</v>
      </c>
      <c r="B850" s="108"/>
      <c r="C850" s="109"/>
      <c r="D850" s="109"/>
      <c r="E850" s="109"/>
      <c r="F850" s="109"/>
      <c r="G850" s="108"/>
      <c r="H850" s="108"/>
      <c r="I850" s="109"/>
      <c r="J850" s="109"/>
      <c r="K850" s="109"/>
      <c r="L850" s="109"/>
    </row>
    <row r="851" spans="1:13" x14ac:dyDescent="0.2">
      <c r="A851" s="104" t="s">
        <v>705</v>
      </c>
      <c r="B851" s="105">
        <v>7980782158.6449938</v>
      </c>
      <c r="C851" s="106"/>
      <c r="D851" s="106">
        <v>0</v>
      </c>
      <c r="E851" s="106">
        <f>0</f>
        <v>0</v>
      </c>
      <c r="F851" s="106">
        <f>155000000*(1+6%)^4</f>
        <v>195683928.80000004</v>
      </c>
      <c r="G851" s="105">
        <v>0</v>
      </c>
      <c r="H851" s="105">
        <v>0</v>
      </c>
      <c r="I851" s="106">
        <v>0</v>
      </c>
      <c r="J851" s="106">
        <f>155000000*(1+6%)^8</f>
        <v>247046451.55228055</v>
      </c>
      <c r="K851" s="106"/>
      <c r="L851" s="106">
        <f>G851</f>
        <v>0</v>
      </c>
    </row>
    <row r="852" spans="1:13" x14ac:dyDescent="0.2">
      <c r="A852" s="107" t="s">
        <v>706</v>
      </c>
      <c r="B852" s="108">
        <v>0</v>
      </c>
      <c r="C852" s="109">
        <f t="shared" ref="C852:L852" si="15">C846-C848-C849-C850+C847</f>
        <v>23840944202.654194</v>
      </c>
      <c r="D852" s="109">
        <f t="shared" si="15"/>
        <v>26161043000.646912</v>
      </c>
      <c r="E852" s="109">
        <f t="shared" si="15"/>
        <v>28170360349.689461</v>
      </c>
      <c r="F852" s="109">
        <f t="shared" si="15"/>
        <v>30329057130.114853</v>
      </c>
      <c r="G852" s="109">
        <f t="shared" si="15"/>
        <v>32648026262.967377</v>
      </c>
      <c r="H852" s="109">
        <f t="shared" si="15"/>
        <v>35138944991.806801</v>
      </c>
      <c r="I852" s="109">
        <f t="shared" si="15"/>
        <v>37814330876.186569</v>
      </c>
      <c r="J852" s="109">
        <f t="shared" si="15"/>
        <v>40687601759.220589</v>
      </c>
      <c r="K852" s="109">
        <f t="shared" si="15"/>
        <v>43773139990.152031</v>
      </c>
      <c r="L852" s="109">
        <f t="shared" si="15"/>
        <v>47086361202.637985</v>
      </c>
    </row>
    <row r="853" spans="1:13" x14ac:dyDescent="0.2">
      <c r="A853" s="104" t="s">
        <v>659</v>
      </c>
      <c r="B853" s="105">
        <v>0</v>
      </c>
      <c r="C853" s="106">
        <f t="shared" ref="C853:L853" si="16">IF(C852*0.35&lt;0,0,C852*0.35)</f>
        <v>8344330470.9289675</v>
      </c>
      <c r="D853" s="106">
        <f t="shared" si="16"/>
        <v>9156365050.2264175</v>
      </c>
      <c r="E853" s="106">
        <f t="shared" si="16"/>
        <v>9859626122.3913097</v>
      </c>
      <c r="F853" s="106">
        <f t="shared" si="16"/>
        <v>10615169995.540197</v>
      </c>
      <c r="G853" s="106">
        <f t="shared" si="16"/>
        <v>11426809192.038582</v>
      </c>
      <c r="H853" s="106">
        <f t="shared" si="16"/>
        <v>12298630747.13238</v>
      </c>
      <c r="I853" s="106">
        <f t="shared" si="16"/>
        <v>13235015806.665298</v>
      </c>
      <c r="J853" s="106">
        <f t="shared" si="16"/>
        <v>14240660615.727205</v>
      </c>
      <c r="K853" s="106">
        <f t="shared" si="16"/>
        <v>15320598996.553209</v>
      </c>
      <c r="L853" s="106">
        <f t="shared" si="16"/>
        <v>16480226420.923294</v>
      </c>
    </row>
    <row r="854" spans="1:13" x14ac:dyDescent="0.2">
      <c r="A854" s="107" t="s">
        <v>707</v>
      </c>
      <c r="B854" s="108">
        <f>(-1)*B851</f>
        <v>-7980782158.6449938</v>
      </c>
      <c r="C854" s="109">
        <f>C846-C848-C853+C847</f>
        <v>15996613731.725227</v>
      </c>
      <c r="D854" s="109">
        <f>D846-D848-D853+D847</f>
        <v>17054677950.420494</v>
      </c>
      <c r="E854" s="109">
        <f>E846-E848-E853+E847</f>
        <v>18360734227.298149</v>
      </c>
      <c r="F854" s="109">
        <f>F846-F848-F853+F847-F851</f>
        <v>19568203205.774654</v>
      </c>
      <c r="G854" s="109">
        <f>G846-G848-G853+G847</f>
        <v>21271217070.928795</v>
      </c>
      <c r="H854" s="109">
        <f>H846-H848-H853+H847</f>
        <v>22890314244.674423</v>
      </c>
      <c r="I854" s="109">
        <f>I846-I848-I853+I847</f>
        <v>24629315069.521271</v>
      </c>
      <c r="J854" s="109">
        <f>J846-J848-J853+J847-J851</f>
        <v>26249894691.941105</v>
      </c>
      <c r="K854" s="109">
        <f>K846-K848-K853+K847</f>
        <v>28502540993.598824</v>
      </c>
      <c r="L854" s="109">
        <f>L846-L848-L853+L847</f>
        <v>30656134781.714691</v>
      </c>
    </row>
    <row r="855" spans="1:13" x14ac:dyDescent="0.2">
      <c r="A855" s="104" t="s">
        <v>708</v>
      </c>
      <c r="B855" s="110">
        <f>+NPV(0.15,C854:L854)-B851</f>
        <v>96077574401.457214</v>
      </c>
    </row>
    <row r="856" spans="1:13" x14ac:dyDescent="0.2">
      <c r="A856" s="107" t="s">
        <v>709</v>
      </c>
      <c r="B856" s="100">
        <f>+IRR(B854:L854)</f>
        <v>2.0735247183928931</v>
      </c>
    </row>
    <row r="861" spans="1:13" x14ac:dyDescent="0.2">
      <c r="A861" t="s">
        <v>710</v>
      </c>
      <c r="B861" s="102">
        <f>B838/(B841*365)</f>
        <v>376.98055094100079</v>
      </c>
      <c r="C861" t="s">
        <v>711</v>
      </c>
    </row>
    <row r="862" spans="1:13" x14ac:dyDescent="0.2">
      <c r="B862">
        <f>3800*365</f>
        <v>1387000</v>
      </c>
    </row>
    <row r="863" spans="1:13" x14ac:dyDescent="0.2">
      <c r="B863">
        <f>B862/1000</f>
        <v>1387</v>
      </c>
    </row>
    <row r="864" spans="1:13" x14ac:dyDescent="0.2">
      <c r="A864" t="s">
        <v>712</v>
      </c>
      <c r="B864" s="102">
        <f>B838/B862</f>
        <v>376.98055094100079</v>
      </c>
      <c r="C864" t="s">
        <v>626</v>
      </c>
      <c r="D864" s="12">
        <f>C868+B884</f>
        <v>1153492619.0785</v>
      </c>
    </row>
    <row r="865" spans="1:12" x14ac:dyDescent="0.2">
      <c r="A865" t="s">
        <v>713</v>
      </c>
      <c r="B865" s="102">
        <f>C838/B862</f>
        <v>815.94954877805912</v>
      </c>
      <c r="C865" t="s">
        <v>626</v>
      </c>
    </row>
    <row r="867" spans="1:12" x14ac:dyDescent="0.2">
      <c r="A867" s="103" t="s">
        <v>655</v>
      </c>
      <c r="B867" s="103">
        <v>0</v>
      </c>
      <c r="C867" s="103">
        <v>1</v>
      </c>
      <c r="D867" s="103">
        <v>2</v>
      </c>
      <c r="E867" s="103">
        <v>3</v>
      </c>
      <c r="F867" s="103">
        <v>4</v>
      </c>
      <c r="G867" s="103">
        <v>5</v>
      </c>
      <c r="H867" s="103">
        <v>6</v>
      </c>
      <c r="I867" s="103">
        <v>7</v>
      </c>
      <c r="J867" s="103">
        <v>8</v>
      </c>
      <c r="K867" s="103">
        <v>9</v>
      </c>
      <c r="L867" s="103">
        <v>10</v>
      </c>
    </row>
    <row r="868" spans="1:12" x14ac:dyDescent="0.2">
      <c r="A868" s="104" t="s">
        <v>656</v>
      </c>
      <c r="B868" s="105">
        <v>0</v>
      </c>
      <c r="C868" s="106">
        <f>B842</f>
        <v>970900000</v>
      </c>
      <c r="D868" s="106">
        <f t="shared" ref="D868:L868" si="17">C868*1.07</f>
        <v>1038863000.0000001</v>
      </c>
      <c r="E868" s="106">
        <f t="shared" si="17"/>
        <v>1111583410.0000002</v>
      </c>
      <c r="F868" s="106">
        <f t="shared" si="17"/>
        <v>1189394248.7000003</v>
      </c>
      <c r="G868" s="106">
        <f t="shared" si="17"/>
        <v>1272651846.1090004</v>
      </c>
      <c r="H868" s="106">
        <f t="shared" si="17"/>
        <v>1361737475.3366306</v>
      </c>
      <c r="I868" s="106">
        <f t="shared" si="17"/>
        <v>1457059098.6101949</v>
      </c>
      <c r="J868" s="106">
        <f t="shared" si="17"/>
        <v>1559053235.5129087</v>
      </c>
      <c r="K868" s="106">
        <f t="shared" si="17"/>
        <v>1668186961.9988124</v>
      </c>
      <c r="L868" s="106">
        <f t="shared" si="17"/>
        <v>1784960049.3387294</v>
      </c>
    </row>
    <row r="869" spans="1:12" x14ac:dyDescent="0.2">
      <c r="A869" s="104" t="s">
        <v>714</v>
      </c>
      <c r="B869" s="105"/>
      <c r="C869" s="106">
        <f>-B874</f>
        <v>-7980782158.6449938</v>
      </c>
      <c r="D869" s="106"/>
      <c r="E869" s="106"/>
      <c r="F869" s="106"/>
      <c r="G869" s="106"/>
      <c r="H869" s="106"/>
      <c r="I869" s="106"/>
      <c r="J869" s="106"/>
      <c r="K869" s="106"/>
      <c r="L869" s="106"/>
    </row>
    <row r="870" spans="1:12" x14ac:dyDescent="0.2">
      <c r="A870" s="104" t="s">
        <v>702</v>
      </c>
      <c r="B870" s="105"/>
      <c r="C870" s="106">
        <f>B884</f>
        <v>182592619.0785</v>
      </c>
      <c r="D870" s="106">
        <f t="shared" ref="D870:L870" si="18">C870*1.07</f>
        <v>195374102.41399503</v>
      </c>
      <c r="E870" s="106">
        <f t="shared" si="18"/>
        <v>209050289.5829747</v>
      </c>
      <c r="F870" s="106">
        <f t="shared" si="18"/>
        <v>223683809.85378295</v>
      </c>
      <c r="G870" s="106">
        <f t="shared" si="18"/>
        <v>239341676.54354778</v>
      </c>
      <c r="H870" s="106">
        <f t="shared" si="18"/>
        <v>256095593.90159613</v>
      </c>
      <c r="I870" s="106">
        <f t="shared" si="18"/>
        <v>274022285.4747079</v>
      </c>
      <c r="J870" s="106">
        <f t="shared" si="18"/>
        <v>293203845.45793748</v>
      </c>
      <c r="K870" s="106">
        <f t="shared" si="18"/>
        <v>313728114.63999313</v>
      </c>
      <c r="L870" s="106">
        <f t="shared" si="18"/>
        <v>335689082.66479266</v>
      </c>
    </row>
    <row r="871" spans="1:12" x14ac:dyDescent="0.2">
      <c r="A871" s="107" t="s">
        <v>657</v>
      </c>
      <c r="B871" s="108">
        <v>0</v>
      </c>
      <c r="C871" s="109">
        <f>C838</f>
        <v>1131722024.1551681</v>
      </c>
      <c r="D871" s="109">
        <f t="shared" ref="D871:L871" si="19">C871*1.05</f>
        <v>1188308125.3629265</v>
      </c>
      <c r="E871" s="109">
        <f t="shared" si="19"/>
        <v>1247723531.6310728</v>
      </c>
      <c r="F871" s="109">
        <f t="shared" si="19"/>
        <v>1310109708.2126265</v>
      </c>
      <c r="G871" s="108">
        <f t="shared" si="19"/>
        <v>1375615193.6232579</v>
      </c>
      <c r="H871" s="108">
        <f t="shared" si="19"/>
        <v>1444395953.3044209</v>
      </c>
      <c r="I871" s="109">
        <f t="shared" si="19"/>
        <v>1516615750.9696422</v>
      </c>
      <c r="J871" s="109">
        <f t="shared" si="19"/>
        <v>1592446538.5181243</v>
      </c>
      <c r="K871" s="109">
        <f t="shared" si="19"/>
        <v>1672068865.4440305</v>
      </c>
      <c r="L871" s="109">
        <f t="shared" si="19"/>
        <v>1755672308.7162321</v>
      </c>
    </row>
    <row r="872" spans="1:12" x14ac:dyDescent="0.2">
      <c r="A872" s="107" t="s">
        <v>703</v>
      </c>
      <c r="B872" s="108"/>
      <c r="C872" s="109">
        <f>+(-$B$851-155000000)*10/55</f>
        <v>-1479233119.7536352</v>
      </c>
      <c r="D872" s="109">
        <f>+(-$B$851-155000000)*9/55</f>
        <v>-1331309807.7782717</v>
      </c>
      <c r="E872" s="109">
        <f>+(-$B$851-155000000)*8/55</f>
        <v>-1183386495.8029082</v>
      </c>
      <c r="F872" s="109">
        <f>+(-$B$851-155000000)*7/55</f>
        <v>-1035463183.8275446</v>
      </c>
      <c r="G872" s="109">
        <f>+(-$B$851-155000000)*6/55</f>
        <v>-887539871.8521812</v>
      </c>
      <c r="H872" s="109">
        <f>+(-$B$851-155000000)*5/55</f>
        <v>-739616559.87681758</v>
      </c>
      <c r="I872" s="109">
        <f>+(-$B$851-155000000)*4/55</f>
        <v>-591693247.90145409</v>
      </c>
      <c r="J872" s="109">
        <f>+(-$B$851-155000000)*3/55</f>
        <v>-443769935.9260906</v>
      </c>
      <c r="K872" s="109">
        <f>+(-$B$851-155000000)*2/55</f>
        <v>-295846623.95072705</v>
      </c>
      <c r="L872" s="109">
        <f>+(-$B$851-155000000)*1/55</f>
        <v>-147923311.97536352</v>
      </c>
    </row>
    <row r="873" spans="1:12" x14ac:dyDescent="0.2">
      <c r="A873" s="107" t="s">
        <v>704</v>
      </c>
      <c r="B873" s="108"/>
      <c r="C873" s="109">
        <f>155000000*4/10</f>
        <v>62000000</v>
      </c>
      <c r="D873" s="109">
        <f>155000000*3/10</f>
        <v>46500000</v>
      </c>
      <c r="E873" s="109">
        <f>155000000*2/10</f>
        <v>31000000</v>
      </c>
      <c r="F873" s="109">
        <f>155000000*1/10</f>
        <v>15500000</v>
      </c>
      <c r="G873" s="108"/>
      <c r="H873" s="108"/>
      <c r="I873" s="109"/>
      <c r="J873" s="109"/>
      <c r="K873" s="109"/>
      <c r="L873" s="109"/>
    </row>
    <row r="874" spans="1:12" x14ac:dyDescent="0.2">
      <c r="A874" s="104" t="s">
        <v>705</v>
      </c>
      <c r="B874" s="105">
        <v>7980782158.6449938</v>
      </c>
      <c r="C874" s="106"/>
      <c r="D874" s="106">
        <v>0</v>
      </c>
      <c r="E874" s="106">
        <f>0</f>
        <v>0</v>
      </c>
      <c r="F874" s="106">
        <f>155000000*(1+6%)^4</f>
        <v>195683928.80000004</v>
      </c>
      <c r="G874" s="105">
        <v>0</v>
      </c>
      <c r="H874" s="105">
        <v>0</v>
      </c>
      <c r="I874" s="106">
        <v>0</v>
      </c>
      <c r="J874" s="106">
        <f>155000000*(1+6%)^8</f>
        <v>247046451.55228055</v>
      </c>
      <c r="K874" s="106"/>
      <c r="L874" s="106">
        <f>G874</f>
        <v>0</v>
      </c>
    </row>
    <row r="875" spans="1:12" x14ac:dyDescent="0.2">
      <c r="A875" s="107" t="s">
        <v>706</v>
      </c>
      <c r="B875" s="108">
        <v>0</v>
      </c>
      <c r="C875" s="109">
        <f t="shared" ref="C875:L875" si="20">C868-C871-C872-C873+C870+C869</f>
        <v>-6541778443.9680271</v>
      </c>
      <c r="D875" s="109">
        <f t="shared" si="20"/>
        <v>1330738784.8293402</v>
      </c>
      <c r="E875" s="109">
        <f t="shared" si="20"/>
        <v>1225296663.7548103</v>
      </c>
      <c r="F875" s="109">
        <f t="shared" si="20"/>
        <v>1122931534.1687014</v>
      </c>
      <c r="G875" s="109">
        <f t="shared" si="20"/>
        <v>1023918200.8814715</v>
      </c>
      <c r="H875" s="109">
        <f t="shared" si="20"/>
        <v>913053675.81062341</v>
      </c>
      <c r="I875" s="109">
        <f t="shared" si="20"/>
        <v>806158881.01671481</v>
      </c>
      <c r="J875" s="109">
        <f t="shared" si="20"/>
        <v>703580478.37881243</v>
      </c>
      <c r="K875" s="109">
        <f t="shared" si="20"/>
        <v>605692835.14550209</v>
      </c>
      <c r="L875" s="109">
        <f t="shared" si="20"/>
        <v>512900135.26265347</v>
      </c>
    </row>
    <row r="876" spans="1:12" x14ac:dyDescent="0.2">
      <c r="A876" s="104" t="s">
        <v>659</v>
      </c>
      <c r="B876" s="105">
        <v>0</v>
      </c>
      <c r="C876" s="106">
        <f t="shared" ref="C876:L876" si="21">C875*0.35*0</f>
        <v>0</v>
      </c>
      <c r="D876" s="106">
        <f t="shared" si="21"/>
        <v>0</v>
      </c>
      <c r="E876" s="106">
        <f t="shared" si="21"/>
        <v>0</v>
      </c>
      <c r="F876" s="106">
        <f t="shared" si="21"/>
        <v>0</v>
      </c>
      <c r="G876" s="106">
        <f t="shared" si="21"/>
        <v>0</v>
      </c>
      <c r="H876" s="106">
        <f t="shared" si="21"/>
        <v>0</v>
      </c>
      <c r="I876" s="106">
        <f t="shared" si="21"/>
        <v>0</v>
      </c>
      <c r="J876" s="106">
        <f t="shared" si="21"/>
        <v>0</v>
      </c>
      <c r="K876" s="106">
        <f t="shared" si="21"/>
        <v>0</v>
      </c>
      <c r="L876" s="106">
        <f t="shared" si="21"/>
        <v>0</v>
      </c>
    </row>
    <row r="877" spans="1:12" x14ac:dyDescent="0.2">
      <c r="A877" s="107" t="s">
        <v>707</v>
      </c>
      <c r="B877" s="108">
        <f>-B874</f>
        <v>-7980782158.6449938</v>
      </c>
      <c r="C877" s="109">
        <f>C868-C871-C876+C870+C869</f>
        <v>-7959011563.7216616</v>
      </c>
      <c r="D877" s="109">
        <f>D868-D871-D876+D870</f>
        <v>45928977.051068664</v>
      </c>
      <c r="E877" s="109">
        <f>E868-E871-E876+E870</f>
        <v>72910167.951902181</v>
      </c>
      <c r="F877" s="109">
        <f>F868-F871-F876+F870-F874</f>
        <v>-92715578.458843261</v>
      </c>
      <c r="G877" s="109">
        <f>G868-G871-G876+G870</f>
        <v>136378329.02929035</v>
      </c>
      <c r="H877" s="109">
        <f>H868-H871-H876+H870</f>
        <v>173437115.93380576</v>
      </c>
      <c r="I877" s="109">
        <f>I868-I871-I876+I870</f>
        <v>214465633.11526066</v>
      </c>
      <c r="J877" s="109">
        <f>J868-J871-J876+J870-J874</f>
        <v>12764090.900441289</v>
      </c>
      <c r="K877" s="109">
        <f>K868-K871-K876+K870</f>
        <v>309846211.19477504</v>
      </c>
      <c r="L877" s="109">
        <f>L868-L871-L876+L870</f>
        <v>364976823.28728998</v>
      </c>
    </row>
    <row r="878" spans="1:12" x14ac:dyDescent="0.2">
      <c r="A878" s="104" t="s">
        <v>708</v>
      </c>
      <c r="B878" s="110">
        <f>+NPV(0.15,C877:L877)+B874</f>
        <v>1495438912.3593578</v>
      </c>
    </row>
    <row r="879" spans="1:12" x14ac:dyDescent="0.2">
      <c r="A879" s="107" t="s">
        <v>709</v>
      </c>
      <c r="B879" s="100">
        <f>+IRR(B877:L877)</f>
        <v>-0.27610925141363007</v>
      </c>
    </row>
    <row r="882" spans="1:3" x14ac:dyDescent="0.2">
      <c r="A882" t="s">
        <v>715</v>
      </c>
      <c r="B882">
        <f>9*365</f>
        <v>3285</v>
      </c>
      <c r="C882" t="s">
        <v>716</v>
      </c>
    </row>
    <row r="883" spans="1:3" x14ac:dyDescent="0.2">
      <c r="A883" t="s">
        <v>717</v>
      </c>
      <c r="B883">
        <v>48549</v>
      </c>
      <c r="C883" t="s">
        <v>696</v>
      </c>
    </row>
    <row r="884" spans="1:3" x14ac:dyDescent="0.2">
      <c r="A884" t="s">
        <v>718</v>
      </c>
      <c r="B884" s="11">
        <f>B882*B883*(1+7%)^2</f>
        <v>182592619.0785</v>
      </c>
      <c r="C884" t="s">
        <v>719</v>
      </c>
    </row>
  </sheetData>
  <mergeCells count="22">
    <mergeCell ref="A297:E297"/>
    <mergeCell ref="E33:E34"/>
    <mergeCell ref="E36:E37"/>
    <mergeCell ref="E39:E40"/>
    <mergeCell ref="A119:E119"/>
    <mergeCell ref="A120:E120"/>
    <mergeCell ref="A172:E172"/>
    <mergeCell ref="A189:E189"/>
    <mergeCell ref="A208:E208"/>
    <mergeCell ref="A209:E209"/>
    <mergeCell ref="A244:E244"/>
    <mergeCell ref="A278:E278"/>
    <mergeCell ref="C571:C573"/>
    <mergeCell ref="A732:D732"/>
    <mergeCell ref="A743:C743"/>
    <mergeCell ref="A769:B769"/>
    <mergeCell ref="A298:E298"/>
    <mergeCell ref="A333:E333"/>
    <mergeCell ref="A367:E367"/>
    <mergeCell ref="A386:E386"/>
    <mergeCell ref="A467:E467"/>
    <mergeCell ref="A529:E529"/>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5474C-6765-454A-AB1B-E5ECA660A754}">
  <dimension ref="A2:AC40"/>
  <sheetViews>
    <sheetView showGridLines="0" topLeftCell="F31" zoomScale="87" workbookViewId="0">
      <selection activeCell="I21" sqref="I21"/>
    </sheetView>
  </sheetViews>
  <sheetFormatPr baseColWidth="10" defaultColWidth="9.1640625" defaultRowHeight="15" x14ac:dyDescent="0.2"/>
  <cols>
    <col min="2" max="2" width="21.33203125" customWidth="1"/>
    <col min="3" max="3" width="12.5" customWidth="1"/>
    <col min="5" max="5" width="11.6640625" customWidth="1"/>
    <col min="6" max="6" width="20.5" bestFit="1" customWidth="1"/>
    <col min="7" max="7" width="21.5" customWidth="1"/>
    <col min="8" max="8" width="14.33203125" bestFit="1" customWidth="1"/>
    <col min="9" max="9" width="12.5" bestFit="1" customWidth="1"/>
    <col min="10" max="10" width="17.6640625" bestFit="1" customWidth="1"/>
    <col min="11" max="11" width="14.33203125" customWidth="1"/>
    <col min="12" max="12" width="17.6640625" bestFit="1" customWidth="1"/>
    <col min="13" max="13" width="16" bestFit="1" customWidth="1"/>
    <col min="14" max="14" width="17.6640625" customWidth="1"/>
    <col min="15" max="15" width="17.5" bestFit="1" customWidth="1"/>
    <col min="16" max="16" width="20.33203125" bestFit="1" customWidth="1"/>
    <col min="17" max="17" width="10.6640625" customWidth="1"/>
    <col min="19" max="19" width="22.5" customWidth="1"/>
    <col min="20" max="20" width="21.6640625" customWidth="1"/>
  </cols>
  <sheetData>
    <row r="2" spans="1:29" x14ac:dyDescent="0.2">
      <c r="S2" t="s">
        <v>979</v>
      </c>
    </row>
    <row r="3" spans="1:29" x14ac:dyDescent="0.2">
      <c r="A3" s="9"/>
      <c r="B3" s="9" t="s">
        <v>1270</v>
      </c>
      <c r="C3" s="9" t="s">
        <v>1271</v>
      </c>
      <c r="D3" s="9" t="s">
        <v>1272</v>
      </c>
      <c r="E3" s="9" t="s">
        <v>963</v>
      </c>
      <c r="F3" s="9" t="s">
        <v>1273</v>
      </c>
      <c r="G3" s="25" t="s">
        <v>1274</v>
      </c>
      <c r="H3" s="25" t="s">
        <v>1275</v>
      </c>
      <c r="I3" s="25" t="s">
        <v>1276</v>
      </c>
      <c r="J3" s="25" t="s">
        <v>1277</v>
      </c>
      <c r="K3" s="25" t="s">
        <v>1278</v>
      </c>
      <c r="L3" s="25" t="s">
        <v>1279</v>
      </c>
      <c r="M3" s="25" t="s">
        <v>967</v>
      </c>
      <c r="N3" s="25" t="s">
        <v>968</v>
      </c>
      <c r="O3" s="25" t="s">
        <v>969</v>
      </c>
      <c r="P3" s="25" t="s">
        <v>970</v>
      </c>
      <c r="Q3" s="25" t="s">
        <v>971</v>
      </c>
      <c r="R3" s="25" t="s">
        <v>972</v>
      </c>
      <c r="S3" t="s">
        <v>1280</v>
      </c>
    </row>
    <row r="4" spans="1:29" ht="16" x14ac:dyDescent="0.2">
      <c r="A4" s="9">
        <v>1</v>
      </c>
      <c r="B4" s="44" t="s">
        <v>1281</v>
      </c>
      <c r="C4" s="9"/>
      <c r="D4" s="9"/>
      <c r="E4" s="9">
        <v>1000</v>
      </c>
      <c r="F4" s="35"/>
      <c r="G4" s="25">
        <v>360</v>
      </c>
      <c r="H4" s="238" t="s">
        <v>975</v>
      </c>
      <c r="I4" s="238"/>
      <c r="J4" s="238"/>
      <c r="K4" s="238"/>
      <c r="L4" s="238"/>
      <c r="M4" s="238"/>
      <c r="N4" s="238"/>
      <c r="O4" s="238"/>
      <c r="P4" s="238"/>
      <c r="Q4" s="238"/>
      <c r="R4" s="238"/>
      <c r="S4" s="36"/>
      <c r="T4" s="36"/>
      <c r="U4" s="36"/>
      <c r="V4" s="36"/>
      <c r="W4" s="36"/>
      <c r="X4" s="36"/>
      <c r="Y4" s="36"/>
      <c r="Z4" s="36"/>
      <c r="AA4" s="36"/>
      <c r="AB4" s="36"/>
      <c r="AC4" s="36"/>
    </row>
    <row r="5" spans="1:29" ht="16" x14ac:dyDescent="0.2">
      <c r="A5" s="9">
        <v>2</v>
      </c>
      <c r="B5" s="44" t="s">
        <v>1282</v>
      </c>
      <c r="C5" s="9"/>
      <c r="D5" s="9"/>
      <c r="E5" s="9">
        <v>4682.09</v>
      </c>
      <c r="F5" s="25">
        <f>0.018/1000</f>
        <v>1.7999999999999997E-5</v>
      </c>
      <c r="G5" s="25">
        <v>1</v>
      </c>
      <c r="H5" s="25">
        <f>E5/G5</f>
        <v>4682.09</v>
      </c>
      <c r="I5" s="25">
        <f>H5/3600</f>
        <v>1.3005805555555556</v>
      </c>
      <c r="J5" s="25">
        <v>0.4</v>
      </c>
      <c r="K5" s="25">
        <v>0.24</v>
      </c>
      <c r="L5" s="25">
        <f>(4*(E5/3600))/(F5*J5*3.1416)</f>
        <v>229992.60029488793</v>
      </c>
      <c r="M5" s="25">
        <f>J5*39.37</f>
        <v>15.747999999999999</v>
      </c>
      <c r="N5" s="25">
        <v>15.624000000000001</v>
      </c>
      <c r="O5" s="25">
        <v>0.188</v>
      </c>
      <c r="P5" s="25">
        <v>16</v>
      </c>
      <c r="Q5" s="25">
        <v>16</v>
      </c>
      <c r="R5" s="25"/>
      <c r="T5" s="32"/>
      <c r="U5" s="32"/>
      <c r="V5" s="32"/>
      <c r="W5" s="32"/>
      <c r="X5" s="32"/>
      <c r="Y5" s="32"/>
      <c r="Z5" s="32"/>
      <c r="AA5" s="32"/>
      <c r="AB5" s="32"/>
      <c r="AC5" s="32"/>
    </row>
    <row r="6" spans="1:29" x14ac:dyDescent="0.2">
      <c r="A6" s="9">
        <v>3</v>
      </c>
      <c r="B6" s="9" t="s">
        <v>980</v>
      </c>
      <c r="C6" s="9">
        <v>15</v>
      </c>
      <c r="D6" s="9" t="s">
        <v>484</v>
      </c>
      <c r="E6" s="9">
        <v>310.22145</v>
      </c>
      <c r="F6" s="32"/>
      <c r="G6" s="25">
        <v>1400</v>
      </c>
      <c r="H6" s="48" t="s">
        <v>975</v>
      </c>
      <c r="I6" s="48"/>
      <c r="J6" s="48"/>
      <c r="K6" s="48"/>
      <c r="L6" s="48"/>
      <c r="M6" s="48"/>
      <c r="N6" s="48"/>
      <c r="O6" s="48"/>
      <c r="P6" s="48"/>
      <c r="Q6" s="48"/>
      <c r="R6" s="48"/>
      <c r="S6" s="32"/>
      <c r="T6" s="25"/>
      <c r="U6" s="25"/>
      <c r="V6" s="25"/>
      <c r="W6" s="25"/>
      <c r="X6" s="25"/>
      <c r="Y6" s="25"/>
      <c r="Z6" s="25"/>
      <c r="AA6" s="25"/>
      <c r="AB6" s="25"/>
      <c r="AC6" s="25"/>
    </row>
    <row r="7" spans="1:29" ht="16" x14ac:dyDescent="0.2">
      <c r="A7" s="46" t="s">
        <v>1283</v>
      </c>
      <c r="B7" s="44" t="s">
        <v>1284</v>
      </c>
      <c r="C7" s="9">
        <v>15</v>
      </c>
      <c r="D7" s="9" t="s">
        <v>484</v>
      </c>
      <c r="E7" s="9">
        <v>522</v>
      </c>
      <c r="F7" s="35"/>
      <c r="G7" s="25">
        <v>361.17</v>
      </c>
      <c r="H7" s="48" t="s">
        <v>975</v>
      </c>
      <c r="I7" s="48"/>
      <c r="J7" s="48"/>
      <c r="K7" s="48"/>
      <c r="L7" s="48"/>
      <c r="M7" s="48"/>
      <c r="N7" s="48"/>
      <c r="O7" s="48"/>
      <c r="P7" s="48"/>
      <c r="Q7" s="48"/>
      <c r="R7" s="48"/>
      <c r="S7" s="35"/>
      <c r="T7" s="9"/>
      <c r="U7" s="9"/>
      <c r="V7" s="9"/>
      <c r="W7" s="9"/>
      <c r="X7" s="9"/>
      <c r="Y7" s="9"/>
      <c r="Z7" s="9"/>
      <c r="AA7" s="9"/>
      <c r="AB7" s="9"/>
      <c r="AC7" s="9"/>
    </row>
    <row r="8" spans="1:29" x14ac:dyDescent="0.2">
      <c r="A8" s="9">
        <v>4</v>
      </c>
      <c r="B8" s="9" t="s">
        <v>981</v>
      </c>
      <c r="C8" s="9">
        <v>15</v>
      </c>
      <c r="D8" s="9" t="s">
        <v>484</v>
      </c>
      <c r="E8" s="9">
        <v>478</v>
      </c>
      <c r="F8" s="32"/>
      <c r="G8" s="25">
        <v>6.41</v>
      </c>
      <c r="H8" s="25">
        <f t="shared" ref="H8:H13" si="0">E8/G8</f>
        <v>74.570982839313572</v>
      </c>
      <c r="I8" s="25">
        <f>H8/3600</f>
        <v>2.0714161899809326E-2</v>
      </c>
      <c r="J8" s="25">
        <v>7.7499999999999999E-2</v>
      </c>
      <c r="K8" s="25">
        <v>7.0000000000000007E-2</v>
      </c>
      <c r="L8" s="25"/>
      <c r="M8" s="25">
        <f t="shared" ref="M8:M13" si="1">J8*39.37</f>
        <v>3.0511749999999997</v>
      </c>
      <c r="N8" s="25">
        <v>3.0680000000000001</v>
      </c>
      <c r="O8" s="25">
        <v>0.216</v>
      </c>
      <c r="P8" s="25">
        <v>3.5</v>
      </c>
      <c r="Q8" s="25">
        <v>3</v>
      </c>
      <c r="R8" s="25">
        <v>40</v>
      </c>
      <c r="S8" s="32"/>
      <c r="T8" s="25"/>
      <c r="U8" s="25"/>
      <c r="V8" s="25"/>
      <c r="W8" s="25"/>
      <c r="X8" s="25"/>
      <c r="Y8" s="25"/>
      <c r="Z8" s="25"/>
      <c r="AA8" s="25"/>
      <c r="AB8" s="25"/>
      <c r="AC8" s="25"/>
    </row>
    <row r="9" spans="1:29" ht="16" x14ac:dyDescent="0.2">
      <c r="A9" s="9">
        <v>8</v>
      </c>
      <c r="B9" s="45" t="s">
        <v>1285</v>
      </c>
      <c r="C9" s="9">
        <v>3</v>
      </c>
      <c r="D9" s="9" t="s">
        <v>484</v>
      </c>
      <c r="E9" s="9">
        <v>238</v>
      </c>
      <c r="F9" s="32"/>
      <c r="G9" s="25">
        <v>962</v>
      </c>
      <c r="H9" s="25">
        <f t="shared" si="0"/>
        <v>0.24740124740124741</v>
      </c>
      <c r="I9" s="25">
        <f>H9/3600</f>
        <v>6.8722568722568724E-5</v>
      </c>
      <c r="J9" s="25">
        <v>9.75E-3</v>
      </c>
      <c r="K9" s="25">
        <v>1.95E-2</v>
      </c>
      <c r="L9" s="25"/>
      <c r="M9" s="25">
        <f t="shared" si="1"/>
        <v>0.38385749999999996</v>
      </c>
      <c r="N9" s="25">
        <v>0.434</v>
      </c>
      <c r="O9" s="25">
        <v>0.308</v>
      </c>
      <c r="P9" s="25">
        <v>1.05</v>
      </c>
      <c r="Q9" s="47">
        <v>0.75</v>
      </c>
      <c r="R9" s="25"/>
      <c r="S9" s="49"/>
      <c r="T9" s="49"/>
      <c r="U9" s="49"/>
      <c r="V9" s="49"/>
      <c r="W9" s="49"/>
      <c r="X9" s="49"/>
      <c r="Y9" s="49"/>
      <c r="Z9" s="49"/>
      <c r="AA9" s="49"/>
      <c r="AB9" s="49"/>
      <c r="AC9" s="49"/>
    </row>
    <row r="10" spans="1:29" x14ac:dyDescent="0.2">
      <c r="A10" s="9">
        <v>8</v>
      </c>
      <c r="B10" s="9" t="s">
        <v>1286</v>
      </c>
      <c r="C10" s="9"/>
      <c r="D10" s="9"/>
      <c r="E10" s="9">
        <v>238</v>
      </c>
      <c r="F10" s="32"/>
      <c r="G10" s="25">
        <v>962</v>
      </c>
      <c r="H10" s="25">
        <f t="shared" si="0"/>
        <v>0.24740124740124741</v>
      </c>
      <c r="I10" s="25">
        <f t="shared" ref="I10:I13" si="2">H10/3600</f>
        <v>6.8722568722568724E-5</v>
      </c>
      <c r="J10" s="25">
        <v>9.75E-3</v>
      </c>
      <c r="K10" s="25">
        <v>1.95E-2</v>
      </c>
      <c r="L10" s="25"/>
      <c r="M10" s="25">
        <f t="shared" si="1"/>
        <v>0.38385749999999996</v>
      </c>
      <c r="N10" s="25">
        <v>0.434</v>
      </c>
      <c r="O10" s="25">
        <v>0.308</v>
      </c>
      <c r="P10" s="25">
        <v>1.05</v>
      </c>
      <c r="Q10" s="47">
        <v>0.75</v>
      </c>
      <c r="R10" s="25"/>
      <c r="S10" s="49"/>
      <c r="T10" s="48"/>
      <c r="U10" s="48"/>
      <c r="V10" s="48"/>
      <c r="W10" s="48"/>
      <c r="X10" s="48"/>
      <c r="Y10" s="48"/>
      <c r="Z10" s="48"/>
      <c r="AA10" s="48"/>
      <c r="AB10" s="48"/>
      <c r="AC10" s="48"/>
    </row>
    <row r="11" spans="1:29" x14ac:dyDescent="0.2">
      <c r="A11" s="9">
        <v>7</v>
      </c>
      <c r="B11" s="9" t="s">
        <v>985</v>
      </c>
      <c r="C11" s="9">
        <v>3</v>
      </c>
      <c r="D11" s="9" t="s">
        <v>484</v>
      </c>
      <c r="E11" s="9">
        <v>240</v>
      </c>
      <c r="F11" s="32"/>
      <c r="G11" s="25">
        <v>1.127</v>
      </c>
      <c r="H11" s="25">
        <f t="shared" si="0"/>
        <v>212.9547471162378</v>
      </c>
      <c r="I11" s="25">
        <f t="shared" si="2"/>
        <v>5.9154096421177166E-2</v>
      </c>
      <c r="J11" s="25">
        <v>9.7500000000000003E-2</v>
      </c>
      <c r="K11" s="25">
        <v>7.0000000000000007E-2</v>
      </c>
      <c r="L11" s="25"/>
      <c r="M11" s="25">
        <f>J11*39.37</f>
        <v>3.8385750000000001</v>
      </c>
      <c r="N11" s="25">
        <v>3.8260000000000001</v>
      </c>
      <c r="O11" s="25">
        <v>0.33700000000000002</v>
      </c>
      <c r="P11" s="25">
        <v>4.5</v>
      </c>
      <c r="Q11" s="47">
        <v>4</v>
      </c>
      <c r="R11" s="47">
        <v>80</v>
      </c>
      <c r="S11" s="49"/>
      <c r="T11" s="48"/>
      <c r="U11" s="48"/>
      <c r="V11" s="48"/>
      <c r="W11" s="48"/>
      <c r="X11" s="48"/>
      <c r="Y11" s="48"/>
      <c r="Z11" s="48"/>
      <c r="AA11" s="48"/>
      <c r="AB11" s="48"/>
      <c r="AC11" s="48"/>
    </row>
    <row r="12" spans="1:29" x14ac:dyDescent="0.2">
      <c r="A12" s="9">
        <v>9</v>
      </c>
      <c r="B12" s="9" t="s">
        <v>1287</v>
      </c>
      <c r="C12" s="9"/>
      <c r="D12" s="9"/>
      <c r="E12" s="29">
        <v>176.99099999999999</v>
      </c>
      <c r="F12" s="32"/>
      <c r="G12" s="25">
        <v>1.127</v>
      </c>
      <c r="H12" s="25">
        <f t="shared" si="0"/>
        <v>157.04614019520849</v>
      </c>
      <c r="I12" s="25">
        <f>H12/3600</f>
        <v>4.3623927832002363E-2</v>
      </c>
      <c r="J12" s="25">
        <v>8.2500000000000004E-2</v>
      </c>
      <c r="K12" s="25">
        <v>6.5000000000000002E-2</v>
      </c>
      <c r="L12" s="25"/>
      <c r="M12" s="25">
        <f t="shared" si="1"/>
        <v>3.2480250000000002</v>
      </c>
      <c r="N12" s="25">
        <v>3.3639999999999999</v>
      </c>
      <c r="O12" s="25">
        <v>0.318</v>
      </c>
      <c r="P12" s="25">
        <v>4</v>
      </c>
      <c r="Q12" s="47">
        <v>3.5</v>
      </c>
      <c r="R12" s="47">
        <v>80</v>
      </c>
      <c r="S12" s="32"/>
      <c r="T12" s="25"/>
      <c r="U12" s="25"/>
      <c r="V12" s="25"/>
      <c r="W12" s="25"/>
      <c r="X12" s="25"/>
      <c r="Y12" s="25"/>
      <c r="Z12" s="25"/>
      <c r="AA12" s="25"/>
      <c r="AB12" s="25"/>
      <c r="AC12" s="25"/>
    </row>
    <row r="13" spans="1:29" x14ac:dyDescent="0.2">
      <c r="A13" s="9">
        <v>10</v>
      </c>
      <c r="B13" s="9" t="s">
        <v>986</v>
      </c>
      <c r="C13" s="9">
        <f>C8+C11+1</f>
        <v>19</v>
      </c>
      <c r="D13" s="9" t="s">
        <v>484</v>
      </c>
      <c r="E13" s="9">
        <v>63.009</v>
      </c>
      <c r="F13" s="32"/>
      <c r="G13" s="25">
        <v>1.127</v>
      </c>
      <c r="H13" s="25">
        <f t="shared" si="0"/>
        <v>55.908606921029282</v>
      </c>
      <c r="I13" s="25">
        <f t="shared" si="2"/>
        <v>1.5530168589174801E-2</v>
      </c>
      <c r="J13" s="25">
        <v>4.4999999999999998E-2</v>
      </c>
      <c r="K13" s="25">
        <v>3.7499999999999999E-2</v>
      </c>
      <c r="L13" s="25"/>
      <c r="M13" s="25">
        <f t="shared" si="1"/>
        <v>1.7716499999999997</v>
      </c>
      <c r="N13" s="25">
        <v>1.7709999999999999</v>
      </c>
      <c r="O13" s="25">
        <v>0.55200000000000005</v>
      </c>
      <c r="P13" s="25">
        <v>2.875</v>
      </c>
      <c r="Q13" s="47">
        <v>2.5</v>
      </c>
      <c r="R13" s="47"/>
      <c r="S13" s="32"/>
      <c r="T13" s="25"/>
      <c r="U13" s="25"/>
      <c r="V13" s="25"/>
      <c r="W13" s="37"/>
      <c r="X13" s="25"/>
      <c r="Y13" s="25"/>
      <c r="Z13" s="25"/>
      <c r="AA13" s="25"/>
      <c r="AB13" s="25"/>
      <c r="AC13" s="25"/>
    </row>
    <row r="14" spans="1:29" x14ac:dyDescent="0.2">
      <c r="F14" s="32"/>
      <c r="G14" s="25"/>
      <c r="H14" s="25"/>
      <c r="I14" s="25"/>
      <c r="J14" s="37"/>
      <c r="K14" s="25"/>
      <c r="L14" s="25"/>
      <c r="M14" s="25"/>
      <c r="N14" s="25"/>
      <c r="O14" s="25"/>
      <c r="P14" s="25"/>
      <c r="S14" s="32"/>
      <c r="T14" s="25"/>
      <c r="U14" s="25"/>
      <c r="V14" s="25"/>
      <c r="W14" s="37"/>
      <c r="X14" s="25"/>
      <c r="Y14" s="25"/>
      <c r="Z14" s="25"/>
      <c r="AA14" s="25"/>
      <c r="AB14" s="25"/>
      <c r="AC14" s="25"/>
    </row>
    <row r="15" spans="1:29" x14ac:dyDescent="0.2">
      <c r="B15" t="s">
        <v>1279</v>
      </c>
      <c r="F15" s="32"/>
      <c r="G15" s="25"/>
      <c r="H15" s="25"/>
      <c r="I15" s="25"/>
      <c r="J15" s="25"/>
      <c r="K15" s="25"/>
      <c r="L15" s="25"/>
      <c r="M15" s="25"/>
      <c r="N15" s="25"/>
      <c r="O15" s="25"/>
      <c r="P15" s="25"/>
      <c r="Q15" s="25"/>
      <c r="R15" s="25"/>
      <c r="S15" s="32"/>
      <c r="T15" s="25"/>
      <c r="U15" s="25"/>
      <c r="V15" s="25"/>
      <c r="W15" s="25"/>
      <c r="X15" s="25"/>
      <c r="Y15" s="25"/>
      <c r="Z15" s="25"/>
      <c r="AA15" s="25"/>
      <c r="AB15" s="25"/>
      <c r="AC15" s="25"/>
    </row>
    <row r="16" spans="1:29" x14ac:dyDescent="0.2">
      <c r="F16" s="32"/>
      <c r="G16" s="25"/>
      <c r="H16" s="25"/>
      <c r="I16" s="25"/>
      <c r="J16" s="25"/>
      <c r="K16" s="25"/>
      <c r="L16" s="25"/>
      <c r="M16" s="25"/>
      <c r="N16" s="25"/>
      <c r="O16" s="25"/>
      <c r="P16" s="25"/>
      <c r="S16" s="32"/>
      <c r="T16" s="25"/>
      <c r="U16" s="25"/>
      <c r="V16" s="25"/>
      <c r="W16" s="25"/>
      <c r="X16" s="25"/>
      <c r="Y16" s="25"/>
      <c r="Z16" s="25"/>
      <c r="AA16" s="25"/>
      <c r="AB16" s="25"/>
      <c r="AC16" s="25"/>
    </row>
    <row r="17" spans="2:29" x14ac:dyDescent="0.2">
      <c r="B17" t="s">
        <v>1279</v>
      </c>
      <c r="C17" t="s">
        <v>1288</v>
      </c>
      <c r="F17" s="35"/>
      <c r="G17" s="9"/>
      <c r="H17" s="9"/>
      <c r="I17" s="9"/>
      <c r="J17" s="9"/>
      <c r="K17" s="9"/>
      <c r="L17" s="9"/>
      <c r="M17" s="9"/>
      <c r="N17" s="9"/>
      <c r="O17" s="9"/>
      <c r="P17" s="9"/>
      <c r="S17" s="35"/>
      <c r="T17" s="9"/>
      <c r="U17" s="9"/>
      <c r="V17" s="9"/>
      <c r="W17" s="9"/>
      <c r="X17" s="9"/>
      <c r="Y17" s="9"/>
      <c r="Z17" s="9"/>
      <c r="AA17" s="9"/>
      <c r="AB17" s="9"/>
      <c r="AC17" s="9"/>
    </row>
    <row r="25" spans="2:29" x14ac:dyDescent="0.2">
      <c r="G25" s="26"/>
      <c r="H25" s="26"/>
      <c r="I25" s="26"/>
      <c r="J25" s="26"/>
      <c r="K25" s="26"/>
      <c r="L25" s="26"/>
      <c r="M25" s="26"/>
      <c r="N25" s="26"/>
      <c r="O25" s="26"/>
      <c r="P25" s="26"/>
      <c r="Q25" s="26"/>
      <c r="R25" s="26"/>
      <c r="S25" s="26"/>
    </row>
    <row r="26" spans="2:29" x14ac:dyDescent="0.2">
      <c r="G26" s="243" t="s">
        <v>960</v>
      </c>
      <c r="H26" s="243"/>
      <c r="I26" s="243"/>
      <c r="J26" s="243"/>
      <c r="K26" s="243"/>
      <c r="L26" s="243"/>
      <c r="M26" s="243"/>
      <c r="N26" s="243"/>
      <c r="O26" s="243"/>
      <c r="P26" s="243"/>
      <c r="Q26" s="243"/>
      <c r="R26" s="243"/>
      <c r="S26" s="243"/>
    </row>
    <row r="27" spans="2:29" x14ac:dyDescent="0.2">
      <c r="G27" s="27" t="s">
        <v>961</v>
      </c>
      <c r="H27" s="27" t="s">
        <v>962</v>
      </c>
      <c r="I27" s="33" t="s">
        <v>963</v>
      </c>
      <c r="J27" s="33" t="s">
        <v>964</v>
      </c>
      <c r="K27" s="33" t="s">
        <v>965</v>
      </c>
      <c r="L27" s="33" t="s">
        <v>966</v>
      </c>
      <c r="M27" s="33" t="s">
        <v>967</v>
      </c>
      <c r="N27" s="33" t="s">
        <v>968</v>
      </c>
      <c r="O27" s="33" t="s">
        <v>969</v>
      </c>
      <c r="P27" s="33" t="s">
        <v>970</v>
      </c>
      <c r="Q27" s="33" t="s">
        <v>971</v>
      </c>
      <c r="R27" s="33" t="s">
        <v>972</v>
      </c>
      <c r="S27" s="27" t="s">
        <v>973</v>
      </c>
    </row>
    <row r="28" spans="2:29" ht="16" x14ac:dyDescent="0.2">
      <c r="G28" s="44" t="s">
        <v>974</v>
      </c>
      <c r="H28" s="9" t="s">
        <v>975</v>
      </c>
      <c r="I28" s="56">
        <v>1000</v>
      </c>
      <c r="J28" s="249" t="s">
        <v>976</v>
      </c>
      <c r="K28" s="249"/>
      <c r="L28" s="249"/>
      <c r="M28" s="249"/>
      <c r="N28" s="249"/>
      <c r="O28" s="249"/>
      <c r="P28" s="249"/>
      <c r="Q28" s="249"/>
      <c r="R28" s="249"/>
      <c r="S28" s="249"/>
    </row>
    <row r="29" spans="2:29" ht="16" x14ac:dyDescent="0.2">
      <c r="G29" s="44" t="s">
        <v>1282</v>
      </c>
      <c r="H29" s="9" t="s">
        <v>978</v>
      </c>
      <c r="I29" s="52">
        <v>4682.09</v>
      </c>
      <c r="J29" s="56">
        <v>1</v>
      </c>
      <c r="K29" s="52">
        <v>4682.09</v>
      </c>
      <c r="L29" s="52">
        <v>1.3005805555555556</v>
      </c>
      <c r="M29" s="52">
        <v>15.747999999999999</v>
      </c>
      <c r="N29" s="52">
        <v>15.624000000000001</v>
      </c>
      <c r="O29" s="52">
        <v>0.188</v>
      </c>
      <c r="P29" s="56">
        <v>16</v>
      </c>
      <c r="Q29" s="56">
        <v>16</v>
      </c>
      <c r="R29" s="52"/>
      <c r="S29" s="53" t="s">
        <v>979</v>
      </c>
    </row>
    <row r="30" spans="2:29" x14ac:dyDescent="0.2">
      <c r="G30" s="9" t="s">
        <v>980</v>
      </c>
      <c r="H30" s="9" t="s">
        <v>975</v>
      </c>
      <c r="I30" s="52">
        <v>310.22145</v>
      </c>
      <c r="J30" s="249" t="s">
        <v>976</v>
      </c>
      <c r="K30" s="249"/>
      <c r="L30" s="249"/>
      <c r="M30" s="249"/>
      <c r="N30" s="249"/>
      <c r="O30" s="249"/>
      <c r="P30" s="249"/>
      <c r="Q30" s="249"/>
      <c r="R30" s="249"/>
      <c r="S30" s="249"/>
    </row>
    <row r="31" spans="2:29" ht="16" x14ac:dyDescent="0.2">
      <c r="G31" s="44" t="s">
        <v>1284</v>
      </c>
      <c r="H31" s="9" t="s">
        <v>975</v>
      </c>
      <c r="I31" s="56">
        <v>522</v>
      </c>
      <c r="J31" s="249" t="s">
        <v>976</v>
      </c>
      <c r="K31" s="249"/>
      <c r="L31" s="249"/>
      <c r="M31" s="249"/>
      <c r="N31" s="249"/>
      <c r="O31" s="249"/>
      <c r="P31" s="249"/>
      <c r="Q31" s="249"/>
      <c r="R31" s="249"/>
      <c r="S31" s="249"/>
    </row>
    <row r="32" spans="2:29" x14ac:dyDescent="0.2">
      <c r="G32" s="9" t="s">
        <v>981</v>
      </c>
      <c r="H32" s="9" t="s">
        <v>978</v>
      </c>
      <c r="I32" s="56">
        <v>478</v>
      </c>
      <c r="J32" s="52">
        <v>6.41</v>
      </c>
      <c r="K32" s="52">
        <v>74.570982839313572</v>
      </c>
      <c r="L32" s="52">
        <v>2.0714161899809326E-2</v>
      </c>
      <c r="M32" s="52">
        <v>3.0511749999999997</v>
      </c>
      <c r="N32" s="52">
        <v>3.0680000000000001</v>
      </c>
      <c r="O32" s="52">
        <v>0.216</v>
      </c>
      <c r="P32" s="50">
        <v>3.5</v>
      </c>
      <c r="Q32" s="25">
        <v>3</v>
      </c>
      <c r="R32" s="56">
        <v>40</v>
      </c>
      <c r="S32" s="53" t="s">
        <v>979</v>
      </c>
    </row>
    <row r="33" spans="7:19" ht="14.25" customHeight="1" x14ac:dyDescent="0.2">
      <c r="G33" s="45" t="s">
        <v>1285</v>
      </c>
      <c r="H33" s="9" t="s">
        <v>983</v>
      </c>
      <c r="I33" s="56">
        <v>238</v>
      </c>
      <c r="J33" s="56">
        <v>962</v>
      </c>
      <c r="K33" s="52">
        <v>0.24740124740124741</v>
      </c>
      <c r="L33" s="58">
        <v>6.8722568722568724E-5</v>
      </c>
      <c r="M33" s="52">
        <v>0.38385749999999996</v>
      </c>
      <c r="N33" s="52">
        <v>0.434</v>
      </c>
      <c r="O33" s="52">
        <v>0.308</v>
      </c>
      <c r="P33" s="51">
        <v>1.05</v>
      </c>
      <c r="Q33" s="47">
        <v>0.75</v>
      </c>
      <c r="R33" s="56"/>
      <c r="S33" s="53" t="s">
        <v>979</v>
      </c>
    </row>
    <row r="34" spans="7:19" x14ac:dyDescent="0.2">
      <c r="G34" s="9" t="s">
        <v>1286</v>
      </c>
      <c r="H34" s="9" t="s">
        <v>983</v>
      </c>
      <c r="I34" s="56">
        <v>238</v>
      </c>
      <c r="J34" s="56">
        <v>962</v>
      </c>
      <c r="K34" s="52">
        <v>0.24740124740124741</v>
      </c>
      <c r="L34" s="58">
        <v>6.8722568722568724E-5</v>
      </c>
      <c r="M34" s="52">
        <v>0.38385749999999996</v>
      </c>
      <c r="N34" s="52">
        <v>0.434</v>
      </c>
      <c r="O34" s="52">
        <v>0.308</v>
      </c>
      <c r="P34" s="51">
        <v>1.05</v>
      </c>
      <c r="Q34" s="47">
        <v>0.75</v>
      </c>
      <c r="R34" s="56"/>
      <c r="S34" s="53" t="s">
        <v>979</v>
      </c>
    </row>
    <row r="35" spans="7:19" x14ac:dyDescent="0.2">
      <c r="G35" s="9" t="s">
        <v>985</v>
      </c>
      <c r="H35" s="9" t="s">
        <v>978</v>
      </c>
      <c r="I35" s="56">
        <v>240</v>
      </c>
      <c r="J35" s="52">
        <v>1.127</v>
      </c>
      <c r="K35" s="52">
        <v>212.9547471162378</v>
      </c>
      <c r="L35" s="52">
        <v>5.9154096421177166E-2</v>
      </c>
      <c r="M35" s="52">
        <v>3.8385750000000001</v>
      </c>
      <c r="N35" s="52">
        <v>3.8260000000000001</v>
      </c>
      <c r="O35" s="52">
        <v>0.33700000000000002</v>
      </c>
      <c r="P35" s="50">
        <v>4.5</v>
      </c>
      <c r="Q35" s="47">
        <v>4</v>
      </c>
      <c r="R35" s="56">
        <v>80</v>
      </c>
      <c r="S35" s="53" t="s">
        <v>979</v>
      </c>
    </row>
    <row r="36" spans="7:19" x14ac:dyDescent="0.2">
      <c r="G36" s="9" t="s">
        <v>1287</v>
      </c>
      <c r="H36" s="9" t="s">
        <v>978</v>
      </c>
      <c r="I36" s="52">
        <v>176.99099999999999</v>
      </c>
      <c r="J36" s="52">
        <v>1.127</v>
      </c>
      <c r="K36" s="52">
        <v>157.04614019520849</v>
      </c>
      <c r="L36" s="52">
        <v>4.3623927832002363E-2</v>
      </c>
      <c r="M36" s="52">
        <v>3.2480250000000002</v>
      </c>
      <c r="N36" s="52">
        <v>3.3639999999999999</v>
      </c>
      <c r="O36" s="52">
        <v>0.318</v>
      </c>
      <c r="P36" s="56">
        <v>4</v>
      </c>
      <c r="Q36" s="47">
        <v>3.5</v>
      </c>
      <c r="R36" s="56">
        <v>80</v>
      </c>
      <c r="S36" s="53" t="s">
        <v>979</v>
      </c>
    </row>
    <row r="37" spans="7:19" x14ac:dyDescent="0.2">
      <c r="G37" s="29" t="s">
        <v>986</v>
      </c>
      <c r="H37" s="29" t="s">
        <v>978</v>
      </c>
      <c r="I37" s="54">
        <v>63.009</v>
      </c>
      <c r="J37" s="54">
        <v>1.127</v>
      </c>
      <c r="K37" s="54">
        <v>55.908606921029282</v>
      </c>
      <c r="L37" s="54">
        <v>1.5530168589174801E-2</v>
      </c>
      <c r="M37" s="54">
        <v>1.7716499999999997</v>
      </c>
      <c r="N37" s="54">
        <v>1.7709999999999999</v>
      </c>
      <c r="O37" s="54">
        <v>0.55200000000000005</v>
      </c>
      <c r="P37" s="54">
        <v>2.875</v>
      </c>
      <c r="Q37" s="57">
        <v>2.5</v>
      </c>
      <c r="R37" s="54"/>
      <c r="S37" s="55" t="s">
        <v>979</v>
      </c>
    </row>
    <row r="40" spans="7:19" x14ac:dyDescent="0.2">
      <c r="J40">
        <f>9000/24</f>
        <v>375</v>
      </c>
    </row>
  </sheetData>
  <mergeCells count="5">
    <mergeCell ref="G26:S26"/>
    <mergeCell ref="H4:R4"/>
    <mergeCell ref="J30:S30"/>
    <mergeCell ref="J28:S28"/>
    <mergeCell ref="J31:S31"/>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B6F62-5E07-486D-90FD-9F5D7C5C94E4}">
  <dimension ref="A2:AC57"/>
  <sheetViews>
    <sheetView showGridLines="0" topLeftCell="A37" zoomScale="69" zoomScaleNormal="100" workbookViewId="0">
      <selection activeCell="K66" sqref="K66"/>
    </sheetView>
  </sheetViews>
  <sheetFormatPr baseColWidth="10" defaultColWidth="9.1640625" defaultRowHeight="15" x14ac:dyDescent="0.2"/>
  <cols>
    <col min="1" max="1" width="12.6640625" bestFit="1" customWidth="1"/>
    <col min="2" max="2" width="23.83203125" bestFit="1" customWidth="1"/>
    <col min="3" max="3" width="12" bestFit="1" customWidth="1"/>
    <col min="4" max="4" width="13.5" customWidth="1"/>
    <col min="5" max="5" width="12.6640625" customWidth="1"/>
    <col min="6" max="6" width="12.33203125" bestFit="1" customWidth="1"/>
    <col min="7" max="7" width="16.83203125" customWidth="1"/>
    <col min="8" max="8" width="10.83203125" customWidth="1"/>
    <col min="9" max="9" width="8.1640625" customWidth="1"/>
    <col min="10" max="10" width="12" customWidth="1"/>
    <col min="11" max="12" width="11.5" customWidth="1"/>
    <col min="13" max="13" width="14.5" bestFit="1" customWidth="1"/>
    <col min="14" max="14" width="17.1640625" bestFit="1" customWidth="1"/>
    <col min="15" max="15" width="17.5" bestFit="1" customWidth="1"/>
    <col min="16" max="16" width="20.33203125" bestFit="1" customWidth="1"/>
    <col min="17" max="17" width="10.6640625" customWidth="1"/>
    <col min="18" max="18" width="17.1640625" bestFit="1" customWidth="1"/>
    <col min="19" max="19" width="22.5" customWidth="1"/>
    <col min="20" max="20" width="21.6640625" customWidth="1"/>
  </cols>
  <sheetData>
    <row r="2" spans="1:29" x14ac:dyDescent="0.2">
      <c r="S2" t="s">
        <v>979</v>
      </c>
    </row>
    <row r="3" spans="1:29" x14ac:dyDescent="0.2">
      <c r="A3" s="9"/>
      <c r="B3" s="9" t="s">
        <v>1270</v>
      </c>
      <c r="C3" s="9" t="s">
        <v>1271</v>
      </c>
      <c r="D3" s="9" t="s">
        <v>1272</v>
      </c>
      <c r="E3" s="9" t="s">
        <v>963</v>
      </c>
      <c r="F3" s="9" t="s">
        <v>1273</v>
      </c>
      <c r="G3" s="25" t="s">
        <v>1274</v>
      </c>
      <c r="H3" s="25" t="s">
        <v>1275</v>
      </c>
      <c r="I3" s="25" t="s">
        <v>1276</v>
      </c>
      <c r="J3" s="25" t="s">
        <v>1277</v>
      </c>
      <c r="K3" s="25" t="s">
        <v>1278</v>
      </c>
      <c r="L3" s="25" t="s">
        <v>1279</v>
      </c>
      <c r="M3" s="25" t="s">
        <v>967</v>
      </c>
      <c r="N3" s="25" t="s">
        <v>968</v>
      </c>
      <c r="O3" s="25" t="s">
        <v>969</v>
      </c>
      <c r="P3" s="25" t="s">
        <v>970</v>
      </c>
      <c r="Q3" s="25" t="s">
        <v>971</v>
      </c>
      <c r="R3" s="25" t="s">
        <v>972</v>
      </c>
      <c r="S3" t="s">
        <v>1280</v>
      </c>
    </row>
    <row r="4" spans="1:29" ht="16" x14ac:dyDescent="0.2">
      <c r="A4" s="9">
        <v>1</v>
      </c>
      <c r="B4" s="44" t="s">
        <v>1281</v>
      </c>
      <c r="C4" s="9"/>
      <c r="D4" s="9"/>
      <c r="E4" s="9">
        <v>244.07300000000001</v>
      </c>
      <c r="F4" s="35"/>
      <c r="G4" s="25">
        <v>360</v>
      </c>
      <c r="H4" s="238" t="s">
        <v>975</v>
      </c>
      <c r="I4" s="238"/>
      <c r="J4" s="238"/>
      <c r="K4" s="238"/>
      <c r="L4" s="238"/>
      <c r="M4" s="238"/>
      <c r="N4" s="238"/>
      <c r="O4" s="238"/>
      <c r="P4" s="238"/>
      <c r="Q4" s="238"/>
      <c r="R4" s="238"/>
      <c r="S4" s="36"/>
      <c r="T4" s="36"/>
      <c r="U4" s="36"/>
      <c r="V4" s="36"/>
      <c r="W4" s="36"/>
      <c r="X4" s="36"/>
      <c r="Y4" s="36"/>
      <c r="Z4" s="36"/>
      <c r="AA4" s="36"/>
      <c r="AB4" s="36"/>
      <c r="AC4" s="36"/>
    </row>
    <row r="5" spans="1:29" ht="16" x14ac:dyDescent="0.2">
      <c r="A5" s="9">
        <v>2</v>
      </c>
      <c r="B5" s="44" t="s">
        <v>1282</v>
      </c>
      <c r="C5" s="9"/>
      <c r="D5" s="9"/>
      <c r="E5" s="9">
        <v>247.77699999999999</v>
      </c>
      <c r="F5" s="25">
        <f>0.018/1000</f>
        <v>1.7999999999999997E-5</v>
      </c>
      <c r="G5" s="25">
        <v>1</v>
      </c>
      <c r="H5" s="25">
        <f>E5/G5</f>
        <v>247.77699999999999</v>
      </c>
      <c r="I5" s="25">
        <f>H5/3600</f>
        <v>6.8826944444444441E-2</v>
      </c>
      <c r="J5" s="25">
        <v>0.4</v>
      </c>
      <c r="K5" s="25">
        <v>0.24</v>
      </c>
      <c r="L5" s="25">
        <f>(4*(E5/3600))/(F5*J5*3.1416)</f>
        <v>12171.247567489398</v>
      </c>
      <c r="M5" s="25">
        <f>J5*39.37</f>
        <v>15.747999999999999</v>
      </c>
      <c r="N5" s="25">
        <v>15.624000000000001</v>
      </c>
      <c r="O5" s="25">
        <v>0.188</v>
      </c>
      <c r="P5" s="25">
        <v>16</v>
      </c>
      <c r="Q5" s="25">
        <v>16</v>
      </c>
      <c r="R5" s="25"/>
      <c r="T5" s="32"/>
      <c r="U5" s="32"/>
      <c r="V5" s="32"/>
      <c r="W5" s="32"/>
      <c r="X5" s="32"/>
      <c r="Y5" s="32"/>
      <c r="Z5" s="32"/>
      <c r="AA5" s="32"/>
      <c r="AB5" s="32"/>
      <c r="AC5" s="32"/>
    </row>
    <row r="6" spans="1:29" x14ac:dyDescent="0.2">
      <c r="A6" s="9">
        <v>3</v>
      </c>
      <c r="B6" s="119" t="s">
        <v>926</v>
      </c>
      <c r="C6" s="119"/>
      <c r="D6" s="119" t="s">
        <v>484</v>
      </c>
      <c r="E6" s="9">
        <v>10.84</v>
      </c>
      <c r="F6" s="32"/>
      <c r="G6" s="25">
        <v>361.17</v>
      </c>
      <c r="H6" s="48"/>
      <c r="I6" s="48"/>
      <c r="J6" s="48"/>
      <c r="K6" s="48"/>
      <c r="L6" s="48"/>
      <c r="M6" s="48"/>
      <c r="N6" s="48"/>
      <c r="O6" s="48"/>
      <c r="P6" s="48"/>
      <c r="Q6" s="48"/>
      <c r="R6" s="48"/>
      <c r="S6" s="32"/>
      <c r="T6" s="25"/>
      <c r="U6" s="25"/>
      <c r="V6" s="25"/>
      <c r="W6" s="25"/>
      <c r="X6" s="25"/>
      <c r="Y6" s="25"/>
      <c r="Z6" s="25"/>
      <c r="AA6" s="25"/>
      <c r="AB6" s="25"/>
      <c r="AC6" s="25"/>
    </row>
    <row r="7" spans="1:29" ht="16" x14ac:dyDescent="0.2">
      <c r="A7" s="46" t="s">
        <v>1283</v>
      </c>
      <c r="B7" s="44" t="s">
        <v>1284</v>
      </c>
      <c r="C7" s="9">
        <v>15</v>
      </c>
      <c r="D7" s="9" t="s">
        <v>484</v>
      </c>
      <c r="E7" s="9">
        <v>83.326999999999998</v>
      </c>
      <c r="F7" s="35"/>
      <c r="G7" s="25">
        <v>361.17</v>
      </c>
      <c r="H7" s="238" t="s">
        <v>975</v>
      </c>
      <c r="I7" s="238"/>
      <c r="J7" s="238"/>
      <c r="K7" s="238"/>
      <c r="L7" s="238"/>
      <c r="M7" s="238"/>
      <c r="N7" s="238"/>
      <c r="O7" s="238"/>
      <c r="P7" s="238"/>
      <c r="Q7" s="238"/>
      <c r="R7" s="238"/>
      <c r="S7" s="35"/>
      <c r="T7" s="9"/>
      <c r="U7" s="9"/>
      <c r="V7" s="9"/>
      <c r="W7" s="9"/>
      <c r="X7" s="9"/>
      <c r="Y7" s="9"/>
      <c r="Z7" s="9"/>
      <c r="AA7" s="9"/>
      <c r="AB7" s="9"/>
      <c r="AC7" s="9"/>
    </row>
    <row r="8" spans="1:29" x14ac:dyDescent="0.2">
      <c r="A8" s="9">
        <v>4</v>
      </c>
      <c r="B8" s="9" t="s">
        <v>981</v>
      </c>
      <c r="C8" s="9">
        <v>15</v>
      </c>
      <c r="D8" s="9" t="s">
        <v>484</v>
      </c>
      <c r="E8" s="9">
        <f>20.624+1220.367+122.378</f>
        <v>1363.3689999999999</v>
      </c>
      <c r="F8" s="32"/>
      <c r="G8" s="25">
        <v>6.41</v>
      </c>
      <c r="H8" s="25">
        <f t="shared" ref="H8:H13" si="0">E8/G8</f>
        <v>212.69407176287049</v>
      </c>
      <c r="I8" s="25">
        <f>H8/3600</f>
        <v>5.9081686600797358E-2</v>
      </c>
      <c r="J8" s="25">
        <v>7.7499999999999999E-2</v>
      </c>
      <c r="K8" s="25">
        <v>7.0000000000000007E-2</v>
      </c>
      <c r="L8" s="25"/>
      <c r="M8" s="25">
        <f t="shared" ref="M8:M13" si="1">J8*39.37</f>
        <v>3.0511749999999997</v>
      </c>
      <c r="N8" s="25">
        <v>3.0680000000000001</v>
      </c>
      <c r="O8" s="25">
        <v>0.216</v>
      </c>
      <c r="P8" s="25">
        <v>3.5</v>
      </c>
      <c r="Q8" s="25">
        <v>3</v>
      </c>
      <c r="R8" s="25">
        <v>40</v>
      </c>
      <c r="S8" s="32"/>
      <c r="T8" s="25"/>
      <c r="U8" s="25"/>
      <c r="V8" s="25"/>
      <c r="W8" s="25"/>
      <c r="X8" s="25"/>
      <c r="Y8" s="25"/>
      <c r="Z8" s="25"/>
      <c r="AA8" s="25"/>
      <c r="AB8" s="25"/>
      <c r="AC8" s="25"/>
    </row>
    <row r="9" spans="1:29" ht="16" x14ac:dyDescent="0.2">
      <c r="A9" s="9">
        <v>8</v>
      </c>
      <c r="B9" s="45" t="s">
        <v>1285</v>
      </c>
      <c r="C9" s="9">
        <v>3</v>
      </c>
      <c r="D9" s="9" t="s">
        <v>484</v>
      </c>
      <c r="E9" s="9">
        <v>122.378</v>
      </c>
      <c r="F9" s="32"/>
      <c r="G9" s="25">
        <v>962</v>
      </c>
      <c r="H9" s="25">
        <f t="shared" si="0"/>
        <v>0.12721205821205822</v>
      </c>
      <c r="I9" s="25">
        <f>H9/3600</f>
        <v>3.5336682836682842E-5</v>
      </c>
      <c r="J9" s="25">
        <v>9.75E-3</v>
      </c>
      <c r="K9" s="25">
        <v>1.95E-2</v>
      </c>
      <c r="L9" s="25"/>
      <c r="M9" s="25">
        <f t="shared" si="1"/>
        <v>0.38385749999999996</v>
      </c>
      <c r="N9" s="25">
        <v>0.434</v>
      </c>
      <c r="O9" s="25">
        <v>0.308</v>
      </c>
      <c r="P9" s="25">
        <v>1.05</v>
      </c>
      <c r="Q9" s="47">
        <v>0.75</v>
      </c>
      <c r="R9" s="25"/>
      <c r="S9" s="49"/>
      <c r="T9" s="49"/>
      <c r="U9" s="49"/>
      <c r="V9" s="49"/>
      <c r="W9" s="49"/>
      <c r="X9" s="49"/>
      <c r="Y9" s="49"/>
      <c r="Z9" s="49"/>
      <c r="AA9" s="49"/>
      <c r="AB9" s="49"/>
      <c r="AC9" s="49"/>
    </row>
    <row r="10" spans="1:29" x14ac:dyDescent="0.2">
      <c r="A10" s="9">
        <v>8</v>
      </c>
      <c r="B10" s="9" t="s">
        <v>1286</v>
      </c>
      <c r="C10" s="9"/>
      <c r="D10" s="9"/>
      <c r="E10" s="9">
        <f>E9</f>
        <v>122.378</v>
      </c>
      <c r="F10" s="32"/>
      <c r="G10" s="25">
        <v>962</v>
      </c>
      <c r="H10" s="25">
        <f t="shared" si="0"/>
        <v>0.12721205821205822</v>
      </c>
      <c r="I10" s="25">
        <f t="shared" ref="I10:I13" si="2">H10/3600</f>
        <v>3.5336682836682842E-5</v>
      </c>
      <c r="J10" s="25">
        <v>9.75E-3</v>
      </c>
      <c r="K10" s="25">
        <v>1.95E-2</v>
      </c>
      <c r="L10" s="25"/>
      <c r="M10" s="25">
        <f t="shared" si="1"/>
        <v>0.38385749999999996</v>
      </c>
      <c r="N10" s="25">
        <v>0.434</v>
      </c>
      <c r="O10" s="25">
        <v>0.308</v>
      </c>
      <c r="P10" s="25">
        <v>1.05</v>
      </c>
      <c r="Q10" s="47">
        <v>0.75</v>
      </c>
      <c r="R10" s="25"/>
      <c r="S10" s="49"/>
      <c r="T10" s="48"/>
      <c r="U10" s="48"/>
      <c r="V10" s="48"/>
      <c r="W10" s="48"/>
      <c r="X10" s="48"/>
      <c r="Y10" s="48"/>
      <c r="Z10" s="48"/>
      <c r="AA10" s="48"/>
      <c r="AB10" s="48"/>
      <c r="AC10" s="48"/>
    </row>
    <row r="11" spans="1:29" x14ac:dyDescent="0.2">
      <c r="A11" s="9">
        <v>7</v>
      </c>
      <c r="B11" s="9" t="s">
        <v>1289</v>
      </c>
      <c r="C11" s="9">
        <v>3</v>
      </c>
      <c r="D11" s="9" t="s">
        <v>484</v>
      </c>
      <c r="E11" s="9">
        <f>E8-E9</f>
        <v>1240.991</v>
      </c>
      <c r="F11" s="32"/>
      <c r="G11" s="25">
        <v>1.127</v>
      </c>
      <c r="H11" s="25">
        <f t="shared" si="0"/>
        <v>1101.145519077196</v>
      </c>
      <c r="I11" s="25">
        <f t="shared" si="2"/>
        <v>0.30587375529922112</v>
      </c>
      <c r="J11" s="25">
        <v>9.7500000000000003E-2</v>
      </c>
      <c r="K11" s="25">
        <v>7.0000000000000007E-2</v>
      </c>
      <c r="L11" s="25"/>
      <c r="M11" s="25">
        <f>J11*39.37</f>
        <v>3.8385750000000001</v>
      </c>
      <c r="N11" s="25">
        <v>3.8260000000000001</v>
      </c>
      <c r="O11" s="25">
        <v>0.33700000000000002</v>
      </c>
      <c r="P11" s="25">
        <v>4.5</v>
      </c>
      <c r="Q11" s="47">
        <v>4</v>
      </c>
      <c r="R11" s="47">
        <v>80</v>
      </c>
      <c r="S11" s="49"/>
      <c r="T11" s="48"/>
      <c r="U11" s="48"/>
      <c r="V11" s="48"/>
      <c r="W11" s="48"/>
      <c r="X11" s="48"/>
      <c r="Y11" s="48"/>
      <c r="Z11" s="48"/>
      <c r="AA11" s="48"/>
      <c r="AB11" s="48"/>
      <c r="AC11" s="48"/>
    </row>
    <row r="12" spans="1:29" ht="16" thickBot="1" x14ac:dyDescent="0.25">
      <c r="A12" s="120">
        <v>9</v>
      </c>
      <c r="B12" s="120" t="s">
        <v>1287</v>
      </c>
      <c r="C12" s="120"/>
      <c r="D12" s="120"/>
      <c r="E12" s="121">
        <v>176.99099999999999</v>
      </c>
      <c r="F12" s="32"/>
      <c r="G12" s="25">
        <v>1.127</v>
      </c>
      <c r="H12" s="25">
        <f t="shared" si="0"/>
        <v>157.04614019520849</v>
      </c>
      <c r="I12" s="25">
        <f>H12/3600</f>
        <v>4.3623927832002363E-2</v>
      </c>
      <c r="J12" s="25">
        <v>8.2500000000000004E-2</v>
      </c>
      <c r="K12" s="25">
        <v>6.5000000000000002E-2</v>
      </c>
      <c r="L12" s="25"/>
      <c r="M12" s="25">
        <f t="shared" si="1"/>
        <v>3.2480250000000002</v>
      </c>
      <c r="N12" s="25">
        <v>3.3639999999999999</v>
      </c>
      <c r="O12" s="25">
        <v>0.318</v>
      </c>
      <c r="P12" s="25">
        <v>4</v>
      </c>
      <c r="Q12" s="47">
        <v>3.5</v>
      </c>
      <c r="R12" s="47">
        <v>80</v>
      </c>
      <c r="S12" s="32"/>
      <c r="T12" s="25"/>
      <c r="U12" s="25"/>
      <c r="V12" s="25"/>
      <c r="W12" s="25"/>
      <c r="X12" s="25"/>
      <c r="Y12" s="25"/>
      <c r="Z12" s="25"/>
      <c r="AA12" s="25"/>
      <c r="AB12" s="25"/>
      <c r="AC12" s="25"/>
    </row>
    <row r="13" spans="1:29" x14ac:dyDescent="0.2">
      <c r="A13" s="9">
        <v>10</v>
      </c>
      <c r="B13" s="9" t="s">
        <v>986</v>
      </c>
      <c r="C13" s="9">
        <f>C8+C11+1</f>
        <v>19</v>
      </c>
      <c r="D13" s="9" t="s">
        <v>484</v>
      </c>
      <c r="E13" s="9">
        <v>63.009</v>
      </c>
      <c r="F13" s="32"/>
      <c r="G13" s="25">
        <v>1.127</v>
      </c>
      <c r="H13" s="25">
        <f t="shared" si="0"/>
        <v>55.908606921029282</v>
      </c>
      <c r="I13" s="25">
        <f t="shared" si="2"/>
        <v>1.5530168589174801E-2</v>
      </c>
      <c r="J13" s="25">
        <v>4.4999999999999998E-2</v>
      </c>
      <c r="K13" s="25">
        <v>3.7499999999999999E-2</v>
      </c>
      <c r="L13" s="25"/>
      <c r="M13" s="25">
        <f t="shared" si="1"/>
        <v>1.7716499999999997</v>
      </c>
      <c r="N13" s="25">
        <v>1.7709999999999999</v>
      </c>
      <c r="O13" s="25">
        <v>0.55200000000000005</v>
      </c>
      <c r="P13" s="25">
        <v>2.875</v>
      </c>
      <c r="Q13" s="47">
        <v>2.5</v>
      </c>
      <c r="R13" s="47"/>
      <c r="S13" s="32"/>
      <c r="T13" s="25"/>
      <c r="U13" s="25"/>
      <c r="V13" s="25"/>
      <c r="W13" s="37"/>
      <c r="X13" s="25"/>
      <c r="Y13" s="25"/>
      <c r="Z13" s="25"/>
      <c r="AA13" s="25"/>
      <c r="AB13" s="25"/>
      <c r="AC13" s="25"/>
    </row>
    <row r="14" spans="1:29" x14ac:dyDescent="0.2">
      <c r="F14" s="32"/>
      <c r="G14" s="25"/>
      <c r="H14" s="25"/>
      <c r="I14" s="25"/>
      <c r="J14" s="37"/>
      <c r="K14" s="25"/>
      <c r="L14" s="25"/>
      <c r="M14" s="25"/>
      <c r="N14" s="25"/>
      <c r="O14" s="25"/>
      <c r="P14" s="25"/>
      <c r="S14" s="32"/>
      <c r="T14" s="25"/>
      <c r="U14" s="25"/>
      <c r="V14" s="25"/>
      <c r="W14" s="37"/>
      <c r="X14" s="25"/>
      <c r="Y14" s="25"/>
      <c r="Z14" s="25"/>
      <c r="AA14" s="25"/>
      <c r="AB14" s="25"/>
      <c r="AC14" s="25"/>
    </row>
    <row r="15" spans="1:29" x14ac:dyDescent="0.2">
      <c r="B15" t="s">
        <v>1279</v>
      </c>
      <c r="F15" s="32"/>
      <c r="G15" s="25"/>
      <c r="H15" s="25"/>
      <c r="I15" s="25"/>
      <c r="J15" s="25"/>
      <c r="K15" s="25"/>
      <c r="L15" s="25"/>
      <c r="M15" s="25"/>
      <c r="N15" s="25"/>
      <c r="O15" s="25"/>
      <c r="P15" s="25"/>
      <c r="S15" s="32"/>
      <c r="T15" s="25"/>
      <c r="U15" s="25"/>
      <c r="V15" s="25"/>
      <c r="W15" s="25"/>
      <c r="X15" s="25"/>
      <c r="Y15" s="25"/>
      <c r="Z15" s="25"/>
      <c r="AA15" s="25"/>
      <c r="AB15" s="25"/>
      <c r="AC15" s="25"/>
    </row>
    <row r="16" spans="1:29" x14ac:dyDescent="0.2">
      <c r="F16" s="32"/>
      <c r="G16" s="25"/>
      <c r="H16" s="25"/>
      <c r="I16" s="25"/>
      <c r="J16" s="25"/>
      <c r="K16" s="25"/>
      <c r="L16" s="25"/>
      <c r="M16" s="25"/>
      <c r="N16" s="25"/>
      <c r="O16" s="25"/>
      <c r="P16" s="25"/>
      <c r="S16" s="32"/>
      <c r="T16" s="25"/>
      <c r="U16" s="25"/>
      <c r="V16" s="25"/>
      <c r="W16" s="25"/>
      <c r="X16" s="25"/>
      <c r="Y16" s="25"/>
      <c r="Z16" s="25"/>
      <c r="AA16" s="25"/>
      <c r="AB16" s="25"/>
      <c r="AC16" s="25"/>
    </row>
    <row r="17" spans="1:29" x14ac:dyDescent="0.2">
      <c r="B17" t="s">
        <v>1279</v>
      </c>
      <c r="C17" t="s">
        <v>1288</v>
      </c>
      <c r="F17" s="35"/>
      <c r="G17" s="9"/>
      <c r="H17" s="9"/>
      <c r="I17" s="9"/>
      <c r="J17" s="9"/>
      <c r="K17" s="9"/>
      <c r="L17" s="9"/>
      <c r="M17" s="9"/>
      <c r="N17" s="9"/>
      <c r="O17" s="9"/>
      <c r="P17" s="9"/>
      <c r="S17" s="35"/>
      <c r="T17" s="9"/>
      <c r="U17" s="9"/>
      <c r="V17" s="9"/>
      <c r="W17" s="9"/>
      <c r="X17" s="9"/>
      <c r="Y17" s="9"/>
      <c r="Z17" s="9"/>
      <c r="AA17" s="9"/>
      <c r="AB17" s="9"/>
      <c r="AC17" s="9"/>
    </row>
    <row r="18" spans="1:29" ht="16" thickBot="1" x14ac:dyDescent="0.25">
      <c r="A18" s="154"/>
      <c r="B18" s="154"/>
      <c r="C18" s="154"/>
      <c r="D18" s="154"/>
      <c r="E18" s="154"/>
      <c r="F18" s="154"/>
      <c r="G18" s="154"/>
      <c r="H18" s="154"/>
      <c r="I18" s="154"/>
      <c r="J18" s="154"/>
      <c r="K18" s="154"/>
      <c r="L18" s="154"/>
      <c r="M18" s="154"/>
      <c r="N18" s="154"/>
      <c r="O18" s="154"/>
      <c r="P18" s="154"/>
      <c r="Q18" s="250" t="s">
        <v>1290</v>
      </c>
      <c r="R18" s="250"/>
    </row>
    <row r="19" spans="1:29" ht="18" thickBot="1" x14ac:dyDescent="0.25">
      <c r="E19" s="194" t="s">
        <v>1291</v>
      </c>
      <c r="F19" s="194" t="s">
        <v>1292</v>
      </c>
      <c r="G19" s="194" t="s">
        <v>1293</v>
      </c>
      <c r="H19" s="194" t="s">
        <v>1294</v>
      </c>
      <c r="I19" s="194" t="s">
        <v>1295</v>
      </c>
      <c r="P19" s="194" t="s">
        <v>1296</v>
      </c>
      <c r="R19" s="194" t="s">
        <v>1297</v>
      </c>
    </row>
    <row r="20" spans="1:29" x14ac:dyDescent="0.2">
      <c r="E20" s="25">
        <v>0.65700000000000003</v>
      </c>
      <c r="F20" s="52">
        <f t="shared" ref="F20:F26" si="3">D43/E20</f>
        <v>35.334855403348556</v>
      </c>
      <c r="G20" s="58">
        <f>F20/3600</f>
        <v>9.8152376120412659E-3</v>
      </c>
      <c r="H20" s="25">
        <v>0.04</v>
      </c>
      <c r="I20" s="25">
        <f>H20*39.37</f>
        <v>1.5748</v>
      </c>
      <c r="P20" s="25">
        <f t="shared" ref="P20:P34" si="4">K43*3.28084</f>
        <v>9.8425200000000004</v>
      </c>
      <c r="R20" s="25">
        <f t="shared" ref="R20:R34" si="5">L43*K43</f>
        <v>570</v>
      </c>
    </row>
    <row r="21" spans="1:29" x14ac:dyDescent="0.2">
      <c r="E21" s="25">
        <v>1.2</v>
      </c>
      <c r="F21" s="52">
        <f t="shared" si="3"/>
        <v>442.18583333333339</v>
      </c>
      <c r="G21" s="58">
        <f t="shared" ref="G21:G33" si="6">F21/3600</f>
        <v>0.12282939814814817</v>
      </c>
      <c r="H21" s="25">
        <v>0.14499999999999999</v>
      </c>
      <c r="I21" s="25">
        <f t="shared" ref="I21:I34" si="7">H21*39.37</f>
        <v>5.7086499999999996</v>
      </c>
      <c r="P21" s="25">
        <f t="shared" si="4"/>
        <v>9.8425200000000004</v>
      </c>
      <c r="R21" s="25">
        <f t="shared" si="5"/>
        <v>1350</v>
      </c>
    </row>
    <row r="22" spans="1:29" x14ac:dyDescent="0.2">
      <c r="E22" s="52">
        <f>(E33*0.985)+(1.127*(1-0.985))</f>
        <v>1.2481549999999999</v>
      </c>
      <c r="F22" s="52">
        <f t="shared" si="3"/>
        <v>992.6074886532524</v>
      </c>
      <c r="G22" s="58">
        <f t="shared" si="6"/>
        <v>0.27572430240368123</v>
      </c>
      <c r="H22" s="25">
        <v>0.2</v>
      </c>
      <c r="I22" s="25">
        <f t="shared" si="7"/>
        <v>7.8739999999999997</v>
      </c>
      <c r="P22" s="25">
        <f t="shared" si="4"/>
        <v>9.8425200000000004</v>
      </c>
      <c r="R22" s="25">
        <f t="shared" si="5"/>
        <v>600</v>
      </c>
    </row>
    <row r="23" spans="1:29" x14ac:dyDescent="0.2">
      <c r="E23" s="52">
        <f>(E33*0.8951)+(0.01513*1.127)+(0.08977*1.6)</f>
        <v>1.27955851</v>
      </c>
      <c r="F23" s="52">
        <f t="shared" si="3"/>
        <v>1065.4987555043497</v>
      </c>
      <c r="G23" s="58">
        <f t="shared" si="6"/>
        <v>0.29597187652898604</v>
      </c>
      <c r="H23" s="25">
        <v>0.21</v>
      </c>
      <c r="I23" s="25">
        <f t="shared" si="7"/>
        <v>8.2676999999999996</v>
      </c>
      <c r="P23" s="25">
        <f t="shared" si="4"/>
        <v>49.212600000000002</v>
      </c>
      <c r="R23" s="25">
        <f t="shared" si="5"/>
        <v>10500</v>
      </c>
    </row>
    <row r="24" spans="1:29" x14ac:dyDescent="0.2">
      <c r="E24" s="25">
        <v>1000</v>
      </c>
      <c r="F24" s="52">
        <f t="shared" si="3"/>
        <v>4.000826</v>
      </c>
      <c r="G24" s="58">
        <f t="shared" si="6"/>
        <v>1.1113405555555555E-3</v>
      </c>
      <c r="H24" s="25">
        <v>3.5000000000000003E-2</v>
      </c>
      <c r="I24" s="25">
        <f t="shared" si="7"/>
        <v>1.37795</v>
      </c>
      <c r="P24" s="25">
        <f t="shared" si="4"/>
        <v>9.8425200000000004</v>
      </c>
      <c r="R24" s="25">
        <f t="shared" si="5"/>
        <v>570</v>
      </c>
    </row>
    <row r="25" spans="1:29" x14ac:dyDescent="0.2">
      <c r="E25" s="25">
        <v>1000</v>
      </c>
      <c r="F25" s="52">
        <f t="shared" si="3"/>
        <v>0.16903515150063858</v>
      </c>
      <c r="G25" s="58">
        <f t="shared" si="6"/>
        <v>4.6954208750177386E-5</v>
      </c>
      <c r="H25" s="25">
        <v>8.2500000000000004E-3</v>
      </c>
      <c r="I25" s="25">
        <f t="shared" si="7"/>
        <v>0.32480249999999999</v>
      </c>
      <c r="P25" s="25">
        <f t="shared" si="4"/>
        <v>9.8425200000000004</v>
      </c>
      <c r="R25" s="25">
        <f t="shared" si="5"/>
        <v>1650</v>
      </c>
    </row>
    <row r="26" spans="1:29" x14ac:dyDescent="0.2">
      <c r="E26" s="25">
        <v>1000</v>
      </c>
      <c r="F26" s="52">
        <f t="shared" si="3"/>
        <v>3.8317909772190299</v>
      </c>
      <c r="G26" s="58">
        <f t="shared" si="6"/>
        <v>1.0643863825608416E-3</v>
      </c>
      <c r="H26" s="25">
        <v>3.5000000000000003E-2</v>
      </c>
      <c r="I26" s="25">
        <f t="shared" si="7"/>
        <v>1.37795</v>
      </c>
      <c r="P26" s="25">
        <f t="shared" si="4"/>
        <v>9.8425200000000004</v>
      </c>
      <c r="R26" s="25">
        <f t="shared" si="5"/>
        <v>570</v>
      </c>
    </row>
    <row r="27" spans="1:29" x14ac:dyDescent="0.2">
      <c r="E27" s="52">
        <v>1363.3686078978858</v>
      </c>
      <c r="F27" s="52">
        <f>F28+F30</f>
        <v>994.56514342290836</v>
      </c>
      <c r="G27" s="58">
        <f t="shared" si="6"/>
        <v>0.27626809539525232</v>
      </c>
      <c r="H27" s="25">
        <v>0.18</v>
      </c>
      <c r="I27" s="25">
        <f t="shared" si="7"/>
        <v>7.0865999999999989</v>
      </c>
      <c r="P27" s="25">
        <f t="shared" si="4"/>
        <v>49.212600000000002</v>
      </c>
      <c r="R27" s="25">
        <f t="shared" si="5"/>
        <v>9000</v>
      </c>
    </row>
    <row r="28" spans="1:29" x14ac:dyDescent="0.2">
      <c r="E28" s="25">
        <v>822.3</v>
      </c>
      <c r="F28" s="52">
        <f t="shared" ref="F28:F34" si="8">D51/E28</f>
        <v>0.14882403015930926</v>
      </c>
      <c r="G28" s="58">
        <f t="shared" si="6"/>
        <v>4.1340008377585905E-5</v>
      </c>
      <c r="H28" s="25">
        <v>8.0000000000000002E-3</v>
      </c>
      <c r="I28" s="25">
        <f t="shared" si="7"/>
        <v>0.31495999999999996</v>
      </c>
      <c r="P28" s="25">
        <f t="shared" si="4"/>
        <v>49.212600000000002</v>
      </c>
      <c r="R28" s="25">
        <f t="shared" si="5"/>
        <v>8250</v>
      </c>
    </row>
    <row r="29" spans="1:29" x14ac:dyDescent="0.2">
      <c r="E29" s="25">
        <v>822.3</v>
      </c>
      <c r="F29" s="52">
        <f t="shared" si="8"/>
        <v>0.14882403015930926</v>
      </c>
      <c r="G29" s="58">
        <f t="shared" si="6"/>
        <v>4.1340008377585905E-5</v>
      </c>
      <c r="H29" s="25">
        <v>8.0000000000000002E-3</v>
      </c>
      <c r="I29" s="25">
        <f t="shared" si="7"/>
        <v>0.31495999999999996</v>
      </c>
      <c r="P29" s="25">
        <f t="shared" si="4"/>
        <v>29.527560000000001</v>
      </c>
      <c r="R29" s="25">
        <f t="shared" si="5"/>
        <v>4950</v>
      </c>
    </row>
    <row r="30" spans="1:29" x14ac:dyDescent="0.2">
      <c r="E30" s="52">
        <f>($E$33*0.9834)+(1.127*(1-0.9834))</f>
        <v>1.2479581999999998</v>
      </c>
      <c r="F30" s="52">
        <f t="shared" si="8"/>
        <v>994.41631939274907</v>
      </c>
      <c r="G30" s="58">
        <f t="shared" si="6"/>
        <v>0.27622675538687474</v>
      </c>
      <c r="H30" s="25">
        <v>0.18</v>
      </c>
      <c r="I30" s="25">
        <f t="shared" si="7"/>
        <v>7.0865999999999989</v>
      </c>
      <c r="P30" s="25">
        <f t="shared" si="4"/>
        <v>9.8425200000000004</v>
      </c>
      <c r="R30" s="25">
        <f t="shared" si="5"/>
        <v>1800</v>
      </c>
    </row>
    <row r="31" spans="1:29" x14ac:dyDescent="0.2">
      <c r="E31" s="52">
        <f t="shared" ref="E31:E32" si="9">($E$33*0.9834)+(1.127*(1-0.9834))</f>
        <v>1.2479581999999998</v>
      </c>
      <c r="F31" s="52">
        <f t="shared" si="8"/>
        <v>99.441631939274913</v>
      </c>
      <c r="G31" s="58">
        <f t="shared" si="6"/>
        <v>2.7622675538687476E-2</v>
      </c>
      <c r="H31" s="25">
        <v>7.0000000000000007E-2</v>
      </c>
      <c r="I31" s="25">
        <f t="shared" si="7"/>
        <v>2.7559</v>
      </c>
      <c r="P31" s="25">
        <f t="shared" si="4"/>
        <v>9.8425200000000004</v>
      </c>
      <c r="R31" s="25">
        <f t="shared" si="5"/>
        <v>1350</v>
      </c>
    </row>
    <row r="32" spans="1:29" x14ac:dyDescent="0.2">
      <c r="E32" s="52">
        <f t="shared" si="9"/>
        <v>1.2479581999999998</v>
      </c>
      <c r="F32" s="52">
        <f t="shared" si="8"/>
        <v>894.97468745347419</v>
      </c>
      <c r="G32" s="58">
        <f t="shared" si="6"/>
        <v>0.24860407984818728</v>
      </c>
      <c r="H32" s="25">
        <v>0.2</v>
      </c>
      <c r="I32" s="25">
        <f t="shared" si="7"/>
        <v>7.8739999999999997</v>
      </c>
      <c r="P32" s="25">
        <f t="shared" si="4"/>
        <v>62.33596</v>
      </c>
      <c r="R32" s="25">
        <f t="shared" si="5"/>
        <v>3800</v>
      </c>
    </row>
    <row r="33" spans="1:19" x14ac:dyDescent="0.2">
      <c r="E33" s="25">
        <v>1.25</v>
      </c>
      <c r="F33" s="52">
        <f t="shared" si="8"/>
        <v>97.629600000000011</v>
      </c>
      <c r="G33" s="58">
        <f t="shared" si="6"/>
        <v>2.7119333333333336E-2</v>
      </c>
      <c r="H33" s="25">
        <v>7.0000000000000007E-2</v>
      </c>
      <c r="I33" s="25">
        <f t="shared" si="7"/>
        <v>2.7559</v>
      </c>
      <c r="P33" s="25">
        <f t="shared" si="4"/>
        <v>39.370080000000002</v>
      </c>
      <c r="R33" s="25">
        <f t="shared" si="5"/>
        <v>5400</v>
      </c>
    </row>
    <row r="34" spans="1:19" ht="16" thickBot="1" x14ac:dyDescent="0.25">
      <c r="E34" s="195">
        <v>1.2</v>
      </c>
      <c r="F34" s="147">
        <f t="shared" si="8"/>
        <v>484.00916666666672</v>
      </c>
      <c r="G34" s="196">
        <f>F34/3600</f>
        <v>0.13444699074074076</v>
      </c>
      <c r="H34" s="195">
        <v>0.14000000000000001</v>
      </c>
      <c r="I34" s="195">
        <f t="shared" si="7"/>
        <v>5.5118</v>
      </c>
      <c r="P34" s="195">
        <f t="shared" si="4"/>
        <v>9.8425200000000004</v>
      </c>
      <c r="R34" s="195">
        <f t="shared" si="5"/>
        <v>1350</v>
      </c>
    </row>
    <row r="35" spans="1:19" x14ac:dyDescent="0.2">
      <c r="R35" s="25">
        <f>SUM(R20:R34)</f>
        <v>51710</v>
      </c>
    </row>
    <row r="36" spans="1:19" x14ac:dyDescent="0.2">
      <c r="D36">
        <f>D56/D55</f>
        <v>0.10926491483949642</v>
      </c>
      <c r="R36" s="167">
        <f>R35*4100</f>
        <v>212011000</v>
      </c>
      <c r="S36" t="s">
        <v>1249</v>
      </c>
    </row>
    <row r="41" spans="1:19" ht="16" thickBot="1" x14ac:dyDescent="0.25">
      <c r="A41" s="154"/>
      <c r="B41" s="154"/>
      <c r="C41" s="154"/>
      <c r="D41" s="154"/>
      <c r="E41" s="154"/>
      <c r="F41" s="154"/>
      <c r="G41" s="154"/>
      <c r="H41" s="154"/>
      <c r="I41" s="154"/>
      <c r="J41" s="154"/>
      <c r="K41" s="154"/>
      <c r="L41" s="154"/>
    </row>
    <row r="42" spans="1:19" ht="18" thickBot="1" x14ac:dyDescent="0.25">
      <c r="A42" s="194" t="s">
        <v>1298</v>
      </c>
      <c r="B42" s="194" t="s">
        <v>1299</v>
      </c>
      <c r="C42" s="194" t="s">
        <v>1227</v>
      </c>
      <c r="D42" s="194" t="s">
        <v>1300</v>
      </c>
      <c r="E42" s="195" t="s">
        <v>1301</v>
      </c>
      <c r="F42" s="194" t="s">
        <v>1302</v>
      </c>
      <c r="G42" s="194" t="s">
        <v>1303</v>
      </c>
      <c r="H42" s="194" t="s">
        <v>1304</v>
      </c>
      <c r="I42" s="194" t="s">
        <v>971</v>
      </c>
      <c r="J42" s="194" t="s">
        <v>972</v>
      </c>
      <c r="K42" s="194" t="s">
        <v>1305</v>
      </c>
      <c r="L42" s="194" t="s">
        <v>1306</v>
      </c>
    </row>
    <row r="43" spans="1:19" x14ac:dyDescent="0.2">
      <c r="A43" s="32">
        <v>4</v>
      </c>
      <c r="B43" s="25" t="s">
        <v>1307</v>
      </c>
      <c r="C43" s="25" t="s">
        <v>1229</v>
      </c>
      <c r="D43" s="52">
        <v>23.215</v>
      </c>
      <c r="E43" s="52">
        <v>9.8152376120412659E-3</v>
      </c>
      <c r="F43" s="52">
        <v>1.61</v>
      </c>
      <c r="G43" s="52">
        <v>0.14499999999999999</v>
      </c>
      <c r="H43" s="52">
        <v>1.9</v>
      </c>
      <c r="I43" s="47">
        <v>1.5</v>
      </c>
      <c r="J43" s="25">
        <v>40</v>
      </c>
      <c r="K43" s="25">
        <v>3</v>
      </c>
      <c r="L43" s="25">
        <v>190</v>
      </c>
    </row>
    <row r="44" spans="1:19" x14ac:dyDescent="0.2">
      <c r="A44" s="32">
        <v>5</v>
      </c>
      <c r="B44" s="25" t="s">
        <v>1246</v>
      </c>
      <c r="C44" s="25" t="s">
        <v>1229</v>
      </c>
      <c r="D44" s="52">
        <v>530.62300000000005</v>
      </c>
      <c r="E44" s="52">
        <v>0.12282939814814817</v>
      </c>
      <c r="F44" s="52">
        <v>5.7610000000000001</v>
      </c>
      <c r="G44" s="52">
        <v>0.432</v>
      </c>
      <c r="H44" s="52">
        <v>6.625</v>
      </c>
      <c r="I44" s="25">
        <v>6</v>
      </c>
      <c r="J44" s="25">
        <v>80</v>
      </c>
      <c r="K44" s="25">
        <v>3</v>
      </c>
      <c r="L44" s="25">
        <v>450</v>
      </c>
    </row>
    <row r="45" spans="1:19" x14ac:dyDescent="0.2">
      <c r="A45" s="32">
        <v>6</v>
      </c>
      <c r="B45" s="25" t="s">
        <v>1308</v>
      </c>
      <c r="C45" s="25" t="s">
        <v>1229</v>
      </c>
      <c r="D45" s="52">
        <f>1116.891+122.037</f>
        <v>1238.9280000000001</v>
      </c>
      <c r="E45" s="52">
        <v>0.27572430240368123</v>
      </c>
      <c r="F45" s="52">
        <v>7.875</v>
      </c>
      <c r="G45" s="52">
        <v>0.375</v>
      </c>
      <c r="H45" s="52">
        <v>8.625</v>
      </c>
      <c r="I45" s="25">
        <v>8</v>
      </c>
      <c r="J45" s="25">
        <v>40</v>
      </c>
      <c r="K45" s="25">
        <v>3</v>
      </c>
      <c r="L45" s="25">
        <v>200</v>
      </c>
    </row>
    <row r="46" spans="1:19" x14ac:dyDescent="0.2">
      <c r="A46" s="32">
        <v>7</v>
      </c>
      <c r="B46" s="25" t="s">
        <v>1309</v>
      </c>
      <c r="C46" s="25" t="s">
        <v>1229</v>
      </c>
      <c r="D46" s="52">
        <f>122.378+20.624+1220.366</f>
        <v>1363.3679999999999</v>
      </c>
      <c r="E46" s="52">
        <v>0.29597187652898604</v>
      </c>
      <c r="F46" s="52">
        <v>8.5</v>
      </c>
      <c r="G46" s="52">
        <v>1.125</v>
      </c>
      <c r="H46" s="52">
        <v>10.75</v>
      </c>
      <c r="I46" s="25">
        <v>10</v>
      </c>
      <c r="J46" s="25">
        <v>160</v>
      </c>
      <c r="K46" s="25">
        <v>15</v>
      </c>
      <c r="L46" s="25">
        <v>700</v>
      </c>
    </row>
    <row r="47" spans="1:19" x14ac:dyDescent="0.2">
      <c r="A47" s="32">
        <v>22</v>
      </c>
      <c r="B47" s="25" t="s">
        <v>1310</v>
      </c>
      <c r="C47" s="25" t="s">
        <v>1230</v>
      </c>
      <c r="D47" s="52">
        <f>4000.826</f>
        <v>4000.826</v>
      </c>
      <c r="E47" s="52">
        <v>1.1113405555555555E-3</v>
      </c>
      <c r="F47" s="52">
        <v>1.38</v>
      </c>
      <c r="G47" s="52">
        <v>0.14000000000000001</v>
      </c>
      <c r="H47" s="52">
        <v>1.66</v>
      </c>
      <c r="I47" s="47">
        <v>1.25</v>
      </c>
      <c r="J47" s="25">
        <v>40</v>
      </c>
      <c r="K47" s="25">
        <v>3</v>
      </c>
      <c r="L47" s="25">
        <v>190</v>
      </c>
    </row>
    <row r="48" spans="1:19" x14ac:dyDescent="0.2">
      <c r="A48" s="32">
        <v>21</v>
      </c>
      <c r="B48" s="25" t="s">
        <v>1310</v>
      </c>
      <c r="C48" s="25" t="s">
        <v>1230</v>
      </c>
      <c r="D48" s="52">
        <v>169.03515150063859</v>
      </c>
      <c r="E48" s="52">
        <v>4.6954208750177386E-5</v>
      </c>
      <c r="F48" s="52">
        <v>0.46400000000000002</v>
      </c>
      <c r="G48" s="52">
        <v>0.188</v>
      </c>
      <c r="H48" s="52">
        <v>0.84</v>
      </c>
      <c r="I48" s="46" t="s">
        <v>1311</v>
      </c>
      <c r="J48" s="25">
        <v>160</v>
      </c>
      <c r="K48" s="25">
        <v>3</v>
      </c>
      <c r="L48" s="25">
        <v>550</v>
      </c>
    </row>
    <row r="49" spans="1:12" x14ac:dyDescent="0.2">
      <c r="A49" s="32">
        <v>9</v>
      </c>
      <c r="B49" s="25" t="s">
        <v>1310</v>
      </c>
      <c r="C49" s="25" t="s">
        <v>1230</v>
      </c>
      <c r="D49" s="52">
        <v>3831.7909772190301</v>
      </c>
      <c r="E49" s="52">
        <v>1.0643863825608416E-3</v>
      </c>
      <c r="F49" s="52">
        <v>1.38</v>
      </c>
      <c r="G49" s="52">
        <v>0.14000000000000001</v>
      </c>
      <c r="H49" s="52">
        <v>1.66</v>
      </c>
      <c r="I49" s="47">
        <v>1.25</v>
      </c>
      <c r="J49" s="25">
        <v>40</v>
      </c>
      <c r="K49" s="25">
        <v>3</v>
      </c>
      <c r="L49" s="25">
        <v>190</v>
      </c>
    </row>
    <row r="50" spans="1:12" x14ac:dyDescent="0.2">
      <c r="A50" s="32">
        <v>10</v>
      </c>
      <c r="B50" s="25" t="s">
        <v>1309</v>
      </c>
      <c r="C50" s="25" t="s">
        <v>1312</v>
      </c>
      <c r="D50" s="52">
        <f>D46</f>
        <v>1363.3679999999999</v>
      </c>
      <c r="E50" s="52">
        <v>0.27626809539525232</v>
      </c>
      <c r="F50" s="52">
        <v>7.1870000000000003</v>
      </c>
      <c r="G50" s="52">
        <v>0.71899999999999997</v>
      </c>
      <c r="H50" s="52">
        <v>8.625</v>
      </c>
      <c r="I50" s="25">
        <v>8</v>
      </c>
      <c r="J50" s="25">
        <v>120</v>
      </c>
      <c r="K50" s="25">
        <v>15</v>
      </c>
      <c r="L50" s="25">
        <v>600</v>
      </c>
    </row>
    <row r="51" spans="1:12" x14ac:dyDescent="0.2">
      <c r="A51" s="32">
        <v>11</v>
      </c>
      <c r="B51" s="25" t="s">
        <v>1313</v>
      </c>
      <c r="C51" s="25" t="s">
        <v>1230</v>
      </c>
      <c r="D51" s="52">
        <v>122.378</v>
      </c>
      <c r="E51" s="52">
        <v>4.1340008377585905E-5</v>
      </c>
      <c r="F51" s="52">
        <v>0.46400000000000002</v>
      </c>
      <c r="G51" s="52">
        <v>0.188</v>
      </c>
      <c r="H51" s="52">
        <v>0.84</v>
      </c>
      <c r="I51" s="46" t="s">
        <v>1311</v>
      </c>
      <c r="J51" s="25">
        <v>160</v>
      </c>
      <c r="K51" s="25">
        <v>15</v>
      </c>
      <c r="L51" s="25">
        <v>550</v>
      </c>
    </row>
    <row r="52" spans="1:12" x14ac:dyDescent="0.2">
      <c r="A52" s="32">
        <v>12</v>
      </c>
      <c r="B52" s="25" t="s">
        <v>1313</v>
      </c>
      <c r="C52" s="25" t="s">
        <v>1230</v>
      </c>
      <c r="D52" s="52">
        <f>D51</f>
        <v>122.378</v>
      </c>
      <c r="E52" s="52">
        <v>4.1340008377585905E-5</v>
      </c>
      <c r="F52" s="52">
        <v>0.46400000000000002</v>
      </c>
      <c r="G52" s="52">
        <v>0.188</v>
      </c>
      <c r="H52" s="52">
        <v>0.84</v>
      </c>
      <c r="I52" s="46" t="s">
        <v>1311</v>
      </c>
      <c r="J52" s="25">
        <v>160</v>
      </c>
      <c r="K52" s="25">
        <v>9</v>
      </c>
      <c r="L52" s="25">
        <v>550</v>
      </c>
    </row>
    <row r="53" spans="1:12" x14ac:dyDescent="0.2">
      <c r="A53" s="32">
        <v>14</v>
      </c>
      <c r="B53" s="25" t="s">
        <v>1308</v>
      </c>
      <c r="C53" s="25" t="s">
        <v>1229</v>
      </c>
      <c r="D53" s="52">
        <f>124.099+1116.891</f>
        <v>1240.99</v>
      </c>
      <c r="E53" s="52">
        <v>0.27622675538687474</v>
      </c>
      <c r="F53" s="52">
        <v>7.1870000000000003</v>
      </c>
      <c r="G53" s="52">
        <v>0.71899999999999997</v>
      </c>
      <c r="H53" s="52">
        <v>8.625</v>
      </c>
      <c r="I53" s="25">
        <v>8</v>
      </c>
      <c r="J53" s="25">
        <v>120</v>
      </c>
      <c r="K53" s="25">
        <v>3</v>
      </c>
      <c r="L53" s="25">
        <v>600</v>
      </c>
    </row>
    <row r="54" spans="1:12" x14ac:dyDescent="0.2">
      <c r="A54" s="32">
        <v>15</v>
      </c>
      <c r="B54" s="25" t="s">
        <v>1308</v>
      </c>
      <c r="C54" s="25" t="s">
        <v>1229</v>
      </c>
      <c r="D54" s="52">
        <f>124.099</f>
        <v>124.099</v>
      </c>
      <c r="E54" s="52">
        <v>2.7622675538687476E-2</v>
      </c>
      <c r="F54" s="52">
        <v>2.9</v>
      </c>
      <c r="G54" s="52">
        <v>0.3</v>
      </c>
      <c r="H54" s="52">
        <v>3.5</v>
      </c>
      <c r="I54" s="25">
        <v>3</v>
      </c>
      <c r="J54" s="25">
        <v>80</v>
      </c>
      <c r="K54" s="25">
        <v>3</v>
      </c>
      <c r="L54" s="25">
        <v>450</v>
      </c>
    </row>
    <row r="55" spans="1:12" x14ac:dyDescent="0.2">
      <c r="A55" s="32">
        <v>16</v>
      </c>
      <c r="B55" s="25" t="s">
        <v>1308</v>
      </c>
      <c r="C55" s="25" t="s">
        <v>1229</v>
      </c>
      <c r="D55" s="52">
        <v>1116.8910000000001</v>
      </c>
      <c r="E55" s="52">
        <v>0.24860407984818728</v>
      </c>
      <c r="F55" s="52">
        <v>7.875</v>
      </c>
      <c r="G55" s="52">
        <v>0.375</v>
      </c>
      <c r="H55" s="52">
        <v>8.625</v>
      </c>
      <c r="I55" s="25">
        <v>8</v>
      </c>
      <c r="J55" s="25">
        <v>40</v>
      </c>
      <c r="K55" s="25">
        <v>19</v>
      </c>
      <c r="L55" s="25">
        <v>200</v>
      </c>
    </row>
    <row r="56" spans="1:12" x14ac:dyDescent="0.2">
      <c r="A56" s="32">
        <v>17</v>
      </c>
      <c r="B56" s="25" t="s">
        <v>461</v>
      </c>
      <c r="C56" s="25" t="s">
        <v>1229</v>
      </c>
      <c r="D56" s="52">
        <v>122.03700000000001</v>
      </c>
      <c r="E56" s="52">
        <v>2.7119333333333336E-2</v>
      </c>
      <c r="F56" s="52">
        <v>2.9</v>
      </c>
      <c r="G56" s="52">
        <v>0.3</v>
      </c>
      <c r="H56" s="52">
        <v>3.5</v>
      </c>
      <c r="I56" s="25">
        <v>3</v>
      </c>
      <c r="J56" s="25">
        <v>80</v>
      </c>
      <c r="K56" s="25">
        <v>12</v>
      </c>
      <c r="L56" s="25">
        <v>450</v>
      </c>
    </row>
    <row r="57" spans="1:12" ht="16" thickBot="1" x14ac:dyDescent="0.25">
      <c r="A57" s="194">
        <v>19</v>
      </c>
      <c r="B57" s="195" t="s">
        <v>1246</v>
      </c>
      <c r="C57" s="195" t="s">
        <v>1229</v>
      </c>
      <c r="D57" s="147">
        <v>580.81100000000004</v>
      </c>
      <c r="E57" s="147">
        <v>0.13444699074074076</v>
      </c>
      <c r="F57" s="147">
        <v>5.625</v>
      </c>
      <c r="G57" s="147">
        <v>0.5</v>
      </c>
      <c r="H57" s="147">
        <v>6.625</v>
      </c>
      <c r="I57" s="197" t="s">
        <v>1314</v>
      </c>
      <c r="J57" s="195">
        <v>80</v>
      </c>
      <c r="K57" s="195">
        <v>3</v>
      </c>
      <c r="L57" s="195">
        <f>L44</f>
        <v>450</v>
      </c>
    </row>
  </sheetData>
  <mergeCells count="3">
    <mergeCell ref="H4:R4"/>
    <mergeCell ref="H7:R7"/>
    <mergeCell ref="Q18:R1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F9257-FD4D-4B02-B8C5-3559DD3424C2}">
  <dimension ref="A2:AC36"/>
  <sheetViews>
    <sheetView showGridLines="0" topLeftCell="A12" zoomScale="69" zoomScaleNormal="100" workbookViewId="0">
      <selection activeCell="O27" sqref="O27"/>
    </sheetView>
  </sheetViews>
  <sheetFormatPr baseColWidth="10" defaultColWidth="9.1640625" defaultRowHeight="15" x14ac:dyDescent="0.2"/>
  <cols>
    <col min="1" max="1" width="12.6640625" bestFit="1" customWidth="1"/>
    <col min="2" max="2" width="28" customWidth="1"/>
    <col min="3" max="3" width="12.5" customWidth="1"/>
    <col min="4" max="4" width="14.5" customWidth="1"/>
    <col min="5" max="5" width="16.33203125" bestFit="1" customWidth="1"/>
    <col min="6" max="6" width="20.5" bestFit="1" customWidth="1"/>
    <col min="7" max="7" width="18.5" customWidth="1"/>
    <col min="8" max="8" width="15.5" bestFit="1" customWidth="1"/>
    <col min="9" max="9" width="12.5" bestFit="1" customWidth="1"/>
    <col min="10" max="10" width="17.1640625" bestFit="1" customWidth="1"/>
    <col min="11" max="11" width="16.6640625" bestFit="1" customWidth="1"/>
    <col min="12" max="12" width="18.83203125" bestFit="1" customWidth="1"/>
    <col min="13" max="13" width="14.5" bestFit="1" customWidth="1"/>
    <col min="14" max="14" width="17.1640625" bestFit="1" customWidth="1"/>
    <col min="15" max="15" width="17.5" bestFit="1" customWidth="1"/>
    <col min="16" max="16" width="20.33203125" bestFit="1" customWidth="1"/>
    <col min="17" max="17" width="10.6640625" customWidth="1"/>
    <col min="18" max="18" width="17.1640625" bestFit="1" customWidth="1"/>
    <col min="19" max="19" width="22.5" customWidth="1"/>
    <col min="20" max="20" width="21.6640625" customWidth="1"/>
  </cols>
  <sheetData>
    <row r="2" spans="1:29" x14ac:dyDescent="0.2">
      <c r="S2" t="s">
        <v>979</v>
      </c>
    </row>
    <row r="3" spans="1:29" x14ac:dyDescent="0.2">
      <c r="A3" s="9"/>
      <c r="B3" s="9" t="s">
        <v>1270</v>
      </c>
      <c r="C3" s="9" t="s">
        <v>1271</v>
      </c>
      <c r="D3" s="9" t="s">
        <v>1272</v>
      </c>
      <c r="E3" s="9" t="s">
        <v>963</v>
      </c>
      <c r="F3" s="9" t="s">
        <v>1273</v>
      </c>
      <c r="G3" s="25" t="s">
        <v>1274</v>
      </c>
      <c r="H3" s="25" t="s">
        <v>1275</v>
      </c>
      <c r="I3" s="25" t="s">
        <v>1276</v>
      </c>
      <c r="J3" s="25" t="s">
        <v>1277</v>
      </c>
      <c r="K3" s="25" t="s">
        <v>1278</v>
      </c>
      <c r="L3" s="25" t="s">
        <v>1279</v>
      </c>
      <c r="M3" s="25" t="s">
        <v>967</v>
      </c>
      <c r="N3" s="25" t="s">
        <v>968</v>
      </c>
      <c r="O3" s="25" t="s">
        <v>969</v>
      </c>
      <c r="P3" s="25" t="s">
        <v>970</v>
      </c>
      <c r="Q3" s="25" t="s">
        <v>971</v>
      </c>
      <c r="R3" s="25" t="s">
        <v>972</v>
      </c>
      <c r="S3" t="s">
        <v>1280</v>
      </c>
    </row>
    <row r="4" spans="1:29" ht="16" x14ac:dyDescent="0.2">
      <c r="A4" s="9">
        <v>1</v>
      </c>
      <c r="B4" s="44" t="s">
        <v>1281</v>
      </c>
      <c r="C4" s="9"/>
      <c r="D4" s="9"/>
      <c r="E4" s="9">
        <v>244.07300000000001</v>
      </c>
      <c r="F4" s="35"/>
      <c r="G4" s="25">
        <v>360</v>
      </c>
      <c r="H4" s="238" t="s">
        <v>975</v>
      </c>
      <c r="I4" s="238"/>
      <c r="J4" s="238"/>
      <c r="K4" s="238"/>
      <c r="L4" s="238"/>
      <c r="M4" s="238"/>
      <c r="N4" s="238"/>
      <c r="O4" s="238"/>
      <c r="P4" s="238"/>
      <c r="Q4" s="238"/>
      <c r="R4" s="238"/>
      <c r="S4" s="36"/>
      <c r="T4" s="36"/>
      <c r="U4" s="36"/>
      <c r="V4" s="36"/>
      <c r="W4" s="36"/>
      <c r="X4" s="36"/>
      <c r="Y4" s="36"/>
      <c r="Z4" s="36"/>
      <c r="AA4" s="36"/>
      <c r="AB4" s="36"/>
      <c r="AC4" s="36"/>
    </row>
    <row r="5" spans="1:29" ht="16" x14ac:dyDescent="0.2">
      <c r="A5" s="9">
        <v>2</v>
      </c>
      <c r="B5" s="44" t="s">
        <v>1282</v>
      </c>
      <c r="C5" s="9"/>
      <c r="D5" s="9"/>
      <c r="E5" s="9">
        <v>247.77699999999999</v>
      </c>
      <c r="F5" s="25">
        <f>0.018/1000</f>
        <v>1.7999999999999997E-5</v>
      </c>
      <c r="G5" s="25">
        <v>1</v>
      </c>
      <c r="H5" s="25">
        <f>E5/G5</f>
        <v>247.77699999999999</v>
      </c>
      <c r="I5" s="25">
        <f>H5/3600</f>
        <v>6.8826944444444441E-2</v>
      </c>
      <c r="J5" s="25">
        <v>0.4</v>
      </c>
      <c r="K5" s="25">
        <v>0.24</v>
      </c>
      <c r="L5" s="25">
        <f>(4*(E5/3600))/(F5*J5*3.1416)</f>
        <v>12171.247567489398</v>
      </c>
      <c r="M5" s="25">
        <f>J5*39.37</f>
        <v>15.747999999999999</v>
      </c>
      <c r="N5" s="25">
        <v>15.624000000000001</v>
      </c>
      <c r="O5" s="25">
        <v>0.188</v>
      </c>
      <c r="P5" s="25">
        <v>16</v>
      </c>
      <c r="Q5" s="25">
        <v>16</v>
      </c>
      <c r="R5" s="25"/>
      <c r="T5" s="32"/>
      <c r="U5" s="32"/>
      <c r="V5" s="32"/>
      <c r="W5" s="32"/>
      <c r="X5" s="32"/>
      <c r="Y5" s="32"/>
      <c r="Z5" s="32"/>
      <c r="AA5" s="32"/>
      <c r="AB5" s="32"/>
      <c r="AC5" s="32"/>
    </row>
    <row r="6" spans="1:29" x14ac:dyDescent="0.2">
      <c r="A6" s="9">
        <v>3</v>
      </c>
      <c r="B6" s="119" t="s">
        <v>926</v>
      </c>
      <c r="C6" s="119"/>
      <c r="D6" s="119" t="s">
        <v>484</v>
      </c>
      <c r="E6" s="9">
        <v>10.84</v>
      </c>
      <c r="F6" s="32"/>
      <c r="G6" s="25">
        <v>361.17</v>
      </c>
      <c r="H6" s="48"/>
      <c r="I6" s="48"/>
      <c r="J6" s="48"/>
      <c r="K6" s="48"/>
      <c r="L6" s="48"/>
      <c r="M6" s="48"/>
      <c r="N6" s="48"/>
      <c r="O6" s="48"/>
      <c r="P6" s="48"/>
      <c r="Q6" s="48"/>
      <c r="R6" s="48"/>
      <c r="S6" s="32"/>
      <c r="T6" s="25"/>
      <c r="U6" s="25"/>
      <c r="V6" s="25"/>
      <c r="W6" s="25"/>
      <c r="X6" s="25"/>
      <c r="Y6" s="25"/>
      <c r="Z6" s="25"/>
      <c r="AA6" s="25"/>
      <c r="AB6" s="25"/>
      <c r="AC6" s="25"/>
    </row>
    <row r="7" spans="1:29" ht="16" x14ac:dyDescent="0.2">
      <c r="A7" s="46" t="s">
        <v>1283</v>
      </c>
      <c r="B7" s="44" t="s">
        <v>1284</v>
      </c>
      <c r="C7" s="9">
        <v>15</v>
      </c>
      <c r="D7" s="9" t="s">
        <v>484</v>
      </c>
      <c r="E7" s="9">
        <v>83.326999999999998</v>
      </c>
      <c r="F7" s="35"/>
      <c r="G7" s="25">
        <v>361.17</v>
      </c>
      <c r="H7" s="238" t="s">
        <v>975</v>
      </c>
      <c r="I7" s="238"/>
      <c r="J7" s="238"/>
      <c r="K7" s="238"/>
      <c r="L7" s="238"/>
      <c r="M7" s="238"/>
      <c r="N7" s="238"/>
      <c r="O7" s="238"/>
      <c r="P7" s="238"/>
      <c r="Q7" s="238"/>
      <c r="R7" s="238"/>
      <c r="S7" s="35"/>
      <c r="T7" s="9"/>
      <c r="U7" s="9"/>
      <c r="V7" s="9"/>
      <c r="W7" s="9"/>
      <c r="X7" s="9"/>
      <c r="Y7" s="9"/>
      <c r="Z7" s="9"/>
      <c r="AA7" s="9"/>
      <c r="AB7" s="9"/>
      <c r="AC7" s="9"/>
    </row>
    <row r="8" spans="1:29" x14ac:dyDescent="0.2">
      <c r="A8" s="9">
        <v>4</v>
      </c>
      <c r="B8" s="9" t="s">
        <v>981</v>
      </c>
      <c r="C8" s="9">
        <v>15</v>
      </c>
      <c r="D8" s="9" t="s">
        <v>484</v>
      </c>
      <c r="E8" s="9">
        <f>20.624+1220.367+122.378</f>
        <v>1363.3689999999999</v>
      </c>
      <c r="F8" s="32"/>
      <c r="G8" s="25">
        <v>6.41</v>
      </c>
      <c r="H8" s="25">
        <f t="shared" ref="H8:H13" si="0">E8/G8</f>
        <v>212.69407176287049</v>
      </c>
      <c r="I8" s="25">
        <f>H8/3600</f>
        <v>5.9081686600797358E-2</v>
      </c>
      <c r="J8" s="25">
        <v>7.7499999999999999E-2</v>
      </c>
      <c r="K8" s="25">
        <v>7.0000000000000007E-2</v>
      </c>
      <c r="L8" s="25"/>
      <c r="M8" s="25">
        <f t="shared" ref="M8:M13" si="1">J8*39.37</f>
        <v>3.0511749999999997</v>
      </c>
      <c r="N8" s="25">
        <v>3.0680000000000001</v>
      </c>
      <c r="O8" s="25">
        <v>0.216</v>
      </c>
      <c r="P8" s="25">
        <v>3.5</v>
      </c>
      <c r="Q8" s="25">
        <v>3</v>
      </c>
      <c r="R8" s="25">
        <v>40</v>
      </c>
      <c r="S8" s="32"/>
      <c r="T8" s="25"/>
      <c r="U8" s="25"/>
      <c r="V8" s="25"/>
      <c r="W8" s="25"/>
      <c r="X8" s="25"/>
      <c r="Y8" s="25"/>
      <c r="Z8" s="25"/>
      <c r="AA8" s="25"/>
      <c r="AB8" s="25"/>
      <c r="AC8" s="25"/>
    </row>
    <row r="9" spans="1:29" ht="16" x14ac:dyDescent="0.2">
      <c r="A9" s="9">
        <v>8</v>
      </c>
      <c r="B9" s="45" t="s">
        <v>1285</v>
      </c>
      <c r="C9" s="9">
        <v>3</v>
      </c>
      <c r="D9" s="9" t="s">
        <v>484</v>
      </c>
      <c r="E9" s="9">
        <v>122.378</v>
      </c>
      <c r="F9" s="32"/>
      <c r="G9" s="25">
        <v>962</v>
      </c>
      <c r="H9" s="25">
        <f t="shared" si="0"/>
        <v>0.12721205821205822</v>
      </c>
      <c r="I9" s="25">
        <f>H9/3600</f>
        <v>3.5336682836682842E-5</v>
      </c>
      <c r="J9" s="25">
        <v>9.75E-3</v>
      </c>
      <c r="K9" s="25">
        <v>1.95E-2</v>
      </c>
      <c r="L9" s="25"/>
      <c r="M9" s="25">
        <f t="shared" si="1"/>
        <v>0.38385749999999996</v>
      </c>
      <c r="N9" s="25">
        <v>0.434</v>
      </c>
      <c r="O9" s="25">
        <v>0.308</v>
      </c>
      <c r="P9" s="25">
        <v>1.05</v>
      </c>
      <c r="Q9" s="47">
        <v>0.75</v>
      </c>
      <c r="R9" s="25"/>
      <c r="S9" s="49"/>
      <c r="T9" s="49"/>
      <c r="U9" s="49"/>
      <c r="V9" s="49"/>
      <c r="W9" s="49"/>
      <c r="X9" s="49"/>
      <c r="Y9" s="49"/>
      <c r="Z9" s="49"/>
      <c r="AA9" s="49"/>
      <c r="AB9" s="49"/>
      <c r="AC9" s="49"/>
    </row>
    <row r="10" spans="1:29" x14ac:dyDescent="0.2">
      <c r="A10" s="9">
        <v>8</v>
      </c>
      <c r="B10" s="9" t="s">
        <v>1286</v>
      </c>
      <c r="C10" s="9"/>
      <c r="D10" s="9"/>
      <c r="E10" s="9">
        <f>E9</f>
        <v>122.378</v>
      </c>
      <c r="F10" s="32"/>
      <c r="G10" s="25">
        <v>962</v>
      </c>
      <c r="H10" s="25">
        <f t="shared" si="0"/>
        <v>0.12721205821205822</v>
      </c>
      <c r="I10" s="25">
        <f t="shared" ref="I10:I13" si="2">H10/3600</f>
        <v>3.5336682836682842E-5</v>
      </c>
      <c r="J10" s="25">
        <v>9.75E-3</v>
      </c>
      <c r="K10" s="25">
        <v>1.95E-2</v>
      </c>
      <c r="L10" s="25"/>
      <c r="M10" s="25">
        <f t="shared" ref="M10" si="3">J10*39.37</f>
        <v>0.38385749999999996</v>
      </c>
      <c r="N10" s="25">
        <v>0.434</v>
      </c>
      <c r="O10" s="25">
        <v>0.308</v>
      </c>
      <c r="P10" s="25">
        <v>1.05</v>
      </c>
      <c r="Q10" s="47">
        <v>0.75</v>
      </c>
      <c r="R10" s="25"/>
      <c r="S10" s="49"/>
      <c r="T10" s="48"/>
      <c r="U10" s="48"/>
      <c r="V10" s="48"/>
      <c r="W10" s="48"/>
      <c r="X10" s="48"/>
      <c r="Y10" s="48"/>
      <c r="Z10" s="48"/>
      <c r="AA10" s="48"/>
      <c r="AB10" s="48"/>
      <c r="AC10" s="48"/>
    </row>
    <row r="11" spans="1:29" x14ac:dyDescent="0.2">
      <c r="A11" s="9">
        <v>7</v>
      </c>
      <c r="B11" s="9" t="s">
        <v>1289</v>
      </c>
      <c r="C11" s="9">
        <v>3</v>
      </c>
      <c r="D11" s="9" t="s">
        <v>484</v>
      </c>
      <c r="E11" s="9">
        <f>E8-E9</f>
        <v>1240.991</v>
      </c>
      <c r="F11" s="32"/>
      <c r="G11" s="25">
        <v>1.127</v>
      </c>
      <c r="H11" s="25">
        <f t="shared" si="0"/>
        <v>1101.145519077196</v>
      </c>
      <c r="I11" s="25">
        <f t="shared" si="2"/>
        <v>0.30587375529922112</v>
      </c>
      <c r="J11" s="25">
        <v>9.7500000000000003E-2</v>
      </c>
      <c r="K11" s="25">
        <v>7.0000000000000007E-2</v>
      </c>
      <c r="L11" s="25"/>
      <c r="M11" s="25">
        <f>J11*39.37</f>
        <v>3.8385750000000001</v>
      </c>
      <c r="N11" s="25">
        <v>3.8260000000000001</v>
      </c>
      <c r="O11" s="25">
        <v>0.33700000000000002</v>
      </c>
      <c r="P11" s="25">
        <v>4.5</v>
      </c>
      <c r="Q11" s="47">
        <v>4</v>
      </c>
      <c r="R11" s="47">
        <v>80</v>
      </c>
      <c r="S11" s="49"/>
      <c r="T11" s="48"/>
      <c r="U11" s="48"/>
      <c r="V11" s="48"/>
      <c r="W11" s="48"/>
      <c r="X11" s="48"/>
      <c r="Y11" s="48"/>
      <c r="Z11" s="48"/>
      <c r="AA11" s="48"/>
      <c r="AB11" s="48"/>
      <c r="AC11" s="48"/>
    </row>
    <row r="12" spans="1:29" x14ac:dyDescent="0.2">
      <c r="A12" s="120">
        <v>9</v>
      </c>
      <c r="B12" s="120" t="s">
        <v>1287</v>
      </c>
      <c r="C12" s="120"/>
      <c r="D12" s="120"/>
      <c r="E12" s="121">
        <v>176.99099999999999</v>
      </c>
      <c r="F12" s="32"/>
      <c r="G12" s="25">
        <v>1.127</v>
      </c>
      <c r="H12" s="25">
        <f t="shared" si="0"/>
        <v>157.04614019520849</v>
      </c>
      <c r="I12" s="25">
        <f>H12/3600</f>
        <v>4.3623927832002363E-2</v>
      </c>
      <c r="J12" s="25">
        <v>8.2500000000000004E-2</v>
      </c>
      <c r="K12" s="25">
        <v>6.5000000000000002E-2</v>
      </c>
      <c r="L12" s="25"/>
      <c r="M12" s="25">
        <f t="shared" si="1"/>
        <v>3.2480250000000002</v>
      </c>
      <c r="N12" s="25">
        <v>3.3639999999999999</v>
      </c>
      <c r="O12" s="25">
        <v>0.318</v>
      </c>
      <c r="P12" s="25">
        <v>4</v>
      </c>
      <c r="Q12" s="47">
        <v>3.5</v>
      </c>
      <c r="R12" s="47">
        <v>80</v>
      </c>
      <c r="S12" s="32"/>
      <c r="T12" s="25"/>
      <c r="U12" s="25"/>
      <c r="V12" s="25"/>
      <c r="W12" s="25"/>
      <c r="X12" s="25"/>
      <c r="Y12" s="25"/>
      <c r="Z12" s="25"/>
      <c r="AA12" s="25"/>
      <c r="AB12" s="25"/>
      <c r="AC12" s="25"/>
    </row>
    <row r="13" spans="1:29" x14ac:dyDescent="0.2">
      <c r="A13" s="9">
        <v>10</v>
      </c>
      <c r="B13" s="9" t="s">
        <v>986</v>
      </c>
      <c r="C13" s="9">
        <f>C8+C11+1</f>
        <v>19</v>
      </c>
      <c r="D13" s="9" t="s">
        <v>484</v>
      </c>
      <c r="E13" s="9">
        <v>63.009</v>
      </c>
      <c r="F13" s="32"/>
      <c r="G13" s="25">
        <v>1.127</v>
      </c>
      <c r="H13" s="25">
        <f t="shared" si="0"/>
        <v>55.908606921029282</v>
      </c>
      <c r="I13" s="25">
        <f t="shared" si="2"/>
        <v>1.5530168589174801E-2</v>
      </c>
      <c r="J13" s="25">
        <v>4.4999999999999998E-2</v>
      </c>
      <c r="K13" s="25">
        <v>3.7499999999999999E-2</v>
      </c>
      <c r="L13" s="25"/>
      <c r="M13" s="25">
        <f t="shared" si="1"/>
        <v>1.7716499999999997</v>
      </c>
      <c r="N13" s="25">
        <v>1.7709999999999999</v>
      </c>
      <c r="O13" s="25">
        <v>0.55200000000000005</v>
      </c>
      <c r="P13" s="25">
        <v>2.875</v>
      </c>
      <c r="Q13" s="47">
        <v>2.5</v>
      </c>
      <c r="R13" s="47"/>
      <c r="S13" s="32"/>
      <c r="T13" s="25"/>
      <c r="U13" s="25"/>
      <c r="V13" s="25"/>
      <c r="W13" s="37"/>
      <c r="X13" s="25"/>
      <c r="Y13" s="25"/>
      <c r="Z13" s="25"/>
      <c r="AA13" s="25"/>
      <c r="AB13" s="25"/>
      <c r="AC13" s="25"/>
    </row>
    <row r="14" spans="1:29" x14ac:dyDescent="0.2">
      <c r="F14" s="32"/>
      <c r="G14" s="25"/>
      <c r="H14" s="25"/>
      <c r="I14" s="25"/>
      <c r="J14" s="37"/>
      <c r="K14" s="25"/>
      <c r="L14" s="25"/>
      <c r="M14" s="25"/>
      <c r="N14" s="25"/>
      <c r="O14" s="25"/>
      <c r="P14" s="25"/>
      <c r="S14" s="32"/>
      <c r="T14" s="25"/>
      <c r="U14" s="25"/>
      <c r="V14" s="25"/>
      <c r="W14" s="37"/>
      <c r="X14" s="25"/>
      <c r="Y14" s="25"/>
      <c r="Z14" s="25"/>
      <c r="AA14" s="25"/>
      <c r="AB14" s="25"/>
      <c r="AC14" s="25"/>
    </row>
    <row r="15" spans="1:29" x14ac:dyDescent="0.2">
      <c r="B15" t="s">
        <v>1279</v>
      </c>
      <c r="F15" s="32"/>
      <c r="G15" s="25"/>
      <c r="H15" s="25"/>
      <c r="I15" s="25"/>
      <c r="J15" s="25"/>
      <c r="K15" s="25"/>
      <c r="L15" s="25"/>
      <c r="M15" s="25"/>
      <c r="N15" s="25"/>
      <c r="O15" s="25"/>
      <c r="P15" s="25"/>
      <c r="S15" s="32"/>
      <c r="T15" s="25"/>
      <c r="U15" s="25"/>
      <c r="V15" s="25"/>
      <c r="W15" s="25"/>
      <c r="X15" s="25"/>
      <c r="Y15" s="25"/>
      <c r="Z15" s="25"/>
      <c r="AA15" s="25"/>
      <c r="AB15" s="25"/>
      <c r="AC15" s="25"/>
    </row>
    <row r="16" spans="1:29" x14ac:dyDescent="0.2">
      <c r="F16" s="32"/>
      <c r="G16" s="25"/>
      <c r="H16" s="25"/>
      <c r="I16" s="25"/>
      <c r="J16" s="25"/>
      <c r="K16" s="25"/>
      <c r="L16" s="25"/>
      <c r="M16" s="25"/>
      <c r="N16" s="25"/>
      <c r="O16" s="25"/>
      <c r="P16" s="25"/>
      <c r="S16" s="32"/>
      <c r="T16" s="25"/>
      <c r="U16" s="25"/>
      <c r="V16" s="25"/>
      <c r="W16" s="25"/>
      <c r="X16" s="25"/>
      <c r="Y16" s="25"/>
      <c r="Z16" s="25"/>
      <c r="AA16" s="25"/>
      <c r="AB16" s="25"/>
      <c r="AC16" s="25"/>
    </row>
    <row r="17" spans="1:29" x14ac:dyDescent="0.2">
      <c r="B17" t="s">
        <v>1279</v>
      </c>
      <c r="C17" t="s">
        <v>1288</v>
      </c>
      <c r="F17" s="35"/>
      <c r="G17" s="9"/>
      <c r="H17" s="9"/>
      <c r="I17" s="9"/>
      <c r="J17" s="9"/>
      <c r="K17" s="9"/>
      <c r="L17" s="9"/>
      <c r="M17" s="9"/>
      <c r="N17" s="9"/>
      <c r="O17" s="9"/>
      <c r="P17" s="9"/>
      <c r="S17" s="35"/>
      <c r="T17" s="9"/>
      <c r="U17" s="9"/>
      <c r="V17" s="9"/>
      <c r="W17" s="9"/>
      <c r="X17" s="9"/>
      <c r="Y17" s="9"/>
      <c r="Z17" s="9"/>
      <c r="AA17" s="9"/>
      <c r="AB17" s="9"/>
      <c r="AC17" s="9"/>
    </row>
    <row r="18" spans="1:29" ht="16" thickBot="1" x14ac:dyDescent="0.25">
      <c r="A18" s="154"/>
      <c r="B18" s="154"/>
      <c r="C18" s="154"/>
      <c r="D18" s="154"/>
      <c r="E18" s="154"/>
      <c r="F18" s="154"/>
      <c r="G18" s="154"/>
      <c r="H18" s="154"/>
      <c r="I18" s="154"/>
      <c r="J18" s="154"/>
      <c r="K18" s="154"/>
      <c r="L18" s="154"/>
      <c r="M18" s="154"/>
      <c r="N18" s="154"/>
      <c r="O18" s="154"/>
      <c r="P18" s="154"/>
      <c r="Q18" s="250" t="s">
        <v>1290</v>
      </c>
      <c r="R18" s="250"/>
    </row>
    <row r="19" spans="1:29" ht="18" thickBot="1" x14ac:dyDescent="0.25">
      <c r="A19" s="194" t="s">
        <v>1298</v>
      </c>
      <c r="B19" s="194" t="s">
        <v>1299</v>
      </c>
      <c r="C19" s="194" t="s">
        <v>1227</v>
      </c>
      <c r="D19" s="194" t="s">
        <v>1300</v>
      </c>
      <c r="E19" s="194" t="s">
        <v>1291</v>
      </c>
      <c r="F19" s="194" t="s">
        <v>1292</v>
      </c>
      <c r="G19" s="194" t="s">
        <v>1293</v>
      </c>
      <c r="H19" s="194" t="s">
        <v>1294</v>
      </c>
      <c r="I19" s="194" t="s">
        <v>1295</v>
      </c>
      <c r="J19" s="194" t="s">
        <v>1302</v>
      </c>
      <c r="K19" s="194" t="s">
        <v>1303</v>
      </c>
      <c r="L19" s="194" t="s">
        <v>1304</v>
      </c>
      <c r="M19" s="194" t="s">
        <v>971</v>
      </c>
      <c r="N19" s="194" t="s">
        <v>972</v>
      </c>
      <c r="O19" s="194" t="s">
        <v>1305</v>
      </c>
      <c r="P19" s="194" t="s">
        <v>1296</v>
      </c>
      <c r="Q19" s="194" t="s">
        <v>1306</v>
      </c>
      <c r="R19" s="194" t="s">
        <v>1297</v>
      </c>
    </row>
    <row r="20" spans="1:29" x14ac:dyDescent="0.2">
      <c r="A20" s="32">
        <v>4</v>
      </c>
      <c r="B20" s="25" t="s">
        <v>1307</v>
      </c>
      <c r="C20" s="25" t="s">
        <v>1229</v>
      </c>
      <c r="D20" s="25">
        <v>23.215</v>
      </c>
      <c r="E20" s="25">
        <v>0.65700000000000003</v>
      </c>
      <c r="F20" s="52">
        <f>D20/E20</f>
        <v>35.334855403348556</v>
      </c>
      <c r="G20" s="58">
        <f>F20/3600</f>
        <v>9.8152376120412659E-3</v>
      </c>
      <c r="H20" s="25">
        <v>0.04</v>
      </c>
      <c r="I20" s="25">
        <f>H20*39.37</f>
        <v>1.5748</v>
      </c>
      <c r="J20" s="25">
        <v>1.61</v>
      </c>
      <c r="K20" s="25">
        <v>0.14499999999999999</v>
      </c>
      <c r="L20" s="25">
        <v>1.9</v>
      </c>
      <c r="M20" s="47">
        <v>1.5</v>
      </c>
      <c r="N20" s="25">
        <v>40</v>
      </c>
      <c r="O20" s="25">
        <v>3</v>
      </c>
      <c r="P20" s="25">
        <f>O20*3.28084</f>
        <v>9.8425200000000004</v>
      </c>
      <c r="Q20" s="25">
        <v>190</v>
      </c>
      <c r="R20" s="25">
        <f t="shared" ref="R20:R24" si="4">Q20*O20</f>
        <v>570</v>
      </c>
    </row>
    <row r="21" spans="1:29" x14ac:dyDescent="0.2">
      <c r="A21" s="32">
        <v>5</v>
      </c>
      <c r="B21" s="25" t="s">
        <v>1246</v>
      </c>
      <c r="C21" s="25" t="s">
        <v>1229</v>
      </c>
      <c r="D21" s="25">
        <v>530.62300000000005</v>
      </c>
      <c r="E21" s="25">
        <v>1.2</v>
      </c>
      <c r="F21" s="52">
        <f t="shared" ref="F21:F34" si="5">D21/E21</f>
        <v>442.18583333333339</v>
      </c>
      <c r="G21" s="58">
        <f t="shared" ref="G21:G33" si="6">F21/3600</f>
        <v>0.12282939814814817</v>
      </c>
      <c r="H21" s="25">
        <v>0.14499999999999999</v>
      </c>
      <c r="I21" s="25">
        <f t="shared" ref="I21:I34" si="7">H21*39.37</f>
        <v>5.7086499999999996</v>
      </c>
      <c r="J21" s="25">
        <v>5.7610000000000001</v>
      </c>
      <c r="K21" s="25">
        <v>0.432</v>
      </c>
      <c r="L21" s="25">
        <v>6.625</v>
      </c>
      <c r="M21" s="25">
        <v>6</v>
      </c>
      <c r="N21" s="25">
        <v>80</v>
      </c>
      <c r="O21" s="25">
        <v>3</v>
      </c>
      <c r="P21" s="25">
        <f t="shared" ref="P21:P34" si="8">O21*3.28084</f>
        <v>9.8425200000000004</v>
      </c>
      <c r="Q21" s="25">
        <v>450</v>
      </c>
      <c r="R21" s="25">
        <f t="shared" si="4"/>
        <v>1350</v>
      </c>
    </row>
    <row r="22" spans="1:29" x14ac:dyDescent="0.2">
      <c r="A22" s="32">
        <v>6</v>
      </c>
      <c r="B22" s="25" t="s">
        <v>1308</v>
      </c>
      <c r="C22" s="25" t="s">
        <v>1229</v>
      </c>
      <c r="D22" s="25">
        <f>1116.891+122.037</f>
        <v>1238.9280000000001</v>
      </c>
      <c r="E22" s="52">
        <f>(E33*0.985)+(1.127*(1-0.985))</f>
        <v>1.2481549999999999</v>
      </c>
      <c r="F22" s="52">
        <f t="shared" si="5"/>
        <v>992.6074886532524</v>
      </c>
      <c r="G22" s="58">
        <f t="shared" si="6"/>
        <v>0.27572430240368123</v>
      </c>
      <c r="H22" s="25">
        <v>0.2</v>
      </c>
      <c r="I22" s="25">
        <f t="shared" si="7"/>
        <v>7.8739999999999997</v>
      </c>
      <c r="J22" s="25">
        <v>7.875</v>
      </c>
      <c r="K22" s="25">
        <v>0.375</v>
      </c>
      <c r="L22" s="25">
        <v>8.625</v>
      </c>
      <c r="M22" s="25">
        <v>8</v>
      </c>
      <c r="N22" s="25">
        <v>40</v>
      </c>
      <c r="O22" s="25">
        <v>3</v>
      </c>
      <c r="P22" s="25">
        <f t="shared" si="8"/>
        <v>9.8425200000000004</v>
      </c>
      <c r="Q22" s="25">
        <v>200</v>
      </c>
      <c r="R22" s="25">
        <f t="shared" si="4"/>
        <v>600</v>
      </c>
    </row>
    <row r="23" spans="1:29" x14ac:dyDescent="0.2">
      <c r="A23" s="32">
        <v>7</v>
      </c>
      <c r="B23" s="25" t="s">
        <v>1309</v>
      </c>
      <c r="C23" s="25" t="s">
        <v>1229</v>
      </c>
      <c r="D23" s="25">
        <f>122.378+20.624+1220.366</f>
        <v>1363.3679999999999</v>
      </c>
      <c r="E23" s="52">
        <f>(E33*0.8951)+(0.01513*1.127)+(0.08977*1.6)</f>
        <v>1.27955851</v>
      </c>
      <c r="F23" s="52">
        <f t="shared" si="5"/>
        <v>1065.4987555043497</v>
      </c>
      <c r="G23" s="58">
        <f t="shared" si="6"/>
        <v>0.29597187652898604</v>
      </c>
      <c r="H23" s="25">
        <v>0.21</v>
      </c>
      <c r="I23" s="25">
        <f t="shared" si="7"/>
        <v>8.2676999999999996</v>
      </c>
      <c r="J23" s="25">
        <v>8.5</v>
      </c>
      <c r="K23" s="25">
        <v>1.125</v>
      </c>
      <c r="L23" s="25">
        <v>10.75</v>
      </c>
      <c r="M23" s="25">
        <v>10</v>
      </c>
      <c r="N23" s="25">
        <v>160</v>
      </c>
      <c r="O23" s="25">
        <v>15</v>
      </c>
      <c r="P23" s="25">
        <f t="shared" si="8"/>
        <v>49.212600000000002</v>
      </c>
      <c r="Q23" s="25">
        <v>700</v>
      </c>
      <c r="R23" s="25">
        <f t="shared" si="4"/>
        <v>10500</v>
      </c>
    </row>
    <row r="24" spans="1:29" x14ac:dyDescent="0.2">
      <c r="A24" s="32">
        <v>22</v>
      </c>
      <c r="B24" s="25" t="s">
        <v>1310</v>
      </c>
      <c r="C24" s="25" t="s">
        <v>1230</v>
      </c>
      <c r="D24" s="25">
        <f>4000.826</f>
        <v>4000.826</v>
      </c>
      <c r="E24" s="25">
        <v>1000</v>
      </c>
      <c r="F24" s="52">
        <f t="shared" si="5"/>
        <v>4.000826</v>
      </c>
      <c r="G24" s="58">
        <f t="shared" si="6"/>
        <v>1.1113405555555555E-3</v>
      </c>
      <c r="H24" s="25">
        <v>3.5000000000000003E-2</v>
      </c>
      <c r="I24" s="25">
        <f t="shared" si="7"/>
        <v>1.37795</v>
      </c>
      <c r="J24" s="25">
        <v>1.38</v>
      </c>
      <c r="K24" s="25">
        <v>0.14000000000000001</v>
      </c>
      <c r="L24" s="25">
        <v>1.66</v>
      </c>
      <c r="M24" s="47">
        <v>1.25</v>
      </c>
      <c r="N24" s="25">
        <v>40</v>
      </c>
      <c r="O24" s="25">
        <v>3</v>
      </c>
      <c r="P24" s="25">
        <f>O24*3.28084</f>
        <v>9.8425200000000004</v>
      </c>
      <c r="Q24" s="25">
        <v>190</v>
      </c>
      <c r="R24" s="25">
        <f t="shared" si="4"/>
        <v>570</v>
      </c>
    </row>
    <row r="25" spans="1:29" x14ac:dyDescent="0.2">
      <c r="A25" s="32">
        <v>21</v>
      </c>
      <c r="B25" s="25" t="s">
        <v>1310</v>
      </c>
      <c r="C25" s="25" t="s">
        <v>1230</v>
      </c>
      <c r="D25" s="25">
        <v>169.03515150063859</v>
      </c>
      <c r="E25" s="25">
        <v>1000</v>
      </c>
      <c r="F25" s="52">
        <f t="shared" si="5"/>
        <v>0.16903515150063858</v>
      </c>
      <c r="G25" s="58">
        <f t="shared" si="6"/>
        <v>4.6954208750177386E-5</v>
      </c>
      <c r="H25" s="25">
        <v>8.2500000000000004E-3</v>
      </c>
      <c r="I25" s="25">
        <f t="shared" si="7"/>
        <v>0.32480249999999999</v>
      </c>
      <c r="J25" s="25">
        <v>0.46400000000000002</v>
      </c>
      <c r="K25" s="25">
        <v>0.188</v>
      </c>
      <c r="L25" s="25">
        <v>0.84</v>
      </c>
      <c r="M25" s="46" t="s">
        <v>1311</v>
      </c>
      <c r="N25" s="25">
        <v>160</v>
      </c>
      <c r="O25" s="25">
        <v>3</v>
      </c>
      <c r="P25" s="25">
        <f t="shared" si="8"/>
        <v>9.8425200000000004</v>
      </c>
      <c r="Q25" s="25">
        <v>550</v>
      </c>
      <c r="R25" s="25">
        <f>Q25*O25</f>
        <v>1650</v>
      </c>
    </row>
    <row r="26" spans="1:29" x14ac:dyDescent="0.2">
      <c r="A26" s="32">
        <v>9</v>
      </c>
      <c r="B26" s="25" t="s">
        <v>1310</v>
      </c>
      <c r="C26" s="25" t="s">
        <v>1230</v>
      </c>
      <c r="D26" s="25">
        <v>3831.7909772190301</v>
      </c>
      <c r="E26" s="25">
        <v>1000</v>
      </c>
      <c r="F26" s="52">
        <f t="shared" si="5"/>
        <v>3.8317909772190299</v>
      </c>
      <c r="G26" s="58">
        <f t="shared" si="6"/>
        <v>1.0643863825608416E-3</v>
      </c>
      <c r="H26" s="25">
        <v>3.5000000000000003E-2</v>
      </c>
      <c r="I26" s="25">
        <f t="shared" si="7"/>
        <v>1.37795</v>
      </c>
      <c r="J26" s="25">
        <v>1.38</v>
      </c>
      <c r="K26" s="25">
        <v>0.14000000000000001</v>
      </c>
      <c r="L26" s="25">
        <v>1.66</v>
      </c>
      <c r="M26" s="47">
        <v>1.25</v>
      </c>
      <c r="N26" s="25">
        <v>40</v>
      </c>
      <c r="O26" s="25">
        <v>3</v>
      </c>
      <c r="P26" s="25">
        <f t="shared" si="8"/>
        <v>9.8425200000000004</v>
      </c>
      <c r="Q26" s="25">
        <v>190</v>
      </c>
      <c r="R26" s="25">
        <f t="shared" ref="R26:R34" si="9">Q26*O26</f>
        <v>570</v>
      </c>
    </row>
    <row r="27" spans="1:29" x14ac:dyDescent="0.2">
      <c r="A27" s="32">
        <v>10</v>
      </c>
      <c r="B27" s="25" t="s">
        <v>1309</v>
      </c>
      <c r="C27" s="25" t="s">
        <v>1312</v>
      </c>
      <c r="D27" s="25">
        <f>D23</f>
        <v>1363.3679999999999</v>
      </c>
      <c r="E27" s="52">
        <v>1363.3686078978858</v>
      </c>
      <c r="F27" s="52">
        <f>F28+F30</f>
        <v>994.56514342290836</v>
      </c>
      <c r="G27" s="58">
        <f t="shared" si="6"/>
        <v>0.27626809539525232</v>
      </c>
      <c r="H27" s="25">
        <v>0.18</v>
      </c>
      <c r="I27" s="25">
        <f t="shared" ref="I27" si="10">H27*39.37</f>
        <v>7.0865999999999989</v>
      </c>
      <c r="J27" s="25">
        <v>7.1870000000000003</v>
      </c>
      <c r="K27" s="25">
        <v>0.71899999999999997</v>
      </c>
      <c r="L27" s="25">
        <v>8.625</v>
      </c>
      <c r="M27" s="25">
        <v>8</v>
      </c>
      <c r="N27" s="25">
        <v>120</v>
      </c>
      <c r="O27" s="25">
        <v>15</v>
      </c>
      <c r="P27" s="25">
        <f t="shared" si="8"/>
        <v>49.212600000000002</v>
      </c>
      <c r="Q27" s="25">
        <v>600</v>
      </c>
      <c r="R27" s="25">
        <f t="shared" si="9"/>
        <v>9000</v>
      </c>
    </row>
    <row r="28" spans="1:29" x14ac:dyDescent="0.2">
      <c r="A28" s="32">
        <v>11</v>
      </c>
      <c r="B28" s="25" t="s">
        <v>1313</v>
      </c>
      <c r="C28" s="25" t="s">
        <v>1230</v>
      </c>
      <c r="D28" s="25">
        <v>122.378</v>
      </c>
      <c r="E28" s="25">
        <v>822.3</v>
      </c>
      <c r="F28" s="52">
        <f t="shared" si="5"/>
        <v>0.14882403015930926</v>
      </c>
      <c r="G28" s="58">
        <f t="shared" si="6"/>
        <v>4.1340008377585905E-5</v>
      </c>
      <c r="H28" s="25">
        <v>8.0000000000000002E-3</v>
      </c>
      <c r="I28" s="25">
        <f t="shared" si="7"/>
        <v>0.31495999999999996</v>
      </c>
      <c r="J28" s="25">
        <v>0.46400000000000002</v>
      </c>
      <c r="K28" s="25">
        <v>0.188</v>
      </c>
      <c r="L28" s="25">
        <v>0.84</v>
      </c>
      <c r="M28" s="46" t="s">
        <v>1311</v>
      </c>
      <c r="N28" s="25">
        <v>160</v>
      </c>
      <c r="O28" s="25">
        <v>15</v>
      </c>
      <c r="P28" s="25">
        <f t="shared" si="8"/>
        <v>49.212600000000002</v>
      </c>
      <c r="Q28" s="25">
        <v>550</v>
      </c>
      <c r="R28" s="25">
        <f t="shared" si="9"/>
        <v>8250</v>
      </c>
    </row>
    <row r="29" spans="1:29" x14ac:dyDescent="0.2">
      <c r="A29" s="32">
        <v>12</v>
      </c>
      <c r="B29" s="25" t="s">
        <v>1313</v>
      </c>
      <c r="C29" s="25" t="s">
        <v>1230</v>
      </c>
      <c r="D29" s="25">
        <f>D28</f>
        <v>122.378</v>
      </c>
      <c r="E29" s="25">
        <v>822.3</v>
      </c>
      <c r="F29" s="52">
        <f t="shared" si="5"/>
        <v>0.14882403015930926</v>
      </c>
      <c r="G29" s="58">
        <f t="shared" si="6"/>
        <v>4.1340008377585905E-5</v>
      </c>
      <c r="H29" s="25">
        <v>8.0000000000000002E-3</v>
      </c>
      <c r="I29" s="25">
        <f t="shared" si="7"/>
        <v>0.31495999999999996</v>
      </c>
      <c r="J29" s="25">
        <v>0.46400000000000002</v>
      </c>
      <c r="K29" s="25">
        <v>0.188</v>
      </c>
      <c r="L29" s="25">
        <v>0.84</v>
      </c>
      <c r="M29" s="46" t="s">
        <v>1311</v>
      </c>
      <c r="N29" s="25">
        <v>160</v>
      </c>
      <c r="O29" s="25">
        <v>9</v>
      </c>
      <c r="P29" s="25">
        <f t="shared" si="8"/>
        <v>29.527560000000001</v>
      </c>
      <c r="Q29" s="25">
        <v>550</v>
      </c>
      <c r="R29" s="25">
        <f>Q29*O29</f>
        <v>4950</v>
      </c>
    </row>
    <row r="30" spans="1:29" x14ac:dyDescent="0.2">
      <c r="A30" s="32">
        <v>14</v>
      </c>
      <c r="B30" s="25" t="s">
        <v>1308</v>
      </c>
      <c r="C30" s="25" t="s">
        <v>1229</v>
      </c>
      <c r="D30" s="25">
        <f>124.099+1116.891</f>
        <v>1240.99</v>
      </c>
      <c r="E30" s="52">
        <f>($E$33*0.9834)+(1.127*(1-0.9834))</f>
        <v>1.2479581999999998</v>
      </c>
      <c r="F30" s="52">
        <f t="shared" si="5"/>
        <v>994.41631939274907</v>
      </c>
      <c r="G30" s="58">
        <f t="shared" si="6"/>
        <v>0.27622675538687474</v>
      </c>
      <c r="H30" s="25">
        <v>0.18</v>
      </c>
      <c r="I30" s="25">
        <f t="shared" si="7"/>
        <v>7.0865999999999989</v>
      </c>
      <c r="J30" s="25">
        <v>7.1870000000000003</v>
      </c>
      <c r="K30" s="25">
        <v>0.71899999999999997</v>
      </c>
      <c r="L30" s="25">
        <v>8.625</v>
      </c>
      <c r="M30" s="25">
        <v>8</v>
      </c>
      <c r="N30" s="25">
        <v>120</v>
      </c>
      <c r="O30" s="25">
        <v>3</v>
      </c>
      <c r="P30" s="25">
        <f t="shared" si="8"/>
        <v>9.8425200000000004</v>
      </c>
      <c r="Q30" s="25">
        <v>600</v>
      </c>
      <c r="R30" s="25">
        <f t="shared" si="9"/>
        <v>1800</v>
      </c>
    </row>
    <row r="31" spans="1:29" x14ac:dyDescent="0.2">
      <c r="A31" s="32">
        <v>15</v>
      </c>
      <c r="B31" s="25" t="s">
        <v>1308</v>
      </c>
      <c r="C31" s="25" t="s">
        <v>1229</v>
      </c>
      <c r="D31" s="25">
        <f>124.099</f>
        <v>124.099</v>
      </c>
      <c r="E31" s="52">
        <f t="shared" ref="E31:E32" si="11">($E$33*0.9834)+(1.127*(1-0.9834))</f>
        <v>1.2479581999999998</v>
      </c>
      <c r="F31" s="52">
        <f t="shared" si="5"/>
        <v>99.441631939274913</v>
      </c>
      <c r="G31" s="58">
        <f t="shared" si="6"/>
        <v>2.7622675538687476E-2</v>
      </c>
      <c r="H31" s="25">
        <v>7.0000000000000007E-2</v>
      </c>
      <c r="I31" s="25">
        <f t="shared" si="7"/>
        <v>2.7559</v>
      </c>
      <c r="J31" s="25">
        <v>2.9</v>
      </c>
      <c r="K31" s="25">
        <v>0.3</v>
      </c>
      <c r="L31" s="25">
        <v>3.5</v>
      </c>
      <c r="M31" s="25">
        <v>3</v>
      </c>
      <c r="N31" s="25">
        <v>80</v>
      </c>
      <c r="O31" s="25">
        <v>3</v>
      </c>
      <c r="P31" s="25">
        <f t="shared" si="8"/>
        <v>9.8425200000000004</v>
      </c>
      <c r="Q31" s="25">
        <v>450</v>
      </c>
      <c r="R31" s="25">
        <f t="shared" si="9"/>
        <v>1350</v>
      </c>
    </row>
    <row r="32" spans="1:29" x14ac:dyDescent="0.2">
      <c r="A32" s="32">
        <v>16</v>
      </c>
      <c r="B32" s="25" t="s">
        <v>1308</v>
      </c>
      <c r="C32" s="25" t="s">
        <v>1229</v>
      </c>
      <c r="D32" s="25">
        <v>1116.8910000000001</v>
      </c>
      <c r="E32" s="52">
        <f t="shared" si="11"/>
        <v>1.2479581999999998</v>
      </c>
      <c r="F32" s="52">
        <f>D32/E32</f>
        <v>894.97468745347419</v>
      </c>
      <c r="G32" s="58">
        <f t="shared" si="6"/>
        <v>0.24860407984818728</v>
      </c>
      <c r="H32" s="25">
        <v>0.2</v>
      </c>
      <c r="I32" s="25">
        <f t="shared" si="7"/>
        <v>7.8739999999999997</v>
      </c>
      <c r="J32" s="25">
        <v>7.875</v>
      </c>
      <c r="K32" s="25">
        <v>0.375</v>
      </c>
      <c r="L32" s="25">
        <v>8.625</v>
      </c>
      <c r="M32" s="25">
        <v>8</v>
      </c>
      <c r="N32" s="25">
        <v>40</v>
      </c>
      <c r="O32" s="25">
        <v>19</v>
      </c>
      <c r="P32" s="25">
        <f t="shared" si="8"/>
        <v>62.33596</v>
      </c>
      <c r="Q32" s="25">
        <v>200</v>
      </c>
      <c r="R32" s="25">
        <f t="shared" si="9"/>
        <v>3800</v>
      </c>
    </row>
    <row r="33" spans="1:19" x14ac:dyDescent="0.2">
      <c r="A33" s="32">
        <v>17</v>
      </c>
      <c r="B33" s="25" t="s">
        <v>461</v>
      </c>
      <c r="C33" s="25" t="s">
        <v>1229</v>
      </c>
      <c r="D33" s="25">
        <v>122.03700000000001</v>
      </c>
      <c r="E33" s="25">
        <v>1.25</v>
      </c>
      <c r="F33" s="52">
        <f t="shared" si="5"/>
        <v>97.629600000000011</v>
      </c>
      <c r="G33" s="58">
        <f t="shared" si="6"/>
        <v>2.7119333333333336E-2</v>
      </c>
      <c r="H33" s="25">
        <v>7.0000000000000007E-2</v>
      </c>
      <c r="I33" s="25">
        <f t="shared" si="7"/>
        <v>2.7559</v>
      </c>
      <c r="J33" s="25">
        <v>2.9</v>
      </c>
      <c r="K33" s="25">
        <v>0.3</v>
      </c>
      <c r="L33" s="25">
        <v>3.5</v>
      </c>
      <c r="M33" s="25">
        <v>3</v>
      </c>
      <c r="N33" s="25">
        <v>80</v>
      </c>
      <c r="O33" s="25">
        <v>12</v>
      </c>
      <c r="P33" s="25">
        <f t="shared" si="8"/>
        <v>39.370080000000002</v>
      </c>
      <c r="Q33" s="25">
        <v>450</v>
      </c>
      <c r="R33" s="25">
        <f t="shared" si="9"/>
        <v>5400</v>
      </c>
    </row>
    <row r="34" spans="1:19" ht="16" thickBot="1" x14ac:dyDescent="0.25">
      <c r="A34" s="194">
        <v>19</v>
      </c>
      <c r="B34" s="195" t="s">
        <v>1246</v>
      </c>
      <c r="C34" s="195" t="s">
        <v>1229</v>
      </c>
      <c r="D34" s="147">
        <v>580.81100000000004</v>
      </c>
      <c r="E34" s="195">
        <v>1.2</v>
      </c>
      <c r="F34" s="147">
        <f t="shared" si="5"/>
        <v>484.00916666666672</v>
      </c>
      <c r="G34" s="196">
        <f>F34/3600</f>
        <v>0.13444699074074076</v>
      </c>
      <c r="H34" s="195">
        <v>0.14000000000000001</v>
      </c>
      <c r="I34" s="195">
        <f t="shared" si="7"/>
        <v>5.5118</v>
      </c>
      <c r="J34" s="195">
        <v>5.625</v>
      </c>
      <c r="K34" s="195">
        <v>0.5</v>
      </c>
      <c r="L34" s="195">
        <v>6.625</v>
      </c>
      <c r="M34" s="197" t="s">
        <v>1314</v>
      </c>
      <c r="N34" s="195">
        <v>80</v>
      </c>
      <c r="O34" s="195">
        <v>3</v>
      </c>
      <c r="P34" s="195">
        <f t="shared" si="8"/>
        <v>9.8425200000000004</v>
      </c>
      <c r="Q34" s="195">
        <f>Q21</f>
        <v>450</v>
      </c>
      <c r="R34" s="195">
        <f t="shared" si="9"/>
        <v>1350</v>
      </c>
    </row>
    <row r="35" spans="1:19" x14ac:dyDescent="0.2">
      <c r="R35" s="25">
        <f>SUM(R20:R34)</f>
        <v>51710</v>
      </c>
    </row>
    <row r="36" spans="1:19" x14ac:dyDescent="0.2">
      <c r="D36">
        <f>D33/D32</f>
        <v>0.10926491483949642</v>
      </c>
      <c r="R36" s="167">
        <f>R35*4100</f>
        <v>212011000</v>
      </c>
      <c r="S36" t="s">
        <v>1249</v>
      </c>
    </row>
  </sheetData>
  <mergeCells count="3">
    <mergeCell ref="H4:R4"/>
    <mergeCell ref="H7:R7"/>
    <mergeCell ref="Q18:R1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20</vt:i4>
      </vt:variant>
      <vt:variant>
        <vt:lpstr>Rangos con nombre</vt:lpstr>
      </vt:variant>
      <vt:variant>
        <vt:i4>2</vt:i4>
      </vt:variant>
    </vt:vector>
  </HeadingPairs>
  <TitlesOfParts>
    <vt:vector size="22" baseType="lpstr">
      <vt:lpstr>U23 CÁLCULOS</vt:lpstr>
      <vt:lpstr>Hoja4</vt:lpstr>
      <vt:lpstr>Hoja1 (2)</vt:lpstr>
      <vt:lpstr>Hoja1</vt:lpstr>
      <vt:lpstr>Hoja3</vt:lpstr>
      <vt:lpstr>julian</vt:lpstr>
      <vt:lpstr>Tuberias (2)</vt:lpstr>
      <vt:lpstr>Tuberias (3)</vt:lpstr>
      <vt:lpstr>Tuberias</vt:lpstr>
      <vt:lpstr>Hoja2</vt:lpstr>
      <vt:lpstr>REACTOR JULIAN</vt:lpstr>
      <vt:lpstr>Tornillos sin fin</vt:lpstr>
      <vt:lpstr>Sheet1</vt:lpstr>
      <vt:lpstr>Agua enfriamiento</vt:lpstr>
      <vt:lpstr>Diseño intercambiador (2)</vt:lpstr>
      <vt:lpstr>Sheet2</vt:lpstr>
      <vt:lpstr>Tanques+</vt:lpstr>
      <vt:lpstr>Diseño intercambiador</vt:lpstr>
      <vt:lpstr>Bomba</vt:lpstr>
      <vt:lpstr>Compresores</vt:lpstr>
      <vt:lpstr>julian!_Int_MPEneR7n</vt:lpstr>
      <vt:lpstr>'U23 CÁLCULOS'!_Int_MPEneR7n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NICOLAS ORTIZ</dc:creator>
  <cp:keywords/>
  <dc:description/>
  <cp:lastModifiedBy>NICOLAS ORTIZ</cp:lastModifiedBy>
  <cp:revision/>
  <dcterms:created xsi:type="dcterms:W3CDTF">2023-09-21T20:42:06Z</dcterms:created>
  <dcterms:modified xsi:type="dcterms:W3CDTF">2024-07-08T21:18:02Z</dcterms:modified>
  <cp:category/>
  <cp:contentStatus/>
</cp:coreProperties>
</file>